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immons\AppData\Local\Box\Box Edit\Documents\s8kJJBguzk667o6_I9LXtA==\"/>
    </mc:Choice>
  </mc:AlternateContent>
  <xr:revisionPtr revIDLastSave="0" documentId="13_ncr:1_{DDC2E99C-8535-4DFC-8757-4F9117CD1606}" xr6:coauthVersionLast="46" xr6:coauthVersionMax="46" xr10:uidLastSave="{00000000-0000-0000-0000-000000000000}"/>
  <bookViews>
    <workbookView xWindow="240" yWindow="180" windowWidth="15015" windowHeight="13950" xr2:uid="{AD46F298-E379-41C5-9D30-394A85A07208}"/>
  </bookViews>
  <sheets>
    <sheet name="Information" sheetId="6" r:id="rId1"/>
    <sheet name="SummaryResults" sheetId="5" r:id="rId2"/>
    <sheet name="Calculator" sheetId="1" r:id="rId3"/>
    <sheet name="ResultsByYear" sheetId="4" r:id="rId4"/>
    <sheet name="H2_FuelCell" sheetId="7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7" l="1"/>
  <c r="C14" i="7"/>
  <c r="C11" i="7"/>
  <c r="I7" i="7"/>
  <c r="E9" i="7" l="1"/>
  <c r="E8" i="7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H29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H14" i="4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G52" i="1"/>
  <c r="G51" i="1"/>
  <c r="G49" i="1"/>
  <c r="L48" i="5" l="1"/>
  <c r="L47" i="5"/>
  <c r="L43" i="5"/>
  <c r="L42" i="5"/>
  <c r="K48" i="5"/>
  <c r="K47" i="5"/>
  <c r="K43" i="5"/>
  <c r="K42" i="5"/>
  <c r="J48" i="5"/>
  <c r="J47" i="5"/>
  <c r="J43" i="5"/>
  <c r="J42" i="5"/>
  <c r="G6" i="5" l="1"/>
  <c r="J37" i="5"/>
  <c r="J36" i="5"/>
  <c r="J32" i="5"/>
  <c r="J31" i="5"/>
  <c r="L26" i="5"/>
  <c r="K26" i="5"/>
  <c r="J26" i="5"/>
  <c r="L21" i="5"/>
  <c r="K21" i="5"/>
  <c r="J21" i="5"/>
  <c r="L15" i="5"/>
  <c r="K15" i="5"/>
  <c r="J15" i="5"/>
  <c r="L10" i="5"/>
  <c r="K10" i="5"/>
  <c r="J10" i="5"/>
  <c r="H9" i="1"/>
  <c r="G9" i="1"/>
  <c r="H17" i="1" l="1"/>
  <c r="H21" i="4" s="1"/>
  <c r="G17" i="1"/>
  <c r="H6" i="4" s="1"/>
  <c r="H14" i="1"/>
  <c r="G14" i="1"/>
  <c r="K12" i="1"/>
  <c r="K17" i="1" s="1"/>
  <c r="J12" i="1"/>
  <c r="J17" i="1" s="1"/>
  <c r="H12" i="1"/>
  <c r="G12" i="1"/>
  <c r="V54" i="4"/>
  <c r="U54" i="4"/>
  <c r="T54" i="4"/>
  <c r="S54" i="4"/>
  <c r="R54" i="4"/>
  <c r="Q54" i="4"/>
  <c r="P54" i="4"/>
  <c r="O54" i="4"/>
  <c r="N54" i="4"/>
  <c r="M54" i="4"/>
  <c r="M39" i="4"/>
  <c r="N39" i="4"/>
  <c r="O39" i="4"/>
  <c r="P39" i="4"/>
  <c r="Q39" i="4"/>
  <c r="R39" i="4"/>
  <c r="S39" i="4"/>
  <c r="T39" i="4"/>
  <c r="U39" i="4"/>
  <c r="V39" i="4"/>
  <c r="Q24" i="4"/>
  <c r="R24" i="4"/>
  <c r="S24" i="4"/>
  <c r="M24" i="4"/>
  <c r="T24" i="4"/>
  <c r="N24" i="4"/>
  <c r="V24" i="4"/>
  <c r="H26" i="4"/>
  <c r="I26" i="4" s="1"/>
  <c r="J26" i="4" s="1"/>
  <c r="K26" i="4" s="1"/>
  <c r="L26" i="4" s="1"/>
  <c r="M26" i="4" s="1"/>
  <c r="N26" i="4" s="1"/>
  <c r="O26" i="4" s="1"/>
  <c r="P26" i="4" s="1"/>
  <c r="Q26" i="4" s="1"/>
  <c r="R26" i="4" s="1"/>
  <c r="S26" i="4" s="1"/>
  <c r="T26" i="4" s="1"/>
  <c r="U26" i="4" s="1"/>
  <c r="V26" i="4" s="1"/>
  <c r="H22" i="4"/>
  <c r="K37" i="1"/>
  <c r="N56" i="4" s="1"/>
  <c r="J37" i="1"/>
  <c r="J41" i="4" s="1"/>
  <c r="H37" i="1"/>
  <c r="G37" i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M9" i="4"/>
  <c r="N9" i="4"/>
  <c r="O9" i="4"/>
  <c r="P9" i="4"/>
  <c r="Q9" i="4"/>
  <c r="R9" i="4"/>
  <c r="S9" i="4"/>
  <c r="T9" i="4"/>
  <c r="U9" i="4"/>
  <c r="V9" i="4"/>
  <c r="H7" i="4"/>
  <c r="J14" i="1" l="1"/>
  <c r="K14" i="1"/>
  <c r="P41" i="4"/>
  <c r="O41" i="4"/>
  <c r="H41" i="4"/>
  <c r="N41" i="4"/>
  <c r="R56" i="4"/>
  <c r="I41" i="4"/>
  <c r="Q56" i="4"/>
  <c r="T56" i="4"/>
  <c r="O56" i="4"/>
  <c r="V41" i="4"/>
  <c r="M56" i="4"/>
  <c r="R41" i="4"/>
  <c r="H56" i="4"/>
  <c r="L56" i="4"/>
  <c r="J56" i="4"/>
  <c r="Q41" i="4"/>
  <c r="U56" i="4"/>
  <c r="K56" i="4"/>
  <c r="S56" i="4"/>
  <c r="I56" i="4"/>
  <c r="U41" i="4"/>
  <c r="M41" i="4"/>
  <c r="P56" i="4"/>
  <c r="T41" i="4"/>
  <c r="L41" i="4"/>
  <c r="S41" i="4"/>
  <c r="K41" i="4"/>
  <c r="V56" i="4"/>
  <c r="P24" i="4"/>
  <c r="O24" i="4"/>
  <c r="U24" i="4"/>
  <c r="K26" i="1"/>
  <c r="J26" i="1"/>
  <c r="Z33" i="1"/>
  <c r="Z34" i="1" s="1"/>
  <c r="S28" i="1"/>
  <c r="S29" i="1" s="1"/>
  <c r="E40" i="1" s="1"/>
  <c r="J42" i="1" s="1"/>
  <c r="K42" i="1" l="1"/>
  <c r="L59" i="4" s="1"/>
  <c r="O44" i="4"/>
  <c r="H44" i="4"/>
  <c r="H45" i="4" s="1"/>
  <c r="I45" i="4" s="1"/>
  <c r="P44" i="4"/>
  <c r="I44" i="4"/>
  <c r="Q44" i="4"/>
  <c r="J44" i="4"/>
  <c r="R44" i="4"/>
  <c r="K44" i="4"/>
  <c r="S44" i="4"/>
  <c r="V44" i="4"/>
  <c r="L44" i="4"/>
  <c r="T44" i="4"/>
  <c r="M44" i="4"/>
  <c r="U44" i="4"/>
  <c r="N44" i="4"/>
  <c r="J59" i="4"/>
  <c r="R59" i="4"/>
  <c r="K59" i="4"/>
  <c r="S59" i="4"/>
  <c r="U59" i="4"/>
  <c r="V59" i="4"/>
  <c r="N59" i="4"/>
  <c r="Q59" i="4"/>
  <c r="AB31" i="1"/>
  <c r="AB32" i="1"/>
  <c r="AB33" i="1"/>
  <c r="AB30" i="1"/>
  <c r="O24" i="1"/>
  <c r="E29" i="1" s="1"/>
  <c r="H68" i="4" s="1"/>
  <c r="J45" i="4" l="1"/>
  <c r="K45" i="4" s="1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M59" i="4"/>
  <c r="P59" i="4"/>
  <c r="H59" i="4"/>
  <c r="H60" i="4" s="1"/>
  <c r="T59" i="4"/>
  <c r="I59" i="4"/>
  <c r="O59" i="4"/>
  <c r="H55" i="4"/>
  <c r="I68" i="4"/>
  <c r="H40" i="4"/>
  <c r="AA36" i="1"/>
  <c r="S30" i="1" s="1"/>
  <c r="E41" i="1" s="1"/>
  <c r="O21" i="1"/>
  <c r="E32" i="1" s="1"/>
  <c r="H69" i="4" s="1"/>
  <c r="H24" i="1"/>
  <c r="H27" i="1" s="1"/>
  <c r="G24" i="1"/>
  <c r="G27" i="1" s="1"/>
  <c r="K6" i="1"/>
  <c r="K16" i="1"/>
  <c r="J16" i="1"/>
  <c r="H16" i="1"/>
  <c r="G16" i="1"/>
  <c r="I60" i="4" l="1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G15" i="1"/>
  <c r="K15" i="1"/>
  <c r="H53" i="4" s="1"/>
  <c r="I53" i="4" s="1"/>
  <c r="H51" i="4"/>
  <c r="H15" i="1"/>
  <c r="H23" i="4" s="1"/>
  <c r="I23" i="4" s="1"/>
  <c r="G42" i="1"/>
  <c r="H42" i="1"/>
  <c r="I55" i="4"/>
  <c r="J68" i="4"/>
  <c r="I40" i="4"/>
  <c r="J15" i="1"/>
  <c r="H38" i="4" s="1"/>
  <c r="I38" i="4" s="1"/>
  <c r="H36" i="4"/>
  <c r="H10" i="4"/>
  <c r="H25" i="4"/>
  <c r="I69" i="4"/>
  <c r="I10" i="4" s="1"/>
  <c r="H30" i="4" l="1"/>
  <c r="I30" i="4" s="1"/>
  <c r="J30" i="4" s="1"/>
  <c r="K30" i="4" s="1"/>
  <c r="L30" i="4" s="1"/>
  <c r="H15" i="4"/>
  <c r="I15" i="4" s="1"/>
  <c r="J15" i="4" s="1"/>
  <c r="K15" i="4" s="1"/>
  <c r="L15" i="4" s="1"/>
  <c r="H24" i="4"/>
  <c r="H27" i="4" s="1"/>
  <c r="H28" i="4" s="1"/>
  <c r="J23" i="4"/>
  <c r="I24" i="4"/>
  <c r="I39" i="4"/>
  <c r="I42" i="4" s="1"/>
  <c r="J38" i="4"/>
  <c r="H54" i="4"/>
  <c r="J53" i="4"/>
  <c r="I54" i="4"/>
  <c r="I57" i="4" s="1"/>
  <c r="H39" i="4"/>
  <c r="H42" i="4" s="1"/>
  <c r="H43" i="4" s="1"/>
  <c r="K68" i="4"/>
  <c r="J55" i="4"/>
  <c r="J40" i="4"/>
  <c r="I25" i="4"/>
  <c r="J69" i="4"/>
  <c r="H8" i="4"/>
  <c r="I8" i="4" s="1"/>
  <c r="M30" i="4" l="1"/>
  <c r="N30" i="4" s="1"/>
  <c r="O30" i="4" s="1"/>
  <c r="P30" i="4" s="1"/>
  <c r="Q30" i="4" s="1"/>
  <c r="J25" i="5"/>
  <c r="M15" i="4"/>
  <c r="N15" i="4" s="1"/>
  <c r="O15" i="4" s="1"/>
  <c r="P15" i="4" s="1"/>
  <c r="Q15" i="4" s="1"/>
  <c r="J20" i="5"/>
  <c r="K69" i="4"/>
  <c r="J25" i="4"/>
  <c r="J10" i="4"/>
  <c r="J8" i="4"/>
  <c r="I9" i="4"/>
  <c r="I12" i="4" s="1"/>
  <c r="K38" i="4"/>
  <c r="J39" i="4"/>
  <c r="J42" i="4" s="1"/>
  <c r="K53" i="4"/>
  <c r="J54" i="4"/>
  <c r="J57" i="4" s="1"/>
  <c r="H57" i="4"/>
  <c r="H58" i="4" s="1"/>
  <c r="I58" i="4" s="1"/>
  <c r="H9" i="4"/>
  <c r="K55" i="4"/>
  <c r="L68" i="4"/>
  <c r="K40" i="4"/>
  <c r="I27" i="4"/>
  <c r="I28" i="4" s="1"/>
  <c r="K23" i="4"/>
  <c r="J24" i="4"/>
  <c r="J27" i="4" s="1"/>
  <c r="I43" i="4"/>
  <c r="R30" i="4" l="1"/>
  <c r="S30" i="4" s="1"/>
  <c r="T30" i="4" s="1"/>
  <c r="U30" i="4" s="1"/>
  <c r="V30" i="4" s="1"/>
  <c r="L25" i="5" s="1"/>
  <c r="K25" i="5"/>
  <c r="R15" i="4"/>
  <c r="S15" i="4" s="1"/>
  <c r="T15" i="4" s="1"/>
  <c r="U15" i="4" s="1"/>
  <c r="V15" i="4" s="1"/>
  <c r="L20" i="5" s="1"/>
  <c r="K20" i="5"/>
  <c r="J28" i="4"/>
  <c r="L38" i="4"/>
  <c r="L39" i="4" s="1"/>
  <c r="K39" i="4"/>
  <c r="K42" i="4" s="1"/>
  <c r="J9" i="4"/>
  <c r="J12" i="4" s="1"/>
  <c r="K8" i="4"/>
  <c r="L53" i="4"/>
  <c r="L54" i="4" s="1"/>
  <c r="K54" i="4"/>
  <c r="K57" i="4" s="1"/>
  <c r="J58" i="4"/>
  <c r="M68" i="4"/>
  <c r="L40" i="4"/>
  <c r="L55" i="4"/>
  <c r="J43" i="4"/>
  <c r="H12" i="4"/>
  <c r="H13" i="4" s="1"/>
  <c r="I13" i="4" s="1"/>
  <c r="L23" i="4"/>
  <c r="L24" i="4" s="1"/>
  <c r="K24" i="4"/>
  <c r="K25" i="4"/>
  <c r="L69" i="4"/>
  <c r="K10" i="4"/>
  <c r="L42" i="4" l="1"/>
  <c r="J13" i="4"/>
  <c r="K43" i="4"/>
  <c r="K9" i="4"/>
  <c r="K12" i="4" s="1"/>
  <c r="L8" i="4"/>
  <c r="L9" i="4" s="1"/>
  <c r="L25" i="4"/>
  <c r="L27" i="4" s="1"/>
  <c r="L10" i="4"/>
  <c r="M69" i="4"/>
  <c r="N68" i="4"/>
  <c r="M55" i="4"/>
  <c r="M57" i="4" s="1"/>
  <c r="M40" i="4"/>
  <c r="M42" i="4" s="1"/>
  <c r="L57" i="4"/>
  <c r="K58" i="4"/>
  <c r="K27" i="4"/>
  <c r="K28" i="4" s="1"/>
  <c r="L43" i="4" l="1"/>
  <c r="M43" i="4" s="1"/>
  <c r="K13" i="4"/>
  <c r="L28" i="4"/>
  <c r="J14" i="5" s="1"/>
  <c r="O68" i="4"/>
  <c r="N55" i="4"/>
  <c r="N57" i="4" s="1"/>
  <c r="N40" i="4"/>
  <c r="N42" i="4" s="1"/>
  <c r="L12" i="4"/>
  <c r="M25" i="4"/>
  <c r="M27" i="4" s="1"/>
  <c r="M10" i="4"/>
  <c r="M12" i="4" s="1"/>
  <c r="N69" i="4"/>
  <c r="L58" i="4"/>
  <c r="M58" i="4" s="1"/>
  <c r="L13" i="4" l="1"/>
  <c r="N43" i="4"/>
  <c r="P68" i="4"/>
  <c r="O55" i="4"/>
  <c r="O57" i="4" s="1"/>
  <c r="O40" i="4"/>
  <c r="O42" i="4" s="1"/>
  <c r="N58" i="4"/>
  <c r="M28" i="4"/>
  <c r="N25" i="4"/>
  <c r="N27" i="4" s="1"/>
  <c r="O69" i="4"/>
  <c r="N10" i="4"/>
  <c r="N12" i="4" s="1"/>
  <c r="M13" i="4" l="1"/>
  <c r="N13" i="4" s="1"/>
  <c r="J9" i="5"/>
  <c r="O43" i="4"/>
  <c r="N28" i="4"/>
  <c r="O58" i="4"/>
  <c r="Q68" i="4"/>
  <c r="P55" i="4"/>
  <c r="P57" i="4" s="1"/>
  <c r="P40" i="4"/>
  <c r="P42" i="4" s="1"/>
  <c r="O25" i="4"/>
  <c r="O27" i="4" s="1"/>
  <c r="P69" i="4"/>
  <c r="O10" i="4"/>
  <c r="O12" i="4" s="1"/>
  <c r="P43" i="4" l="1"/>
  <c r="O13" i="4"/>
  <c r="Q40" i="4"/>
  <c r="Q42" i="4" s="1"/>
  <c r="Q55" i="4"/>
  <c r="Q57" i="4" s="1"/>
  <c r="R68" i="4"/>
  <c r="O28" i="4"/>
  <c r="P58" i="4"/>
  <c r="P25" i="4"/>
  <c r="P27" i="4" s="1"/>
  <c r="Q69" i="4"/>
  <c r="P10" i="4"/>
  <c r="P12" i="4" s="1"/>
  <c r="Q43" i="4" l="1"/>
  <c r="P13" i="4"/>
  <c r="Q58" i="4"/>
  <c r="Q25" i="4"/>
  <c r="Q27" i="4" s="1"/>
  <c r="R69" i="4"/>
  <c r="Q10" i="4"/>
  <c r="Q12" i="4" s="1"/>
  <c r="P28" i="4"/>
  <c r="Q28" i="4" s="1"/>
  <c r="K14" i="5" s="1"/>
  <c r="S68" i="4"/>
  <c r="R40" i="4"/>
  <c r="R42" i="4" s="1"/>
  <c r="R43" i="4" s="1"/>
  <c r="R55" i="4"/>
  <c r="R57" i="4" s="1"/>
  <c r="Q13" i="4" l="1"/>
  <c r="K9" i="5" s="1"/>
  <c r="R58" i="4"/>
  <c r="T68" i="4"/>
  <c r="S55" i="4"/>
  <c r="S57" i="4" s="1"/>
  <c r="S40" i="4"/>
  <c r="S42" i="4" s="1"/>
  <c r="S43" i="4" s="1"/>
  <c r="R25" i="4"/>
  <c r="S69" i="4"/>
  <c r="R10" i="4"/>
  <c r="R12" i="4" s="1"/>
  <c r="S58" i="4" l="1"/>
  <c r="R13" i="4"/>
  <c r="S25" i="4"/>
  <c r="T69" i="4"/>
  <c r="S10" i="4"/>
  <c r="S12" i="4" s="1"/>
  <c r="T55" i="4"/>
  <c r="T57" i="4" s="1"/>
  <c r="T40" i="4"/>
  <c r="T42" i="4" s="1"/>
  <c r="T43" i="4" s="1"/>
  <c r="U68" i="4"/>
  <c r="R27" i="4"/>
  <c r="R28" i="4" s="1"/>
  <c r="T58" i="4" l="1"/>
  <c r="S13" i="4"/>
  <c r="U55" i="4"/>
  <c r="U57" i="4" s="1"/>
  <c r="U40" i="4"/>
  <c r="U42" i="4" s="1"/>
  <c r="U43" i="4" s="1"/>
  <c r="V68" i="4"/>
  <c r="T25" i="4"/>
  <c r="U69" i="4"/>
  <c r="T10" i="4"/>
  <c r="T12" i="4" s="1"/>
  <c r="S27" i="4"/>
  <c r="S28" i="4" s="1"/>
  <c r="U58" i="4" l="1"/>
  <c r="T13" i="4"/>
  <c r="U25" i="4"/>
  <c r="U10" i="4"/>
  <c r="U12" i="4" s="1"/>
  <c r="V69" i="4"/>
  <c r="T27" i="4"/>
  <c r="T28" i="4" s="1"/>
  <c r="V40" i="4"/>
  <c r="V42" i="4" s="1"/>
  <c r="V43" i="4" s="1"/>
  <c r="V55" i="4"/>
  <c r="V57" i="4" s="1"/>
  <c r="U13" i="4" l="1"/>
  <c r="V58" i="4"/>
  <c r="V10" i="4"/>
  <c r="V12" i="4" s="1"/>
  <c r="V25" i="4"/>
  <c r="U27" i="4"/>
  <c r="U28" i="4" s="1"/>
  <c r="V13" i="4" l="1"/>
  <c r="L9" i="5" s="1"/>
  <c r="V27" i="4"/>
  <c r="V28" i="4" s="1"/>
  <c r="L14" i="5" s="1"/>
</calcChain>
</file>

<file path=xl/sharedStrings.xml><?xml version="1.0" encoding="utf-8"?>
<sst xmlns="http://schemas.openxmlformats.org/spreadsheetml/2006/main" count="243" uniqueCount="157">
  <si>
    <t>Model</t>
  </si>
  <si>
    <t>Base Price</t>
  </si>
  <si>
    <t>MPGe Combined City &amp; Highway</t>
  </si>
  <si>
    <t>https://www.caranddriver.com/chevrolet/bolt-ev/specs/2020/chevrolet_bolt-ev_chevrolet-bolt-ev_2020/409187</t>
  </si>
  <si>
    <t>Chevrolet</t>
  </si>
  <si>
    <t>Bolt EV - 5 door Wagon LT Package</t>
  </si>
  <si>
    <t>Hyundai</t>
  </si>
  <si>
    <t>Kona Electric Limited FWD</t>
  </si>
  <si>
    <t>Year</t>
  </si>
  <si>
    <t>https://www.caranddriver.com/hyundai/kona-electric-2020</t>
  </si>
  <si>
    <t>Category</t>
  </si>
  <si>
    <t>Battery Electric</t>
  </si>
  <si>
    <t>Mazda</t>
  </si>
  <si>
    <t>Gasoline ICE</t>
  </si>
  <si>
    <t>MPG Combined City &amp; Highway</t>
  </si>
  <si>
    <t>Toyota</t>
  </si>
  <si>
    <t>https://www.caranddriver.com/mazda/mazda-3/specs/2020/mazda_mazda-3_mazda-3-hatchback_2020/409159</t>
  </si>
  <si>
    <t>https://www.caranddriver.com/toyota/rav4/specs/2020/toyota_rav4_toyota-rav4_2020/409295</t>
  </si>
  <si>
    <t>https://exchange.aaa.com/wp-content/uploads/2019/09/AAA-Your-Driving-Costs-2019.pdf</t>
  </si>
  <si>
    <t>Source</t>
  </si>
  <si>
    <t>Maintenance, Repairs, Tires</t>
  </si>
  <si>
    <t>Gas Small SUV</t>
  </si>
  <si>
    <t>Gas Medium Sedan</t>
  </si>
  <si>
    <t>Electric Vehicle</t>
  </si>
  <si>
    <t>$ per mile</t>
  </si>
  <si>
    <t>https://www.caranddriver.com/shopping-advice/a32494027/ev-vs-gas-cheaper-to-own/</t>
  </si>
  <si>
    <t>AAA &amp; Car and Driver</t>
  </si>
  <si>
    <t>Financing Rate</t>
  </si>
  <si>
    <t>Financing Term - Months</t>
  </si>
  <si>
    <t>Cash Down Payment - %</t>
  </si>
  <si>
    <t>Monthly Payment</t>
  </si>
  <si>
    <t>Annual Payment</t>
  </si>
  <si>
    <t>Num of Years</t>
  </si>
  <si>
    <t>Charging Equipment - one time cash payment</t>
  </si>
  <si>
    <t>Range - Miles</t>
  </si>
  <si>
    <t>Gasoline Price Initial $/gal</t>
  </si>
  <si>
    <t>Annual % change</t>
  </si>
  <si>
    <t>Btu</t>
  </si>
  <si>
    <t>Gallon Gasoline</t>
  </si>
  <si>
    <t>kWh</t>
  </si>
  <si>
    <t>Miles per kWh</t>
  </si>
  <si>
    <t>Electricty Price $/kWh Initial</t>
  </si>
  <si>
    <t>Annual % Change</t>
  </si>
  <si>
    <t>https://www.eia.gov/electricity/state/</t>
  </si>
  <si>
    <t>Retail Electricy Price cents/kWh</t>
  </si>
  <si>
    <t>Vehicle Life - years</t>
  </si>
  <si>
    <t>Miles per year</t>
  </si>
  <si>
    <t>Emissions</t>
  </si>
  <si>
    <t>https://gasprices.aaa.com/</t>
  </si>
  <si>
    <t>Retail Gasoline Prices $/gallon</t>
  </si>
  <si>
    <t>EPA Fuel Factors</t>
  </si>
  <si>
    <t>Gas</t>
  </si>
  <si>
    <t>100-Year GWP</t>
  </si>
  <si>
    <t>Petro Products</t>
  </si>
  <si>
    <t>CH4</t>
  </si>
  <si>
    <t>Motor Gasoline</t>
  </si>
  <si>
    <t>N2O</t>
  </si>
  <si>
    <t>mmbtu</t>
  </si>
  <si>
    <t>gallon</t>
  </si>
  <si>
    <t>kg CO2</t>
  </si>
  <si>
    <t>g CH4</t>
  </si>
  <si>
    <t>g N2O</t>
  </si>
  <si>
    <t>Emission Rates</t>
  </si>
  <si>
    <t>Gasoline</t>
  </si>
  <si>
    <t>kg CO2e/gallon</t>
  </si>
  <si>
    <t>kg CO2e/mmbtu</t>
  </si>
  <si>
    <t>Electricity Generation</t>
  </si>
  <si>
    <t>Census Division and State</t>
  </si>
  <si>
    <t>Generation (Thousand Megawatthours)</t>
  </si>
  <si>
    <t>Kilograms of CO2 per Megawatthour of Generation</t>
  </si>
  <si>
    <t>WA</t>
  </si>
  <si>
    <t>OR</t>
  </si>
  <si>
    <t>ID</t>
  </si>
  <si>
    <t>MT</t>
  </si>
  <si>
    <t>Sum</t>
  </si>
  <si>
    <t>% region</t>
  </si>
  <si>
    <t>Weighted</t>
  </si>
  <si>
    <t>https://www.eia.gov/electricity/data/emissions/</t>
  </si>
  <si>
    <t>kg CO2e/kWh</t>
  </si>
  <si>
    <t>tailpipe  (kg CO2e/gallon)</t>
  </si>
  <si>
    <t>power gen (kg CO2e/kWh)</t>
  </si>
  <si>
    <t>Annual Gasoline consumed (gallons)</t>
  </si>
  <si>
    <t>Annual - kg CO2e</t>
  </si>
  <si>
    <t>Chevy Bolt EV</t>
  </si>
  <si>
    <t>Fuel $</t>
  </si>
  <si>
    <t>Maintenance $</t>
  </si>
  <si>
    <t>Total $</t>
  </si>
  <si>
    <t>Cumulative $</t>
  </si>
  <si>
    <t>Vehicle Purchase Down Payment $</t>
  </si>
  <si>
    <t>Equipment Purchase $</t>
  </si>
  <si>
    <t>Loan Payments</t>
  </si>
  <si>
    <t>Total Vehicle Outlay $</t>
  </si>
  <si>
    <t>Gasoline Price $/gal</t>
  </si>
  <si>
    <t>Retail Electricity Price $/kWh</t>
  </si>
  <si>
    <t>Annual Electricity kWh consumed</t>
  </si>
  <si>
    <t>Average Maintenance Cost per Year</t>
  </si>
  <si>
    <t>Emissions - kg CO2e</t>
  </si>
  <si>
    <t>Hyundai Kona Electric</t>
  </si>
  <si>
    <t>Mazda 3</t>
  </si>
  <si>
    <t>Toyota Rav4</t>
  </si>
  <si>
    <t>up to 7500 tax credit</t>
  </si>
  <si>
    <t>https://www.bankrate.com/loans/auto-loans/rates/</t>
  </si>
  <si>
    <t>Vehicle Purchase Initial Cash Outlay (down payment - tax credit)</t>
  </si>
  <si>
    <t>Down Payment + Tax Credit Incentive</t>
  </si>
  <si>
    <t>Mazdal 3 Premium Package Hatchback FWD</t>
  </si>
  <si>
    <t>Rav4 XLE FWD Premium</t>
  </si>
  <si>
    <t>Cumulative Emissions - kg CO2e</t>
  </si>
  <si>
    <t>Cash Down $</t>
  </si>
  <si>
    <t>from Avista Pilot Study</t>
  </si>
  <si>
    <t>loan</t>
  </si>
  <si>
    <t>Federal Incentive $</t>
  </si>
  <si>
    <t>denotes input variables</t>
  </si>
  <si>
    <t>Car Specs</t>
  </si>
  <si>
    <t>Hatchbacks</t>
  </si>
  <si>
    <t>Year 5</t>
  </si>
  <si>
    <t>Year 10</t>
  </si>
  <si>
    <t>Year 15</t>
  </si>
  <si>
    <t>SUV (FWD)</t>
  </si>
  <si>
    <t>Chevy Bolt Electric</t>
  </si>
  <si>
    <t>Toyota Rav4 Gasoline</t>
  </si>
  <si>
    <t>Mazda 3 Gasoline</t>
  </si>
  <si>
    <t>Cumulative Cost $</t>
  </si>
  <si>
    <t>Cumulative GHG Emissions - kg CO2e (tailpipe &amp; power gen)</t>
  </si>
  <si>
    <t>GHG Emissions per Year - kg CO2e (tailpipe &amp; power gen)</t>
  </si>
  <si>
    <t>Base Price $</t>
  </si>
  <si>
    <t>Federal Tax Credit</t>
  </si>
  <si>
    <t>Mazda 3 Premium Package Hatchback FWD</t>
  </si>
  <si>
    <t>Annual Maintenace and Fuel Cost</t>
  </si>
  <si>
    <t>EIA 2019 estimate for the Norhwest-
see derivation to right</t>
  </si>
  <si>
    <t xml:space="preserve">kg CO2e/kWh </t>
  </si>
  <si>
    <t>Chevrolet Bolt EV</t>
  </si>
  <si>
    <t>Hyundai Kona EV</t>
  </si>
  <si>
    <t>AverageEmissionsRate_202011.xlsx</t>
  </si>
  <si>
    <t>Baseline Conditions/System Analysis/Draft Aurora Baseline Results</t>
  </si>
  <si>
    <t>Northwest Power &amp; Conservation Council Forecast of Ave Emission Rate for the Northwest
source below - sum of GHG converted to kg</t>
  </si>
  <si>
    <t>Mirai</t>
  </si>
  <si>
    <t>Hydrogen Fuel Cell Vehicle</t>
  </si>
  <si>
    <t>Bolt</t>
  </si>
  <si>
    <t>Battery Electric Vehicle</t>
  </si>
  <si>
    <t>Range (miles)</t>
  </si>
  <si>
    <t>Miles Per Gallon Equivalents</t>
  </si>
  <si>
    <t>Miles/kWh</t>
  </si>
  <si>
    <r>
      <t>Miles/kg H</t>
    </r>
    <r>
      <rPr>
        <vertAlign val="subscript"/>
        <sz val="10"/>
        <color theme="1"/>
        <rFont val="Arial"/>
        <family val="2"/>
      </rPr>
      <t>2</t>
    </r>
  </si>
  <si>
    <t>mmbtu per kg of H2</t>
  </si>
  <si>
    <t>kg of H2 per mmbtu of demand</t>
  </si>
  <si>
    <t>Alternate Fuels Data Center</t>
  </si>
  <si>
    <t>gallon gasoline per mmbtu</t>
  </si>
  <si>
    <t>gallon gasoline per kg H2</t>
  </si>
  <si>
    <t>kWh per kg H2</t>
  </si>
  <si>
    <t>Mileage in H2</t>
  </si>
  <si>
    <t>Mileage in kWh</t>
  </si>
  <si>
    <t>from Hydrogen Fuel Cell Workbook</t>
  </si>
  <si>
    <t>https://afdc.energy.gov</t>
  </si>
  <si>
    <t xml:space="preserve">Conversions </t>
  </si>
  <si>
    <t>H2 Fuel Cell: indirect electricity demand includes eletrolysis and delivery prep</t>
  </si>
  <si>
    <t>for BEV - direct electricity</t>
  </si>
  <si>
    <t>specs from car and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</si>
</sst>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0.000"/>
    <numFmt numFmtId="165" formatCode="###0"/>
    <numFmt numFmtId="166" formatCode="#,##0.000"/>
    <numFmt numFmtId="167" formatCode="0.000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Trebuchet MS"/>
      <family val="2"/>
      <scheme val="minor"/>
    </font>
    <font>
      <b/>
      <sz val="12"/>
      <color indexed="3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color theme="9" tint="-0.499984740745262"/>
      <name val="Arial"/>
      <family val="2"/>
    </font>
    <font>
      <vertAlign val="subscript"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FEA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" fillId="0" borderId="0"/>
  </cellStyleXfs>
  <cellXfs count="166">
    <xf numFmtId="0" fontId="0" fillId="0" borderId="0" xfId="0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wrapText="1" shrinkToFi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0" fillId="2" borderId="5" xfId="0" applyFill="1" applyBorder="1"/>
    <xf numFmtId="164" fontId="0" fillId="0" borderId="0" xfId="0" applyNumberFormat="1" applyAlignment="1">
      <alignment horizontal="center" vertical="center"/>
    </xf>
    <xf numFmtId="8" fontId="0" fillId="0" borderId="0" xfId="0" applyNumberFormat="1" applyBorder="1" applyAlignment="1">
      <alignment horizontal="center" vertical="center"/>
    </xf>
    <xf numFmtId="3" fontId="0" fillId="0" borderId="3" xfId="0" applyNumberFormat="1" applyBorder="1"/>
    <xf numFmtId="2" fontId="0" fillId="0" borderId="8" xfId="0" applyNumberFormat="1" applyBorder="1"/>
    <xf numFmtId="0" fontId="2" fillId="0" borderId="1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0" xfId="0" applyFont="1"/>
    <xf numFmtId="0" fontId="2" fillId="0" borderId="5" xfId="0" applyFont="1" applyBorder="1"/>
    <xf numFmtId="0" fontId="5" fillId="4" borderId="9" xfId="0" applyFont="1" applyFill="1" applyBorder="1" applyAlignment="1">
      <alignment horizontal="center" wrapText="1"/>
    </xf>
    <xf numFmtId="3" fontId="5" fillId="4" borderId="9" xfId="0" applyNumberFormat="1" applyFont="1" applyFill="1" applyBorder="1" applyAlignment="1">
      <alignment horizontal="center" wrapText="1"/>
    </xf>
    <xf numFmtId="3" fontId="6" fillId="0" borderId="0" xfId="0" applyNumberFormat="1" applyFont="1" applyBorder="1" applyAlignment="1">
      <alignment horizontal="right" wrapText="1"/>
    </xf>
    <xf numFmtId="0" fontId="4" fillId="3" borderId="0" xfId="0" applyFont="1" applyFill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165" fontId="5" fillId="4" borderId="10" xfId="0" applyNumberFormat="1" applyFont="1" applyFill="1" applyBorder="1" applyAlignment="1">
      <alignment horizontal="center" wrapText="1"/>
    </xf>
    <xf numFmtId="3" fontId="0" fillId="0" borderId="0" xfId="0" applyNumberFormat="1" applyBorder="1"/>
    <xf numFmtId="164" fontId="0" fillId="0" borderId="7" xfId="0" applyNumberFormat="1" applyBorder="1"/>
    <xf numFmtId="2" fontId="0" fillId="0" borderId="5" xfId="0" applyNumberFormat="1" applyBorder="1"/>
    <xf numFmtId="164" fontId="0" fillId="0" borderId="5" xfId="0" applyNumberFormat="1" applyBorder="1"/>
    <xf numFmtId="166" fontId="0" fillId="0" borderId="8" xfId="0" applyNumberFormat="1" applyBorder="1"/>
    <xf numFmtId="3" fontId="0" fillId="0" borderId="0" xfId="0" applyNumberFormat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0" xfId="0" applyFon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9" borderId="11" xfId="0" applyNumberFormat="1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164" fontId="0" fillId="9" borderId="13" xfId="0" applyNumberForma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2" fontId="0" fillId="9" borderId="12" xfId="0" applyNumberForma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3" fontId="0" fillId="9" borderId="14" xfId="0" applyNumberFormat="1" applyFill="1" applyBorder="1" applyAlignment="1">
      <alignment horizontal="center"/>
    </xf>
    <xf numFmtId="164" fontId="0" fillId="9" borderId="12" xfId="0" applyNumberFormat="1" applyFill="1" applyBorder="1" applyAlignment="1">
      <alignment horizontal="center"/>
    </xf>
    <xf numFmtId="166" fontId="0" fillId="9" borderId="14" xfId="0" applyNumberFormat="1" applyFill="1" applyBorder="1" applyAlignment="1">
      <alignment horizontal="center"/>
    </xf>
    <xf numFmtId="0" fontId="0" fillId="9" borderId="11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5" xfId="1" applyBorder="1" applyAlignment="1">
      <alignment wrapText="1"/>
    </xf>
    <xf numFmtId="0" fontId="7" fillId="0" borderId="8" xfId="1" applyBorder="1" applyAlignment="1">
      <alignment wrapText="1"/>
    </xf>
    <xf numFmtId="0" fontId="1" fillId="0" borderId="15" xfId="0" applyFont="1" applyFill="1" applyBorder="1"/>
    <xf numFmtId="0" fontId="0" fillId="0" borderId="17" xfId="0" applyBorder="1"/>
    <xf numFmtId="0" fontId="0" fillId="10" borderId="15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 wrapText="1"/>
    </xf>
    <xf numFmtId="0" fontId="1" fillId="11" borderId="0" xfId="0" applyFont="1" applyFill="1"/>
    <xf numFmtId="0" fontId="1" fillId="0" borderId="18" xfId="0" applyFont="1" applyBorder="1"/>
    <xf numFmtId="0" fontId="1" fillId="0" borderId="0" xfId="0" applyFont="1" applyBorder="1"/>
    <xf numFmtId="0" fontId="1" fillId="12" borderId="0" xfId="0" applyFont="1" applyFill="1"/>
    <xf numFmtId="0" fontId="1" fillId="0" borderId="0" xfId="0" applyFont="1" applyAlignment="1">
      <alignment wrapText="1"/>
    </xf>
    <xf numFmtId="0" fontId="1" fillId="0" borderId="18" xfId="0" applyFont="1" applyBorder="1" applyAlignment="1">
      <alignment wrapText="1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7" borderId="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0" borderId="15" xfId="0" applyBorder="1"/>
    <xf numFmtId="0" fontId="0" fillId="5" borderId="16" xfId="0" applyFill="1" applyBorder="1" applyAlignment="1">
      <alignment horizontal="center" vertical="center"/>
    </xf>
    <xf numFmtId="0" fontId="0" fillId="0" borderId="16" xfId="0" applyBorder="1"/>
    <xf numFmtId="0" fontId="0" fillId="8" borderId="17" xfId="0" applyFill="1" applyBorder="1" applyAlignment="1">
      <alignment horizontal="center" vertical="center"/>
    </xf>
    <xf numFmtId="3" fontId="0" fillId="5" borderId="16" xfId="0" applyNumberFormat="1" applyFill="1" applyBorder="1" applyAlignment="1">
      <alignment horizontal="center" vertical="center"/>
    </xf>
    <xf numFmtId="3" fontId="0" fillId="6" borderId="16" xfId="0" applyNumberFormat="1" applyFill="1" applyBorder="1" applyAlignment="1">
      <alignment horizontal="center" vertical="center"/>
    </xf>
    <xf numFmtId="3" fontId="0" fillId="0" borderId="16" xfId="0" applyNumberFormat="1" applyBorder="1"/>
    <xf numFmtId="3" fontId="0" fillId="7" borderId="16" xfId="0" applyNumberFormat="1" applyFill="1" applyBorder="1" applyAlignment="1">
      <alignment horizontal="center" vertical="center"/>
    </xf>
    <xf numFmtId="3" fontId="0" fillId="8" borderId="17" xfId="0" applyNumberFormat="1" applyFill="1" applyBorder="1" applyAlignment="1">
      <alignment horizontal="center" vertical="center"/>
    </xf>
    <xf numFmtId="3" fontId="0" fillId="6" borderId="17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8" borderId="0" xfId="0" applyFont="1" applyFill="1" applyAlignment="1">
      <alignment wrapText="1"/>
    </xf>
    <xf numFmtId="2" fontId="0" fillId="0" borderId="7" xfId="0" applyNumberFormat="1" applyBorder="1"/>
    <xf numFmtId="0" fontId="0" fillId="0" borderId="12" xfId="0" applyBorder="1"/>
    <xf numFmtId="0" fontId="0" fillId="0" borderId="14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9" fillId="13" borderId="0" xfId="0" applyFont="1" applyFill="1" applyAlignment="1">
      <alignment wrapText="1"/>
    </xf>
    <xf numFmtId="167" fontId="0" fillId="0" borderId="7" xfId="0" applyNumberFormat="1" applyBorder="1"/>
    <xf numFmtId="0" fontId="0" fillId="0" borderId="0" xfId="0" applyAlignment="1">
      <alignment wrapText="1"/>
    </xf>
    <xf numFmtId="164" fontId="0" fillId="0" borderId="1" xfId="0" applyNumberFormat="1" applyBorder="1"/>
    <xf numFmtId="164" fontId="0" fillId="0" borderId="6" xfId="0" applyNumberFormat="1" applyBorder="1"/>
    <xf numFmtId="0" fontId="2" fillId="13" borderId="2" xfId="2" applyFill="1" applyBorder="1"/>
    <xf numFmtId="164" fontId="0" fillId="0" borderId="15" xfId="0" applyNumberFormat="1" applyBorder="1"/>
    <xf numFmtId="0" fontId="0" fillId="0" borderId="17" xfId="0" applyFill="1" applyBorder="1"/>
    <xf numFmtId="0" fontId="0" fillId="14" borderId="0" xfId="0" applyFill="1"/>
    <xf numFmtId="0" fontId="7" fillId="13" borderId="2" xfId="1" applyFill="1" applyBorder="1" applyAlignment="1">
      <alignment wrapText="1"/>
    </xf>
    <xf numFmtId="0" fontId="7" fillId="14" borderId="0" xfId="1" applyFill="1"/>
    <xf numFmtId="0" fontId="0" fillId="0" borderId="4" xfId="0" applyBorder="1" applyAlignment="1">
      <alignment wrapText="1"/>
    </xf>
    <xf numFmtId="2" fontId="0" fillId="0" borderId="0" xfId="0" applyNumberFormat="1" applyBorder="1"/>
  </cellXfs>
  <cellStyles count="3">
    <cellStyle name="Hyperlink" xfId="1" builtinId="8"/>
    <cellStyle name="Normal" xfId="0" builtinId="0"/>
    <cellStyle name="Normal 2 2" xfId="2" xr:uid="{BA80BCA5-68AA-4F43-9A68-EC4EF3B5F3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SummaryResults!$I$9</c:f>
              <c:strCache>
                <c:ptCount val="1"/>
                <c:pt idx="0">
                  <c:v>Chevy Bolt Electric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SummaryResults!$J$6:$L$6</c:f>
              <c:strCache>
                <c:ptCount val="3"/>
                <c:pt idx="0">
                  <c:v>Year 5</c:v>
                </c:pt>
                <c:pt idx="1">
                  <c:v>Year 10</c:v>
                </c:pt>
                <c:pt idx="2">
                  <c:v>Year 15</c:v>
                </c:pt>
              </c:strCache>
            </c:strRef>
          </c:cat>
          <c:val>
            <c:numRef>
              <c:f>SummaryResults!$J$9:$L$9</c:f>
              <c:numCache>
                <c:formatCode>#,##0</c:formatCode>
                <c:ptCount val="3"/>
                <c:pt idx="0">
                  <c:v>44493.589776529661</c:v>
                </c:pt>
                <c:pt idx="1">
                  <c:v>50114.772887860738</c:v>
                </c:pt>
                <c:pt idx="2">
                  <c:v>55908.85327168143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E-4CA6-B824-2803751E01B2}"/>
            </c:ext>
          </c:extLst>
        </c:ser>
        <c:ser>
          <c:idx val="1"/>
          <c:order val="1"/>
          <c:tx>
            <c:strRef>
              <c:f>SummaryResults!$I$10</c:f>
              <c:strCache>
                <c:ptCount val="1"/>
                <c:pt idx="0">
                  <c:v>Mazda 3 Gasoline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SummaryResults!$J$6:$L$6</c:f>
              <c:strCache>
                <c:ptCount val="3"/>
                <c:pt idx="0">
                  <c:v>Year 5</c:v>
                </c:pt>
                <c:pt idx="1">
                  <c:v>Year 10</c:v>
                </c:pt>
                <c:pt idx="2">
                  <c:v>Year 15</c:v>
                </c:pt>
              </c:strCache>
            </c:strRef>
          </c:cat>
          <c:val>
            <c:numRef>
              <c:f>SummaryResults!$J$10:$L$10</c:f>
              <c:numCache>
                <c:formatCode>#,##0</c:formatCode>
                <c:ptCount val="3"/>
                <c:pt idx="0">
                  <c:v>41981.677189082031</c:v>
                </c:pt>
                <c:pt idx="1">
                  <c:v>53492.569158409045</c:v>
                </c:pt>
                <c:pt idx="2">
                  <c:v>65724.842855597744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E-4CA6-B824-2803751E0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460656"/>
        <c:axId val="462620064"/>
      </c:barChart>
      <c:catAx>
        <c:axId val="56946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620064"/>
        <c:crosses val="autoZero"/>
        <c:auto val="1"/>
        <c:lblAlgn val="ctr"/>
        <c:lblOffset val="100"/>
        <c:noMultiLvlLbl val="0"/>
      </c:catAx>
      <c:valAx>
        <c:axId val="462620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460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SummaryResults!$I$14</c:f>
              <c:strCache>
                <c:ptCount val="1"/>
                <c:pt idx="0">
                  <c:v>Hyundai Kona Electric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SummaryResults!$J$6:$L$6</c:f>
              <c:strCache>
                <c:ptCount val="3"/>
                <c:pt idx="0">
                  <c:v>Year 5</c:v>
                </c:pt>
                <c:pt idx="1">
                  <c:v>Year 10</c:v>
                </c:pt>
                <c:pt idx="2">
                  <c:v>Year 15</c:v>
                </c:pt>
              </c:strCache>
            </c:strRef>
          </c:cat>
          <c:val>
            <c:numRef>
              <c:f>SummaryResults!$J$14:$L$14</c:f>
              <c:numCache>
                <c:formatCode>#,##0</c:formatCode>
                <c:ptCount val="3"/>
                <c:pt idx="0">
                  <c:v>50424.541034999456</c:v>
                </c:pt>
                <c:pt idx="1">
                  <c:v>56018.037761141677</c:v>
                </c:pt>
                <c:pt idx="2">
                  <c:v>61781.550138565355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8-4BC3-A675-BDB5BE4B33A9}"/>
            </c:ext>
          </c:extLst>
        </c:ser>
        <c:ser>
          <c:idx val="1"/>
          <c:order val="1"/>
          <c:tx>
            <c:strRef>
              <c:f>SummaryResults!$I$15</c:f>
              <c:strCache>
                <c:ptCount val="1"/>
                <c:pt idx="0">
                  <c:v>Toyota Rav4 Gasoline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SummaryResults!$J$6:$L$6</c:f>
              <c:strCache>
                <c:ptCount val="3"/>
                <c:pt idx="0">
                  <c:v>Year 5</c:v>
                </c:pt>
                <c:pt idx="1">
                  <c:v>Year 10</c:v>
                </c:pt>
                <c:pt idx="2">
                  <c:v>Year 15</c:v>
                </c:pt>
              </c:strCache>
            </c:strRef>
          </c:cat>
          <c:val>
            <c:numRef>
              <c:f>SummaryResults!$J$15:$L$15</c:f>
              <c:numCache>
                <c:formatCode>#,##0</c:formatCode>
                <c:ptCount val="3"/>
                <c:pt idx="0">
                  <c:v>44853.202286799031</c:v>
                </c:pt>
                <c:pt idx="1">
                  <c:v>56304.094256126053</c:v>
                </c:pt>
                <c:pt idx="2">
                  <c:v>68476.367953314752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8-4BC3-A675-BDB5BE4B3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460656"/>
        <c:axId val="462620064"/>
      </c:barChart>
      <c:catAx>
        <c:axId val="56946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620064"/>
        <c:crosses val="autoZero"/>
        <c:auto val="1"/>
        <c:lblAlgn val="ctr"/>
        <c:lblOffset val="100"/>
        <c:noMultiLvlLbl val="0"/>
      </c:catAx>
      <c:valAx>
        <c:axId val="462620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Cost 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460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SummaryResults!$I$20</c:f>
              <c:strCache>
                <c:ptCount val="1"/>
                <c:pt idx="0">
                  <c:v>Chevy Bolt Electric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SummaryResults!$J$6:$L$6</c:f>
              <c:strCache>
                <c:ptCount val="3"/>
                <c:pt idx="0">
                  <c:v>Year 5</c:v>
                </c:pt>
                <c:pt idx="1">
                  <c:v>Year 10</c:v>
                </c:pt>
                <c:pt idx="2">
                  <c:v>Year 15</c:v>
                </c:pt>
              </c:strCache>
            </c:strRef>
          </c:cat>
          <c:val>
            <c:numRef>
              <c:f>SummaryResults!$J$20:$L$20</c:f>
              <c:numCache>
                <c:formatCode>#,##0</c:formatCode>
                <c:ptCount val="3"/>
                <c:pt idx="0">
                  <c:v>1873.4159898388102</c:v>
                </c:pt>
                <c:pt idx="1">
                  <c:v>3398.6219906516517</c:v>
                </c:pt>
                <c:pt idx="2">
                  <c:v>4887.8085388899835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9-451B-91AB-08B1FCE90554}"/>
            </c:ext>
          </c:extLst>
        </c:ser>
        <c:ser>
          <c:idx val="1"/>
          <c:order val="1"/>
          <c:tx>
            <c:strRef>
              <c:f>SummaryResults!$I$21</c:f>
              <c:strCache>
                <c:ptCount val="1"/>
                <c:pt idx="0">
                  <c:v>Mazda 3 Gasoline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SummaryResults!$J$6:$L$6</c:f>
              <c:strCache>
                <c:ptCount val="3"/>
                <c:pt idx="0">
                  <c:v>Year 5</c:v>
                </c:pt>
                <c:pt idx="1">
                  <c:v>Year 10</c:v>
                </c:pt>
                <c:pt idx="2">
                  <c:v>Year 15</c:v>
                </c:pt>
              </c:strCache>
            </c:strRef>
          </c:cat>
          <c:val>
            <c:numRef>
              <c:f>SummaryResults!$J$21:$L$21</c:f>
              <c:numCache>
                <c:formatCode>#,##0</c:formatCode>
                <c:ptCount val="3"/>
                <c:pt idx="0">
                  <c:v>17625.2</c:v>
                </c:pt>
                <c:pt idx="1">
                  <c:v>35250.400000000001</c:v>
                </c:pt>
                <c:pt idx="2">
                  <c:v>52875.600000000006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9-451B-91AB-08B1FCE90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460656"/>
        <c:axId val="462620064"/>
      </c:barChart>
      <c:catAx>
        <c:axId val="56946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620064"/>
        <c:crosses val="autoZero"/>
        <c:auto val="1"/>
        <c:lblAlgn val="ctr"/>
        <c:lblOffset val="100"/>
        <c:noMultiLvlLbl val="0"/>
      </c:catAx>
      <c:valAx>
        <c:axId val="462620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 kg 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460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SummaryResults!$I$25</c:f>
              <c:strCache>
                <c:ptCount val="1"/>
                <c:pt idx="0">
                  <c:v>Hyundai Kona Electric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SummaryResults!$J$6:$L$6</c:f>
              <c:strCache>
                <c:ptCount val="3"/>
                <c:pt idx="0">
                  <c:v>Year 5</c:v>
                </c:pt>
                <c:pt idx="1">
                  <c:v>Year 10</c:v>
                </c:pt>
                <c:pt idx="2">
                  <c:v>Year 15</c:v>
                </c:pt>
              </c:strCache>
            </c:strRef>
          </c:cat>
          <c:val>
            <c:numRef>
              <c:f>SummaryResults!$J$25:$L$25</c:f>
              <c:numCache>
                <c:formatCode>#,##0</c:formatCode>
                <c:ptCount val="3"/>
                <c:pt idx="0">
                  <c:v>1842.1923900081638</c:v>
                </c:pt>
                <c:pt idx="1">
                  <c:v>3341.9782908074576</c:v>
                </c:pt>
                <c:pt idx="2">
                  <c:v>4806.345063241818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3-4E44-8B65-502C187F94CD}"/>
            </c:ext>
          </c:extLst>
        </c:ser>
        <c:ser>
          <c:idx val="1"/>
          <c:order val="1"/>
          <c:tx>
            <c:strRef>
              <c:f>SummaryResults!$I$26</c:f>
              <c:strCache>
                <c:ptCount val="1"/>
                <c:pt idx="0">
                  <c:v>Toyota Rav4 Gasoline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SummaryResults!$J$6:$L$6</c:f>
              <c:strCache>
                <c:ptCount val="3"/>
                <c:pt idx="0">
                  <c:v>Year 5</c:v>
                </c:pt>
                <c:pt idx="1">
                  <c:v>Year 10</c:v>
                </c:pt>
                <c:pt idx="2">
                  <c:v>Year 15</c:v>
                </c:pt>
              </c:strCache>
            </c:strRef>
          </c:cat>
          <c:val>
            <c:numRef>
              <c:f>SummaryResults!$J$26:$L$26</c:f>
              <c:numCache>
                <c:formatCode>#,##0</c:formatCode>
                <c:ptCount val="3"/>
                <c:pt idx="0">
                  <c:v>17625.2</c:v>
                </c:pt>
                <c:pt idx="1">
                  <c:v>35250.400000000001</c:v>
                </c:pt>
                <c:pt idx="2">
                  <c:v>52875.600000000006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3-4E44-8B65-502C187F9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460656"/>
        <c:axId val="462620064"/>
      </c:barChart>
      <c:catAx>
        <c:axId val="56946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620064"/>
        <c:crosses val="autoZero"/>
        <c:auto val="1"/>
        <c:lblAlgn val="ctr"/>
        <c:lblOffset val="100"/>
        <c:noMultiLvlLbl val="0"/>
      </c:catAx>
      <c:valAx>
        <c:axId val="462620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 kg 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460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ResultsByYear!$F$5</c:f>
              <c:strCache>
                <c:ptCount val="1"/>
                <c:pt idx="0">
                  <c:v>Chevy Bolt EV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ResultsByYear!$H$3:$V$3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ResultsByYear!$H$13:$V$13</c:f>
              <c:numCache>
                <c:formatCode>#,##0</c:formatCode>
                <c:ptCount val="15"/>
                <c:pt idx="0">
                  <c:v>11798.319594858163</c:v>
                </c:pt>
                <c:pt idx="1">
                  <c:v>19963.17156140618</c:v>
                </c:pt>
                <c:pt idx="2">
                  <c:v>28133.921547077844</c:v>
                </c:pt>
                <c:pt idx="3">
                  <c:v>36310.68751225563</c:v>
                </c:pt>
                <c:pt idx="4">
                  <c:v>44493.589776529661</c:v>
                </c:pt>
                <c:pt idx="5">
                  <c:v>45604.800055516265</c:v>
                </c:pt>
                <c:pt idx="6">
                  <c:v>46722.394540082598</c:v>
                </c:pt>
                <c:pt idx="7">
                  <c:v>47846.500914340257</c:v>
                </c:pt>
                <c:pt idx="8">
                  <c:v>48977.249416083068</c:v>
                </c:pt>
                <c:pt idx="9">
                  <c:v>50114.772887860738</c:v>
                </c:pt>
                <c:pt idx="10">
                  <c:v>51259.206829073963</c:v>
                </c:pt>
                <c:pt idx="11">
                  <c:v>52410.689449111451</c:v>
                </c:pt>
                <c:pt idx="12">
                  <c:v>53569.361721549685</c:v>
                </c:pt>
                <c:pt idx="13">
                  <c:v>54735.36743943669</c:v>
                </c:pt>
                <c:pt idx="14">
                  <c:v>55908.85327168143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E-4851-91CC-5E8AD47D36BC}"/>
            </c:ext>
          </c:extLst>
        </c:ser>
        <c:ser>
          <c:idx val="1"/>
          <c:order val="1"/>
          <c:tx>
            <c:strRef>
              <c:f>ResultsByYear!$F$20</c:f>
              <c:strCache>
                <c:ptCount val="1"/>
                <c:pt idx="0">
                  <c:v>Hyundai Kona Electric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ResultsByYear!$H$28:$V$28</c:f>
              <c:numCache>
                <c:formatCode>#,##0</c:formatCode>
                <c:ptCount val="15"/>
                <c:pt idx="0">
                  <c:v>13638.10648589292</c:v>
                </c:pt>
                <c:pt idx="1">
                  <c:v>22825.898970614195</c:v>
                </c:pt>
                <c:pt idx="2">
                  <c:v>32019.491174140392</c:v>
                </c:pt>
                <c:pt idx="3">
                  <c:v>41218.999090847603</c:v>
                </c:pt>
                <c:pt idx="4">
                  <c:v>50424.541034999456</c:v>
                </c:pt>
                <c:pt idx="5">
                  <c:v>51530.431142669615</c:v>
                </c:pt>
                <c:pt idx="6">
                  <c:v>52642.599052493177</c:v>
                </c:pt>
                <c:pt idx="7">
                  <c:v>53761.170320513207</c:v>
                </c:pt>
                <c:pt idx="8">
                  <c:v>54886.273013893639</c:v>
                </c:pt>
                <c:pt idx="9">
                  <c:v>56018.037761141677</c:v>
                </c:pt>
                <c:pt idx="10">
                  <c:v>57156.597803334676</c:v>
                </c:pt>
                <c:pt idx="11">
                  <c:v>58302.08904637154</c:v>
                </c:pt>
                <c:pt idx="12">
                  <c:v>59454.650114269141</c:v>
                </c:pt>
                <c:pt idx="13">
                  <c:v>60614.422403524695</c:v>
                </c:pt>
                <c:pt idx="14">
                  <c:v>61781.550138565355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E-4851-91CC-5E8AD47D36BC}"/>
            </c:ext>
          </c:extLst>
        </c:ser>
        <c:ser>
          <c:idx val="2"/>
          <c:order val="2"/>
          <c:tx>
            <c:strRef>
              <c:f>ResultsByYear!$F$35</c:f>
              <c:strCache>
                <c:ptCount val="1"/>
                <c:pt idx="0">
                  <c:v>Mazda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ResultsByYear!$H$43:$V$43</c:f>
              <c:numCache>
                <c:formatCode>#,##0</c:formatCode>
                <c:ptCount val="15"/>
                <c:pt idx="0">
                  <c:v>11761.661050091552</c:v>
                </c:pt>
                <c:pt idx="1">
                  <c:v>19280.062766849769</c:v>
                </c:pt>
                <c:pt idx="2">
                  <c:v>26822.495435607987</c:v>
                </c:pt>
                <c:pt idx="3">
                  <c:v>34389.511768262208</c:v>
                </c:pt>
                <c:pt idx="4">
                  <c:v>41981.677189082031</c:v>
                </c:pt>
                <c:pt idx="5">
                  <c:v>44229.992410337058</c:v>
                </c:pt>
                <c:pt idx="6">
                  <c:v>46504.626881680946</c:v>
                </c:pt>
                <c:pt idx="7">
                  <c:v>48806.185945865742</c:v>
                </c:pt>
                <c:pt idx="8">
                  <c:v>51135.28886852679</c:v>
                </c:pt>
                <c:pt idx="9">
                  <c:v>53492.569158409045</c:v>
                </c:pt>
                <c:pt idx="10">
                  <c:v>55878.674894958589</c:v>
                </c:pt>
                <c:pt idx="11">
                  <c:v>58294.269063448774</c:v>
                </c:pt>
                <c:pt idx="12">
                  <c:v>60740.029897814231</c:v>
                </c:pt>
                <c:pt idx="13">
                  <c:v>63216.651231370095</c:v>
                </c:pt>
                <c:pt idx="14">
                  <c:v>65724.842855597744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BE-4851-91CC-5E8AD47D36BC}"/>
            </c:ext>
          </c:extLst>
        </c:ser>
        <c:ser>
          <c:idx val="3"/>
          <c:order val="3"/>
          <c:tx>
            <c:strRef>
              <c:f>ResultsByYear!$F$50</c:f>
              <c:strCache>
                <c:ptCount val="1"/>
                <c:pt idx="0">
                  <c:v>Toyota Rav4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ResultsByYear!$H$58:$V$58</c:f>
              <c:numCache>
                <c:formatCode>#,##0</c:formatCode>
                <c:ptCount val="15"/>
                <c:pt idx="0">
                  <c:v>12657.566069634951</c:v>
                </c:pt>
                <c:pt idx="1">
                  <c:v>20669.872805936568</c:v>
                </c:pt>
                <c:pt idx="2">
                  <c:v>28706.210494238185</c:v>
                </c:pt>
                <c:pt idx="3">
                  <c:v>36767.131846435805</c:v>
                </c:pt>
                <c:pt idx="4">
                  <c:v>44853.202286799031</c:v>
                </c:pt>
                <c:pt idx="5">
                  <c:v>47089.517508054058</c:v>
                </c:pt>
                <c:pt idx="6">
                  <c:v>49352.151979397946</c:v>
                </c:pt>
                <c:pt idx="7">
                  <c:v>51641.711043582749</c:v>
                </c:pt>
                <c:pt idx="8">
                  <c:v>53958.813966243797</c:v>
                </c:pt>
                <c:pt idx="9">
                  <c:v>56304.094256126053</c:v>
                </c:pt>
                <c:pt idx="10">
                  <c:v>58678.199992675596</c:v>
                </c:pt>
                <c:pt idx="11">
                  <c:v>61081.794161165781</c:v>
                </c:pt>
                <c:pt idx="12">
                  <c:v>63515.554995531238</c:v>
                </c:pt>
                <c:pt idx="13">
                  <c:v>65980.176329087102</c:v>
                </c:pt>
                <c:pt idx="14">
                  <c:v>68476.367953314752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E-4851-91CC-5E8AD47D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964031"/>
        <c:axId val="262783151"/>
      </c:lineChart>
      <c:catAx>
        <c:axId val="27096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783151"/>
        <c:crosses val="autoZero"/>
        <c:auto val="1"/>
        <c:lblAlgn val="ctr"/>
        <c:lblOffset val="100"/>
        <c:noMultiLvlLbl val="0"/>
      </c:catAx>
      <c:valAx>
        <c:axId val="26278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96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327660</xdr:colOff>
      <xdr:row>12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E04BDC-A36B-44B3-9C25-7CEC66647D2E}"/>
            </a:ext>
          </a:extLst>
        </xdr:cNvPr>
        <xdr:cNvSpPr txBox="1"/>
      </xdr:nvSpPr>
      <xdr:spPr>
        <a:xfrm>
          <a:off x="609600" y="167640"/>
          <a:ext cx="2766060" cy="1996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11.24.2020</a:t>
          </a:r>
        </a:p>
        <a:p>
          <a:endParaRPr lang="en-US" sz="1100"/>
        </a:p>
        <a:p>
          <a:r>
            <a:rPr lang="en-US" sz="1100"/>
            <a:t>Questions/Comments</a:t>
          </a:r>
        </a:p>
        <a:p>
          <a:endParaRPr lang="en-US" sz="1100"/>
        </a:p>
        <a:p>
          <a:r>
            <a:rPr lang="en-US" sz="1100"/>
            <a:t>Northwest</a:t>
          </a:r>
          <a:r>
            <a:rPr lang="en-US" sz="1100" baseline="0"/>
            <a:t> Power &amp; Conservation Council</a:t>
          </a:r>
        </a:p>
        <a:p>
          <a:r>
            <a:rPr lang="en-US" sz="1100" baseline="0"/>
            <a:t>NWCouncil.org</a:t>
          </a:r>
        </a:p>
        <a:p>
          <a:r>
            <a:rPr lang="en-US" sz="1100" baseline="0"/>
            <a:t>Steven Simmons</a:t>
          </a:r>
        </a:p>
        <a:p>
          <a:r>
            <a:rPr lang="en-US" sz="1100" baseline="0"/>
            <a:t>Principal Energy Analyst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563880</xdr:colOff>
      <xdr:row>4</xdr:row>
      <xdr:rowOff>106680</xdr:rowOff>
    </xdr:from>
    <xdr:to>
      <xdr:col>21</xdr:col>
      <xdr:colOff>487680</xdr:colOff>
      <xdr:row>25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BCDDFA-2EC6-45B7-A19C-14EAB21D8B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510540</xdr:colOff>
      <xdr:row>4</xdr:row>
      <xdr:rowOff>91440</xdr:rowOff>
    </xdr:from>
    <xdr:to>
      <xdr:col>31</xdr:col>
      <xdr:colOff>381000</xdr:colOff>
      <xdr:row>25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331667-DF5D-4B46-9028-CCB5A7452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91440</xdr:colOff>
      <xdr:row>1</xdr:row>
      <xdr:rowOff>45720</xdr:rowOff>
    </xdr:from>
    <xdr:to>
      <xdr:col>21</xdr:col>
      <xdr:colOff>434340</xdr:colOff>
      <xdr:row>3</xdr:row>
      <xdr:rowOff>91440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D606C0C-8C15-4DDC-9BA5-2369076719C3}"/>
            </a:ext>
          </a:extLst>
        </xdr:cNvPr>
        <xdr:cNvSpPr txBox="1"/>
      </xdr:nvSpPr>
      <xdr:spPr>
        <a:xfrm>
          <a:off x="4869180" y="213360"/>
          <a:ext cx="521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Hatchback Comparison of Cumulative Cost - 2020 Models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23</xdr:col>
      <xdr:colOff>373380</xdr:colOff>
      <xdr:row>1</xdr:row>
      <xdr:rowOff>53340</xdr:rowOff>
    </xdr:from>
    <xdr:to>
      <xdr:col>31</xdr:col>
      <xdr:colOff>381000</xdr:colOff>
      <xdr:row>4</xdr:row>
      <xdr:rowOff>7620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D3224D8-CDE7-4FE3-B4D0-2CA95CA31F27}"/>
            </a:ext>
          </a:extLst>
        </xdr:cNvPr>
        <xdr:cNvSpPr txBox="1"/>
      </xdr:nvSpPr>
      <xdr:spPr>
        <a:xfrm>
          <a:off x="11247120" y="220980"/>
          <a:ext cx="488442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Small SUV Comparison of Cumlative Cost - 2020 Models</a:t>
          </a:r>
          <a:endParaRPr lang="en-US">
            <a:effectLst/>
          </a:endParaRPr>
        </a:p>
      </xdr:txBody>
    </xdr:sp>
    <xdr:clientData/>
  </xdr:twoCellAnchor>
  <xdr:twoCellAnchor>
    <xdr:from>
      <xdr:col>8</xdr:col>
      <xdr:colOff>243840</xdr:colOff>
      <xdr:row>1</xdr:row>
      <xdr:rowOff>60960</xdr:rowOff>
    </xdr:from>
    <xdr:to>
      <xdr:col>12</xdr:col>
      <xdr:colOff>91440</xdr:colOff>
      <xdr:row>4</xdr:row>
      <xdr:rowOff>259080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66070DB-B742-48F6-91EB-FEE0851F92E1}"/>
            </a:ext>
          </a:extLst>
        </xdr:cNvPr>
        <xdr:cNvSpPr txBox="1"/>
      </xdr:nvSpPr>
      <xdr:spPr>
        <a:xfrm>
          <a:off x="5867400" y="228600"/>
          <a:ext cx="2796540" cy="701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Includes Federal</a:t>
          </a:r>
          <a:r>
            <a:rPr lang="en-US" sz="1100" baseline="0"/>
            <a:t> Tax Credit Inventive for Electric Vehicles</a:t>
          </a:r>
          <a:endParaRPr lang="en-US" sz="1100"/>
        </a:p>
      </xdr:txBody>
    </xdr:sp>
    <xdr:clientData/>
  </xdr:twoCellAnchor>
  <xdr:twoCellAnchor>
    <xdr:from>
      <xdr:col>1</xdr:col>
      <xdr:colOff>7620</xdr:colOff>
      <xdr:row>9</xdr:row>
      <xdr:rowOff>30480</xdr:rowOff>
    </xdr:from>
    <xdr:to>
      <xdr:col>6</xdr:col>
      <xdr:colOff>746760</xdr:colOff>
      <xdr:row>19</xdr:row>
      <xdr:rowOff>7620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21D83D5-0434-4587-9F71-39188FC3679F}"/>
            </a:ext>
          </a:extLst>
        </xdr:cNvPr>
        <xdr:cNvSpPr txBox="1"/>
      </xdr:nvSpPr>
      <xdr:spPr>
        <a:xfrm>
          <a:off x="617220" y="2240280"/>
          <a:ext cx="434340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Calulations and</a:t>
          </a:r>
          <a:r>
            <a:rPr lang="en-US" sz="1100" baseline="0"/>
            <a:t> Assumptions listed in sheet </a:t>
          </a:r>
          <a:r>
            <a:rPr lang="en-US" sz="1100" i="1" baseline="0"/>
            <a:t>Calculator</a:t>
          </a:r>
        </a:p>
        <a:p>
          <a:endParaRPr lang="en-US" sz="1100" i="1" baseline="0"/>
        </a:p>
        <a:p>
          <a:r>
            <a:rPr lang="en-US" sz="1100" i="0" baseline="0"/>
            <a:t>Data by Year in sheet </a:t>
          </a:r>
          <a:r>
            <a:rPr lang="en-US" sz="1100" i="1" baseline="0"/>
            <a:t>ResultsByYear</a:t>
          </a:r>
          <a:endParaRPr lang="en-US" sz="1100" i="1"/>
        </a:p>
      </xdr:txBody>
    </xdr:sp>
    <xdr:clientData/>
  </xdr:twoCellAnchor>
  <xdr:twoCellAnchor>
    <xdr:from>
      <xdr:col>13</xdr:col>
      <xdr:colOff>0</xdr:colOff>
      <xdr:row>28</xdr:row>
      <xdr:rowOff>0</xdr:rowOff>
    </xdr:from>
    <xdr:to>
      <xdr:col>21</xdr:col>
      <xdr:colOff>533400</xdr:colOff>
      <xdr:row>54</xdr:row>
      <xdr:rowOff>60960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07D4FA4-4A4C-4124-8EF6-E11592776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27</xdr:row>
      <xdr:rowOff>0</xdr:rowOff>
    </xdr:from>
    <xdr:to>
      <xdr:col>21</xdr:col>
      <xdr:colOff>342900</xdr:colOff>
      <xdr:row>27</xdr:row>
      <xdr:rowOff>381000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19B25BD-F0CC-4637-90B1-4FCA0FDC75E2}"/>
            </a:ext>
          </a:extLst>
        </xdr:cNvPr>
        <xdr:cNvSpPr txBox="1"/>
      </xdr:nvSpPr>
      <xdr:spPr>
        <a:xfrm>
          <a:off x="9448800" y="5577840"/>
          <a:ext cx="521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Hatchback Comparison of Cumulative Emissions - 2020 Models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31</xdr:col>
      <xdr:colOff>533400</xdr:colOff>
      <xdr:row>54</xdr:row>
      <xdr:rowOff>60960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9765826-B1D1-4E26-81FE-04D55EB2A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27</xdr:row>
      <xdr:rowOff>0</xdr:rowOff>
    </xdr:from>
    <xdr:to>
      <xdr:col>31</xdr:col>
      <xdr:colOff>7620</xdr:colOff>
      <xdr:row>27</xdr:row>
      <xdr:rowOff>440055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4DF05F3F-0710-41D6-AB9E-8B29F5E1A8CF}"/>
            </a:ext>
          </a:extLst>
        </xdr:cNvPr>
        <xdr:cNvSpPr txBox="1"/>
      </xdr:nvSpPr>
      <xdr:spPr>
        <a:xfrm>
          <a:off x="15344775" y="5562600"/>
          <a:ext cx="4884420" cy="440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Small SUV Comparison of Cumlative Emissions - 2020 Models</a:t>
          </a:r>
          <a:endParaRPr lang="en-US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142873</xdr:colOff>
      <xdr:row>38</xdr:row>
      <xdr:rowOff>123824</xdr:rowOff>
    </xdr:from>
    <xdr:to>
      <xdr:col>14</xdr:col>
      <xdr:colOff>704850</xdr:colOff>
      <xdr:row>45</xdr:row>
      <xdr:rowOff>885825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CEB97F-D6A7-4A2B-86FD-263CF04F3A0F}"/>
            </a:ext>
          </a:extLst>
        </xdr:cNvPr>
        <xdr:cNvSpPr txBox="1"/>
      </xdr:nvSpPr>
      <xdr:spPr>
        <a:xfrm>
          <a:off x="10239373" y="8705849"/>
          <a:ext cx="4914902" cy="2571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Tailpipe</a:t>
          </a:r>
          <a:r>
            <a:rPr lang="en-US" sz="1100" baseline="0"/>
            <a:t> emission rates for gasoline vehicles remain constant through time.  </a:t>
          </a:r>
        </a:p>
        <a:p>
          <a:endParaRPr lang="en-US" sz="1100" baseline="0"/>
        </a:p>
        <a:p>
          <a:r>
            <a:rPr lang="en-US" sz="1100" baseline="0"/>
            <a:t>For indirect emissions from electric cars, an estimated grid emission rate of kg of CO2e per kWh was used.</a:t>
          </a:r>
        </a:p>
        <a:p>
          <a:endParaRPr lang="en-US" sz="1100" baseline="0"/>
        </a:p>
        <a:p>
          <a:r>
            <a:rPr lang="en-US" sz="1100"/>
            <a:t>One</a:t>
          </a:r>
          <a:r>
            <a:rPr lang="en-US" sz="1100" baseline="0"/>
            <a:t> estimate option is to use the EIA 2019 value, fixed through the years.</a:t>
          </a:r>
        </a:p>
        <a:p>
          <a:r>
            <a:rPr lang="en-US" sz="1100" baseline="0"/>
            <a:t> </a:t>
          </a:r>
        </a:p>
        <a:p>
          <a:r>
            <a:rPr lang="en-US" sz="1100" baseline="0"/>
            <a:t>An alternative approach is to use a forecast of the emission rate.  The NW power gen emission rate will decline as coal plants retire from 2020 onward (Boardman, Centralia).  </a:t>
          </a:r>
        </a:p>
        <a:p>
          <a:endParaRPr lang="en-US" sz="1100" baseline="0"/>
        </a:p>
        <a:p>
          <a:r>
            <a:rPr lang="en-US" sz="1100" baseline="0"/>
            <a:t>We have an forecast of annual emission rates in our region from the electric market price forecasting tool Aurora.</a:t>
          </a: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556260</xdr:colOff>
      <xdr:row>2</xdr:row>
      <xdr:rowOff>68580</xdr:rowOff>
    </xdr:from>
    <xdr:to>
      <xdr:col>31</xdr:col>
      <xdr:colOff>175260</xdr:colOff>
      <xdr:row>20</xdr:row>
      <xdr:rowOff>205740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BF097D-89B7-4AEE-9864-15CA25AD6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2021PowerPlan">
  <a:themeElements>
    <a:clrScheme name="2021PowerPlan">
      <a:dk1>
        <a:srgbClr val="000000"/>
      </a:dk1>
      <a:lt1>
        <a:srgbClr val="FEFFFF"/>
      </a:lt1>
      <a:dk2>
        <a:srgbClr val="EFE8CF"/>
      </a:dk2>
      <a:lt2>
        <a:srgbClr val="FEFFFF"/>
      </a:lt2>
      <a:accent1>
        <a:srgbClr val="02BAD2"/>
      </a:accent1>
      <a:accent2>
        <a:srgbClr val="03B28B"/>
      </a:accent2>
      <a:accent3>
        <a:srgbClr val="9AC368"/>
      </a:accent3>
      <a:accent4>
        <a:srgbClr val="F7C719"/>
      </a:accent4>
      <a:accent5>
        <a:srgbClr val="F77F38"/>
      </a:accent5>
      <a:accent6>
        <a:srgbClr val="F23E49"/>
      </a:accent6>
      <a:hlink>
        <a:srgbClr val="2F395F"/>
      </a:hlink>
      <a:folHlink>
        <a:srgbClr val="576C7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2021PowerPlan" id="{FE2D48F6-2255-4CA2-8CDC-3AD959F99ED5}" vid="{EB538543-5F3B-42A0-95F9-DFDD7530CAA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aranddriver.com/mazda/mazda-3/specs/2020/mazda_mazda-3_mazda-3-hatchback_2020/409159" TargetMode="External"/><Relationship Id="rId1" Type="http://schemas.openxmlformats.org/officeDocument/2006/relationships/hyperlink" Target="https://www.caranddriver.com/toyota/rav4/specs/2020/toyota_rav4_toyota-rav4_2020/409295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fdc.energy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A0B1-06B3-4D09-8C0C-D9B74B46CF73}">
  <dimension ref="A1"/>
  <sheetViews>
    <sheetView tabSelected="1" workbookViewId="0">
      <selection activeCell="H24" sqref="H24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530DA-7A74-40D0-BE6A-D8FC1A528B84}">
  <dimension ref="B2:L48"/>
  <sheetViews>
    <sheetView workbookViewId="0">
      <selection activeCell="F27" sqref="F27"/>
    </sheetView>
  </sheetViews>
  <sheetFormatPr defaultRowHeight="12.75" x14ac:dyDescent="0.2"/>
  <cols>
    <col min="2" max="2" width="16" bestFit="1" customWidth="1"/>
    <col min="3" max="4" width="13.5703125" bestFit="1" customWidth="1"/>
    <col min="5" max="5" width="1.7109375" customWidth="1"/>
    <col min="6" max="7" width="11.7109375" bestFit="1" customWidth="1"/>
    <col min="9" max="9" width="20.5703125" bestFit="1" customWidth="1"/>
    <col min="10" max="10" width="7.5703125" bestFit="1" customWidth="1"/>
    <col min="11" max="12" width="7.42578125" bestFit="1" customWidth="1"/>
  </cols>
  <sheetData>
    <row r="2" spans="2:12" x14ac:dyDescent="0.2">
      <c r="C2" s="125" t="s">
        <v>4</v>
      </c>
      <c r="D2" s="126" t="s">
        <v>6</v>
      </c>
      <c r="E2" s="9"/>
      <c r="F2" s="127" t="s">
        <v>12</v>
      </c>
      <c r="G2" s="128" t="s">
        <v>15</v>
      </c>
    </row>
    <row r="3" spans="2:12" x14ac:dyDescent="0.2">
      <c r="C3" s="125">
        <v>2020</v>
      </c>
      <c r="D3" s="126">
        <v>2020</v>
      </c>
      <c r="E3" s="9"/>
      <c r="F3" s="129">
        <v>2020</v>
      </c>
      <c r="G3" s="130">
        <v>2020</v>
      </c>
    </row>
    <row r="4" spans="2:12" x14ac:dyDescent="0.2">
      <c r="C4" s="125" t="s">
        <v>11</v>
      </c>
      <c r="D4" s="126" t="s">
        <v>11</v>
      </c>
      <c r="E4" s="9"/>
      <c r="F4" s="129" t="s">
        <v>13</v>
      </c>
      <c r="G4" s="130" t="s">
        <v>13</v>
      </c>
    </row>
    <row r="5" spans="2:12" ht="64.5" thickBot="1" x14ac:dyDescent="0.25">
      <c r="C5" s="131" t="s">
        <v>5</v>
      </c>
      <c r="D5" s="132" t="s">
        <v>7</v>
      </c>
      <c r="E5" s="9"/>
      <c r="F5" s="133" t="s">
        <v>104</v>
      </c>
      <c r="G5" s="134" t="s">
        <v>105</v>
      </c>
    </row>
    <row r="6" spans="2:12" ht="13.5" thickBot="1" x14ac:dyDescent="0.25">
      <c r="B6" s="135" t="s">
        <v>34</v>
      </c>
      <c r="C6" s="136">
        <v>259</v>
      </c>
      <c r="D6" s="111">
        <v>258</v>
      </c>
      <c r="E6" s="137"/>
      <c r="F6" s="114">
        <v>396</v>
      </c>
      <c r="G6" s="138">
        <f>14.5*30</f>
        <v>435</v>
      </c>
      <c r="I6" s="120" t="s">
        <v>121</v>
      </c>
      <c r="J6" s="120" t="s">
        <v>114</v>
      </c>
      <c r="K6" s="120" t="s">
        <v>115</v>
      </c>
      <c r="L6" s="120" t="s">
        <v>116</v>
      </c>
    </row>
    <row r="7" spans="2:12" ht="13.5" thickBot="1" x14ac:dyDescent="0.25">
      <c r="B7" s="135" t="s">
        <v>124</v>
      </c>
      <c r="C7" s="139">
        <v>37495</v>
      </c>
      <c r="D7" s="140">
        <v>42940</v>
      </c>
      <c r="E7" s="141"/>
      <c r="F7" s="142">
        <v>28445</v>
      </c>
      <c r="G7" s="143">
        <v>31125</v>
      </c>
      <c r="J7" s="121"/>
      <c r="K7" s="121"/>
      <c r="L7" s="121"/>
    </row>
    <row r="8" spans="2:12" ht="13.5" thickBot="1" x14ac:dyDescent="0.25">
      <c r="B8" s="135" t="s">
        <v>125</v>
      </c>
      <c r="C8" s="139">
        <v>5000</v>
      </c>
      <c r="D8" s="144">
        <v>5000</v>
      </c>
      <c r="I8" s="119" t="s">
        <v>113</v>
      </c>
    </row>
    <row r="9" spans="2:12" x14ac:dyDescent="0.2">
      <c r="I9" s="82" t="s">
        <v>118</v>
      </c>
      <c r="J9" s="42">
        <f>ResultsByYear!L13</f>
        <v>44493.589776529661</v>
      </c>
      <c r="K9" s="42">
        <f>ResultsByYear!Q13</f>
        <v>50114.772887860738</v>
      </c>
      <c r="L9" s="42">
        <f>ResultsByYear!V13</f>
        <v>55908.85327168143</v>
      </c>
    </row>
    <row r="10" spans="2:12" x14ac:dyDescent="0.2">
      <c r="I10" s="123" t="s">
        <v>120</v>
      </c>
      <c r="J10" s="42">
        <f>ResultsByYear!L43</f>
        <v>41981.677189082031</v>
      </c>
      <c r="K10" s="42">
        <f>ResultsByYear!Q43</f>
        <v>53492.569158409045</v>
      </c>
      <c r="L10" s="42">
        <f>ResultsByYear!V43</f>
        <v>65724.842855597744</v>
      </c>
    </row>
    <row r="11" spans="2:12" x14ac:dyDescent="0.2">
      <c r="J11" s="42"/>
      <c r="K11" s="42"/>
      <c r="L11" s="42"/>
    </row>
    <row r="12" spans="2:12" x14ac:dyDescent="0.2">
      <c r="I12" s="122" t="s">
        <v>117</v>
      </c>
    </row>
    <row r="14" spans="2:12" x14ac:dyDescent="0.2">
      <c r="I14" s="82" t="s">
        <v>97</v>
      </c>
      <c r="J14" s="42">
        <f>ResultsByYear!L28</f>
        <v>50424.541034999456</v>
      </c>
      <c r="K14" s="42">
        <f>ResultsByYear!Q28</f>
        <v>56018.037761141677</v>
      </c>
      <c r="L14" s="42">
        <f>ResultsByYear!V28</f>
        <v>61781.550138565355</v>
      </c>
    </row>
    <row r="15" spans="2:12" x14ac:dyDescent="0.2">
      <c r="I15" s="82" t="s">
        <v>119</v>
      </c>
      <c r="J15" s="42">
        <f>ResultsByYear!L58</f>
        <v>44853.202286799031</v>
      </c>
      <c r="K15" s="42">
        <f>ResultsByYear!Q58</f>
        <v>56304.094256126053</v>
      </c>
      <c r="L15" s="42">
        <f>ResultsByYear!V58</f>
        <v>68476.367953314752</v>
      </c>
    </row>
    <row r="17" spans="9:12" ht="51.75" thickBot="1" x14ac:dyDescent="0.25">
      <c r="I17" s="124" t="s">
        <v>122</v>
      </c>
      <c r="J17" s="120" t="s">
        <v>114</v>
      </c>
      <c r="K17" s="120" t="s">
        <v>115</v>
      </c>
      <c r="L17" s="120" t="s">
        <v>116</v>
      </c>
    </row>
    <row r="18" spans="9:12" ht="13.5" thickTop="1" x14ac:dyDescent="0.2">
      <c r="J18" s="121"/>
      <c r="K18" s="121"/>
      <c r="L18" s="121"/>
    </row>
    <row r="19" spans="9:12" x14ac:dyDescent="0.2">
      <c r="I19" s="119" t="s">
        <v>113</v>
      </c>
    </row>
    <row r="20" spans="9:12" x14ac:dyDescent="0.2">
      <c r="I20" s="82" t="s">
        <v>118</v>
      </c>
      <c r="J20" s="42">
        <f>ResultsByYear!L15</f>
        <v>1873.4159898388102</v>
      </c>
      <c r="K20" s="42">
        <f>ResultsByYear!Q15</f>
        <v>3398.6219906516517</v>
      </c>
      <c r="L20" s="42">
        <f>ResultsByYear!V15</f>
        <v>4887.8085388899835</v>
      </c>
    </row>
    <row r="21" spans="9:12" x14ac:dyDescent="0.2">
      <c r="I21" s="123" t="s">
        <v>120</v>
      </c>
      <c r="J21" s="42">
        <f>ResultsByYear!L45</f>
        <v>17625.2</v>
      </c>
      <c r="K21" s="42">
        <f>ResultsByYear!Q45</f>
        <v>35250.400000000001</v>
      </c>
      <c r="L21" s="42">
        <f>ResultsByYear!V45</f>
        <v>52875.600000000006</v>
      </c>
    </row>
    <row r="23" spans="9:12" x14ac:dyDescent="0.2">
      <c r="I23" s="122" t="s">
        <v>117</v>
      </c>
    </row>
    <row r="25" spans="9:12" x14ac:dyDescent="0.2">
      <c r="I25" s="82" t="s">
        <v>97</v>
      </c>
      <c r="J25" s="42">
        <f>ResultsByYear!L30</f>
        <v>1842.1923900081638</v>
      </c>
      <c r="K25" s="42">
        <f>ResultsByYear!Q30</f>
        <v>3341.9782908074576</v>
      </c>
      <c r="L25" s="42">
        <f>ResultsByYear!V30</f>
        <v>4806.345063241818</v>
      </c>
    </row>
    <row r="26" spans="9:12" x14ac:dyDescent="0.2">
      <c r="I26" s="82" t="s">
        <v>119</v>
      </c>
      <c r="J26" s="42">
        <f>ResultsByYear!L60</f>
        <v>17625.2</v>
      </c>
      <c r="K26" s="42">
        <f>ResultsByYear!Q60</f>
        <v>35250.400000000001</v>
      </c>
      <c r="L26" s="42">
        <f>ResultsByYear!V60</f>
        <v>52875.600000000006</v>
      </c>
    </row>
    <row r="28" spans="9:12" ht="51.75" thickBot="1" x14ac:dyDescent="0.25">
      <c r="I28" s="124" t="s">
        <v>123</v>
      </c>
    </row>
    <row r="29" spans="9:12" ht="13.5" thickTop="1" x14ac:dyDescent="0.2"/>
    <row r="30" spans="9:12" x14ac:dyDescent="0.2">
      <c r="I30" s="119" t="s">
        <v>113</v>
      </c>
    </row>
    <row r="31" spans="9:12" x14ac:dyDescent="0.2">
      <c r="I31" s="82" t="s">
        <v>118</v>
      </c>
      <c r="J31" s="42">
        <f>Calculator!G42</f>
        <v>583.89202681430811</v>
      </c>
    </row>
    <row r="32" spans="9:12" x14ac:dyDescent="0.2">
      <c r="I32" s="123" t="s">
        <v>120</v>
      </c>
      <c r="J32" s="42">
        <f>Calculator!J42</f>
        <v>3525.04</v>
      </c>
    </row>
    <row r="34" spans="9:12" x14ac:dyDescent="0.2">
      <c r="I34" s="122" t="s">
        <v>117</v>
      </c>
    </row>
    <row r="36" spans="9:12" x14ac:dyDescent="0.2">
      <c r="I36" s="82" t="s">
        <v>97</v>
      </c>
      <c r="J36" s="42">
        <f>Calculator!H42</f>
        <v>574.16049303406976</v>
      </c>
    </row>
    <row r="37" spans="9:12" x14ac:dyDescent="0.2">
      <c r="I37" s="82" t="s">
        <v>119</v>
      </c>
      <c r="J37" s="42">
        <f>Calculator!K42</f>
        <v>3525.04</v>
      </c>
    </row>
    <row r="39" spans="9:12" ht="26.25" thickBot="1" x14ac:dyDescent="0.25">
      <c r="I39" s="124" t="s">
        <v>127</v>
      </c>
      <c r="J39" s="120" t="s">
        <v>114</v>
      </c>
      <c r="K39" s="120" t="s">
        <v>115</v>
      </c>
      <c r="L39" s="120" t="s">
        <v>116</v>
      </c>
    </row>
    <row r="40" spans="9:12" ht="13.5" thickTop="1" x14ac:dyDescent="0.2"/>
    <row r="41" spans="9:12" x14ac:dyDescent="0.2">
      <c r="I41" s="119" t="s">
        <v>113</v>
      </c>
    </row>
    <row r="42" spans="9:12" x14ac:dyDescent="0.2">
      <c r="I42" s="82" t="s">
        <v>118</v>
      </c>
      <c r="J42" s="42">
        <f>ResultsByYear!L10+ResultsByYear!L11</f>
        <v>1104.9512539084328</v>
      </c>
      <c r="K42" s="42">
        <f>ResultsByYear!Q10+ResultsByYear!Q11</f>
        <v>1137.5234717776698</v>
      </c>
      <c r="L42" s="42">
        <f>ResultsByYear!V10+ResultsByYear!V11</f>
        <v>1173.4858322447421</v>
      </c>
    </row>
    <row r="43" spans="9:12" x14ac:dyDescent="0.2">
      <c r="I43" s="123" t="s">
        <v>120</v>
      </c>
      <c r="J43" s="42">
        <f>ResultsByYear!L40+ResultsByYear!L41</f>
        <v>2222.5877040616074</v>
      </c>
      <c r="K43" s="42">
        <f>ResultsByYear!Q40+ResultsByYear!Q41</f>
        <v>2357.2802898822533</v>
      </c>
      <c r="L43" s="42">
        <f>ResultsByYear!V40+ResultsByYear!V41</f>
        <v>2508.1916242276488</v>
      </c>
    </row>
    <row r="45" spans="9:12" x14ac:dyDescent="0.2">
      <c r="I45" s="122" t="s">
        <v>117</v>
      </c>
    </row>
    <row r="47" spans="9:12" x14ac:dyDescent="0.2">
      <c r="I47" s="82" t="s">
        <v>97</v>
      </c>
      <c r="J47" s="42">
        <f>ResultsByYear!L25+ResultsByYear!L26</f>
        <v>1099.7353996766255</v>
      </c>
      <c r="K47" s="42">
        <f>ResultsByYear!Q25+ResultsByYear!Q26</f>
        <v>1131.7647472480419</v>
      </c>
      <c r="L47" s="42">
        <f>ResultsByYear!V25+ResultsByYear!V26</f>
        <v>1167.1277350406631</v>
      </c>
    </row>
    <row r="48" spans="9:12" x14ac:dyDescent="0.2">
      <c r="I48" s="82" t="s">
        <v>119</v>
      </c>
      <c r="J48" s="42">
        <f>ResultsByYear!L55+ResultsByYear!L56</f>
        <v>2210.5877040616074</v>
      </c>
      <c r="K48" s="42">
        <f>ResultsByYear!Q55+ResultsByYear!Q56</f>
        <v>2345.2802898822533</v>
      </c>
      <c r="L48" s="42">
        <f>ResultsByYear!V55+ResultsByYear!V56</f>
        <v>2496.1916242276488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1C8B-60FA-4060-A58E-A264DBED26DB}">
  <dimension ref="B1:AG52"/>
  <sheetViews>
    <sheetView topLeftCell="O4" workbookViewId="0">
      <selection activeCell="V17" sqref="V17"/>
    </sheetView>
  </sheetViews>
  <sheetFormatPr defaultRowHeight="12.75" x14ac:dyDescent="0.2"/>
  <cols>
    <col min="2" max="2" width="8.140625" bestFit="1" customWidth="1"/>
    <col min="3" max="3" width="33.5703125" customWidth="1"/>
    <col min="4" max="4" width="43.5703125" bestFit="1" customWidth="1"/>
    <col min="5" max="6" width="15.85546875" bestFit="1" customWidth="1"/>
    <col min="7" max="7" width="14.42578125" bestFit="1" customWidth="1"/>
    <col min="8" max="8" width="14" bestFit="1" customWidth="1"/>
    <col min="9" max="9" width="5" bestFit="1" customWidth="1"/>
    <col min="10" max="11" width="11.85546875" bestFit="1" customWidth="1"/>
    <col min="12" max="13" width="5" bestFit="1" customWidth="1"/>
    <col min="14" max="14" width="31.5703125" bestFit="1" customWidth="1"/>
    <col min="15" max="15" width="26.85546875" bestFit="1" customWidth="1"/>
    <col min="16" max="16" width="10.140625" bestFit="1" customWidth="1"/>
    <col min="17" max="17" width="19.140625" bestFit="1" customWidth="1"/>
    <col min="18" max="18" width="19" bestFit="1" customWidth="1"/>
    <col min="19" max="19" width="15.28515625" bestFit="1" customWidth="1"/>
    <col min="20" max="20" width="5" bestFit="1" customWidth="1"/>
    <col min="21" max="21" width="6.7109375" bestFit="1" customWidth="1"/>
    <col min="22" max="22" width="9.7109375" bestFit="1" customWidth="1"/>
    <col min="23" max="23" width="56.85546875" customWidth="1"/>
    <col min="24" max="24" width="40.28515625" bestFit="1" customWidth="1"/>
    <col min="25" max="25" width="15.28515625" bestFit="1" customWidth="1"/>
    <col min="26" max="26" width="15.5703125" customWidth="1"/>
    <col min="27" max="27" width="20.5703125" bestFit="1" customWidth="1"/>
    <col min="28" max="28" width="12" bestFit="1" customWidth="1"/>
  </cols>
  <sheetData>
    <row r="1" spans="2:23" ht="13.5" thickBot="1" x14ac:dyDescent="0.25"/>
    <row r="2" spans="2:23" ht="39" thickBot="1" x14ac:dyDescent="0.25">
      <c r="B2" s="100" t="s">
        <v>111</v>
      </c>
      <c r="C2" s="3"/>
      <c r="D2" s="3"/>
      <c r="E2" s="3"/>
      <c r="F2" s="3"/>
      <c r="G2" s="45" t="s">
        <v>4</v>
      </c>
      <c r="H2" s="49" t="s">
        <v>6</v>
      </c>
      <c r="J2" s="53" t="s">
        <v>12</v>
      </c>
      <c r="K2" s="57" t="s">
        <v>15</v>
      </c>
      <c r="N2" s="5" t="s">
        <v>19</v>
      </c>
      <c r="O2" s="6"/>
      <c r="P2" s="6"/>
      <c r="Q2" s="6"/>
      <c r="R2" s="6"/>
      <c r="S2" s="7"/>
      <c r="V2" s="5" t="s">
        <v>112</v>
      </c>
      <c r="W2" s="101" t="s">
        <v>3</v>
      </c>
    </row>
    <row r="3" spans="2:23" x14ac:dyDescent="0.2">
      <c r="C3" s="3"/>
      <c r="D3" s="61" t="s">
        <v>8</v>
      </c>
      <c r="E3" s="3"/>
      <c r="F3" s="3"/>
      <c r="G3" s="46">
        <v>2020</v>
      </c>
      <c r="H3" s="50">
        <v>2020</v>
      </c>
      <c r="J3" s="54">
        <v>2020</v>
      </c>
      <c r="K3" s="58">
        <v>2020</v>
      </c>
      <c r="N3" s="8"/>
      <c r="O3" s="9"/>
      <c r="P3" s="9"/>
      <c r="Q3" s="9"/>
      <c r="R3" s="9"/>
      <c r="S3" s="10"/>
      <c r="V3" s="8"/>
      <c r="W3" s="102" t="s">
        <v>9</v>
      </c>
    </row>
    <row r="4" spans="2:23" x14ac:dyDescent="0.2">
      <c r="C4" s="3"/>
      <c r="D4" s="61" t="s">
        <v>10</v>
      </c>
      <c r="E4" s="3"/>
      <c r="F4" s="3"/>
      <c r="G4" s="46" t="s">
        <v>11</v>
      </c>
      <c r="H4" s="50" t="s">
        <v>11</v>
      </c>
      <c r="J4" s="54" t="s">
        <v>13</v>
      </c>
      <c r="K4" s="58" t="s">
        <v>13</v>
      </c>
      <c r="N4" s="8"/>
      <c r="O4" s="9" t="s">
        <v>26</v>
      </c>
      <c r="P4" s="9"/>
      <c r="Q4" s="9"/>
      <c r="R4" s="9"/>
      <c r="S4" s="10"/>
      <c r="V4" s="8"/>
      <c r="W4" s="102"/>
    </row>
    <row r="5" spans="2:23" ht="63.75" x14ac:dyDescent="0.2">
      <c r="C5" s="3"/>
      <c r="D5" s="61" t="s">
        <v>0</v>
      </c>
      <c r="E5" s="3"/>
      <c r="F5" s="3"/>
      <c r="G5" s="47" t="s">
        <v>5</v>
      </c>
      <c r="H5" s="51" t="s">
        <v>7</v>
      </c>
      <c r="J5" s="55" t="s">
        <v>126</v>
      </c>
      <c r="K5" s="59" t="s">
        <v>105</v>
      </c>
      <c r="N5" s="8"/>
      <c r="O5" s="11" t="s">
        <v>18</v>
      </c>
      <c r="P5" s="11"/>
      <c r="Q5" s="9"/>
      <c r="R5" s="9"/>
      <c r="S5" s="10"/>
      <c r="V5" s="8"/>
      <c r="W5" s="103" t="s">
        <v>16</v>
      </c>
    </row>
    <row r="6" spans="2:23" ht="51.75" thickBot="1" x14ac:dyDescent="0.25">
      <c r="C6" s="3"/>
      <c r="D6" s="61" t="s">
        <v>34</v>
      </c>
      <c r="E6" s="3"/>
      <c r="F6" s="3"/>
      <c r="G6" s="48">
        <v>259</v>
      </c>
      <c r="H6" s="52">
        <v>258</v>
      </c>
      <c r="J6" s="56">
        <v>396</v>
      </c>
      <c r="K6" s="60">
        <f>14.5*30</f>
        <v>435</v>
      </c>
      <c r="N6" s="8"/>
      <c r="O6" s="12" t="s">
        <v>25</v>
      </c>
      <c r="P6" s="9"/>
      <c r="Q6" s="9"/>
      <c r="R6" s="9"/>
      <c r="S6" s="10"/>
      <c r="V6" s="8"/>
      <c r="W6" s="102"/>
    </row>
    <row r="7" spans="2:23" ht="26.25" thickBot="1" x14ac:dyDescent="0.25">
      <c r="C7" s="3"/>
      <c r="D7" s="3"/>
      <c r="E7" s="3"/>
      <c r="F7" s="3"/>
      <c r="G7" s="3"/>
      <c r="H7" s="3"/>
      <c r="J7" s="1"/>
      <c r="K7" s="3"/>
      <c r="N7" s="8"/>
      <c r="O7" s="9"/>
      <c r="P7" s="9"/>
      <c r="Q7" s="9"/>
      <c r="R7" s="9"/>
      <c r="S7" s="10"/>
      <c r="V7" s="13"/>
      <c r="W7" s="104" t="s">
        <v>17</v>
      </c>
    </row>
    <row r="8" spans="2:23" ht="13.5" thickBot="1" x14ac:dyDescent="0.25">
      <c r="C8" s="3"/>
      <c r="D8" s="61" t="s">
        <v>1</v>
      </c>
      <c r="E8" s="3"/>
      <c r="F8" s="3"/>
      <c r="G8" s="62">
        <v>37495</v>
      </c>
      <c r="H8" s="63">
        <v>42940</v>
      </c>
      <c r="I8" s="6"/>
      <c r="J8" s="63">
        <v>28445</v>
      </c>
      <c r="K8" s="64">
        <v>31125</v>
      </c>
      <c r="N8" s="8"/>
      <c r="O8" s="9"/>
      <c r="P8" s="9"/>
      <c r="Q8" s="9"/>
      <c r="R8" s="9"/>
      <c r="S8" s="10"/>
    </row>
    <row r="9" spans="2:23" ht="13.5" thickBot="1" x14ac:dyDescent="0.25">
      <c r="C9" s="3"/>
      <c r="D9" s="61" t="s">
        <v>110</v>
      </c>
      <c r="E9" s="90">
        <v>3750</v>
      </c>
      <c r="F9" s="3"/>
      <c r="G9" s="65">
        <f>-E9</f>
        <v>-3750</v>
      </c>
      <c r="H9" s="66">
        <f>-E9</f>
        <v>-3750</v>
      </c>
      <c r="I9" s="14"/>
      <c r="J9" s="66"/>
      <c r="K9" s="67"/>
      <c r="N9" s="8"/>
      <c r="O9" s="16"/>
      <c r="P9" s="16"/>
      <c r="Q9" s="17" t="s">
        <v>21</v>
      </c>
      <c r="R9" s="17" t="s">
        <v>22</v>
      </c>
      <c r="S9" s="18" t="s">
        <v>23</v>
      </c>
      <c r="V9" s="105" t="s">
        <v>109</v>
      </c>
      <c r="W9" s="106" t="s">
        <v>101</v>
      </c>
    </row>
    <row r="10" spans="2:23" x14ac:dyDescent="0.2">
      <c r="C10" s="3"/>
      <c r="D10" s="61" t="s">
        <v>100</v>
      </c>
      <c r="E10" s="3"/>
      <c r="F10" s="3"/>
      <c r="G10" s="1"/>
      <c r="H10" s="1"/>
      <c r="J10" s="1"/>
      <c r="K10" s="1"/>
      <c r="N10" s="8"/>
      <c r="O10" s="17" t="s">
        <v>20</v>
      </c>
      <c r="P10" s="17" t="s">
        <v>24</v>
      </c>
      <c r="Q10" s="16">
        <v>9.0999999999999998E-2</v>
      </c>
      <c r="R10" s="16">
        <v>9.1999999999999998E-2</v>
      </c>
      <c r="S10" s="19">
        <v>6.6000000000000003E-2</v>
      </c>
    </row>
    <row r="11" spans="2:23" ht="13.5" thickBot="1" x14ac:dyDescent="0.25">
      <c r="C11" s="3"/>
      <c r="D11" s="3"/>
      <c r="E11" s="3"/>
      <c r="F11" s="3"/>
      <c r="G11" s="1"/>
      <c r="H11" s="1"/>
      <c r="J11" s="1"/>
      <c r="K11" s="1"/>
      <c r="N11" s="13"/>
      <c r="O11" s="14"/>
      <c r="P11" s="14"/>
      <c r="Q11" s="14"/>
      <c r="R11" s="14"/>
      <c r="S11" s="15"/>
    </row>
    <row r="12" spans="2:23" x14ac:dyDescent="0.2">
      <c r="C12" s="3"/>
      <c r="D12" s="61" t="s">
        <v>107</v>
      </c>
      <c r="E12" s="3"/>
      <c r="F12" s="3"/>
      <c r="G12" s="62">
        <f>($E18/100)*(G8)</f>
        <v>5624.25</v>
      </c>
      <c r="H12" s="63">
        <f>($E18/100)*(H8)</f>
        <v>6441</v>
      </c>
      <c r="I12" s="63"/>
      <c r="J12" s="63">
        <f>($E18/100)*(J8)</f>
        <v>4266.75</v>
      </c>
      <c r="K12" s="64">
        <f>($E18/100)*(K8)</f>
        <v>4668.75</v>
      </c>
    </row>
    <row r="13" spans="2:23" ht="26.25" thickBot="1" x14ac:dyDescent="0.25">
      <c r="C13" s="3"/>
      <c r="D13" s="61" t="s">
        <v>33</v>
      </c>
      <c r="E13" s="4" t="s">
        <v>108</v>
      </c>
      <c r="F13" s="3"/>
      <c r="G13" s="65">
        <v>1765</v>
      </c>
      <c r="H13" s="66">
        <v>1765</v>
      </c>
      <c r="I13" s="66"/>
      <c r="J13" s="66">
        <v>0</v>
      </c>
      <c r="K13" s="67">
        <v>0</v>
      </c>
    </row>
    <row r="14" spans="2:23" x14ac:dyDescent="0.2">
      <c r="C14" s="3"/>
      <c r="D14" s="61" t="s">
        <v>30</v>
      </c>
      <c r="E14" s="3" t="s">
        <v>109</v>
      </c>
      <c r="F14" s="3"/>
      <c r="G14" s="62">
        <f>-PMT($E$19/12,$E$20,(G8-G12),0)</f>
        <v>589.82925086379964</v>
      </c>
      <c r="H14" s="63">
        <f>-PMT($E$19/12,$E$20,(H8-H12),0)</f>
        <v>675.48387870626902</v>
      </c>
      <c r="I14" s="6"/>
      <c r="J14" s="63">
        <f>-PMT($E$19/12,$E$20,(J8-J12),0)</f>
        <v>447.46480972985148</v>
      </c>
      <c r="K14" s="64">
        <f>-PMT($E$19/12,$E$20,(K8-K12),0)</f>
        <v>489.62356135846812</v>
      </c>
      <c r="N14" s="5" t="s">
        <v>37</v>
      </c>
      <c r="O14" s="22">
        <v>115000</v>
      </c>
      <c r="Q14" s="24" t="s">
        <v>50</v>
      </c>
      <c r="R14" s="6"/>
      <c r="S14" s="6"/>
      <c r="T14" s="6"/>
      <c r="U14" s="7"/>
    </row>
    <row r="15" spans="2:23" x14ac:dyDescent="0.2">
      <c r="C15" s="3"/>
      <c r="D15" s="61" t="s">
        <v>31</v>
      </c>
      <c r="E15" s="3"/>
      <c r="F15" s="3"/>
      <c r="G15" s="68">
        <f>12*G14</f>
        <v>7077.9510103655957</v>
      </c>
      <c r="H15" s="69">
        <f>12*H14</f>
        <v>8105.8065444752283</v>
      </c>
      <c r="I15" s="9"/>
      <c r="J15" s="69">
        <f>12*J14</f>
        <v>5369.5777167582182</v>
      </c>
      <c r="K15" s="70">
        <f>12*K14</f>
        <v>5875.4827363016175</v>
      </c>
      <c r="N15" s="8" t="s">
        <v>38</v>
      </c>
      <c r="O15" s="10">
        <v>1</v>
      </c>
      <c r="Q15" s="25" t="s">
        <v>53</v>
      </c>
      <c r="U15" s="10"/>
    </row>
    <row r="16" spans="2:23" x14ac:dyDescent="0.2">
      <c r="D16" s="61" t="s">
        <v>32</v>
      </c>
      <c r="E16" s="3"/>
      <c r="F16" s="3"/>
      <c r="G16" s="68">
        <f>$E$20/12</f>
        <v>5</v>
      </c>
      <c r="H16" s="69">
        <f>$E$20/12</f>
        <v>5</v>
      </c>
      <c r="I16" s="9"/>
      <c r="J16" s="69">
        <f>$E$20/12</f>
        <v>5</v>
      </c>
      <c r="K16" s="70">
        <f>$E$20/12</f>
        <v>5</v>
      </c>
      <c r="N16" s="8"/>
      <c r="O16" s="10"/>
      <c r="Q16" s="25" t="s">
        <v>55</v>
      </c>
      <c r="U16" s="10"/>
    </row>
    <row r="17" spans="4:33" ht="13.5" thickBot="1" x14ac:dyDescent="0.25">
      <c r="D17" s="61" t="s">
        <v>103</v>
      </c>
      <c r="E17" s="3"/>
      <c r="F17" s="3"/>
      <c r="G17" s="65">
        <f>G12+G9</f>
        <v>1874.25</v>
      </c>
      <c r="H17" s="66">
        <f>H12+H9</f>
        <v>2691</v>
      </c>
      <c r="I17" s="14"/>
      <c r="J17" s="66">
        <f>J12+J9</f>
        <v>4266.75</v>
      </c>
      <c r="K17" s="67">
        <f>K12+K9</f>
        <v>4668.75</v>
      </c>
      <c r="N17" s="8" t="s">
        <v>37</v>
      </c>
      <c r="O17" s="10">
        <v>3414</v>
      </c>
      <c r="Q17" s="8"/>
      <c r="R17">
        <v>0.125</v>
      </c>
      <c r="S17" s="27" t="s">
        <v>57</v>
      </c>
      <c r="T17">
        <v>1</v>
      </c>
      <c r="U17" s="28" t="s">
        <v>58</v>
      </c>
      <c r="V17" s="43"/>
    </row>
    <row r="18" spans="4:33" ht="13.5" thickBot="1" x14ac:dyDescent="0.25">
      <c r="D18" s="61" t="s">
        <v>29</v>
      </c>
      <c r="E18" s="91">
        <v>15</v>
      </c>
      <c r="F18" s="3"/>
      <c r="G18" s="1"/>
      <c r="H18" s="1"/>
      <c r="J18" s="1"/>
      <c r="K18" s="1"/>
      <c r="N18" s="13" t="s">
        <v>39</v>
      </c>
      <c r="O18" s="15">
        <v>1</v>
      </c>
      <c r="Q18" s="8"/>
      <c r="R18">
        <v>70.22</v>
      </c>
      <c r="S18" s="27" t="s">
        <v>59</v>
      </c>
      <c r="T18">
        <v>1</v>
      </c>
      <c r="U18" s="28" t="s">
        <v>57</v>
      </c>
    </row>
    <row r="19" spans="4:33" ht="13.5" thickBot="1" x14ac:dyDescent="0.25">
      <c r="D19" s="61" t="s">
        <v>27</v>
      </c>
      <c r="E19" s="92">
        <v>4.2000000000000003E-2</v>
      </c>
      <c r="F19" s="3"/>
      <c r="G19" s="1"/>
      <c r="H19" s="1"/>
      <c r="J19" s="1"/>
      <c r="K19" s="1"/>
      <c r="Q19" s="8"/>
      <c r="R19">
        <v>3</v>
      </c>
      <c r="S19" s="27" t="s">
        <v>60</v>
      </c>
      <c r="T19">
        <v>1</v>
      </c>
      <c r="U19" s="28" t="s">
        <v>57</v>
      </c>
    </row>
    <row r="20" spans="4:33" ht="13.5" thickBot="1" x14ac:dyDescent="0.25">
      <c r="D20" s="61" t="s">
        <v>28</v>
      </c>
      <c r="E20" s="93">
        <v>60</v>
      </c>
      <c r="F20" s="3"/>
      <c r="G20" s="1"/>
      <c r="H20" s="1"/>
      <c r="J20" s="1"/>
      <c r="K20" s="1"/>
      <c r="N20" s="5" t="s">
        <v>43</v>
      </c>
      <c r="O20" s="7"/>
      <c r="Q20" s="8"/>
      <c r="R20">
        <v>0.6</v>
      </c>
      <c r="S20" s="27" t="s">
        <v>61</v>
      </c>
      <c r="T20">
        <v>1</v>
      </c>
      <c r="U20" s="28" t="s">
        <v>57</v>
      </c>
    </row>
    <row r="21" spans="4:33" ht="13.5" thickBot="1" x14ac:dyDescent="0.25">
      <c r="D21" s="21"/>
      <c r="E21" s="3"/>
      <c r="F21" s="3"/>
      <c r="G21" s="1"/>
      <c r="H21" s="1"/>
      <c r="J21" s="1"/>
      <c r="K21" s="1"/>
      <c r="N21" s="13" t="s">
        <v>44</v>
      </c>
      <c r="O21" s="15">
        <f>(7.89+9.02+8.81+8.04)/4</f>
        <v>8.44</v>
      </c>
      <c r="Q21" s="13"/>
      <c r="R21" s="14"/>
      <c r="S21" s="14"/>
      <c r="T21" s="14"/>
      <c r="U21" s="15"/>
    </row>
    <row r="22" spans="4:33" ht="13.5" thickBot="1" x14ac:dyDescent="0.25">
      <c r="D22" s="61" t="s">
        <v>2</v>
      </c>
      <c r="E22" s="3"/>
      <c r="F22" s="3"/>
      <c r="G22" s="71">
        <v>118</v>
      </c>
      <c r="H22" s="72">
        <v>120</v>
      </c>
      <c r="I22" s="6"/>
      <c r="J22" s="72"/>
      <c r="K22" s="73"/>
    </row>
    <row r="23" spans="4:33" x14ac:dyDescent="0.2">
      <c r="D23" s="61" t="s">
        <v>14</v>
      </c>
      <c r="G23" s="8"/>
      <c r="H23" s="9"/>
      <c r="I23" s="9"/>
      <c r="J23" s="74">
        <v>30</v>
      </c>
      <c r="K23" s="75">
        <v>30</v>
      </c>
      <c r="N23" s="5" t="s">
        <v>48</v>
      </c>
      <c r="O23" s="7"/>
      <c r="Q23" s="5" t="s">
        <v>51</v>
      </c>
      <c r="R23" s="6" t="s">
        <v>52</v>
      </c>
      <c r="S23" s="7"/>
    </row>
    <row r="24" spans="4:33" ht="17.25" thickBot="1" x14ac:dyDescent="0.35">
      <c r="D24" s="61" t="s">
        <v>40</v>
      </c>
      <c r="E24" s="3"/>
      <c r="F24" s="3"/>
      <c r="G24" s="76">
        <f>(G22)*($O$15/$O$14)*($O$17/$O$18)</f>
        <v>3.5030608695652172</v>
      </c>
      <c r="H24" s="77">
        <f>(H22)*($O$15/$O$14)*($O$17/$O$18)</f>
        <v>3.5624347826086953</v>
      </c>
      <c r="I24" s="14"/>
      <c r="J24" s="78"/>
      <c r="K24" s="79"/>
      <c r="N24" s="13" t="s">
        <v>49</v>
      </c>
      <c r="O24" s="23">
        <f>(2.76+2.59 +2.31)/3</f>
        <v>2.5533333333333332</v>
      </c>
      <c r="Q24" s="8" t="s">
        <v>54</v>
      </c>
      <c r="R24">
        <v>34</v>
      </c>
      <c r="S24" s="26"/>
    </row>
    <row r="25" spans="4:33" ht="13.5" thickBot="1" x14ac:dyDescent="0.25">
      <c r="D25" s="61"/>
      <c r="E25" s="3"/>
      <c r="F25" s="3"/>
      <c r="G25" s="20"/>
      <c r="H25" s="20"/>
      <c r="J25" s="3"/>
      <c r="K25" s="3"/>
      <c r="Q25" s="13" t="s">
        <v>56</v>
      </c>
      <c r="R25" s="14">
        <v>298</v>
      </c>
      <c r="S25" s="15"/>
    </row>
    <row r="26" spans="4:33" ht="13.5" thickBot="1" x14ac:dyDescent="0.25">
      <c r="D26" s="61" t="s">
        <v>81</v>
      </c>
      <c r="E26" s="3"/>
      <c r="F26" s="3"/>
      <c r="G26" s="80"/>
      <c r="H26" s="81"/>
      <c r="I26" s="6"/>
      <c r="J26" s="72">
        <f>(E36/J23)</f>
        <v>400</v>
      </c>
      <c r="K26" s="73">
        <f>(E36/K23)</f>
        <v>400</v>
      </c>
    </row>
    <row r="27" spans="4:33" ht="16.5" thickBot="1" x14ac:dyDescent="0.3">
      <c r="D27" s="61" t="s">
        <v>94</v>
      </c>
      <c r="E27" s="3"/>
      <c r="F27" s="3"/>
      <c r="G27" s="65">
        <f>(E36/G24)</f>
        <v>3425.5756456465401</v>
      </c>
      <c r="H27" s="66">
        <f>(E36/H24)</f>
        <v>3368.4827182190984</v>
      </c>
      <c r="I27" s="14"/>
      <c r="J27" s="78"/>
      <c r="K27" s="79"/>
      <c r="Q27" s="5" t="s">
        <v>62</v>
      </c>
      <c r="R27" s="6"/>
      <c r="S27" s="7"/>
      <c r="X27" s="5" t="s">
        <v>77</v>
      </c>
      <c r="Y27" s="33"/>
      <c r="Z27" s="33"/>
      <c r="AA27" s="33"/>
      <c r="AB27" s="34"/>
      <c r="AC27" s="32"/>
      <c r="AD27" s="32"/>
      <c r="AE27" s="32"/>
      <c r="AF27" s="32"/>
      <c r="AG27" s="32"/>
    </row>
    <row r="28" spans="4:33" ht="39" thickBot="1" x14ac:dyDescent="0.25">
      <c r="D28" s="3"/>
      <c r="E28" s="3"/>
      <c r="F28" s="3"/>
      <c r="G28" s="3"/>
      <c r="H28" s="3"/>
      <c r="J28" s="3"/>
      <c r="K28" s="3"/>
      <c r="Q28" s="8" t="s">
        <v>63</v>
      </c>
      <c r="R28" s="9" t="s">
        <v>65</v>
      </c>
      <c r="S28" s="38">
        <f>R18+R24*(R19/1000) + R25*(R20/1000)</f>
        <v>70.500799999999998</v>
      </c>
      <c r="X28" s="35" t="s">
        <v>8</v>
      </c>
      <c r="Y28" s="29" t="s">
        <v>67</v>
      </c>
      <c r="Z28" s="30" t="s">
        <v>68</v>
      </c>
      <c r="AA28" s="30" t="s">
        <v>69</v>
      </c>
      <c r="AB28" s="10" t="s">
        <v>75</v>
      </c>
    </row>
    <row r="29" spans="4:33" x14ac:dyDescent="0.2">
      <c r="D29" s="61" t="s">
        <v>35</v>
      </c>
      <c r="E29" s="94">
        <f>O24</f>
        <v>2.5533333333333332</v>
      </c>
      <c r="J29" s="3"/>
      <c r="K29" s="3"/>
      <c r="Q29" s="8"/>
      <c r="R29" s="9" t="s">
        <v>64</v>
      </c>
      <c r="S29" s="39">
        <f>(S28)*(R17/T17)</f>
        <v>8.8125999999999998</v>
      </c>
      <c r="X29" s="8"/>
      <c r="Y29" s="9"/>
      <c r="Z29" s="9"/>
      <c r="AA29" s="9"/>
      <c r="AB29" s="10"/>
    </row>
    <row r="30" spans="4:33" ht="13.5" thickBot="1" x14ac:dyDescent="0.25">
      <c r="D30" s="61" t="s">
        <v>36</v>
      </c>
      <c r="E30" s="95">
        <v>2.2999999999999998</v>
      </c>
      <c r="Q30" s="13" t="s">
        <v>66</v>
      </c>
      <c r="R30" s="14" t="s">
        <v>78</v>
      </c>
      <c r="S30" s="40">
        <f>AA36/1000</f>
        <v>0.17045077593202729</v>
      </c>
      <c r="X30" s="8">
        <v>2019</v>
      </c>
      <c r="Y30" s="9" t="s">
        <v>70</v>
      </c>
      <c r="Z30" s="31">
        <v>106463.60799999999</v>
      </c>
      <c r="AA30" s="31">
        <v>137.39699999999999</v>
      </c>
      <c r="AB30" s="10">
        <f>(Z30/Z$34)</f>
        <v>0.5415768242266622</v>
      </c>
    </row>
    <row r="31" spans="4:33" ht="13.5" thickBot="1" x14ac:dyDescent="0.25">
      <c r="E31" s="2"/>
      <c r="X31" s="8"/>
      <c r="Y31" s="9" t="s">
        <v>71</v>
      </c>
      <c r="Z31" s="31">
        <v>62258.377999999997</v>
      </c>
      <c r="AA31" s="31">
        <v>177.142</v>
      </c>
      <c r="AB31" s="10">
        <f>(Z31/Z$34)</f>
        <v>0.31670629309071596</v>
      </c>
    </row>
    <row r="32" spans="4:33" x14ac:dyDescent="0.2">
      <c r="D32" s="82" t="s">
        <v>41</v>
      </c>
      <c r="E32" s="96">
        <f>O21/100</f>
        <v>8.4399999999999989E-2</v>
      </c>
      <c r="X32" s="8"/>
      <c r="Y32" s="9" t="s">
        <v>72</v>
      </c>
      <c r="Z32" s="31">
        <v>18407.812000000002</v>
      </c>
      <c r="AA32" s="31">
        <v>124.557</v>
      </c>
      <c r="AB32" s="10">
        <f>(Z32/Z$34)</f>
        <v>9.3639925897696846E-2</v>
      </c>
    </row>
    <row r="33" spans="3:28" ht="13.5" thickBot="1" x14ac:dyDescent="0.25">
      <c r="D33" s="61" t="s">
        <v>42</v>
      </c>
      <c r="E33" s="95">
        <v>2</v>
      </c>
      <c r="X33" s="8"/>
      <c r="Y33" s="9" t="s">
        <v>73</v>
      </c>
      <c r="Z33" s="31">
        <f>0.34*27797.079</f>
        <v>9451.0068600000013</v>
      </c>
      <c r="AA33" s="31">
        <v>588.10400000000004</v>
      </c>
      <c r="AB33" s="10">
        <f>(Z33/Z$34)</f>
        <v>4.8076956784925039E-2</v>
      </c>
    </row>
    <row r="34" spans="3:28" ht="13.5" thickBot="1" x14ac:dyDescent="0.25">
      <c r="E34" s="2"/>
      <c r="X34" s="8"/>
      <c r="Y34" s="9" t="s">
        <v>74</v>
      </c>
      <c r="Z34" s="36">
        <f>Z30+Z31+Z32+Z33</f>
        <v>196580.80485999997</v>
      </c>
      <c r="AA34" s="9"/>
      <c r="AB34" s="10"/>
    </row>
    <row r="35" spans="3:28" x14ac:dyDescent="0.2">
      <c r="D35" s="82" t="s">
        <v>45</v>
      </c>
      <c r="E35" s="96">
        <v>15</v>
      </c>
      <c r="X35" s="8"/>
      <c r="Y35" s="9"/>
      <c r="Z35" s="36"/>
      <c r="AA35" s="9"/>
      <c r="AB35" s="10"/>
    </row>
    <row r="36" spans="3:28" ht="13.5" thickBot="1" x14ac:dyDescent="0.25">
      <c r="D36" s="82" t="s">
        <v>46</v>
      </c>
      <c r="E36" s="97">
        <v>12000</v>
      </c>
      <c r="X36" s="13"/>
      <c r="Y36" s="14" t="s">
        <v>76</v>
      </c>
      <c r="Z36" s="14"/>
      <c r="AA36" s="37">
        <f>(AA30*AB30 + AA31*AB31 + AA32*AB32+AA33*AB33)</f>
        <v>170.45077593202728</v>
      </c>
      <c r="AB36" s="15"/>
    </row>
    <row r="37" spans="3:28" ht="13.5" thickBot="1" x14ac:dyDescent="0.25">
      <c r="D37" s="82" t="s">
        <v>95</v>
      </c>
      <c r="E37" s="2"/>
      <c r="G37" s="83">
        <f>($E$36)*S10</f>
        <v>792</v>
      </c>
      <c r="H37" s="84">
        <f>($E$36)*S10</f>
        <v>792</v>
      </c>
      <c r="I37" s="84"/>
      <c r="J37" s="84">
        <f>($E$36)*R10</f>
        <v>1104</v>
      </c>
      <c r="K37" s="85">
        <f>($E$36)*Q10</f>
        <v>1092</v>
      </c>
    </row>
    <row r="38" spans="3:28" x14ac:dyDescent="0.2">
      <c r="E38" s="2"/>
    </row>
    <row r="39" spans="3:28" ht="13.5" thickBot="1" x14ac:dyDescent="0.25">
      <c r="D39" s="82" t="s">
        <v>47</v>
      </c>
      <c r="E39" s="2"/>
    </row>
    <row r="40" spans="3:28" x14ac:dyDescent="0.2">
      <c r="D40" s="82" t="s">
        <v>79</v>
      </c>
      <c r="E40" s="98">
        <f>S29</f>
        <v>8.8125999999999998</v>
      </c>
    </row>
    <row r="41" spans="3:28" ht="26.25" thickBot="1" x14ac:dyDescent="0.25">
      <c r="C41" s="146" t="s">
        <v>128</v>
      </c>
      <c r="D41" s="82" t="s">
        <v>80</v>
      </c>
      <c r="E41" s="99">
        <f>S30</f>
        <v>0.17045077593202729</v>
      </c>
    </row>
    <row r="42" spans="3:28" ht="13.5" thickBot="1" x14ac:dyDescent="0.25">
      <c r="D42" s="82" t="s">
        <v>82</v>
      </c>
      <c r="G42" s="86">
        <f>(E41*G27)</f>
        <v>583.89202681430811</v>
      </c>
      <c r="H42" s="87">
        <f>(E41*H27)</f>
        <v>574.16049303406976</v>
      </c>
      <c r="I42" s="84"/>
      <c r="J42" s="88">
        <f>(E40*J26)</f>
        <v>3525.04</v>
      </c>
      <c r="K42" s="89">
        <f>(K26*E40)</f>
        <v>3525.04</v>
      </c>
    </row>
    <row r="46" spans="3:28" ht="63.75" x14ac:dyDescent="0.2">
      <c r="C46" s="146" t="s">
        <v>134</v>
      </c>
    </row>
    <row r="47" spans="3:28" ht="13.5" thickBot="1" x14ac:dyDescent="0.25">
      <c r="C47" s="153" t="s">
        <v>132</v>
      </c>
    </row>
    <row r="48" spans="3:28" ht="38.25" x14ac:dyDescent="0.2">
      <c r="C48" s="153" t="s">
        <v>133</v>
      </c>
      <c r="F48" s="148" t="s">
        <v>8</v>
      </c>
      <c r="G48" s="150">
        <v>2020</v>
      </c>
      <c r="H48" s="151">
        <v>2021</v>
      </c>
      <c r="I48" s="151">
        <v>2022</v>
      </c>
      <c r="J48" s="151">
        <v>2023</v>
      </c>
      <c r="K48" s="151">
        <v>2024</v>
      </c>
      <c r="L48" s="151">
        <v>2025</v>
      </c>
      <c r="M48" s="151">
        <v>2026</v>
      </c>
      <c r="N48" s="151">
        <v>2027</v>
      </c>
      <c r="O48" s="151">
        <v>2028</v>
      </c>
      <c r="P48" s="151">
        <v>2029</v>
      </c>
      <c r="Q48" s="151">
        <v>2030</v>
      </c>
      <c r="R48" s="151">
        <v>2031</v>
      </c>
      <c r="S48" s="151">
        <v>2032</v>
      </c>
      <c r="T48" s="151">
        <v>2033</v>
      </c>
      <c r="U48" s="152">
        <v>2034</v>
      </c>
    </row>
    <row r="49" spans="6:21" ht="13.5" thickBot="1" x14ac:dyDescent="0.25">
      <c r="F49" s="149" t="s">
        <v>129</v>
      </c>
      <c r="G49" s="154">
        <f>H49</f>
        <v>0.1225597760907319</v>
      </c>
      <c r="H49" s="147">
        <v>0.1225597760907319</v>
      </c>
      <c r="I49" s="147">
        <v>0.1044793746787102</v>
      </c>
      <c r="J49" s="147">
        <v>0.10224453897423573</v>
      </c>
      <c r="K49" s="147">
        <v>9.5047388034100705E-2</v>
      </c>
      <c r="L49" s="147">
        <v>9.152313670243592E-2</v>
      </c>
      <c r="M49" s="147">
        <v>8.6698009028480877E-2</v>
      </c>
      <c r="N49" s="147">
        <v>8.5504817251549764E-2</v>
      </c>
      <c r="O49" s="147">
        <v>9.1866810700453994E-2</v>
      </c>
      <c r="P49" s="147">
        <v>8.9648014606539386E-2</v>
      </c>
      <c r="Q49" s="147">
        <v>8.2870918514388409E-2</v>
      </c>
      <c r="R49" s="147">
        <v>8.8932766582953321E-2</v>
      </c>
      <c r="S49" s="147">
        <v>8.8052241474026668E-2</v>
      </c>
      <c r="T49" s="147">
        <v>9.004181336581249E-2</v>
      </c>
      <c r="U49" s="23">
        <v>8.4828187114202064E-2</v>
      </c>
    </row>
    <row r="51" spans="6:21" x14ac:dyDescent="0.2">
      <c r="F51" t="s">
        <v>130</v>
      </c>
      <c r="G51" s="42">
        <f>G49*$G27</f>
        <v>419.83778411230435</v>
      </c>
      <c r="H51" s="42">
        <f t="shared" ref="H51:U51" si="0">H49*$G27</f>
        <v>419.83778411230435</v>
      </c>
      <c r="I51" s="42">
        <f t="shared" si="0"/>
        <v>357.90200137176947</v>
      </c>
      <c r="J51" s="42">
        <f t="shared" si="0"/>
        <v>350.24640261050041</v>
      </c>
      <c r="K51" s="42">
        <f t="shared" si="0"/>
        <v>325.59201763193175</v>
      </c>
      <c r="L51" s="42">
        <f t="shared" si="0"/>
        <v>313.5194281010435</v>
      </c>
      <c r="M51" s="42">
        <f t="shared" si="0"/>
        <v>296.99058825400795</v>
      </c>
      <c r="N51" s="42">
        <f t="shared" si="0"/>
        <v>292.90321956236698</v>
      </c>
      <c r="O51" s="42">
        <f t="shared" si="0"/>
        <v>314.6967093786962</v>
      </c>
      <c r="P51" s="42">
        <f t="shared" si="0"/>
        <v>307.09605551672661</v>
      </c>
      <c r="Q51" s="42">
        <f t="shared" si="0"/>
        <v>283.88060019524789</v>
      </c>
      <c r="R51" s="42">
        <f t="shared" si="0"/>
        <v>304.64591930653336</v>
      </c>
      <c r="S51" s="42">
        <f t="shared" si="0"/>
        <v>301.62961393801396</v>
      </c>
      <c r="T51" s="42">
        <f t="shared" si="0"/>
        <v>308.44504295577838</v>
      </c>
      <c r="U51" s="42">
        <f t="shared" si="0"/>
        <v>290.58537184275826</v>
      </c>
    </row>
    <row r="52" spans="6:21" x14ac:dyDescent="0.2">
      <c r="F52" t="s">
        <v>131</v>
      </c>
      <c r="G52" s="44">
        <f>G49*$H27</f>
        <v>412.84048771043268</v>
      </c>
      <c r="H52" s="44">
        <f t="shared" ref="H52:U52" si="1">H49*$H27</f>
        <v>412.84048771043268</v>
      </c>
      <c r="I52" s="44">
        <f t="shared" si="1"/>
        <v>351.93696801557337</v>
      </c>
      <c r="J52" s="44">
        <f t="shared" si="1"/>
        <v>344.4089625669921</v>
      </c>
      <c r="K52" s="44">
        <f t="shared" si="1"/>
        <v>320.16548400473295</v>
      </c>
      <c r="L52" s="44">
        <f t="shared" si="1"/>
        <v>308.2941042993595</v>
      </c>
      <c r="M52" s="44">
        <f t="shared" si="1"/>
        <v>292.0407451164412</v>
      </c>
      <c r="N52" s="44">
        <f t="shared" si="1"/>
        <v>288.0214992363276</v>
      </c>
      <c r="O52" s="44">
        <f t="shared" si="1"/>
        <v>309.45176422238461</v>
      </c>
      <c r="P52" s="44">
        <f t="shared" si="1"/>
        <v>301.97778792478124</v>
      </c>
      <c r="Q52" s="44">
        <f t="shared" si="1"/>
        <v>279.14925685866046</v>
      </c>
      <c r="R52" s="44">
        <f t="shared" si="1"/>
        <v>299.56848731809123</v>
      </c>
      <c r="S52" s="44">
        <f t="shared" si="1"/>
        <v>296.6024537057138</v>
      </c>
      <c r="T52" s="44">
        <f t="shared" si="1"/>
        <v>303.30429223984879</v>
      </c>
      <c r="U52" s="44">
        <f t="shared" si="1"/>
        <v>285.74228231204569</v>
      </c>
    </row>
  </sheetData>
  <hyperlinks>
    <hyperlink ref="W7" r:id="rId1" xr:uid="{326698D5-1084-4B38-96C5-95BF5EEA3900}"/>
    <hyperlink ref="W5" r:id="rId2" xr:uid="{9C123109-B54A-48A5-8B6A-A1B4407D0E83}"/>
  </hyperlinks>
  <pageMargins left="0.7" right="0.7" top="0.75" bottom="0.75" header="0.3" footer="0.3"/>
  <pageSetup orientation="portrait" horizontalDpi="1200" verticalDpi="12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FF8E-1C15-461A-8945-3F15125DB560}">
  <dimension ref="B1:X87"/>
  <sheetViews>
    <sheetView topLeftCell="A10" workbookViewId="0">
      <selection activeCell="X45" sqref="X45"/>
    </sheetView>
  </sheetViews>
  <sheetFormatPr defaultRowHeight="12.75" x14ac:dyDescent="0.2"/>
  <cols>
    <col min="3" max="3" width="8.5703125" bestFit="1" customWidth="1"/>
    <col min="4" max="4" width="5" bestFit="1" customWidth="1"/>
    <col min="5" max="5" width="13.5703125" bestFit="1" customWidth="1"/>
    <col min="6" max="6" width="9.7109375" bestFit="1" customWidth="1"/>
    <col min="7" max="7" width="25.140625" bestFit="1" customWidth="1"/>
    <col min="8" max="14" width="6.5703125" bestFit="1" customWidth="1"/>
    <col min="15" max="22" width="7.5703125" bestFit="1" customWidth="1"/>
  </cols>
  <sheetData>
    <row r="1" spans="2:22" ht="13.5" thickBot="1" x14ac:dyDescent="0.25"/>
    <row r="2" spans="2:22" x14ac:dyDescent="0.2">
      <c r="H2" s="5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>
        <v>10</v>
      </c>
      <c r="R2" s="6">
        <v>11</v>
      </c>
      <c r="S2" s="6">
        <v>12</v>
      </c>
      <c r="T2" s="6">
        <v>13</v>
      </c>
      <c r="U2" s="6">
        <v>14</v>
      </c>
      <c r="V2" s="7">
        <v>15</v>
      </c>
    </row>
    <row r="3" spans="2:22" ht="13.5" thickBot="1" x14ac:dyDescent="0.25">
      <c r="D3" s="3"/>
      <c r="E3" s="3"/>
      <c r="F3" s="3"/>
      <c r="G3" s="3"/>
      <c r="H3" s="145">
        <v>2020</v>
      </c>
      <c r="I3" s="78">
        <v>2021</v>
      </c>
      <c r="J3" s="78">
        <v>2022</v>
      </c>
      <c r="K3" s="78">
        <v>2023</v>
      </c>
      <c r="L3" s="78">
        <v>2024</v>
      </c>
      <c r="M3" s="78">
        <v>2025</v>
      </c>
      <c r="N3" s="78">
        <v>2026</v>
      </c>
      <c r="O3" s="78">
        <v>2027</v>
      </c>
      <c r="P3" s="78">
        <v>2028</v>
      </c>
      <c r="Q3" s="78">
        <v>2029</v>
      </c>
      <c r="R3" s="78">
        <v>2030</v>
      </c>
      <c r="S3" s="78">
        <v>2031</v>
      </c>
      <c r="T3" s="78">
        <v>2032</v>
      </c>
      <c r="U3" s="78">
        <v>2033</v>
      </c>
      <c r="V3" s="79">
        <v>2034</v>
      </c>
    </row>
    <row r="4" spans="2:22" ht="13.5" thickBo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ht="26.25" thickBot="1" x14ac:dyDescent="0.25">
      <c r="C5" s="107" t="s">
        <v>4</v>
      </c>
      <c r="D5" s="108">
        <v>2020</v>
      </c>
      <c r="E5" s="108" t="s">
        <v>11</v>
      </c>
      <c r="F5" s="109" t="s">
        <v>83</v>
      </c>
      <c r="G5" s="4"/>
      <c r="H5" s="3"/>
      <c r="I5" s="3"/>
      <c r="K5" s="3"/>
      <c r="L5" s="3"/>
    </row>
    <row r="6" spans="2:22" ht="38.25" x14ac:dyDescent="0.2">
      <c r="D6" s="3"/>
      <c r="E6" s="3"/>
      <c r="F6" s="4"/>
      <c r="G6" s="4" t="s">
        <v>102</v>
      </c>
      <c r="H6" s="1">
        <f>Calculator!G17</f>
        <v>1874.25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</row>
    <row r="7" spans="2:22" x14ac:dyDescent="0.2">
      <c r="D7" s="3"/>
      <c r="E7" s="3"/>
      <c r="F7" s="4"/>
      <c r="G7" s="4" t="s">
        <v>89</v>
      </c>
      <c r="H7" s="1">
        <f>Calculator!G13</f>
        <v>1765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</row>
    <row r="8" spans="2:22" x14ac:dyDescent="0.2">
      <c r="D8" s="3"/>
      <c r="E8" s="3"/>
      <c r="F8" s="3"/>
      <c r="G8" s="3" t="s">
        <v>90</v>
      </c>
      <c r="H8" s="41">
        <f>Calculator!G15</f>
        <v>7077.9510103655957</v>
      </c>
      <c r="I8" s="41">
        <f>H8</f>
        <v>7077.9510103655957</v>
      </c>
      <c r="J8" s="41">
        <f t="shared" ref="J8:L8" si="0">I8</f>
        <v>7077.9510103655957</v>
      </c>
      <c r="K8" s="41">
        <f t="shared" si="0"/>
        <v>7077.9510103655957</v>
      </c>
      <c r="L8" s="41">
        <f t="shared" si="0"/>
        <v>7077.9510103655957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</row>
    <row r="9" spans="2:22" x14ac:dyDescent="0.2">
      <c r="D9" s="3"/>
      <c r="E9" s="3"/>
      <c r="F9" s="3"/>
      <c r="G9" s="3" t="s">
        <v>91</v>
      </c>
      <c r="H9" s="1">
        <f>H6+H7+H8</f>
        <v>10717.201010365596</v>
      </c>
      <c r="I9" s="1">
        <f t="shared" ref="I9:V9" si="1">I6+I7+I8</f>
        <v>7077.9510103655957</v>
      </c>
      <c r="J9" s="1">
        <f t="shared" si="1"/>
        <v>7077.9510103655957</v>
      </c>
      <c r="K9" s="1">
        <f t="shared" si="1"/>
        <v>7077.9510103655957</v>
      </c>
      <c r="L9" s="1">
        <f t="shared" si="1"/>
        <v>7077.9510103655957</v>
      </c>
      <c r="M9" s="1">
        <f t="shared" si="1"/>
        <v>0</v>
      </c>
      <c r="N9" s="1">
        <f t="shared" si="1"/>
        <v>0</v>
      </c>
      <c r="O9" s="1">
        <f t="shared" si="1"/>
        <v>0</v>
      </c>
      <c r="P9" s="1">
        <f t="shared" si="1"/>
        <v>0</v>
      </c>
      <c r="Q9" s="1">
        <f t="shared" si="1"/>
        <v>0</v>
      </c>
      <c r="R9" s="1">
        <f t="shared" si="1"/>
        <v>0</v>
      </c>
      <c r="S9" s="1">
        <f t="shared" si="1"/>
        <v>0</v>
      </c>
      <c r="T9" s="1">
        <f t="shared" si="1"/>
        <v>0</v>
      </c>
      <c r="U9" s="1">
        <f t="shared" si="1"/>
        <v>0</v>
      </c>
      <c r="V9" s="1">
        <f t="shared" si="1"/>
        <v>0</v>
      </c>
    </row>
    <row r="10" spans="2:22" x14ac:dyDescent="0.2">
      <c r="B10" s="42"/>
      <c r="D10" s="3"/>
      <c r="E10" s="3"/>
      <c r="F10" s="3"/>
      <c r="G10" s="3" t="s">
        <v>84</v>
      </c>
      <c r="H10" s="1">
        <f>(Calculator!$G$27*ResultsByYear!H$69)</f>
        <v>289.11858449256795</v>
      </c>
      <c r="I10" s="1">
        <f>(Calculator!$G$27*ResultsByYear!I$69)</f>
        <v>294.90095618241929</v>
      </c>
      <c r="J10" s="1">
        <f>(Calculator!$G$27*ResultsByYear!J$69)</f>
        <v>300.79897530606769</v>
      </c>
      <c r="K10" s="1">
        <f>(Calculator!$G$27*ResultsByYear!K$69)</f>
        <v>306.81495481218906</v>
      </c>
      <c r="L10" s="1">
        <f>(Calculator!$G$27*ResultsByYear!L$69)</f>
        <v>312.95125390843288</v>
      </c>
      <c r="M10" s="1">
        <f>(Calculator!$G$27*ResultsByYear!M$69)</f>
        <v>319.21027898660151</v>
      </c>
      <c r="N10" s="1">
        <f>(Calculator!$G$27*ResultsByYear!N$69)</f>
        <v>325.59448456633356</v>
      </c>
      <c r="O10" s="1">
        <f>(Calculator!$G$27*ResultsByYear!O$69)</f>
        <v>332.10637425766021</v>
      </c>
      <c r="P10" s="1">
        <f>(Calculator!$G$27*ResultsByYear!P$69)</f>
        <v>338.7485017428134</v>
      </c>
      <c r="Q10" s="1">
        <f>(Calculator!$G$27*ResultsByYear!Q$69)</f>
        <v>345.52347177766967</v>
      </c>
      <c r="R10" s="1">
        <f>(Calculator!$G$27*ResultsByYear!R$69)</f>
        <v>352.43394121322308</v>
      </c>
      <c r="S10" s="1">
        <f>(Calculator!$G$27*ResultsByYear!S$69)</f>
        <v>359.48262003748749</v>
      </c>
      <c r="T10" s="1">
        <f>(Calculator!$G$27*ResultsByYear!T$69)</f>
        <v>366.67227243823726</v>
      </c>
      <c r="U10" s="1">
        <f>(Calculator!$G$27*ResultsByYear!U$69)</f>
        <v>374.00571788700199</v>
      </c>
      <c r="V10" s="1">
        <f>(Calculator!$G$27*ResultsByYear!V$69)</f>
        <v>381.48583224474208</v>
      </c>
    </row>
    <row r="11" spans="2:22" x14ac:dyDescent="0.2">
      <c r="D11" s="3"/>
      <c r="E11" s="3"/>
      <c r="F11" s="3"/>
      <c r="G11" s="3" t="s">
        <v>85</v>
      </c>
      <c r="H11" s="1">
        <f>Calculator!G37</f>
        <v>792</v>
      </c>
      <c r="I11" s="1">
        <f>H11</f>
        <v>792</v>
      </c>
      <c r="J11" s="1">
        <f t="shared" ref="J11:V11" si="2">I11</f>
        <v>792</v>
      </c>
      <c r="K11" s="1">
        <f t="shared" si="2"/>
        <v>792</v>
      </c>
      <c r="L11" s="1">
        <f t="shared" si="2"/>
        <v>792</v>
      </c>
      <c r="M11" s="1">
        <f t="shared" si="2"/>
        <v>792</v>
      </c>
      <c r="N11" s="1">
        <f t="shared" si="2"/>
        <v>792</v>
      </c>
      <c r="O11" s="1">
        <f t="shared" si="2"/>
        <v>792</v>
      </c>
      <c r="P11" s="1">
        <f t="shared" si="2"/>
        <v>792</v>
      </c>
      <c r="Q11" s="1">
        <f t="shared" si="2"/>
        <v>792</v>
      </c>
      <c r="R11" s="1">
        <f t="shared" si="2"/>
        <v>792</v>
      </c>
      <c r="S11" s="1">
        <f t="shared" si="2"/>
        <v>792</v>
      </c>
      <c r="T11" s="1">
        <f t="shared" si="2"/>
        <v>792</v>
      </c>
      <c r="U11" s="1">
        <f t="shared" si="2"/>
        <v>792</v>
      </c>
      <c r="V11" s="1">
        <f t="shared" si="2"/>
        <v>792</v>
      </c>
    </row>
    <row r="12" spans="2:22" x14ac:dyDescent="0.2">
      <c r="G12" s="3" t="s">
        <v>86</v>
      </c>
      <c r="H12" s="42">
        <f>H9+H10+H11</f>
        <v>11798.319594858163</v>
      </c>
      <c r="I12" s="42">
        <f t="shared" ref="I12:V12" si="3">I9+I10+I11</f>
        <v>8164.8519665480153</v>
      </c>
      <c r="J12" s="42">
        <f t="shared" si="3"/>
        <v>8170.7499856716631</v>
      </c>
      <c r="K12" s="42">
        <f t="shared" si="3"/>
        <v>8176.7659651777849</v>
      </c>
      <c r="L12" s="42">
        <f t="shared" si="3"/>
        <v>8182.9022642740283</v>
      </c>
      <c r="M12" s="42">
        <f t="shared" si="3"/>
        <v>1111.2102789866015</v>
      </c>
      <c r="N12" s="42">
        <f t="shared" si="3"/>
        <v>1117.5944845663334</v>
      </c>
      <c r="O12" s="42">
        <f t="shared" si="3"/>
        <v>1124.1063742576603</v>
      </c>
      <c r="P12" s="42">
        <f t="shared" si="3"/>
        <v>1130.7485017428135</v>
      </c>
      <c r="Q12" s="42">
        <f t="shared" si="3"/>
        <v>1137.5234717776698</v>
      </c>
      <c r="R12" s="42">
        <f t="shared" si="3"/>
        <v>1144.4339412132231</v>
      </c>
      <c r="S12" s="42">
        <f t="shared" si="3"/>
        <v>1151.4826200374875</v>
      </c>
      <c r="T12" s="42">
        <f t="shared" si="3"/>
        <v>1158.6722724382373</v>
      </c>
      <c r="U12" s="42">
        <f t="shared" si="3"/>
        <v>1166.005717887002</v>
      </c>
      <c r="V12" s="42">
        <f t="shared" si="3"/>
        <v>1173.4858322447421</v>
      </c>
    </row>
    <row r="13" spans="2:22" x14ac:dyDescent="0.2">
      <c r="G13" s="3" t="s">
        <v>87</v>
      </c>
      <c r="H13" s="42">
        <f>H12</f>
        <v>11798.319594858163</v>
      </c>
      <c r="I13" s="42">
        <f>H13+I12</f>
        <v>19963.17156140618</v>
      </c>
      <c r="J13" s="42">
        <f t="shared" ref="J13:V13" si="4">I13+J12</f>
        <v>28133.921547077844</v>
      </c>
      <c r="K13" s="42">
        <f t="shared" si="4"/>
        <v>36310.68751225563</v>
      </c>
      <c r="L13" s="42">
        <f t="shared" si="4"/>
        <v>44493.589776529661</v>
      </c>
      <c r="M13" s="42">
        <f t="shared" si="4"/>
        <v>45604.800055516265</v>
      </c>
      <c r="N13" s="42">
        <f t="shared" si="4"/>
        <v>46722.394540082598</v>
      </c>
      <c r="O13" s="42">
        <f t="shared" si="4"/>
        <v>47846.500914340257</v>
      </c>
      <c r="P13" s="42">
        <f t="shared" si="4"/>
        <v>48977.249416083068</v>
      </c>
      <c r="Q13" s="42">
        <f t="shared" si="4"/>
        <v>50114.772887860738</v>
      </c>
      <c r="R13" s="42">
        <f t="shared" si="4"/>
        <v>51259.206829073963</v>
      </c>
      <c r="S13" s="42">
        <f t="shared" si="4"/>
        <v>52410.689449111451</v>
      </c>
      <c r="T13" s="42">
        <f t="shared" si="4"/>
        <v>53569.361721549685</v>
      </c>
      <c r="U13" s="42">
        <f t="shared" si="4"/>
        <v>54735.36743943669</v>
      </c>
      <c r="V13" s="42">
        <f t="shared" si="4"/>
        <v>55908.85327168143</v>
      </c>
    </row>
    <row r="14" spans="2:22" x14ac:dyDescent="0.2">
      <c r="G14" s="3" t="s">
        <v>96</v>
      </c>
      <c r="H14" s="44">
        <f>Calculator!G51</f>
        <v>419.83778411230435</v>
      </c>
      <c r="I14" s="44">
        <f>Calculator!H51</f>
        <v>419.83778411230435</v>
      </c>
      <c r="J14" s="44">
        <f>Calculator!I51</f>
        <v>357.90200137176947</v>
      </c>
      <c r="K14" s="44">
        <f>Calculator!J51</f>
        <v>350.24640261050041</v>
      </c>
      <c r="L14" s="44">
        <f>Calculator!K51</f>
        <v>325.59201763193175</v>
      </c>
      <c r="M14" s="44">
        <f>Calculator!L51</f>
        <v>313.5194281010435</v>
      </c>
      <c r="N14" s="44">
        <f>Calculator!M51</f>
        <v>296.99058825400795</v>
      </c>
      <c r="O14" s="44">
        <f>Calculator!N51</f>
        <v>292.90321956236698</v>
      </c>
      <c r="P14" s="44">
        <f>Calculator!O51</f>
        <v>314.6967093786962</v>
      </c>
      <c r="Q14" s="44">
        <f>Calculator!P51</f>
        <v>307.09605551672661</v>
      </c>
      <c r="R14" s="44">
        <f>Calculator!Q51</f>
        <v>283.88060019524789</v>
      </c>
      <c r="S14" s="44">
        <f>Calculator!R51</f>
        <v>304.64591930653336</v>
      </c>
      <c r="T14" s="44">
        <f>Calculator!S51</f>
        <v>301.62961393801396</v>
      </c>
      <c r="U14" s="44">
        <f>Calculator!T51</f>
        <v>308.44504295577838</v>
      </c>
      <c r="V14" s="44">
        <f>Calculator!U51</f>
        <v>290.58537184275826</v>
      </c>
    </row>
    <row r="15" spans="2:22" x14ac:dyDescent="0.2">
      <c r="G15" s="3" t="s">
        <v>106</v>
      </c>
      <c r="H15" s="42">
        <f>H14</f>
        <v>419.83778411230435</v>
      </c>
      <c r="I15" s="42">
        <f>H15+I14</f>
        <v>839.6755682246087</v>
      </c>
      <c r="J15" s="42">
        <f t="shared" ref="J15:V15" si="5">I15+J14</f>
        <v>1197.5775695963782</v>
      </c>
      <c r="K15" s="42">
        <f t="shared" si="5"/>
        <v>1547.8239722068786</v>
      </c>
      <c r="L15" s="42">
        <f t="shared" si="5"/>
        <v>1873.4159898388102</v>
      </c>
      <c r="M15" s="42">
        <f t="shared" si="5"/>
        <v>2186.9354179398538</v>
      </c>
      <c r="N15" s="42">
        <f t="shared" si="5"/>
        <v>2483.9260061938617</v>
      </c>
      <c r="O15" s="42">
        <f t="shared" si="5"/>
        <v>2776.8292257562289</v>
      </c>
      <c r="P15" s="42">
        <f t="shared" si="5"/>
        <v>3091.525935134925</v>
      </c>
      <c r="Q15" s="42">
        <f t="shared" si="5"/>
        <v>3398.6219906516517</v>
      </c>
      <c r="R15" s="42">
        <f t="shared" si="5"/>
        <v>3682.5025908468997</v>
      </c>
      <c r="S15" s="42">
        <f t="shared" si="5"/>
        <v>3987.1485101534331</v>
      </c>
      <c r="T15" s="42">
        <f t="shared" si="5"/>
        <v>4288.7781240914474</v>
      </c>
      <c r="U15" s="42">
        <f t="shared" si="5"/>
        <v>4597.2231670472256</v>
      </c>
      <c r="V15" s="42">
        <f t="shared" si="5"/>
        <v>4887.8085388899835</v>
      </c>
    </row>
    <row r="16" spans="2:22" ht="13.5" thickBot="1" x14ac:dyDescent="0.25">
      <c r="G16" s="3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3:22" x14ac:dyDescent="0.2">
      <c r="G17" s="3"/>
      <c r="H17" s="5">
        <v>1</v>
      </c>
      <c r="I17" s="6">
        <v>2</v>
      </c>
      <c r="J17" s="6">
        <v>3</v>
      </c>
      <c r="K17" s="6">
        <v>4</v>
      </c>
      <c r="L17" s="6">
        <v>5</v>
      </c>
      <c r="M17" s="6">
        <v>6</v>
      </c>
      <c r="N17" s="6">
        <v>7</v>
      </c>
      <c r="O17" s="6">
        <v>8</v>
      </c>
      <c r="P17" s="6">
        <v>9</v>
      </c>
      <c r="Q17" s="6">
        <v>10</v>
      </c>
      <c r="R17" s="6">
        <v>11</v>
      </c>
      <c r="S17" s="6">
        <v>12</v>
      </c>
      <c r="T17" s="6">
        <v>13</v>
      </c>
      <c r="U17" s="6">
        <v>14</v>
      </c>
      <c r="V17" s="7">
        <v>15</v>
      </c>
    </row>
    <row r="18" spans="3:22" ht="13.5" thickBot="1" x14ac:dyDescent="0.25">
      <c r="G18" s="3"/>
      <c r="H18" s="145">
        <v>2020</v>
      </c>
      <c r="I18" s="78">
        <v>2021</v>
      </c>
      <c r="J18" s="78">
        <v>2022</v>
      </c>
      <c r="K18" s="78">
        <v>2023</v>
      </c>
      <c r="L18" s="78">
        <v>2024</v>
      </c>
      <c r="M18" s="78">
        <v>2025</v>
      </c>
      <c r="N18" s="78">
        <v>2026</v>
      </c>
      <c r="O18" s="78">
        <v>2027</v>
      </c>
      <c r="P18" s="78">
        <v>2028</v>
      </c>
      <c r="Q18" s="78">
        <v>2029</v>
      </c>
      <c r="R18" s="78">
        <v>2030</v>
      </c>
      <c r="S18" s="78">
        <v>2031</v>
      </c>
      <c r="T18" s="78">
        <v>2032</v>
      </c>
      <c r="U18" s="78">
        <v>2033</v>
      </c>
      <c r="V18" s="79">
        <v>2034</v>
      </c>
    </row>
    <row r="19" spans="3:22" ht="13.5" thickBot="1" x14ac:dyDescent="0.25">
      <c r="G19" s="3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3:22" ht="39" thickBot="1" x14ac:dyDescent="0.25">
      <c r="C20" s="110" t="s">
        <v>6</v>
      </c>
      <c r="D20" s="111">
        <v>2020</v>
      </c>
      <c r="E20" s="111" t="s">
        <v>11</v>
      </c>
      <c r="F20" s="112" t="s">
        <v>97</v>
      </c>
      <c r="G20" s="3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3:22" ht="38.25" x14ac:dyDescent="0.2">
      <c r="G21" s="4" t="s">
        <v>102</v>
      </c>
      <c r="H21" s="1">
        <f>Calculator!H17</f>
        <v>2691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</row>
    <row r="22" spans="3:22" x14ac:dyDescent="0.2">
      <c r="G22" s="4" t="s">
        <v>89</v>
      </c>
      <c r="H22" s="1">
        <f>Calculator!H13</f>
        <v>1765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</row>
    <row r="23" spans="3:22" x14ac:dyDescent="0.2">
      <c r="G23" s="3" t="s">
        <v>90</v>
      </c>
      <c r="H23" s="41">
        <f>Calculator!H15</f>
        <v>8105.8065444752283</v>
      </c>
      <c r="I23" s="41">
        <f>H23</f>
        <v>8105.8065444752283</v>
      </c>
      <c r="J23" s="41">
        <f t="shared" ref="J23:L23" si="6">I23</f>
        <v>8105.8065444752283</v>
      </c>
      <c r="K23" s="41">
        <f t="shared" si="6"/>
        <v>8105.8065444752283</v>
      </c>
      <c r="L23" s="41">
        <f t="shared" si="6"/>
        <v>8105.8065444752283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</row>
    <row r="24" spans="3:22" x14ac:dyDescent="0.2">
      <c r="G24" s="3" t="s">
        <v>91</v>
      </c>
      <c r="H24" s="1">
        <f>H21+H22+H23</f>
        <v>12561.806544475228</v>
      </c>
      <c r="I24" s="1">
        <f t="shared" ref="I24:V24" si="7">I21+I22+I23</f>
        <v>8105.8065444752283</v>
      </c>
      <c r="J24" s="1">
        <f t="shared" si="7"/>
        <v>8105.8065444752283</v>
      </c>
      <c r="K24" s="1">
        <f t="shared" si="7"/>
        <v>8105.8065444752283</v>
      </c>
      <c r="L24" s="1">
        <f t="shared" si="7"/>
        <v>8105.8065444752283</v>
      </c>
      <c r="M24" s="1">
        <f t="shared" si="7"/>
        <v>0</v>
      </c>
      <c r="N24" s="1">
        <f t="shared" si="7"/>
        <v>0</v>
      </c>
      <c r="O24" s="1">
        <f t="shared" si="7"/>
        <v>0</v>
      </c>
      <c r="P24" s="1">
        <f t="shared" si="7"/>
        <v>0</v>
      </c>
      <c r="Q24" s="1">
        <f t="shared" si="7"/>
        <v>0</v>
      </c>
      <c r="R24" s="1">
        <f t="shared" si="7"/>
        <v>0</v>
      </c>
      <c r="S24" s="1">
        <f t="shared" si="7"/>
        <v>0</v>
      </c>
      <c r="T24" s="1">
        <f t="shared" si="7"/>
        <v>0</v>
      </c>
      <c r="U24" s="1">
        <f t="shared" si="7"/>
        <v>0</v>
      </c>
      <c r="V24" s="1">
        <f t="shared" si="7"/>
        <v>0</v>
      </c>
    </row>
    <row r="25" spans="3:22" x14ac:dyDescent="0.2">
      <c r="G25" s="3" t="s">
        <v>84</v>
      </c>
      <c r="H25" s="1">
        <f>(H69*Calculator!$H$27)</f>
        <v>284.29994141769185</v>
      </c>
      <c r="I25" s="1">
        <f>(I69*Calculator!$H$27)</f>
        <v>289.98594024604569</v>
      </c>
      <c r="J25" s="1">
        <f>(J69*Calculator!$H$27)</f>
        <v>295.78565905096661</v>
      </c>
      <c r="K25" s="1">
        <f>(K69*Calculator!$H$27)</f>
        <v>301.70137223198594</v>
      </c>
      <c r="L25" s="1">
        <f>(L69*Calculator!$H$27)</f>
        <v>307.73539967662566</v>
      </c>
      <c r="M25" s="1">
        <f>(M69*Calculator!$H$27)</f>
        <v>313.89010767015822</v>
      </c>
      <c r="N25" s="1">
        <f>(N69*Calculator!$H$27)</f>
        <v>320.16790982356139</v>
      </c>
      <c r="O25" s="1">
        <f>(O69*Calculator!$H$27)</f>
        <v>326.57126802003256</v>
      </c>
      <c r="P25" s="1">
        <f>(P69*Calculator!$H$27)</f>
        <v>333.10269338043327</v>
      </c>
      <c r="Q25" s="1">
        <f>(Q69*Calculator!$H$27)</f>
        <v>339.76474724804189</v>
      </c>
      <c r="R25" s="1">
        <f>(R69*Calculator!$H$27)</f>
        <v>346.56004219300274</v>
      </c>
      <c r="S25" s="1">
        <f>(S69*Calculator!$H$27)</f>
        <v>353.49124303686278</v>
      </c>
      <c r="T25" s="1">
        <f>(T69*Calculator!$H$27)</f>
        <v>360.56106789760003</v>
      </c>
      <c r="U25" s="1">
        <f>(U69*Calculator!$H$27)</f>
        <v>367.77228925555204</v>
      </c>
      <c r="V25" s="1">
        <f>(V69*Calculator!$H$27)</f>
        <v>375.12773504066314</v>
      </c>
    </row>
    <row r="26" spans="3:22" x14ac:dyDescent="0.2">
      <c r="G26" s="3" t="s">
        <v>85</v>
      </c>
      <c r="H26" s="1">
        <f>Calculator!H37</f>
        <v>792</v>
      </c>
      <c r="I26" s="1">
        <f>H26</f>
        <v>792</v>
      </c>
      <c r="J26" s="1">
        <f t="shared" ref="J26:V26" si="8">I26</f>
        <v>792</v>
      </c>
      <c r="K26" s="1">
        <f t="shared" si="8"/>
        <v>792</v>
      </c>
      <c r="L26" s="1">
        <f t="shared" si="8"/>
        <v>792</v>
      </c>
      <c r="M26" s="1">
        <f t="shared" si="8"/>
        <v>792</v>
      </c>
      <c r="N26" s="1">
        <f t="shared" si="8"/>
        <v>792</v>
      </c>
      <c r="O26" s="1">
        <f t="shared" si="8"/>
        <v>792</v>
      </c>
      <c r="P26" s="1">
        <f t="shared" si="8"/>
        <v>792</v>
      </c>
      <c r="Q26" s="1">
        <f t="shared" si="8"/>
        <v>792</v>
      </c>
      <c r="R26" s="1">
        <f t="shared" si="8"/>
        <v>792</v>
      </c>
      <c r="S26" s="1">
        <f t="shared" si="8"/>
        <v>792</v>
      </c>
      <c r="T26" s="1">
        <f t="shared" si="8"/>
        <v>792</v>
      </c>
      <c r="U26" s="1">
        <f t="shared" si="8"/>
        <v>792</v>
      </c>
      <c r="V26" s="1">
        <f t="shared" si="8"/>
        <v>792</v>
      </c>
    </row>
    <row r="27" spans="3:22" x14ac:dyDescent="0.2">
      <c r="G27" s="3" t="s">
        <v>86</v>
      </c>
      <c r="H27" s="42">
        <f>H24+H25+H26</f>
        <v>13638.10648589292</v>
      </c>
      <c r="I27" s="42">
        <f t="shared" ref="I27:V27" si="9">I24+I25+I26</f>
        <v>9187.7924847212744</v>
      </c>
      <c r="J27" s="42">
        <f t="shared" si="9"/>
        <v>9193.5922035261956</v>
      </c>
      <c r="K27" s="42">
        <f t="shared" si="9"/>
        <v>9199.5079167072145</v>
      </c>
      <c r="L27" s="42">
        <f t="shared" si="9"/>
        <v>9205.5419441518534</v>
      </c>
      <c r="M27" s="42">
        <f t="shared" si="9"/>
        <v>1105.8901076701582</v>
      </c>
      <c r="N27" s="42">
        <f t="shared" si="9"/>
        <v>1112.1679098235613</v>
      </c>
      <c r="O27" s="42">
        <f t="shared" si="9"/>
        <v>1118.5712680200327</v>
      </c>
      <c r="P27" s="42">
        <f t="shared" si="9"/>
        <v>1125.1026933804333</v>
      </c>
      <c r="Q27" s="42">
        <f t="shared" si="9"/>
        <v>1131.7647472480419</v>
      </c>
      <c r="R27" s="42">
        <f t="shared" si="9"/>
        <v>1138.5600421930028</v>
      </c>
      <c r="S27" s="42">
        <f t="shared" si="9"/>
        <v>1145.4912430368627</v>
      </c>
      <c r="T27" s="42">
        <f t="shared" si="9"/>
        <v>1152.5610678976</v>
      </c>
      <c r="U27" s="42">
        <f t="shared" si="9"/>
        <v>1159.7722892555521</v>
      </c>
      <c r="V27" s="42">
        <f t="shared" si="9"/>
        <v>1167.1277350406631</v>
      </c>
    </row>
    <row r="28" spans="3:22" x14ac:dyDescent="0.2">
      <c r="G28" s="3" t="s">
        <v>87</v>
      </c>
      <c r="H28" s="42">
        <f>H27</f>
        <v>13638.10648589292</v>
      </c>
      <c r="I28" s="42">
        <f>H28+I27</f>
        <v>22825.898970614195</v>
      </c>
      <c r="J28" s="42">
        <f t="shared" ref="J28:V28" si="10">I28+J27</f>
        <v>32019.491174140392</v>
      </c>
      <c r="K28" s="42">
        <f t="shared" si="10"/>
        <v>41218.999090847603</v>
      </c>
      <c r="L28" s="42">
        <f t="shared" si="10"/>
        <v>50424.541034999456</v>
      </c>
      <c r="M28" s="42">
        <f t="shared" si="10"/>
        <v>51530.431142669615</v>
      </c>
      <c r="N28" s="42">
        <f t="shared" si="10"/>
        <v>52642.599052493177</v>
      </c>
      <c r="O28" s="42">
        <f t="shared" si="10"/>
        <v>53761.170320513207</v>
      </c>
      <c r="P28" s="42">
        <f t="shared" si="10"/>
        <v>54886.273013893639</v>
      </c>
      <c r="Q28" s="42">
        <f t="shared" si="10"/>
        <v>56018.037761141677</v>
      </c>
      <c r="R28" s="42">
        <f t="shared" si="10"/>
        <v>57156.597803334676</v>
      </c>
      <c r="S28" s="42">
        <f t="shared" si="10"/>
        <v>58302.08904637154</v>
      </c>
      <c r="T28" s="42">
        <f t="shared" si="10"/>
        <v>59454.650114269141</v>
      </c>
      <c r="U28" s="42">
        <f t="shared" si="10"/>
        <v>60614.422403524695</v>
      </c>
      <c r="V28" s="42">
        <f t="shared" si="10"/>
        <v>61781.550138565355</v>
      </c>
    </row>
    <row r="29" spans="3:22" x14ac:dyDescent="0.2">
      <c r="G29" s="3" t="s">
        <v>96</v>
      </c>
      <c r="H29" s="44">
        <f>Calculator!G52</f>
        <v>412.84048771043268</v>
      </c>
      <c r="I29" s="44">
        <f>Calculator!H52</f>
        <v>412.84048771043268</v>
      </c>
      <c r="J29" s="44">
        <f>Calculator!I52</f>
        <v>351.93696801557337</v>
      </c>
      <c r="K29" s="44">
        <f>Calculator!J52</f>
        <v>344.4089625669921</v>
      </c>
      <c r="L29" s="44">
        <f>Calculator!K52</f>
        <v>320.16548400473295</v>
      </c>
      <c r="M29" s="44">
        <f>Calculator!L52</f>
        <v>308.2941042993595</v>
      </c>
      <c r="N29" s="44">
        <f>Calculator!M52</f>
        <v>292.0407451164412</v>
      </c>
      <c r="O29" s="44">
        <f>Calculator!N52</f>
        <v>288.0214992363276</v>
      </c>
      <c r="P29" s="44">
        <f>Calculator!O52</f>
        <v>309.45176422238461</v>
      </c>
      <c r="Q29" s="44">
        <f>Calculator!P52</f>
        <v>301.97778792478124</v>
      </c>
      <c r="R29" s="44">
        <f>Calculator!Q52</f>
        <v>279.14925685866046</v>
      </c>
      <c r="S29" s="44">
        <f>Calculator!R52</f>
        <v>299.56848731809123</v>
      </c>
      <c r="T29" s="44">
        <f>Calculator!S52</f>
        <v>296.6024537057138</v>
      </c>
      <c r="U29" s="44">
        <f>Calculator!T52</f>
        <v>303.30429223984879</v>
      </c>
      <c r="V29" s="44">
        <f>Calculator!U52</f>
        <v>285.74228231204569</v>
      </c>
    </row>
    <row r="30" spans="3:22" x14ac:dyDescent="0.2">
      <c r="G30" s="3" t="s">
        <v>106</v>
      </c>
      <c r="H30" s="42">
        <f>H29</f>
        <v>412.84048771043268</v>
      </c>
      <c r="I30" s="42">
        <f>H30+I29</f>
        <v>825.68097542086537</v>
      </c>
      <c r="J30" s="42">
        <f t="shared" ref="J30:V30" si="11">I30+J29</f>
        <v>1177.6179434364387</v>
      </c>
      <c r="K30" s="42">
        <f t="shared" si="11"/>
        <v>1522.0269060034309</v>
      </c>
      <c r="L30" s="42">
        <f t="shared" si="11"/>
        <v>1842.1923900081638</v>
      </c>
      <c r="M30" s="42">
        <f t="shared" si="11"/>
        <v>2150.4864943075231</v>
      </c>
      <c r="N30" s="42">
        <f t="shared" si="11"/>
        <v>2442.5272394239641</v>
      </c>
      <c r="O30" s="42">
        <f t="shared" si="11"/>
        <v>2730.5487386602917</v>
      </c>
      <c r="P30" s="42">
        <f t="shared" si="11"/>
        <v>3040.0005028826763</v>
      </c>
      <c r="Q30" s="42">
        <f t="shared" si="11"/>
        <v>3341.9782908074576</v>
      </c>
      <c r="R30" s="42">
        <f t="shared" si="11"/>
        <v>3621.1275476661181</v>
      </c>
      <c r="S30" s="42">
        <f t="shared" si="11"/>
        <v>3920.6960349842093</v>
      </c>
      <c r="T30" s="42">
        <f t="shared" si="11"/>
        <v>4217.298488689923</v>
      </c>
      <c r="U30" s="42">
        <f t="shared" si="11"/>
        <v>4520.6027809297721</v>
      </c>
      <c r="V30" s="42">
        <f t="shared" si="11"/>
        <v>4806.345063241818</v>
      </c>
    </row>
    <row r="31" spans="3:22" ht="13.5" thickBot="1" x14ac:dyDescent="0.25">
      <c r="G31" s="3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</row>
    <row r="32" spans="3:22" x14ac:dyDescent="0.2">
      <c r="G32" s="3"/>
      <c r="H32" s="5">
        <v>1</v>
      </c>
      <c r="I32" s="6">
        <v>2</v>
      </c>
      <c r="J32" s="6">
        <v>3</v>
      </c>
      <c r="K32" s="6">
        <v>4</v>
      </c>
      <c r="L32" s="6">
        <v>5</v>
      </c>
      <c r="M32" s="6">
        <v>6</v>
      </c>
      <c r="N32" s="6">
        <v>7</v>
      </c>
      <c r="O32" s="6">
        <v>8</v>
      </c>
      <c r="P32" s="6">
        <v>9</v>
      </c>
      <c r="Q32" s="6">
        <v>10</v>
      </c>
      <c r="R32" s="6">
        <v>11</v>
      </c>
      <c r="S32" s="6">
        <v>12</v>
      </c>
      <c r="T32" s="6">
        <v>13</v>
      </c>
      <c r="U32" s="6">
        <v>14</v>
      </c>
      <c r="V32" s="7">
        <v>15</v>
      </c>
    </row>
    <row r="33" spans="3:24" ht="13.5" thickBot="1" x14ac:dyDescent="0.25">
      <c r="G33" s="3"/>
      <c r="H33" s="145">
        <v>2020</v>
      </c>
      <c r="I33" s="78">
        <v>2021</v>
      </c>
      <c r="J33" s="78">
        <v>2022</v>
      </c>
      <c r="K33" s="78">
        <v>2023</v>
      </c>
      <c r="L33" s="78">
        <v>2024</v>
      </c>
      <c r="M33" s="78">
        <v>2025</v>
      </c>
      <c r="N33" s="78">
        <v>2026</v>
      </c>
      <c r="O33" s="78">
        <v>2027</v>
      </c>
      <c r="P33" s="78">
        <v>2028</v>
      </c>
      <c r="Q33" s="78">
        <v>2029</v>
      </c>
      <c r="R33" s="78">
        <v>2030</v>
      </c>
      <c r="S33" s="78">
        <v>2031</v>
      </c>
      <c r="T33" s="78">
        <v>2032</v>
      </c>
      <c r="U33" s="78">
        <v>2033</v>
      </c>
      <c r="V33" s="79">
        <v>2034</v>
      </c>
    </row>
    <row r="34" spans="3:24" ht="13.5" thickBot="1" x14ac:dyDescent="0.25">
      <c r="G34" s="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</row>
    <row r="35" spans="3:24" ht="13.5" thickBot="1" x14ac:dyDescent="0.25">
      <c r="C35" s="113" t="s">
        <v>12</v>
      </c>
      <c r="D35" s="114">
        <v>2020</v>
      </c>
      <c r="E35" s="114" t="s">
        <v>13</v>
      </c>
      <c r="F35" s="115" t="s">
        <v>98</v>
      </c>
      <c r="G35" s="3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3:24" ht="25.5" x14ac:dyDescent="0.2">
      <c r="G36" s="4" t="s">
        <v>88</v>
      </c>
      <c r="H36" s="42">
        <f>Calculator!J12</f>
        <v>4266.75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</row>
    <row r="37" spans="3:24" x14ac:dyDescent="0.2">
      <c r="G37" s="4" t="s">
        <v>89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</row>
    <row r="38" spans="3:24" x14ac:dyDescent="0.2">
      <c r="G38" s="3" t="s">
        <v>90</v>
      </c>
      <c r="H38" s="42">
        <f>Calculator!J15</f>
        <v>5369.5777167582182</v>
      </c>
      <c r="I38" s="42">
        <f>H38</f>
        <v>5369.5777167582182</v>
      </c>
      <c r="J38" s="42">
        <f t="shared" ref="J38:L38" si="12">I38</f>
        <v>5369.5777167582182</v>
      </c>
      <c r="K38" s="42">
        <f t="shared" si="12"/>
        <v>5369.5777167582182</v>
      </c>
      <c r="L38" s="42">
        <f t="shared" si="12"/>
        <v>5369.5777167582182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</row>
    <row r="39" spans="3:24" x14ac:dyDescent="0.2">
      <c r="G39" s="3" t="s">
        <v>91</v>
      </c>
      <c r="H39" s="1">
        <f>H36+H37+H38</f>
        <v>9636.3277167582182</v>
      </c>
      <c r="I39" s="1">
        <f t="shared" ref="I39:V39" si="13">I36+I37+I38</f>
        <v>5369.5777167582182</v>
      </c>
      <c r="J39" s="1">
        <f t="shared" si="13"/>
        <v>5369.5777167582182</v>
      </c>
      <c r="K39" s="1">
        <f t="shared" si="13"/>
        <v>5369.5777167582182</v>
      </c>
      <c r="L39" s="1">
        <f t="shared" si="13"/>
        <v>5369.5777167582182</v>
      </c>
      <c r="M39" s="1">
        <f t="shared" si="13"/>
        <v>0</v>
      </c>
      <c r="N39" s="1">
        <f t="shared" si="13"/>
        <v>0</v>
      </c>
      <c r="O39" s="1">
        <f t="shared" si="13"/>
        <v>0</v>
      </c>
      <c r="P39" s="1">
        <f t="shared" si="13"/>
        <v>0</v>
      </c>
      <c r="Q39" s="1">
        <f t="shared" si="13"/>
        <v>0</v>
      </c>
      <c r="R39" s="1">
        <f t="shared" si="13"/>
        <v>0</v>
      </c>
      <c r="S39" s="1">
        <f t="shared" si="13"/>
        <v>0</v>
      </c>
      <c r="T39" s="1">
        <f t="shared" si="13"/>
        <v>0</v>
      </c>
      <c r="U39" s="1">
        <f t="shared" si="13"/>
        <v>0</v>
      </c>
      <c r="V39" s="1">
        <f t="shared" si="13"/>
        <v>0</v>
      </c>
    </row>
    <row r="40" spans="3:24" x14ac:dyDescent="0.2">
      <c r="G40" s="3" t="s">
        <v>84</v>
      </c>
      <c r="H40" s="42">
        <f>H68*Calculator!$J$26</f>
        <v>1021.3333333333333</v>
      </c>
      <c r="I40" s="42">
        <f>I68*Calculator!$J$26</f>
        <v>1044.8239999999998</v>
      </c>
      <c r="J40" s="42">
        <f>J68*Calculator!$J$26</f>
        <v>1068.8549519999997</v>
      </c>
      <c r="K40" s="42">
        <f>K68*Calculator!$J$26</f>
        <v>1093.4386158959996</v>
      </c>
      <c r="L40" s="42">
        <f>L68*Calculator!$J$26</f>
        <v>1118.5877040616074</v>
      </c>
      <c r="M40" s="42">
        <f>M68*Calculator!$J$26</f>
        <v>1144.3152212550242</v>
      </c>
      <c r="N40" s="42">
        <f>N68*Calculator!$J$26</f>
        <v>1170.6344713438898</v>
      </c>
      <c r="O40" s="42">
        <f>O68*Calculator!$J$26</f>
        <v>1197.5590641847991</v>
      </c>
      <c r="P40" s="42">
        <f>P68*Calculator!$J$26</f>
        <v>1225.1029226610492</v>
      </c>
      <c r="Q40" s="42">
        <f>Q68*Calculator!$J$26</f>
        <v>1253.2802898822533</v>
      </c>
      <c r="R40" s="42">
        <f>R68*Calculator!$J$26</f>
        <v>1282.1057365495451</v>
      </c>
      <c r="S40" s="42">
        <f>S68*Calculator!$J$26</f>
        <v>1311.5941684901845</v>
      </c>
      <c r="T40" s="42">
        <f>T68*Calculator!$J$26</f>
        <v>1341.7608343654588</v>
      </c>
      <c r="U40" s="42">
        <f>U68*Calculator!$J$26</f>
        <v>1372.6213335558641</v>
      </c>
      <c r="V40" s="42">
        <f>V68*Calculator!$J$26</f>
        <v>1404.1916242276488</v>
      </c>
    </row>
    <row r="41" spans="3:24" x14ac:dyDescent="0.2">
      <c r="G41" s="3" t="s">
        <v>85</v>
      </c>
      <c r="H41" s="42">
        <f>Calculator!$J$37</f>
        <v>1104</v>
      </c>
      <c r="I41" s="42">
        <f>Calculator!$J$37</f>
        <v>1104</v>
      </c>
      <c r="J41" s="42">
        <f>Calculator!$J$37</f>
        <v>1104</v>
      </c>
      <c r="K41" s="42">
        <f>Calculator!$J$37</f>
        <v>1104</v>
      </c>
      <c r="L41" s="42">
        <f>Calculator!$J$37</f>
        <v>1104</v>
      </c>
      <c r="M41" s="42">
        <f>Calculator!$J$37</f>
        <v>1104</v>
      </c>
      <c r="N41" s="42">
        <f>Calculator!$J$37</f>
        <v>1104</v>
      </c>
      <c r="O41" s="42">
        <f>Calculator!$J$37</f>
        <v>1104</v>
      </c>
      <c r="P41" s="42">
        <f>Calculator!$J$37</f>
        <v>1104</v>
      </c>
      <c r="Q41" s="42">
        <f>Calculator!$J$37</f>
        <v>1104</v>
      </c>
      <c r="R41" s="42">
        <f>Calculator!$J$37</f>
        <v>1104</v>
      </c>
      <c r="S41" s="42">
        <f>Calculator!$J$37</f>
        <v>1104</v>
      </c>
      <c r="T41" s="42">
        <f>Calculator!$J$37</f>
        <v>1104</v>
      </c>
      <c r="U41" s="42">
        <f>Calculator!$J$37</f>
        <v>1104</v>
      </c>
      <c r="V41" s="42">
        <f>Calculator!$J$37</f>
        <v>1104</v>
      </c>
    </row>
    <row r="42" spans="3:24" x14ac:dyDescent="0.2">
      <c r="G42" s="3" t="s">
        <v>86</v>
      </c>
      <c r="H42" s="42">
        <f>H39+H40+H41</f>
        <v>11761.661050091552</v>
      </c>
      <c r="I42" s="42">
        <f t="shared" ref="I42:V42" si="14">I39+I40+I41</f>
        <v>7518.4017167582178</v>
      </c>
      <c r="J42" s="42">
        <f t="shared" si="14"/>
        <v>7542.4326687582179</v>
      </c>
      <c r="K42" s="42">
        <f t="shared" si="14"/>
        <v>7567.0163326542179</v>
      </c>
      <c r="L42" s="42">
        <f t="shared" si="14"/>
        <v>7592.1654208198252</v>
      </c>
      <c r="M42" s="42">
        <f t="shared" si="14"/>
        <v>2248.315221255024</v>
      </c>
      <c r="N42" s="42">
        <f t="shared" si="14"/>
        <v>2274.6344713438898</v>
      </c>
      <c r="O42" s="42">
        <f t="shared" si="14"/>
        <v>2301.5590641847994</v>
      </c>
      <c r="P42" s="42">
        <f t="shared" si="14"/>
        <v>2329.102922661049</v>
      </c>
      <c r="Q42" s="42">
        <f t="shared" si="14"/>
        <v>2357.2802898822533</v>
      </c>
      <c r="R42" s="42">
        <f t="shared" si="14"/>
        <v>2386.1057365495453</v>
      </c>
      <c r="S42" s="42">
        <f t="shared" si="14"/>
        <v>2415.5941684901845</v>
      </c>
      <c r="T42" s="42">
        <f t="shared" si="14"/>
        <v>2445.7608343654588</v>
      </c>
      <c r="U42" s="42">
        <f t="shared" si="14"/>
        <v>2476.6213335558641</v>
      </c>
      <c r="V42" s="42">
        <f t="shared" si="14"/>
        <v>2508.1916242276488</v>
      </c>
    </row>
    <row r="43" spans="3:24" x14ac:dyDescent="0.2">
      <c r="G43" s="3" t="s">
        <v>87</v>
      </c>
      <c r="H43" s="42">
        <f>H42</f>
        <v>11761.661050091552</v>
      </c>
      <c r="I43" s="42">
        <f>H43+I42</f>
        <v>19280.062766849769</v>
      </c>
      <c r="J43" s="42">
        <f t="shared" ref="J43:V43" si="15">I43+J42</f>
        <v>26822.495435607987</v>
      </c>
      <c r="K43" s="42">
        <f t="shared" si="15"/>
        <v>34389.511768262208</v>
      </c>
      <c r="L43" s="42">
        <f t="shared" si="15"/>
        <v>41981.677189082031</v>
      </c>
      <c r="M43" s="42">
        <f t="shared" si="15"/>
        <v>44229.992410337058</v>
      </c>
      <c r="N43" s="42">
        <f t="shared" si="15"/>
        <v>46504.626881680946</v>
      </c>
      <c r="O43" s="42">
        <f t="shared" si="15"/>
        <v>48806.185945865742</v>
      </c>
      <c r="P43" s="42">
        <f t="shared" si="15"/>
        <v>51135.28886852679</v>
      </c>
      <c r="Q43" s="42">
        <f t="shared" si="15"/>
        <v>53492.569158409045</v>
      </c>
      <c r="R43" s="42">
        <f t="shared" si="15"/>
        <v>55878.674894958589</v>
      </c>
      <c r="S43" s="42">
        <f t="shared" si="15"/>
        <v>58294.269063448774</v>
      </c>
      <c r="T43" s="42">
        <f t="shared" si="15"/>
        <v>60740.029897814231</v>
      </c>
      <c r="U43" s="42">
        <f t="shared" si="15"/>
        <v>63216.651231370095</v>
      </c>
      <c r="V43" s="42">
        <f t="shared" si="15"/>
        <v>65724.842855597744</v>
      </c>
    </row>
    <row r="44" spans="3:24" x14ac:dyDescent="0.2">
      <c r="G44" s="3" t="s">
        <v>96</v>
      </c>
      <c r="H44" s="42">
        <f>Calculator!$J$42</f>
        <v>3525.04</v>
      </c>
      <c r="I44" s="42">
        <f>Calculator!$J$42</f>
        <v>3525.04</v>
      </c>
      <c r="J44" s="42">
        <f>Calculator!$J$42</f>
        <v>3525.04</v>
      </c>
      <c r="K44" s="42">
        <f>Calculator!$J$42</f>
        <v>3525.04</v>
      </c>
      <c r="L44" s="42">
        <f>Calculator!$J$42</f>
        <v>3525.04</v>
      </c>
      <c r="M44" s="42">
        <f>Calculator!$J$42</f>
        <v>3525.04</v>
      </c>
      <c r="N44" s="42">
        <f>Calculator!$J$42</f>
        <v>3525.04</v>
      </c>
      <c r="O44" s="42">
        <f>Calculator!$J$42</f>
        <v>3525.04</v>
      </c>
      <c r="P44" s="42">
        <f>Calculator!$J$42</f>
        <v>3525.04</v>
      </c>
      <c r="Q44" s="42">
        <f>Calculator!$J$42</f>
        <v>3525.04</v>
      </c>
      <c r="R44" s="42">
        <f>Calculator!$J$42</f>
        <v>3525.04</v>
      </c>
      <c r="S44" s="42">
        <f>Calculator!$J$42</f>
        <v>3525.04</v>
      </c>
      <c r="T44" s="42">
        <f>Calculator!$J$42</f>
        <v>3525.04</v>
      </c>
      <c r="U44" s="42">
        <f>Calculator!$J$42</f>
        <v>3525.04</v>
      </c>
      <c r="V44" s="42">
        <f>Calculator!$J$42</f>
        <v>3525.04</v>
      </c>
    </row>
    <row r="45" spans="3:24" x14ac:dyDescent="0.2">
      <c r="G45" s="3" t="s">
        <v>106</v>
      </c>
      <c r="H45" s="42">
        <f>H44</f>
        <v>3525.04</v>
      </c>
      <c r="I45" s="42">
        <f>H45+I44</f>
        <v>7050.08</v>
      </c>
      <c r="J45" s="42">
        <f t="shared" ref="J45" si="16">I45+J44</f>
        <v>10575.119999999999</v>
      </c>
      <c r="K45" s="42">
        <f t="shared" ref="K45" si="17">J45+K44</f>
        <v>14100.16</v>
      </c>
      <c r="L45" s="42">
        <f t="shared" ref="L45" si="18">K45+L44</f>
        <v>17625.2</v>
      </c>
      <c r="M45" s="42">
        <f t="shared" ref="M45" si="19">L45+M44</f>
        <v>21150.240000000002</v>
      </c>
      <c r="N45" s="42">
        <f t="shared" ref="N45" si="20">M45+N44</f>
        <v>24675.280000000002</v>
      </c>
      <c r="O45" s="42">
        <f t="shared" ref="O45" si="21">N45+O44</f>
        <v>28200.320000000003</v>
      </c>
      <c r="P45" s="42">
        <f t="shared" ref="P45" si="22">O45+P44</f>
        <v>31725.360000000004</v>
      </c>
      <c r="Q45" s="42">
        <f t="shared" ref="Q45" si="23">P45+Q44</f>
        <v>35250.400000000001</v>
      </c>
      <c r="R45" s="42">
        <f t="shared" ref="R45" si="24">Q45+R44</f>
        <v>38775.440000000002</v>
      </c>
      <c r="S45" s="42">
        <f t="shared" ref="S45" si="25">R45+S44</f>
        <v>42300.480000000003</v>
      </c>
      <c r="T45" s="42">
        <f t="shared" ref="T45" si="26">S45+T44</f>
        <v>45825.520000000004</v>
      </c>
      <c r="U45" s="42">
        <f t="shared" ref="U45" si="27">T45+U44</f>
        <v>49350.560000000005</v>
      </c>
      <c r="V45" s="42">
        <f t="shared" ref="V45" si="28">U45+V44</f>
        <v>52875.600000000006</v>
      </c>
      <c r="X45" s="42"/>
    </row>
    <row r="46" spans="3:24" ht="13.5" thickBot="1" x14ac:dyDescent="0.25">
      <c r="G46" s="3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3:24" x14ac:dyDescent="0.2">
      <c r="G47" s="3"/>
      <c r="H47" s="5">
        <v>1</v>
      </c>
      <c r="I47" s="6">
        <v>2</v>
      </c>
      <c r="J47" s="6">
        <v>3</v>
      </c>
      <c r="K47" s="6">
        <v>4</v>
      </c>
      <c r="L47" s="6">
        <v>5</v>
      </c>
      <c r="M47" s="6">
        <v>6</v>
      </c>
      <c r="N47" s="6">
        <v>7</v>
      </c>
      <c r="O47" s="6">
        <v>8</v>
      </c>
      <c r="P47" s="6">
        <v>9</v>
      </c>
      <c r="Q47" s="6">
        <v>10</v>
      </c>
      <c r="R47" s="6">
        <v>11</v>
      </c>
      <c r="S47" s="6">
        <v>12</v>
      </c>
      <c r="T47" s="6">
        <v>13</v>
      </c>
      <c r="U47" s="6">
        <v>14</v>
      </c>
      <c r="V47" s="7">
        <v>15</v>
      </c>
    </row>
    <row r="48" spans="3:24" ht="13.5" thickBot="1" x14ac:dyDescent="0.25">
      <c r="G48" s="3"/>
      <c r="H48" s="145">
        <v>2020</v>
      </c>
      <c r="I48" s="78">
        <v>2021</v>
      </c>
      <c r="J48" s="78">
        <v>2022</v>
      </c>
      <c r="K48" s="78">
        <v>2023</v>
      </c>
      <c r="L48" s="78">
        <v>2024</v>
      </c>
      <c r="M48" s="78">
        <v>2025</v>
      </c>
      <c r="N48" s="78">
        <v>2026</v>
      </c>
      <c r="O48" s="78">
        <v>2027</v>
      </c>
      <c r="P48" s="78">
        <v>2028</v>
      </c>
      <c r="Q48" s="78">
        <v>2029</v>
      </c>
      <c r="R48" s="78">
        <v>2030</v>
      </c>
      <c r="S48" s="78">
        <v>2031</v>
      </c>
      <c r="T48" s="78">
        <v>2032</v>
      </c>
      <c r="U48" s="78">
        <v>2033</v>
      </c>
      <c r="V48" s="79">
        <v>2034</v>
      </c>
    </row>
    <row r="49" spans="3:22" ht="13.5" thickBot="1" x14ac:dyDescent="0.25">
      <c r="G49" s="3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</row>
    <row r="50" spans="3:22" ht="26.25" thickBot="1" x14ac:dyDescent="0.25">
      <c r="C50" s="116" t="s">
        <v>15</v>
      </c>
      <c r="D50" s="117">
        <v>2020</v>
      </c>
      <c r="E50" s="117" t="s">
        <v>13</v>
      </c>
      <c r="F50" s="118" t="s">
        <v>99</v>
      </c>
      <c r="G50" s="3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</row>
    <row r="51" spans="3:22" ht="25.5" x14ac:dyDescent="0.2">
      <c r="G51" s="4" t="s">
        <v>88</v>
      </c>
      <c r="H51" s="42">
        <f>Calculator!K12</f>
        <v>4668.75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</row>
    <row r="52" spans="3:22" x14ac:dyDescent="0.2">
      <c r="G52" s="4" t="s">
        <v>89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</row>
    <row r="53" spans="3:22" x14ac:dyDescent="0.2">
      <c r="G53" s="3" t="s">
        <v>90</v>
      </c>
      <c r="H53" s="42">
        <f>Calculator!K15</f>
        <v>5875.4827363016175</v>
      </c>
      <c r="I53" s="42">
        <f>H53</f>
        <v>5875.4827363016175</v>
      </c>
      <c r="J53" s="42">
        <f t="shared" ref="J53:L53" si="29">I53</f>
        <v>5875.4827363016175</v>
      </c>
      <c r="K53" s="42">
        <f t="shared" si="29"/>
        <v>5875.4827363016175</v>
      </c>
      <c r="L53" s="42">
        <f t="shared" si="29"/>
        <v>5875.4827363016175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</row>
    <row r="54" spans="3:22" x14ac:dyDescent="0.2">
      <c r="G54" s="3" t="s">
        <v>91</v>
      </c>
      <c r="H54" s="1">
        <f>H51+H52+H53</f>
        <v>10544.232736301617</v>
      </c>
      <c r="I54" s="1">
        <f t="shared" ref="I54" si="30">I51+I52+I53</f>
        <v>5875.4827363016175</v>
      </c>
      <c r="J54" s="1">
        <f t="shared" ref="J54" si="31">J51+J52+J53</f>
        <v>5875.4827363016175</v>
      </c>
      <c r="K54" s="1">
        <f t="shared" ref="K54" si="32">K51+K52+K53</f>
        <v>5875.4827363016175</v>
      </c>
      <c r="L54" s="1">
        <f t="shared" ref="L54" si="33">L51+L52+L53</f>
        <v>5875.4827363016175</v>
      </c>
      <c r="M54" s="1">
        <f t="shared" ref="M54" si="34">M51+M52+M53</f>
        <v>0</v>
      </c>
      <c r="N54" s="1">
        <f t="shared" ref="N54" si="35">N51+N52+N53</f>
        <v>0</v>
      </c>
      <c r="O54" s="1">
        <f t="shared" ref="O54" si="36">O51+O52+O53</f>
        <v>0</v>
      </c>
      <c r="P54" s="1">
        <f t="shared" ref="P54" si="37">P51+P52+P53</f>
        <v>0</v>
      </c>
      <c r="Q54" s="1">
        <f t="shared" ref="Q54" si="38">Q51+Q52+Q53</f>
        <v>0</v>
      </c>
      <c r="R54" s="1">
        <f t="shared" ref="R54" si="39">R51+R52+R53</f>
        <v>0</v>
      </c>
      <c r="S54" s="1">
        <f t="shared" ref="S54" si="40">S51+S52+S53</f>
        <v>0</v>
      </c>
      <c r="T54" s="1">
        <f t="shared" ref="T54" si="41">T51+T52+T53</f>
        <v>0</v>
      </c>
      <c r="U54" s="1">
        <f t="shared" ref="U54" si="42">U51+U52+U53</f>
        <v>0</v>
      </c>
      <c r="V54" s="1">
        <f t="shared" ref="V54" si="43">V51+V52+V53</f>
        <v>0</v>
      </c>
    </row>
    <row r="55" spans="3:22" x14ac:dyDescent="0.2">
      <c r="G55" s="3" t="s">
        <v>84</v>
      </c>
      <c r="H55" s="42">
        <f>H68*Calculator!$K$26</f>
        <v>1021.3333333333333</v>
      </c>
      <c r="I55" s="42">
        <f>I68*Calculator!$K$26</f>
        <v>1044.8239999999998</v>
      </c>
      <c r="J55" s="42">
        <f>J68*Calculator!$K$26</f>
        <v>1068.8549519999997</v>
      </c>
      <c r="K55" s="42">
        <f>K68*Calculator!$K$26</f>
        <v>1093.4386158959996</v>
      </c>
      <c r="L55" s="42">
        <f>L68*Calculator!$K$26</f>
        <v>1118.5877040616074</v>
      </c>
      <c r="M55" s="42">
        <f>M68*Calculator!$K$26</f>
        <v>1144.3152212550242</v>
      </c>
      <c r="N55" s="42">
        <f>N68*Calculator!$K$26</f>
        <v>1170.6344713438898</v>
      </c>
      <c r="O55" s="42">
        <f>O68*Calculator!$K$26</f>
        <v>1197.5590641847991</v>
      </c>
      <c r="P55" s="42">
        <f>P68*Calculator!$K$26</f>
        <v>1225.1029226610492</v>
      </c>
      <c r="Q55" s="42">
        <f>Q68*Calculator!$K$26</f>
        <v>1253.2802898822533</v>
      </c>
      <c r="R55" s="42">
        <f>R68*Calculator!$K$26</f>
        <v>1282.1057365495451</v>
      </c>
      <c r="S55" s="42">
        <f>S68*Calculator!$K$26</f>
        <v>1311.5941684901845</v>
      </c>
      <c r="T55" s="42">
        <f>T68*Calculator!$K$26</f>
        <v>1341.7608343654588</v>
      </c>
      <c r="U55" s="42">
        <f>U68*Calculator!$K$26</f>
        <v>1372.6213335558641</v>
      </c>
      <c r="V55" s="42">
        <f>V68*Calculator!$K$26</f>
        <v>1404.1916242276488</v>
      </c>
    </row>
    <row r="56" spans="3:22" x14ac:dyDescent="0.2">
      <c r="G56" s="3" t="s">
        <v>85</v>
      </c>
      <c r="H56" s="42">
        <f>Calculator!$K$37</f>
        <v>1092</v>
      </c>
      <c r="I56" s="42">
        <f>Calculator!$K$37</f>
        <v>1092</v>
      </c>
      <c r="J56" s="42">
        <f>Calculator!$K$37</f>
        <v>1092</v>
      </c>
      <c r="K56" s="42">
        <f>Calculator!$K$37</f>
        <v>1092</v>
      </c>
      <c r="L56" s="42">
        <f>Calculator!$K$37</f>
        <v>1092</v>
      </c>
      <c r="M56" s="42">
        <f>Calculator!$K$37</f>
        <v>1092</v>
      </c>
      <c r="N56" s="42">
        <f>Calculator!$K$37</f>
        <v>1092</v>
      </c>
      <c r="O56" s="42">
        <f>Calculator!$K$37</f>
        <v>1092</v>
      </c>
      <c r="P56" s="42">
        <f>Calculator!$K$37</f>
        <v>1092</v>
      </c>
      <c r="Q56" s="42">
        <f>Calculator!$K$37</f>
        <v>1092</v>
      </c>
      <c r="R56" s="42">
        <f>Calculator!$K$37</f>
        <v>1092</v>
      </c>
      <c r="S56" s="42">
        <f>Calculator!$K$37</f>
        <v>1092</v>
      </c>
      <c r="T56" s="42">
        <f>Calculator!$K$37</f>
        <v>1092</v>
      </c>
      <c r="U56" s="42">
        <f>Calculator!$K$37</f>
        <v>1092</v>
      </c>
      <c r="V56" s="42">
        <f>Calculator!$K$37</f>
        <v>1092</v>
      </c>
    </row>
    <row r="57" spans="3:22" x14ac:dyDescent="0.2">
      <c r="G57" s="3" t="s">
        <v>86</v>
      </c>
      <c r="H57" s="42">
        <f>H54+H55+H56</f>
        <v>12657.566069634951</v>
      </c>
      <c r="I57" s="42">
        <f t="shared" ref="I57:V57" si="44">I54+I55+I56</f>
        <v>8012.3067363016171</v>
      </c>
      <c r="J57" s="42">
        <f t="shared" si="44"/>
        <v>8036.3376883016172</v>
      </c>
      <c r="K57" s="42">
        <f t="shared" si="44"/>
        <v>8060.9213521976171</v>
      </c>
      <c r="L57" s="42">
        <f t="shared" si="44"/>
        <v>8086.0704403632244</v>
      </c>
      <c r="M57" s="42">
        <f t="shared" si="44"/>
        <v>2236.315221255024</v>
      </c>
      <c r="N57" s="42">
        <f t="shared" si="44"/>
        <v>2262.6344713438898</v>
      </c>
      <c r="O57" s="42">
        <f t="shared" si="44"/>
        <v>2289.5590641847994</v>
      </c>
      <c r="P57" s="42">
        <f t="shared" si="44"/>
        <v>2317.102922661049</v>
      </c>
      <c r="Q57" s="42">
        <f t="shared" si="44"/>
        <v>2345.2802898822533</v>
      </c>
      <c r="R57" s="42">
        <f t="shared" si="44"/>
        <v>2374.1057365495453</v>
      </c>
      <c r="S57" s="42">
        <f t="shared" si="44"/>
        <v>2403.5941684901845</v>
      </c>
      <c r="T57" s="42">
        <f t="shared" si="44"/>
        <v>2433.7608343654588</v>
      </c>
      <c r="U57" s="42">
        <f t="shared" si="44"/>
        <v>2464.6213335558641</v>
      </c>
      <c r="V57" s="42">
        <f t="shared" si="44"/>
        <v>2496.1916242276488</v>
      </c>
    </row>
    <row r="58" spans="3:22" x14ac:dyDescent="0.2">
      <c r="G58" s="3" t="s">
        <v>87</v>
      </c>
      <c r="H58" s="42">
        <f>H57</f>
        <v>12657.566069634951</v>
      </c>
      <c r="I58" s="42">
        <f>H58+I57</f>
        <v>20669.872805936568</v>
      </c>
      <c r="J58" s="42">
        <f t="shared" ref="J58" si="45">I58+J57</f>
        <v>28706.210494238185</v>
      </c>
      <c r="K58" s="42">
        <f t="shared" ref="K58" si="46">J58+K57</f>
        <v>36767.131846435805</v>
      </c>
      <c r="L58" s="42">
        <f t="shared" ref="L58" si="47">K58+L57</f>
        <v>44853.202286799031</v>
      </c>
      <c r="M58" s="42">
        <f t="shared" ref="M58" si="48">L58+M57</f>
        <v>47089.517508054058</v>
      </c>
      <c r="N58" s="42">
        <f t="shared" ref="N58" si="49">M58+N57</f>
        <v>49352.151979397946</v>
      </c>
      <c r="O58" s="42">
        <f t="shared" ref="O58" si="50">N58+O57</f>
        <v>51641.711043582749</v>
      </c>
      <c r="P58" s="42">
        <f t="shared" ref="P58" si="51">O58+P57</f>
        <v>53958.813966243797</v>
      </c>
      <c r="Q58" s="42">
        <f t="shared" ref="Q58" si="52">P58+Q57</f>
        <v>56304.094256126053</v>
      </c>
      <c r="R58" s="42">
        <f t="shared" ref="R58" si="53">Q58+R57</f>
        <v>58678.199992675596</v>
      </c>
      <c r="S58" s="42">
        <f t="shared" ref="S58" si="54">R58+S57</f>
        <v>61081.794161165781</v>
      </c>
      <c r="T58" s="42">
        <f t="shared" ref="T58" si="55">S58+T57</f>
        <v>63515.554995531238</v>
      </c>
      <c r="U58" s="42">
        <f t="shared" ref="U58" si="56">T58+U57</f>
        <v>65980.176329087102</v>
      </c>
      <c r="V58" s="42">
        <f t="shared" ref="V58" si="57">U58+V57</f>
        <v>68476.367953314752</v>
      </c>
    </row>
    <row r="59" spans="3:22" x14ac:dyDescent="0.2">
      <c r="G59" s="3" t="s">
        <v>96</v>
      </c>
      <c r="H59" s="42">
        <f>Calculator!$K$42</f>
        <v>3525.04</v>
      </c>
      <c r="I59" s="42">
        <f>Calculator!$K$42</f>
        <v>3525.04</v>
      </c>
      <c r="J59" s="42">
        <f>Calculator!$K$42</f>
        <v>3525.04</v>
      </c>
      <c r="K59" s="42">
        <f>Calculator!$K$42</f>
        <v>3525.04</v>
      </c>
      <c r="L59" s="42">
        <f>Calculator!$K$42</f>
        <v>3525.04</v>
      </c>
      <c r="M59" s="42">
        <f>Calculator!$K$42</f>
        <v>3525.04</v>
      </c>
      <c r="N59" s="42">
        <f>Calculator!$K$42</f>
        <v>3525.04</v>
      </c>
      <c r="O59" s="42">
        <f>Calculator!$K$42</f>
        <v>3525.04</v>
      </c>
      <c r="P59" s="42">
        <f>Calculator!$K$42</f>
        <v>3525.04</v>
      </c>
      <c r="Q59" s="42">
        <f>Calculator!$K$42</f>
        <v>3525.04</v>
      </c>
      <c r="R59" s="42">
        <f>Calculator!$K$42</f>
        <v>3525.04</v>
      </c>
      <c r="S59" s="42">
        <f>Calculator!$K$42</f>
        <v>3525.04</v>
      </c>
      <c r="T59" s="42">
        <f>Calculator!$K$42</f>
        <v>3525.04</v>
      </c>
      <c r="U59" s="42">
        <f>Calculator!$K$42</f>
        <v>3525.04</v>
      </c>
      <c r="V59" s="42">
        <f>Calculator!$K$42</f>
        <v>3525.04</v>
      </c>
    </row>
    <row r="60" spans="3:22" x14ac:dyDescent="0.2">
      <c r="G60" s="3" t="s">
        <v>106</v>
      </c>
      <c r="H60" s="42">
        <f>H59</f>
        <v>3525.04</v>
      </c>
      <c r="I60" s="42">
        <f>H60+I59</f>
        <v>7050.08</v>
      </c>
      <c r="J60" s="42">
        <f t="shared" ref="J60" si="58">I60+J59</f>
        <v>10575.119999999999</v>
      </c>
      <c r="K60" s="42">
        <f t="shared" ref="K60" si="59">J60+K59</f>
        <v>14100.16</v>
      </c>
      <c r="L60" s="42">
        <f t="shared" ref="L60" si="60">K60+L59</f>
        <v>17625.2</v>
      </c>
      <c r="M60" s="42">
        <f t="shared" ref="M60" si="61">L60+M59</f>
        <v>21150.240000000002</v>
      </c>
      <c r="N60" s="42">
        <f t="shared" ref="N60" si="62">M60+N59</f>
        <v>24675.280000000002</v>
      </c>
      <c r="O60" s="42">
        <f t="shared" ref="O60" si="63">N60+O59</f>
        <v>28200.320000000003</v>
      </c>
      <c r="P60" s="42">
        <f t="shared" ref="P60" si="64">O60+P59</f>
        <v>31725.360000000004</v>
      </c>
      <c r="Q60" s="42">
        <f t="shared" ref="Q60" si="65">P60+Q59</f>
        <v>35250.400000000001</v>
      </c>
      <c r="R60" s="42">
        <f t="shared" ref="R60" si="66">Q60+R59</f>
        <v>38775.440000000002</v>
      </c>
      <c r="S60" s="42">
        <f t="shared" ref="S60" si="67">R60+S59</f>
        <v>42300.480000000003</v>
      </c>
      <c r="T60" s="42">
        <f t="shared" ref="T60" si="68">S60+T59</f>
        <v>45825.520000000004</v>
      </c>
      <c r="U60" s="42">
        <f t="shared" ref="U60" si="69">T60+U59</f>
        <v>49350.560000000005</v>
      </c>
      <c r="V60" s="42">
        <f t="shared" ref="V60" si="70">U60+V59</f>
        <v>52875.600000000006</v>
      </c>
    </row>
    <row r="61" spans="3:22" x14ac:dyDescent="0.2">
      <c r="G61" s="3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</row>
    <row r="62" spans="3:22" x14ac:dyDescent="0.2">
      <c r="G62" s="3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</row>
    <row r="63" spans="3:22" x14ac:dyDescent="0.2">
      <c r="G63" s="3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</row>
    <row r="64" spans="3:22" ht="13.5" thickBot="1" x14ac:dyDescent="0.25"/>
    <row r="65" spans="3:22" x14ac:dyDescent="0.2">
      <c r="H65" s="5">
        <v>1</v>
      </c>
      <c r="I65" s="6">
        <v>2</v>
      </c>
      <c r="J65" s="6">
        <v>3</v>
      </c>
      <c r="K65" s="6">
        <v>4</v>
      </c>
      <c r="L65" s="6">
        <v>5</v>
      </c>
      <c r="M65" s="6">
        <v>6</v>
      </c>
      <c r="N65" s="6">
        <v>7</v>
      </c>
      <c r="O65" s="6">
        <v>8</v>
      </c>
      <c r="P65" s="6">
        <v>9</v>
      </c>
      <c r="Q65" s="6">
        <v>10</v>
      </c>
      <c r="R65" s="6">
        <v>11</v>
      </c>
      <c r="S65" s="6">
        <v>12</v>
      </c>
      <c r="T65" s="6">
        <v>13</v>
      </c>
      <c r="U65" s="6">
        <v>14</v>
      </c>
      <c r="V65" s="7">
        <v>15</v>
      </c>
    </row>
    <row r="66" spans="3:22" ht="13.5" thickBot="1" x14ac:dyDescent="0.25">
      <c r="H66" s="145">
        <v>2020</v>
      </c>
      <c r="I66" s="78">
        <v>2021</v>
      </c>
      <c r="J66" s="78">
        <v>2022</v>
      </c>
      <c r="K66" s="78">
        <v>2023</v>
      </c>
      <c r="L66" s="78">
        <v>2024</v>
      </c>
      <c r="M66" s="78">
        <v>2025</v>
      </c>
      <c r="N66" s="78">
        <v>2026</v>
      </c>
      <c r="O66" s="78">
        <v>2027</v>
      </c>
      <c r="P66" s="78">
        <v>2028</v>
      </c>
      <c r="Q66" s="78">
        <v>2029</v>
      </c>
      <c r="R66" s="78">
        <v>2030</v>
      </c>
      <c r="S66" s="78">
        <v>2031</v>
      </c>
      <c r="T66" s="78">
        <v>2032</v>
      </c>
      <c r="U66" s="78">
        <v>2033</v>
      </c>
      <c r="V66" s="79">
        <v>2034</v>
      </c>
    </row>
    <row r="68" spans="3:22" x14ac:dyDescent="0.2">
      <c r="G68" s="3" t="s">
        <v>92</v>
      </c>
      <c r="H68" s="43">
        <f>Calculator!E29</f>
        <v>2.5533333333333332</v>
      </c>
      <c r="I68" s="43">
        <f>(1+Calculator!$E$30/100)*ResultsByYear!H68</f>
        <v>2.6120599999999996</v>
      </c>
      <c r="J68" s="43">
        <f>(1+Calculator!$E$30/100)*ResultsByYear!I68</f>
        <v>2.6721373799999992</v>
      </c>
      <c r="K68" s="43">
        <f>(1+Calculator!$E$30/100)*ResultsByYear!J68</f>
        <v>2.7335965397399988</v>
      </c>
      <c r="L68" s="43">
        <f>(1+Calculator!$E$30/100)*ResultsByYear!K68</f>
        <v>2.7964692601540184</v>
      </c>
      <c r="M68" s="43">
        <f>(1+Calculator!$E$30/100)*ResultsByYear!L68</f>
        <v>2.8607880531375605</v>
      </c>
      <c r="N68" s="43">
        <f>(1+Calculator!$E$30/100)*ResultsByYear!M68</f>
        <v>2.9265861783597242</v>
      </c>
      <c r="O68" s="43">
        <f>(1+Calculator!$E$30/100)*ResultsByYear!N68</f>
        <v>2.9938976604619976</v>
      </c>
      <c r="P68" s="43">
        <f>(1+Calculator!$E$30/100)*ResultsByYear!O68</f>
        <v>3.0627573066526232</v>
      </c>
      <c r="Q68" s="43">
        <f>(1+Calculator!$E$30/100)*ResultsByYear!P68</f>
        <v>3.1332007247056333</v>
      </c>
      <c r="R68" s="43">
        <f>(1+Calculator!$E$30/100)*ResultsByYear!Q68</f>
        <v>3.2052643413738626</v>
      </c>
      <c r="S68" s="43">
        <f>(1+Calculator!$E$30/100)*ResultsByYear!R68</f>
        <v>3.2789854212254612</v>
      </c>
      <c r="T68" s="43">
        <f>(1+Calculator!$E$30/100)*ResultsByYear!S68</f>
        <v>3.3544020859136467</v>
      </c>
      <c r="U68" s="43">
        <f>(1+Calculator!$E$30/100)*ResultsByYear!T68</f>
        <v>3.4315533338896604</v>
      </c>
      <c r="V68" s="43">
        <f>(1+Calculator!$E$30/100)*ResultsByYear!U68</f>
        <v>3.5104790605691223</v>
      </c>
    </row>
    <row r="69" spans="3:22" x14ac:dyDescent="0.2">
      <c r="G69" s="3" t="s">
        <v>93</v>
      </c>
      <c r="H69" s="43">
        <f>Calculator!E32</f>
        <v>8.4399999999999989E-2</v>
      </c>
      <c r="I69" s="43">
        <f>(1+Calculator!$E$33/100)*ResultsByYear!H69</f>
        <v>8.6087999999999984E-2</v>
      </c>
      <c r="J69" s="43">
        <f>(1+Calculator!$E$33/100)*ResultsByYear!I69</f>
        <v>8.7809759999999987E-2</v>
      </c>
      <c r="K69" s="43">
        <f>(1+Calculator!$E$33/100)*ResultsByYear!J69</f>
        <v>8.9565955199999991E-2</v>
      </c>
      <c r="L69" s="43">
        <f>(1+Calculator!$E$33/100)*ResultsByYear!K69</f>
        <v>9.1357274303999994E-2</v>
      </c>
      <c r="M69" s="43">
        <f>(1+Calculator!$E$33/100)*ResultsByYear!L69</f>
        <v>9.3184419790079992E-2</v>
      </c>
      <c r="N69" s="43">
        <f>(1+Calculator!$E$33/100)*ResultsByYear!M69</f>
        <v>9.5048108185881594E-2</v>
      </c>
      <c r="O69" s="43">
        <f>(1+Calculator!$E$33/100)*ResultsByYear!N69</f>
        <v>9.6949070349599223E-2</v>
      </c>
      <c r="P69" s="43">
        <f>(1+Calculator!$E$33/100)*ResultsByYear!O69</f>
        <v>9.8888051756591211E-2</v>
      </c>
      <c r="Q69" s="43">
        <f>(1+Calculator!$E$33/100)*ResultsByYear!P69</f>
        <v>0.10086581279172303</v>
      </c>
      <c r="R69" s="43">
        <f>(1+Calculator!$E$33/100)*ResultsByYear!Q69</f>
        <v>0.10288312904755749</v>
      </c>
      <c r="S69" s="43">
        <f>(1+Calculator!$E$33/100)*ResultsByYear!R69</f>
        <v>0.10494079162850864</v>
      </c>
      <c r="T69" s="43">
        <f>(1+Calculator!$E$33/100)*ResultsByYear!S69</f>
        <v>0.10703960746107881</v>
      </c>
      <c r="U69" s="43">
        <f>(1+Calculator!$E$33/100)*ResultsByYear!T69</f>
        <v>0.10918039961030039</v>
      </c>
      <c r="V69" s="43">
        <f>(1+Calculator!$E$33/100)*ResultsByYear!U69</f>
        <v>0.11136400760250641</v>
      </c>
    </row>
    <row r="72" spans="3:22" x14ac:dyDescent="0.2"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4" spans="3:22" x14ac:dyDescent="0.2">
      <c r="C74" s="3"/>
      <c r="D74" s="3"/>
      <c r="E74" s="3"/>
      <c r="F74" s="4"/>
    </row>
    <row r="75" spans="3:22" x14ac:dyDescent="0.2">
      <c r="G75" s="4"/>
    </row>
    <row r="76" spans="3:22" x14ac:dyDescent="0.2">
      <c r="G76" s="4"/>
    </row>
    <row r="77" spans="3:22" x14ac:dyDescent="0.2">
      <c r="G77" s="3"/>
    </row>
    <row r="78" spans="3:22" x14ac:dyDescent="0.2">
      <c r="G78" s="3"/>
    </row>
    <row r="79" spans="3:22" x14ac:dyDescent="0.2">
      <c r="G79" s="3"/>
    </row>
    <row r="80" spans="3:22" x14ac:dyDescent="0.2">
      <c r="G80" s="3"/>
    </row>
    <row r="81" spans="7:7" x14ac:dyDescent="0.2">
      <c r="G81" s="3"/>
    </row>
    <row r="82" spans="7:7" x14ac:dyDescent="0.2">
      <c r="G82" s="3"/>
    </row>
    <row r="83" spans="7:7" x14ac:dyDescent="0.2">
      <c r="G83" s="3"/>
    </row>
    <row r="86" spans="7:7" x14ac:dyDescent="0.2">
      <c r="G86" s="3"/>
    </row>
    <row r="87" spans="7:7" x14ac:dyDescent="0.2">
      <c r="G87" s="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5D34D-7FFC-4344-A33F-A647693AF7AF}">
  <dimension ref="B2:L14"/>
  <sheetViews>
    <sheetView zoomScale="120" zoomScaleNormal="120" workbookViewId="0">
      <selection activeCell="C1" sqref="C1"/>
    </sheetView>
  </sheetViews>
  <sheetFormatPr defaultRowHeight="12.75" x14ac:dyDescent="0.2"/>
  <cols>
    <col min="2" max="2" width="22.28515625" bestFit="1" customWidth="1"/>
    <col min="3" max="3" width="16.7109375" customWidth="1"/>
    <col min="4" max="4" width="10.85546875" bestFit="1" customWidth="1"/>
    <col min="6" max="6" width="9.85546875" bestFit="1" customWidth="1"/>
    <col min="7" max="8" width="2.5703125" customWidth="1"/>
    <col min="9" max="9" width="21" customWidth="1"/>
    <col min="10" max="10" width="27" bestFit="1" customWidth="1"/>
    <col min="11" max="11" width="30.5703125" bestFit="1" customWidth="1"/>
  </cols>
  <sheetData>
    <row r="2" spans="2:12" ht="13.5" thickBot="1" x14ac:dyDescent="0.25">
      <c r="B2" s="161" t="s">
        <v>156</v>
      </c>
    </row>
    <row r="3" spans="2:12" ht="13.5" thickBot="1" x14ac:dyDescent="0.25">
      <c r="I3" s="162" t="s">
        <v>153</v>
      </c>
      <c r="J3" s="158"/>
    </row>
    <row r="4" spans="2:12" x14ac:dyDescent="0.2">
      <c r="B4" s="5"/>
      <c r="C4" s="6" t="s">
        <v>15</v>
      </c>
      <c r="D4" s="6"/>
      <c r="E4" s="6" t="s">
        <v>4</v>
      </c>
      <c r="F4" s="7"/>
      <c r="I4" s="156">
        <v>0.13451074974867283</v>
      </c>
      <c r="J4" s="7" t="s">
        <v>143</v>
      </c>
      <c r="K4" s="161" t="s">
        <v>145</v>
      </c>
      <c r="L4" s="163" t="s">
        <v>152</v>
      </c>
    </row>
    <row r="5" spans="2:12" ht="13.5" thickBot="1" x14ac:dyDescent="0.25">
      <c r="B5" s="8"/>
      <c r="C5" s="9" t="s">
        <v>135</v>
      </c>
      <c r="D5" s="9"/>
      <c r="E5" s="9" t="s">
        <v>137</v>
      </c>
      <c r="F5" s="10"/>
      <c r="I5" s="157">
        <v>7.434350056545326</v>
      </c>
      <c r="J5" s="15" t="s">
        <v>144</v>
      </c>
    </row>
    <row r="6" spans="2:12" ht="39" thickBot="1" x14ac:dyDescent="0.25">
      <c r="B6" s="8"/>
      <c r="C6" s="11" t="s">
        <v>136</v>
      </c>
      <c r="D6" s="9"/>
      <c r="E6" s="11" t="s">
        <v>138</v>
      </c>
      <c r="F6" s="10"/>
      <c r="G6" s="155"/>
      <c r="H6" s="155"/>
      <c r="I6" s="159">
        <v>8.3135194453219832</v>
      </c>
      <c r="J6" s="160" t="s">
        <v>146</v>
      </c>
    </row>
    <row r="7" spans="2:12" ht="13.5" thickBot="1" x14ac:dyDescent="0.25">
      <c r="B7" s="8"/>
      <c r="C7" s="9"/>
      <c r="D7" s="9"/>
      <c r="E7" s="9"/>
      <c r="F7" s="10"/>
      <c r="I7" s="159">
        <f>(I6*I4)</f>
        <v>1.1182577336404307</v>
      </c>
      <c r="J7" s="160" t="s">
        <v>147</v>
      </c>
    </row>
    <row r="8" spans="2:12" ht="13.5" thickBot="1" x14ac:dyDescent="0.25">
      <c r="B8" s="8" t="s">
        <v>139</v>
      </c>
      <c r="C8" s="9">
        <v>402</v>
      </c>
      <c r="D8" s="9"/>
      <c r="E8" s="9">
        <f>Calculator!G6</f>
        <v>259</v>
      </c>
      <c r="F8" s="10"/>
      <c r="I8" s="135">
        <v>62.375</v>
      </c>
      <c r="J8" s="160" t="s">
        <v>148</v>
      </c>
      <c r="K8" s="161" t="s">
        <v>151</v>
      </c>
    </row>
    <row r="9" spans="2:12" ht="38.25" x14ac:dyDescent="0.2">
      <c r="B9" s="164" t="s">
        <v>140</v>
      </c>
      <c r="C9" s="9">
        <v>67</v>
      </c>
      <c r="D9" s="9"/>
      <c r="E9" s="9">
        <f>Calculator!G22</f>
        <v>118</v>
      </c>
      <c r="F9" s="10"/>
    </row>
    <row r="10" spans="2:12" x14ac:dyDescent="0.2">
      <c r="B10" s="8"/>
      <c r="C10" s="9"/>
      <c r="D10" s="9"/>
      <c r="E10" s="9"/>
      <c r="F10" s="10"/>
    </row>
    <row r="11" spans="2:12" ht="15.75" x14ac:dyDescent="0.3">
      <c r="B11" s="8" t="s">
        <v>149</v>
      </c>
      <c r="C11" s="165">
        <f>(C9)*(I7)</f>
        <v>74.92326815390885</v>
      </c>
      <c r="D11" s="9" t="s">
        <v>142</v>
      </c>
      <c r="E11" s="165"/>
      <c r="F11" s="10"/>
    </row>
    <row r="12" spans="2:12" x14ac:dyDescent="0.2">
      <c r="B12" s="8"/>
      <c r="C12" s="9"/>
      <c r="D12" s="9"/>
      <c r="E12" s="9"/>
      <c r="F12" s="10"/>
    </row>
    <row r="13" spans="2:12" ht="63.75" x14ac:dyDescent="0.2">
      <c r="B13" s="8"/>
      <c r="C13" s="11" t="s">
        <v>154</v>
      </c>
      <c r="D13" s="9"/>
      <c r="E13" s="11" t="s">
        <v>155</v>
      </c>
      <c r="F13" s="10"/>
    </row>
    <row r="14" spans="2:12" ht="13.5" thickBot="1" x14ac:dyDescent="0.25">
      <c r="B14" s="13" t="s">
        <v>150</v>
      </c>
      <c r="C14" s="37">
        <f>(C11)*(1/I8)</f>
        <v>1.2011746397420255</v>
      </c>
      <c r="D14" s="14" t="s">
        <v>141</v>
      </c>
      <c r="E14" s="147">
        <f>Calculator!G24</f>
        <v>3.5030608695652172</v>
      </c>
      <c r="F14" s="15" t="s">
        <v>141</v>
      </c>
    </row>
  </sheetData>
  <hyperlinks>
    <hyperlink ref="L4" r:id="rId1" xr:uid="{B488AB79-365A-4D04-A902-FABA7E3FAC0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Information</vt:lpstr>
      <vt:lpstr>SummaryResults</vt:lpstr>
      <vt:lpstr>Calculator</vt:lpstr>
      <vt:lpstr>ResultsByYear</vt:lpstr>
      <vt:lpstr>H2_FuelCell</vt:lpstr>
    </vt:vector>
  </TitlesOfParts>
  <Company>Northwest Power and Conservation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Simmons</dc:creator>
  <cp:lastModifiedBy>Steven Simmons</cp:lastModifiedBy>
  <dcterms:created xsi:type="dcterms:W3CDTF">2020-11-20T20:30:41Z</dcterms:created>
  <dcterms:modified xsi:type="dcterms:W3CDTF">2021-08-31T18:08:15Z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{22629665-C7E2-4377-9C5F-86AD937423F3}</vt:lpwstr>
  </property>
</Properties>
</file>