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immons\AppData\Local\Box\Box Edit\Documents\10dWha_Ezk+XvGOoCcsjMQ==\"/>
    </mc:Choice>
  </mc:AlternateContent>
  <xr:revisionPtr revIDLastSave="0" documentId="13_ncr:1_{1016AE6A-62B8-43DA-BE0B-C93F48429913}" xr6:coauthVersionLast="46" xr6:coauthVersionMax="46" xr10:uidLastSave="{00000000-0000-0000-0000-000000000000}"/>
  <bookViews>
    <workbookView xWindow="-120" yWindow="-120" windowWidth="29040" windowHeight="15840" activeTab="3" xr2:uid="{71C98F4D-C9B5-4EF4-89B8-144D93E90397}"/>
  </bookViews>
  <sheets>
    <sheet name="Reference" sheetId="1" r:id="rId1"/>
    <sheet name="High Electric" sheetId="4" r:id="rId2"/>
    <sheet name="H2E" sheetId="2" r:id="rId3"/>
    <sheet name="Charts_Comparisons" sheetId="5" r:id="rId4"/>
    <sheet name="ChartsByCase" sheetId="6" r:id="rId5"/>
    <sheet name="Classifications" sheetId="3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1" i="5" l="1"/>
  <c r="I51" i="5"/>
  <c r="J51" i="5"/>
  <c r="K51" i="5"/>
  <c r="L51" i="5"/>
  <c r="G51" i="5"/>
  <c r="H50" i="5"/>
  <c r="I50" i="5"/>
  <c r="J50" i="5"/>
  <c r="K50" i="5"/>
  <c r="L50" i="5"/>
  <c r="G50" i="5"/>
  <c r="H49" i="5"/>
  <c r="I49" i="5"/>
  <c r="J49" i="5"/>
  <c r="K49" i="5"/>
  <c r="L49" i="5"/>
  <c r="G49" i="5"/>
  <c r="H45" i="5"/>
  <c r="I45" i="5"/>
  <c r="J45" i="5"/>
  <c r="K45" i="5"/>
  <c r="L45" i="5"/>
  <c r="G45" i="5"/>
  <c r="H44" i="5"/>
  <c r="I44" i="5"/>
  <c r="J44" i="5"/>
  <c r="K44" i="5"/>
  <c r="L44" i="5"/>
  <c r="G44" i="5"/>
  <c r="H43" i="5"/>
  <c r="I43" i="5"/>
  <c r="J43" i="5"/>
  <c r="K43" i="5"/>
  <c r="L43" i="5"/>
  <c r="G43" i="5"/>
  <c r="Z30" i="1"/>
  <c r="AA30" i="1"/>
  <c r="AB30" i="1"/>
  <c r="AC30" i="1"/>
  <c r="AD30" i="1"/>
  <c r="Y30" i="1"/>
  <c r="AK19" i="1" s="1"/>
  <c r="AL19" i="1" s="1"/>
  <c r="AK18" i="1"/>
  <c r="Z61" i="1"/>
  <c r="AA61" i="1"/>
  <c r="AB61" i="1"/>
  <c r="AC61" i="1"/>
  <c r="AD61" i="1"/>
  <c r="Y61" i="1"/>
  <c r="AK48" i="1"/>
  <c r="AL48" i="1" s="1"/>
  <c r="AK47" i="1"/>
  <c r="AL47" i="1" s="1"/>
  <c r="AK46" i="1"/>
  <c r="AL46" i="1" s="1"/>
  <c r="AK45" i="1"/>
  <c r="AL45" i="1" s="1"/>
  <c r="AD60" i="2"/>
  <c r="AC60" i="2"/>
  <c r="AB60" i="2"/>
  <c r="AA60" i="2"/>
  <c r="Z60" i="2"/>
  <c r="Y60" i="2"/>
  <c r="AD59" i="2"/>
  <c r="AC59" i="2"/>
  <c r="AB59" i="2"/>
  <c r="AA59" i="2"/>
  <c r="Z59" i="2"/>
  <c r="Y59" i="2"/>
  <c r="AD58" i="2"/>
  <c r="AC58" i="2"/>
  <c r="AB58" i="2"/>
  <c r="AA58" i="2"/>
  <c r="Z58" i="2"/>
  <c r="Y58" i="2"/>
  <c r="AD60" i="4"/>
  <c r="AC60" i="4"/>
  <c r="AB60" i="4"/>
  <c r="AA60" i="4"/>
  <c r="Z60" i="4"/>
  <c r="Y60" i="4"/>
  <c r="AD59" i="4"/>
  <c r="AC59" i="4"/>
  <c r="AB59" i="4"/>
  <c r="AA59" i="4"/>
  <c r="Z59" i="4"/>
  <c r="Y59" i="4"/>
  <c r="AD58" i="4"/>
  <c r="AC58" i="4"/>
  <c r="AB58" i="4"/>
  <c r="AA58" i="4"/>
  <c r="Z58" i="4"/>
  <c r="Y58" i="4"/>
  <c r="Z59" i="1"/>
  <c r="AA59" i="1"/>
  <c r="AB59" i="1"/>
  <c r="AC59" i="1"/>
  <c r="AD59" i="1"/>
  <c r="Z60" i="1"/>
  <c r="AA60" i="1"/>
  <c r="AB60" i="1"/>
  <c r="AC60" i="1"/>
  <c r="AD60" i="1"/>
  <c r="Y60" i="1"/>
  <c r="Y59" i="1"/>
  <c r="Z58" i="1"/>
  <c r="AA58" i="1"/>
  <c r="AB58" i="1"/>
  <c r="AC58" i="1"/>
  <c r="AD58" i="1"/>
  <c r="Y58" i="1"/>
  <c r="AK42" i="2"/>
  <c r="AL42" i="2" s="1"/>
  <c r="AK41" i="2"/>
  <c r="AL41" i="2" s="1"/>
  <c r="AK40" i="2"/>
  <c r="AL40" i="2" s="1"/>
  <c r="AK39" i="2"/>
  <c r="AL39" i="2" s="1"/>
  <c r="AK42" i="4"/>
  <c r="AL42" i="4" s="1"/>
  <c r="AL41" i="4"/>
  <c r="AK41" i="4"/>
  <c r="AK40" i="4"/>
  <c r="AL40" i="4" s="1"/>
  <c r="AK39" i="4"/>
  <c r="AL39" i="4" s="1"/>
  <c r="AD54" i="2"/>
  <c r="AC54" i="2"/>
  <c r="AB54" i="2"/>
  <c r="AA54" i="2"/>
  <c r="Z54" i="2"/>
  <c r="Y54" i="2"/>
  <c r="AD53" i="2"/>
  <c r="AD55" i="2" s="1"/>
  <c r="AC53" i="2"/>
  <c r="AB53" i="2"/>
  <c r="AA53" i="2"/>
  <c r="Z53" i="2"/>
  <c r="Y53" i="2"/>
  <c r="AD52" i="2"/>
  <c r="AC52" i="2"/>
  <c r="AC55" i="2" s="1"/>
  <c r="AB52" i="2"/>
  <c r="AB55" i="2" s="1"/>
  <c r="AA52" i="2"/>
  <c r="AA55" i="2" s="1"/>
  <c r="Z52" i="2"/>
  <c r="Z55" i="2" s="1"/>
  <c r="Y52" i="2"/>
  <c r="Y55" i="2" s="1"/>
  <c r="AC55" i="4"/>
  <c r="AB55" i="4"/>
  <c r="AD54" i="4"/>
  <c r="AC54" i="4"/>
  <c r="AB54" i="4"/>
  <c r="AA54" i="4"/>
  <c r="Z54" i="4"/>
  <c r="Y54" i="4"/>
  <c r="AD53" i="4"/>
  <c r="AC53" i="4"/>
  <c r="AB53" i="4"/>
  <c r="AA53" i="4"/>
  <c r="Z53" i="4"/>
  <c r="Y53" i="4"/>
  <c r="AD52" i="4"/>
  <c r="AD55" i="4" s="1"/>
  <c r="AC52" i="4"/>
  <c r="AB52" i="4"/>
  <c r="AA52" i="4"/>
  <c r="AA55" i="4" s="1"/>
  <c r="Z52" i="4"/>
  <c r="Z55" i="4" s="1"/>
  <c r="Y52" i="4"/>
  <c r="Y55" i="4" s="1"/>
  <c r="AK42" i="1"/>
  <c r="AL42" i="1" s="1"/>
  <c r="AK41" i="1"/>
  <c r="AL41" i="1" s="1"/>
  <c r="AK40" i="1"/>
  <c r="AL40" i="1" s="1"/>
  <c r="AK39" i="1"/>
  <c r="AL39" i="1" s="1"/>
  <c r="Z52" i="1"/>
  <c r="Z55" i="1" s="1"/>
  <c r="AA52" i="1"/>
  <c r="AA55" i="1" s="1"/>
  <c r="AB52" i="1"/>
  <c r="AB55" i="1" s="1"/>
  <c r="AC52" i="1"/>
  <c r="AD52" i="1"/>
  <c r="AD55" i="1" s="1"/>
  <c r="Z53" i="1"/>
  <c r="AA53" i="1"/>
  <c r="AB53" i="1"/>
  <c r="AC53" i="1"/>
  <c r="AD53" i="1"/>
  <c r="Z54" i="1"/>
  <c r="AA54" i="1"/>
  <c r="AB54" i="1"/>
  <c r="AC54" i="1"/>
  <c r="AD54" i="1"/>
  <c r="AC55" i="1"/>
  <c r="Y55" i="1"/>
  <c r="Y54" i="1"/>
  <c r="Y53" i="1"/>
  <c r="Y52" i="1"/>
  <c r="J39" i="5"/>
  <c r="H31" i="5"/>
  <c r="I31" i="5"/>
  <c r="J31" i="5"/>
  <c r="K31" i="5"/>
  <c r="L31" i="5"/>
  <c r="H32" i="5"/>
  <c r="I32" i="5"/>
  <c r="J32" i="5"/>
  <c r="K32" i="5"/>
  <c r="L32" i="5"/>
  <c r="H33" i="5"/>
  <c r="I33" i="5"/>
  <c r="J33" i="5"/>
  <c r="K33" i="5"/>
  <c r="L33" i="5"/>
  <c r="G33" i="5"/>
  <c r="G32" i="5"/>
  <c r="G31" i="5"/>
  <c r="H26" i="5"/>
  <c r="J26" i="5"/>
  <c r="L26" i="5"/>
  <c r="G21" i="5"/>
  <c r="G27" i="5" s="1"/>
  <c r="H20" i="5"/>
  <c r="H39" i="5" s="1"/>
  <c r="I20" i="5"/>
  <c r="I39" i="5" s="1"/>
  <c r="J20" i="5"/>
  <c r="K20" i="5"/>
  <c r="K39" i="5" s="1"/>
  <c r="L20" i="5"/>
  <c r="L39" i="5" s="1"/>
  <c r="G20" i="5"/>
  <c r="G39" i="5" s="1"/>
  <c r="H19" i="5"/>
  <c r="H21" i="5" s="1"/>
  <c r="H27" i="5" s="1"/>
  <c r="I19" i="5"/>
  <c r="I21" i="5" s="1"/>
  <c r="I27" i="5" s="1"/>
  <c r="J19" i="5"/>
  <c r="K19" i="5"/>
  <c r="K21" i="5" s="1"/>
  <c r="K27" i="5" s="1"/>
  <c r="L19" i="5"/>
  <c r="L21" i="5" s="1"/>
  <c r="L27" i="5" s="1"/>
  <c r="G19" i="5"/>
  <c r="H14" i="5"/>
  <c r="H38" i="5" s="1"/>
  <c r="I14" i="5"/>
  <c r="I26" i="5" s="1"/>
  <c r="J14" i="5"/>
  <c r="K14" i="5"/>
  <c r="K38" i="5" s="1"/>
  <c r="L14" i="5"/>
  <c r="H15" i="5"/>
  <c r="I15" i="5"/>
  <c r="J15" i="5"/>
  <c r="K15" i="5"/>
  <c r="L15" i="5"/>
  <c r="G15" i="5"/>
  <c r="G14" i="5"/>
  <c r="G38" i="5" s="1"/>
  <c r="H13" i="5"/>
  <c r="H37" i="5" s="1"/>
  <c r="I13" i="5"/>
  <c r="I37" i="5" s="1"/>
  <c r="J13" i="5"/>
  <c r="J37" i="5" s="1"/>
  <c r="K13" i="5"/>
  <c r="K37" i="5" s="1"/>
  <c r="L13" i="5"/>
  <c r="L25" i="5" s="1"/>
  <c r="G13" i="5"/>
  <c r="G37" i="5" s="1"/>
  <c r="H7" i="5"/>
  <c r="I7" i="5"/>
  <c r="J7" i="5"/>
  <c r="K7" i="5"/>
  <c r="L7" i="5"/>
  <c r="H8" i="5"/>
  <c r="I8" i="5"/>
  <c r="J8" i="5"/>
  <c r="K8" i="5"/>
  <c r="L8" i="5"/>
  <c r="H9" i="5"/>
  <c r="I9" i="5"/>
  <c r="J9" i="5"/>
  <c r="K9" i="5"/>
  <c r="L9" i="5"/>
  <c r="G9" i="5"/>
  <c r="G8" i="5"/>
  <c r="G7" i="5"/>
  <c r="AD47" i="2"/>
  <c r="AC47" i="2"/>
  <c r="AB47" i="2"/>
  <c r="AA47" i="2"/>
  <c r="Z47" i="2"/>
  <c r="Y47" i="2"/>
  <c r="O60" i="2"/>
  <c r="P60" i="2"/>
  <c r="Q60" i="2"/>
  <c r="R60" i="2"/>
  <c r="S60" i="2"/>
  <c r="N60" i="2"/>
  <c r="AK34" i="2"/>
  <c r="AL34" i="2" s="1"/>
  <c r="AK36" i="2"/>
  <c r="AL36" i="2" s="1"/>
  <c r="AK33" i="2"/>
  <c r="AL33" i="2" s="1"/>
  <c r="AK32" i="2"/>
  <c r="AL32" i="2" s="1"/>
  <c r="AK31" i="2"/>
  <c r="AL31" i="2" s="1"/>
  <c r="AK30" i="2"/>
  <c r="AL30" i="2" s="1"/>
  <c r="AD47" i="4"/>
  <c r="AC47" i="4"/>
  <c r="AB47" i="4"/>
  <c r="AA47" i="4"/>
  <c r="Z47" i="4"/>
  <c r="Y47" i="4"/>
  <c r="H108" i="4"/>
  <c r="G108" i="4"/>
  <c r="F108" i="4"/>
  <c r="E108" i="4"/>
  <c r="D108" i="4"/>
  <c r="C108" i="4"/>
  <c r="L38" i="5" l="1"/>
  <c r="J21" i="5"/>
  <c r="J27" i="5" s="1"/>
  <c r="J38" i="5"/>
  <c r="I38" i="5"/>
  <c r="G25" i="5"/>
  <c r="G26" i="5"/>
  <c r="K26" i="5"/>
  <c r="I25" i="5"/>
  <c r="L37" i="5"/>
  <c r="K25" i="5"/>
  <c r="H25" i="5"/>
  <c r="J25" i="5"/>
  <c r="AK36" i="4"/>
  <c r="AL36" i="4" s="1"/>
  <c r="AL33" i="4"/>
  <c r="AK33" i="4"/>
  <c r="AL32" i="4"/>
  <c r="AK32" i="4"/>
  <c r="AL31" i="4"/>
  <c r="AK31" i="4"/>
  <c r="AK30" i="4"/>
  <c r="AL30" i="4" s="1"/>
  <c r="H99" i="4"/>
  <c r="G99" i="4"/>
  <c r="F99" i="4"/>
  <c r="E99" i="4"/>
  <c r="D99" i="4"/>
  <c r="C99" i="4"/>
  <c r="H98" i="4"/>
  <c r="G98" i="4"/>
  <c r="F98" i="4"/>
  <c r="E98" i="4"/>
  <c r="D98" i="4"/>
  <c r="C98" i="4"/>
  <c r="H97" i="4"/>
  <c r="G97" i="4"/>
  <c r="F97" i="4"/>
  <c r="E97" i="4"/>
  <c r="D97" i="4"/>
  <c r="C97" i="4"/>
  <c r="H96" i="4"/>
  <c r="G96" i="4"/>
  <c r="F96" i="4"/>
  <c r="E96" i="4"/>
  <c r="D96" i="4"/>
  <c r="C96" i="4"/>
  <c r="H91" i="4"/>
  <c r="G91" i="4"/>
  <c r="F91" i="4"/>
  <c r="E91" i="4"/>
  <c r="D91" i="4"/>
  <c r="C91" i="4"/>
  <c r="H90" i="4"/>
  <c r="G90" i="4"/>
  <c r="F90" i="4"/>
  <c r="E90" i="4"/>
  <c r="D90" i="4"/>
  <c r="C90" i="4"/>
  <c r="H89" i="4"/>
  <c r="G89" i="4"/>
  <c r="F89" i="4"/>
  <c r="E89" i="4"/>
  <c r="D89" i="4"/>
  <c r="C89" i="4"/>
  <c r="H88" i="4"/>
  <c r="G88" i="4"/>
  <c r="F88" i="4"/>
  <c r="E88" i="4"/>
  <c r="D88" i="4"/>
  <c r="C88" i="4"/>
  <c r="H84" i="4"/>
  <c r="G84" i="4"/>
  <c r="F84" i="4"/>
  <c r="E84" i="4"/>
  <c r="D84" i="4"/>
  <c r="C84" i="4"/>
  <c r="H76" i="4"/>
  <c r="G76" i="4"/>
  <c r="F76" i="4"/>
  <c r="F92" i="4" s="1"/>
  <c r="E76" i="4"/>
  <c r="D76" i="4"/>
  <c r="C76" i="4"/>
  <c r="H68" i="4"/>
  <c r="G68" i="4"/>
  <c r="F68" i="4"/>
  <c r="E68" i="4"/>
  <c r="D68" i="4"/>
  <c r="C68" i="4"/>
  <c r="H60" i="4"/>
  <c r="H100" i="4" s="1"/>
  <c r="G60" i="4"/>
  <c r="G100" i="4" s="1"/>
  <c r="F60" i="4"/>
  <c r="F100" i="4" s="1"/>
  <c r="E60" i="4"/>
  <c r="E100" i="4" s="1"/>
  <c r="D60" i="4"/>
  <c r="C60" i="4"/>
  <c r="H52" i="4"/>
  <c r="H92" i="4" s="1"/>
  <c r="G52" i="4"/>
  <c r="F52" i="4"/>
  <c r="E52" i="4"/>
  <c r="D52" i="4"/>
  <c r="C52" i="4"/>
  <c r="C92" i="4" s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C97" i="1"/>
  <c r="C98" i="1"/>
  <c r="C99" i="1"/>
  <c r="C100" i="1"/>
  <c r="C96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C89" i="1"/>
  <c r="C90" i="1"/>
  <c r="C91" i="1"/>
  <c r="C92" i="1"/>
  <c r="C88" i="1"/>
  <c r="H84" i="1"/>
  <c r="G84" i="1"/>
  <c r="F84" i="1"/>
  <c r="E84" i="1"/>
  <c r="D84" i="1"/>
  <c r="C84" i="1"/>
  <c r="H76" i="1"/>
  <c r="G76" i="1"/>
  <c r="F76" i="1"/>
  <c r="E76" i="1"/>
  <c r="D76" i="1"/>
  <c r="C76" i="1"/>
  <c r="C100" i="4" l="1"/>
  <c r="D100" i="4"/>
  <c r="E92" i="4"/>
  <c r="D92" i="4"/>
  <c r="G92" i="4"/>
  <c r="H68" i="1" l="1"/>
  <c r="G68" i="1"/>
  <c r="F68" i="1"/>
  <c r="E68" i="1"/>
  <c r="D68" i="1"/>
  <c r="C68" i="1"/>
  <c r="H60" i="1"/>
  <c r="G60" i="1"/>
  <c r="F60" i="1"/>
  <c r="E60" i="1"/>
  <c r="D60" i="1"/>
  <c r="C60" i="1"/>
  <c r="D52" i="1"/>
  <c r="E52" i="1"/>
  <c r="F52" i="1"/>
  <c r="G52" i="1"/>
  <c r="H52" i="1"/>
  <c r="C52" i="1"/>
  <c r="AL36" i="1"/>
  <c r="AK36" i="1"/>
  <c r="AK33" i="1"/>
  <c r="AL33" i="1" s="1"/>
  <c r="AK32" i="1"/>
  <c r="AL32" i="1" s="1"/>
  <c r="AK31" i="1"/>
  <c r="AL31" i="1" s="1"/>
  <c r="AK30" i="1"/>
  <c r="AL30" i="1" s="1"/>
  <c r="Z47" i="1"/>
  <c r="AA47" i="1"/>
  <c r="AB47" i="1"/>
  <c r="AC47" i="1"/>
  <c r="AD47" i="1"/>
  <c r="Y47" i="1"/>
  <c r="O18" i="2"/>
  <c r="P18" i="2"/>
  <c r="Q18" i="2"/>
  <c r="R18" i="2"/>
  <c r="S18" i="2"/>
  <c r="N18" i="2"/>
  <c r="O18" i="4"/>
  <c r="P18" i="4"/>
  <c r="Q18" i="4"/>
  <c r="R18" i="4"/>
  <c r="S18" i="4"/>
  <c r="N18" i="4"/>
  <c r="O18" i="1"/>
  <c r="P18" i="1"/>
  <c r="Q18" i="1"/>
  <c r="R18" i="1"/>
  <c r="S18" i="1"/>
  <c r="N18" i="1"/>
  <c r="AK26" i="2"/>
  <c r="AL26" i="2" s="1"/>
  <c r="AK25" i="2"/>
  <c r="AL25" i="2" s="1"/>
  <c r="AK24" i="2"/>
  <c r="AL24" i="2" s="1"/>
  <c r="AK23" i="2"/>
  <c r="AL23" i="2" s="1"/>
  <c r="AK22" i="2"/>
  <c r="AL22" i="2" s="1"/>
  <c r="AK18" i="2"/>
  <c r="AL18" i="2" s="1"/>
  <c r="AK17" i="2"/>
  <c r="AL17" i="2" s="1"/>
  <c r="AK16" i="2"/>
  <c r="AL16" i="2" s="1"/>
  <c r="AK15" i="2"/>
  <c r="AL15" i="2" s="1"/>
  <c r="AK14" i="2"/>
  <c r="AL14" i="2" s="1"/>
  <c r="AK26" i="4"/>
  <c r="AL26" i="4" s="1"/>
  <c r="AK25" i="4"/>
  <c r="AL25" i="4" s="1"/>
  <c r="AK24" i="4"/>
  <c r="AL24" i="4" s="1"/>
  <c r="AK23" i="4"/>
  <c r="AL23" i="4" s="1"/>
  <c r="AK22" i="4"/>
  <c r="AL22" i="4" s="1"/>
  <c r="AK18" i="4"/>
  <c r="AL18" i="4" s="1"/>
  <c r="AK17" i="4"/>
  <c r="AL17" i="4" s="1"/>
  <c r="AK16" i="4"/>
  <c r="AL16" i="4" s="1"/>
  <c r="AK15" i="4"/>
  <c r="AL15" i="4" s="1"/>
  <c r="AK14" i="4"/>
  <c r="AL14" i="4" s="1"/>
  <c r="AK26" i="1"/>
  <c r="AL26" i="1" s="1"/>
  <c r="AK25" i="1"/>
  <c r="AL25" i="1" s="1"/>
  <c r="AK24" i="1"/>
  <c r="AL24" i="1" s="1"/>
  <c r="AK23" i="1"/>
  <c r="AL23" i="1" s="1"/>
  <c r="AK22" i="1"/>
  <c r="AL22" i="1" s="1"/>
  <c r="AL18" i="1"/>
  <c r="AK17" i="1"/>
  <c r="AL17" i="1" s="1"/>
  <c r="AK16" i="1"/>
  <c r="AL16" i="1" s="1"/>
  <c r="AK15" i="1"/>
  <c r="AL15" i="1" s="1"/>
  <c r="AK14" i="1"/>
  <c r="AL14" i="1" s="1"/>
  <c r="AT19" i="2" l="1"/>
  <c r="AT27" i="2" s="1"/>
  <c r="AU19" i="2"/>
  <c r="AU27" i="2" s="1"/>
  <c r="AW20" i="2"/>
  <c r="AW28" i="2" s="1"/>
  <c r="AT21" i="2"/>
  <c r="AT29" i="2" s="1"/>
  <c r="AS15" i="2"/>
  <c r="AS20" i="2" s="1"/>
  <c r="AS28" i="2" s="1"/>
  <c r="AT15" i="2"/>
  <c r="AT20" i="2" s="1"/>
  <c r="AT28" i="2" s="1"/>
  <c r="AU15" i="2"/>
  <c r="AU21" i="2" s="1"/>
  <c r="AU29" i="2" s="1"/>
  <c r="AV15" i="2"/>
  <c r="AV21" i="2" s="1"/>
  <c r="AV29" i="2" s="1"/>
  <c r="AW15" i="2"/>
  <c r="AW22" i="2" s="1"/>
  <c r="AW30" i="2" s="1"/>
  <c r="AR15" i="2"/>
  <c r="AR19" i="2" s="1"/>
  <c r="AR27" i="2" s="1"/>
  <c r="AU18" i="2" l="1"/>
  <c r="AU26" i="2" s="1"/>
  <c r="AU22" i="2"/>
  <c r="AU30" i="2" s="1"/>
  <c r="AV20" i="2"/>
  <c r="AV28" i="2" s="1"/>
  <c r="AR20" i="2"/>
  <c r="AR28" i="2" s="1"/>
  <c r="AV18" i="2"/>
  <c r="AV26" i="2" s="1"/>
  <c r="AV22" i="2"/>
  <c r="AV30" i="2" s="1"/>
  <c r="AR18" i="2"/>
  <c r="AS21" i="2"/>
  <c r="AS29" i="2" s="1"/>
  <c r="AW19" i="2"/>
  <c r="AW27" i="2" s="1"/>
  <c r="AW18" i="2"/>
  <c r="AW26" i="2" s="1"/>
  <c r="AT22" i="2"/>
  <c r="AT30" i="2" s="1"/>
  <c r="AR21" i="2"/>
  <c r="AR29" i="2" s="1"/>
  <c r="AV19" i="2"/>
  <c r="AV27" i="2" s="1"/>
  <c r="AS22" i="2"/>
  <c r="AS30" i="2" s="1"/>
  <c r="AR22" i="2"/>
  <c r="AR30" i="2" s="1"/>
  <c r="AT18" i="2"/>
  <c r="AT26" i="2" s="1"/>
  <c r="AW21" i="2"/>
  <c r="AW29" i="2" s="1"/>
  <c r="AU20" i="2"/>
  <c r="AU28" i="2" s="1"/>
  <c r="AU31" i="2" s="1"/>
  <c r="AS19" i="2"/>
  <c r="AS27" i="2" s="1"/>
  <c r="AS18" i="2"/>
  <c r="AS26" i="2" s="1"/>
  <c r="AU23" i="2"/>
  <c r="AT31" i="2" l="1"/>
  <c r="AT23" i="2"/>
  <c r="AV31" i="2"/>
  <c r="AS31" i="2"/>
  <c r="AW31" i="2"/>
  <c r="AV23" i="2"/>
  <c r="AR23" i="2"/>
  <c r="AR26" i="2"/>
  <c r="AR31" i="2" s="1"/>
  <c r="AW23" i="2"/>
  <c r="AS23" i="2"/>
  <c r="AD39" i="2"/>
  <c r="AC39" i="2"/>
  <c r="AB39" i="2"/>
  <c r="AA39" i="2"/>
  <c r="Z39" i="2"/>
  <c r="Y39" i="2"/>
  <c r="AD37" i="2"/>
  <c r="AC37" i="2"/>
  <c r="AB37" i="2"/>
  <c r="AA37" i="2"/>
  <c r="Z37" i="2"/>
  <c r="Y37" i="2"/>
  <c r="AD36" i="2"/>
  <c r="AC36" i="2"/>
  <c r="AB36" i="2"/>
  <c r="AA36" i="2"/>
  <c r="Z36" i="2"/>
  <c r="Y36" i="2"/>
  <c r="AD35" i="2"/>
  <c r="AC35" i="2"/>
  <c r="AB35" i="2"/>
  <c r="AA35" i="2"/>
  <c r="Z35" i="2"/>
  <c r="Y35" i="2"/>
  <c r="AD32" i="2"/>
  <c r="AC32" i="2"/>
  <c r="AB32" i="2"/>
  <c r="AA32" i="2"/>
  <c r="Z32" i="2"/>
  <c r="Y32" i="2"/>
  <c r="AD23" i="2"/>
  <c r="AD33" i="2" s="1"/>
  <c r="AC23" i="2"/>
  <c r="AC33" i="2" s="1"/>
  <c r="AB23" i="2"/>
  <c r="AB33" i="2" s="1"/>
  <c r="AA23" i="2"/>
  <c r="AA33" i="2" s="1"/>
  <c r="Z23" i="2"/>
  <c r="Z33" i="2" s="1"/>
  <c r="Y23" i="2"/>
  <c r="Y33" i="2" s="1"/>
  <c r="AD19" i="2"/>
  <c r="AD49" i="2" s="1"/>
  <c r="AC19" i="2"/>
  <c r="AC49" i="2" s="1"/>
  <c r="AB19" i="2"/>
  <c r="AB49" i="2" s="1"/>
  <c r="AA19" i="2"/>
  <c r="AA49" i="2" s="1"/>
  <c r="Z19" i="2"/>
  <c r="Z49" i="2" s="1"/>
  <c r="Y19" i="2"/>
  <c r="Y49" i="2" s="1"/>
  <c r="AD39" i="4"/>
  <c r="AC39" i="4"/>
  <c r="AB39" i="4"/>
  <c r="AA39" i="4"/>
  <c r="Z39" i="4"/>
  <c r="Y39" i="4"/>
  <c r="AD37" i="4"/>
  <c r="AC37" i="4"/>
  <c r="AB37" i="4"/>
  <c r="AA37" i="4"/>
  <c r="Z37" i="4"/>
  <c r="Y37" i="4"/>
  <c r="AD36" i="4"/>
  <c r="AC36" i="4"/>
  <c r="AB36" i="4"/>
  <c r="AA36" i="4"/>
  <c r="Z36" i="4"/>
  <c r="Y36" i="4"/>
  <c r="AD35" i="4"/>
  <c r="AC35" i="4"/>
  <c r="AB35" i="4"/>
  <c r="AA35" i="4"/>
  <c r="Z35" i="4"/>
  <c r="Y35" i="4"/>
  <c r="AD32" i="4"/>
  <c r="AC32" i="4"/>
  <c r="AB32" i="4"/>
  <c r="AA32" i="4"/>
  <c r="Z32" i="4"/>
  <c r="Y32" i="4"/>
  <c r="AD23" i="4"/>
  <c r="AD33" i="4" s="1"/>
  <c r="AC23" i="4"/>
  <c r="AC33" i="4" s="1"/>
  <c r="AB23" i="4"/>
  <c r="AB33" i="4" s="1"/>
  <c r="AA23" i="4"/>
  <c r="AA33" i="4" s="1"/>
  <c r="Z23" i="4"/>
  <c r="Z33" i="4" s="1"/>
  <c r="Y23" i="4"/>
  <c r="Y33" i="4" s="1"/>
  <c r="AD19" i="4"/>
  <c r="AD49" i="4" s="1"/>
  <c r="AC19" i="4"/>
  <c r="AC49" i="4" s="1"/>
  <c r="AB19" i="4"/>
  <c r="AB49" i="4" s="1"/>
  <c r="AA19" i="4"/>
  <c r="AA49" i="4" s="1"/>
  <c r="Z19" i="4"/>
  <c r="Z49" i="4" s="1"/>
  <c r="Y19" i="4"/>
  <c r="Y49" i="4" s="1"/>
  <c r="Z39" i="1"/>
  <c r="AA39" i="1"/>
  <c r="AB39" i="1"/>
  <c r="AC39" i="1"/>
  <c r="AD39" i="1"/>
  <c r="Y39" i="1"/>
  <c r="AD37" i="1"/>
  <c r="AC37" i="1"/>
  <c r="AB37" i="1"/>
  <c r="AA37" i="1"/>
  <c r="Z37" i="1"/>
  <c r="Y37" i="1"/>
  <c r="AD36" i="1"/>
  <c r="AC36" i="1"/>
  <c r="AB36" i="1"/>
  <c r="AA36" i="1"/>
  <c r="Z36" i="1"/>
  <c r="Y36" i="1"/>
  <c r="Z35" i="1"/>
  <c r="AA35" i="1"/>
  <c r="AB35" i="1"/>
  <c r="AC35" i="1"/>
  <c r="AD35" i="1"/>
  <c r="Y35" i="1"/>
  <c r="Z32" i="1"/>
  <c r="AA32" i="1"/>
  <c r="AB32" i="1"/>
  <c r="AC32" i="1"/>
  <c r="AD32" i="1"/>
  <c r="Y32" i="1"/>
  <c r="Z23" i="1"/>
  <c r="Z33" i="1" s="1"/>
  <c r="AA23" i="1"/>
  <c r="AA33" i="1" s="1"/>
  <c r="AB23" i="1"/>
  <c r="AB33" i="1" s="1"/>
  <c r="AC23" i="1"/>
  <c r="AC33" i="1" s="1"/>
  <c r="AD23" i="1"/>
  <c r="AD33" i="1" s="1"/>
  <c r="Y23" i="1"/>
  <c r="Y33" i="1" s="1"/>
  <c r="AD19" i="1"/>
  <c r="AD49" i="1" s="1"/>
  <c r="AC19" i="1"/>
  <c r="AC49" i="1" s="1"/>
  <c r="AB19" i="1"/>
  <c r="AB49" i="1" s="1"/>
  <c r="AA19" i="1"/>
  <c r="AA49" i="1" s="1"/>
  <c r="Z19" i="1"/>
  <c r="Z49" i="1" s="1"/>
  <c r="Y19" i="1"/>
  <c r="Y49" i="1" s="1"/>
  <c r="AK27" i="2" l="1"/>
  <c r="AL27" i="2" s="1"/>
  <c r="AK27" i="4"/>
  <c r="AL27" i="4" s="1"/>
  <c r="AK27" i="1"/>
  <c r="AL27" i="1" s="1"/>
  <c r="S51" i="2"/>
  <c r="R51" i="2"/>
  <c r="Q51" i="2"/>
  <c r="P51" i="2"/>
  <c r="O51" i="2"/>
  <c r="N51" i="2"/>
  <c r="S47" i="2"/>
  <c r="R47" i="2"/>
  <c r="Q47" i="2"/>
  <c r="P47" i="2"/>
  <c r="O47" i="2"/>
  <c r="N47" i="2"/>
  <c r="O51" i="4"/>
  <c r="P51" i="4"/>
  <c r="Q51" i="4"/>
  <c r="R51" i="4"/>
  <c r="S51" i="4"/>
  <c r="N51" i="4"/>
  <c r="O47" i="4"/>
  <c r="P47" i="4"/>
  <c r="Q47" i="4"/>
  <c r="R47" i="4"/>
  <c r="S47" i="4"/>
  <c r="N47" i="4"/>
  <c r="H42" i="2" l="1"/>
  <c r="G42" i="2"/>
  <c r="F42" i="2"/>
  <c r="E42" i="2"/>
  <c r="D42" i="2"/>
  <c r="C42" i="2"/>
  <c r="H41" i="2"/>
  <c r="H43" i="2" s="1"/>
  <c r="G41" i="2"/>
  <c r="F41" i="2"/>
  <c r="E41" i="2"/>
  <c r="D41" i="2"/>
  <c r="C41" i="2"/>
  <c r="H40" i="2"/>
  <c r="G40" i="2"/>
  <c r="F40" i="2"/>
  <c r="F43" i="2" s="1"/>
  <c r="E40" i="2"/>
  <c r="D40" i="2"/>
  <c r="C40" i="2"/>
  <c r="H36" i="2"/>
  <c r="G36" i="2"/>
  <c r="F36" i="2"/>
  <c r="E36" i="2"/>
  <c r="D36" i="2"/>
  <c r="C36" i="2"/>
  <c r="C43" i="2" l="1"/>
  <c r="G43" i="2"/>
  <c r="D43" i="2"/>
  <c r="E43" i="2"/>
  <c r="H20" i="2"/>
  <c r="G20" i="2"/>
  <c r="F20" i="2"/>
  <c r="E20" i="2"/>
  <c r="D20" i="2"/>
  <c r="C20" i="2"/>
  <c r="D40" i="4" l="1"/>
  <c r="D43" i="4" s="1"/>
  <c r="E40" i="4"/>
  <c r="F40" i="4"/>
  <c r="G40" i="4"/>
  <c r="H40" i="4"/>
  <c r="H43" i="4" s="1"/>
  <c r="D41" i="4"/>
  <c r="E41" i="4"/>
  <c r="F41" i="4"/>
  <c r="F43" i="4" s="1"/>
  <c r="G41" i="4"/>
  <c r="G43" i="4" s="1"/>
  <c r="H41" i="4"/>
  <c r="D42" i="4"/>
  <c r="E42" i="4"/>
  <c r="F42" i="4"/>
  <c r="G42" i="4"/>
  <c r="H42" i="4"/>
  <c r="C41" i="4"/>
  <c r="C42" i="4"/>
  <c r="C40" i="4"/>
  <c r="E43" i="4"/>
  <c r="D36" i="4"/>
  <c r="E36" i="4"/>
  <c r="F36" i="4"/>
  <c r="G36" i="4"/>
  <c r="H36" i="4"/>
  <c r="C36" i="4"/>
  <c r="D40" i="1"/>
  <c r="E40" i="1"/>
  <c r="F40" i="1"/>
  <c r="G40" i="1"/>
  <c r="H40" i="1"/>
  <c r="D42" i="1"/>
  <c r="E42" i="1"/>
  <c r="F42" i="1"/>
  <c r="G42" i="1"/>
  <c r="H42" i="1"/>
  <c r="D43" i="1"/>
  <c r="E43" i="1"/>
  <c r="F43" i="1"/>
  <c r="G43" i="1"/>
  <c r="H43" i="1"/>
  <c r="C43" i="1"/>
  <c r="C42" i="1"/>
  <c r="C40" i="1"/>
  <c r="H20" i="1"/>
  <c r="G20" i="1"/>
  <c r="F20" i="1"/>
  <c r="E20" i="1"/>
  <c r="D20" i="1"/>
  <c r="C20" i="1"/>
  <c r="C43" i="4" l="1"/>
</calcChain>
</file>

<file path=xl/sharedStrings.xml><?xml version="1.0" encoding="utf-8"?>
<sst xmlns="http://schemas.openxmlformats.org/spreadsheetml/2006/main" count="1036" uniqueCount="121">
  <si>
    <t>Direct Electric Transportation</t>
  </si>
  <si>
    <t>LDV Vehicle Sales
Northwest</t>
  </si>
  <si>
    <t>Gasoline</t>
  </si>
  <si>
    <t>Electric</t>
  </si>
  <si>
    <t>Other</t>
  </si>
  <si>
    <t>Total</t>
  </si>
  <si>
    <t>Market Share - % Sales Electric</t>
  </si>
  <si>
    <t>LDV Vehicle Stock
Northwest</t>
  </si>
  <si>
    <t>Market Share - % Stock Electric</t>
  </si>
  <si>
    <t>LDV Plug-In Electric</t>
  </si>
  <si>
    <t>Bus Direct Electric</t>
  </si>
  <si>
    <t>GWh</t>
  </si>
  <si>
    <t>aMW</t>
  </si>
  <si>
    <t>HDV Plug-In Electric</t>
  </si>
  <si>
    <t>1. Direct Electric Transportation</t>
  </si>
  <si>
    <t>Fuel Consumption</t>
  </si>
  <si>
    <t>Units</t>
  </si>
  <si>
    <t>Million Gallons</t>
  </si>
  <si>
    <t>Diesel</t>
  </si>
  <si>
    <t>Natural Gas</t>
  </si>
  <si>
    <t>Tbtu</t>
  </si>
  <si>
    <t>Direct Electricity</t>
  </si>
  <si>
    <t>Hydrogen</t>
  </si>
  <si>
    <t>kTonne H2</t>
  </si>
  <si>
    <t>2. Fuel Use</t>
  </si>
  <si>
    <t>Gasoline
Consumption</t>
  </si>
  <si>
    <t>LDV</t>
  </si>
  <si>
    <t>Bus</t>
  </si>
  <si>
    <t>HDV Light</t>
  </si>
  <si>
    <t>HDV Med</t>
  </si>
  <si>
    <t>HDV Heavy</t>
  </si>
  <si>
    <t>Diesel
Consumption</t>
  </si>
  <si>
    <t>HDV2</t>
  </si>
  <si>
    <t xml:space="preserve">AEO </t>
  </si>
  <si>
    <t>Commercial Light Truck</t>
  </si>
  <si>
    <t>8.5k - 10k</t>
  </si>
  <si>
    <t>Rating Lbs</t>
  </si>
  <si>
    <t>Light Medium</t>
  </si>
  <si>
    <t>Class 3</t>
  </si>
  <si>
    <t>Medium</t>
  </si>
  <si>
    <t>Heavy</t>
  </si>
  <si>
    <t>Class 7,8</t>
  </si>
  <si>
    <t>Class 4,5,6</t>
  </si>
  <si>
    <t>26k-33k</t>
  </si>
  <si>
    <t>&gt;33k</t>
  </si>
  <si>
    <t>14k - 16k</t>
  </si>
  <si>
    <t>16k-19.5k</t>
  </si>
  <si>
    <t>Class 2</t>
  </si>
  <si>
    <t>10k - 14k</t>
  </si>
  <si>
    <t>Class</t>
  </si>
  <si>
    <t>https://www.arrowtruck.com/blog/2020/03/06/truck-classifications/</t>
  </si>
  <si>
    <t>Forecast</t>
  </si>
  <si>
    <t>HDV6</t>
  </si>
  <si>
    <t>HDV8</t>
  </si>
  <si>
    <t>Category</t>
  </si>
  <si>
    <t>Natural Gas
Consumption</t>
  </si>
  <si>
    <t>Direct Electricity
Consumption</t>
  </si>
  <si>
    <t>Hydrogen
Consumption</t>
  </si>
  <si>
    <r>
      <t>kTonne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</t>
    </r>
  </si>
  <si>
    <t>3. Tailpipe Emissions</t>
  </si>
  <si>
    <t>Million Miles Traveled</t>
  </si>
  <si>
    <t>Million Ton-Miles Traveled</t>
  </si>
  <si>
    <t>Vehicle Stock</t>
  </si>
  <si>
    <t xml:space="preserve">Transport Metrics - </t>
  </si>
  <si>
    <t>Emission Metrics</t>
  </si>
  <si>
    <r>
      <t>kg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 per mile</t>
    </r>
  </si>
  <si>
    <r>
      <t>annual tonne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 per vehicle</t>
    </r>
  </si>
  <si>
    <r>
      <t>kg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e per ton-mile </t>
    </r>
  </si>
  <si>
    <r>
      <t>kWh/kg H</t>
    </r>
    <r>
      <rPr>
        <vertAlign val="subscript"/>
        <sz val="10"/>
        <color theme="1"/>
        <rFont val="Arial"/>
        <family val="2"/>
      </rPr>
      <t>2</t>
    </r>
  </si>
  <si>
    <t>Hydrogen Production Requirements</t>
  </si>
  <si>
    <t>Electrolysis + Delivery</t>
  </si>
  <si>
    <t>Indirect Electriciy Demand for Hydrogen Fuel Cell Transportation</t>
  </si>
  <si>
    <r>
      <t>GWh/kTonne H</t>
    </r>
    <r>
      <rPr>
        <vertAlign val="subscript"/>
        <sz val="10"/>
        <color theme="1"/>
        <rFont val="Arial"/>
        <family val="2"/>
      </rPr>
      <t>2</t>
    </r>
  </si>
  <si>
    <t>3. Tailpipe Emissions &amp; Transportation Metrics</t>
  </si>
  <si>
    <t>4. Growth Metrics</t>
  </si>
  <si>
    <t xml:space="preserve">LDV </t>
  </si>
  <si>
    <t>Metric</t>
  </si>
  <si>
    <t>2020 to 2045</t>
  </si>
  <si>
    <t>Time Frame</t>
  </si>
  <si>
    <t>% Growth</t>
  </si>
  <si>
    <t>Ave Annual % Growth</t>
  </si>
  <si>
    <t>All</t>
  </si>
  <si>
    <t>5. Indirect Electricity Demand</t>
  </si>
  <si>
    <t>Ave Annual
 % Growth</t>
  </si>
  <si>
    <t>LDV Electric Vehicle Sales</t>
  </si>
  <si>
    <t>ID</t>
  </si>
  <si>
    <t>MT</t>
  </si>
  <si>
    <t>OR</t>
  </si>
  <si>
    <t>WA</t>
  </si>
  <si>
    <t>LDV Electric Vehicle Stock</t>
  </si>
  <si>
    <t>LDV Electric Demand GWh</t>
  </si>
  <si>
    <t>Overall</t>
  </si>
  <si>
    <t>Gasoline+Diesel</t>
  </si>
  <si>
    <t>2. Energy Use</t>
  </si>
  <si>
    <t>Region</t>
  </si>
  <si>
    <t>LDV Vehicle Sales</t>
  </si>
  <si>
    <t>LDV Vehicle Stock</t>
  </si>
  <si>
    <t>LDV Electric Vehicle Market Share Sales</t>
  </si>
  <si>
    <t>LDV Electric Vehicle Market Share Stock</t>
  </si>
  <si>
    <t>All Electric Demand GWh</t>
  </si>
  <si>
    <t>5. Freight Metrics</t>
  </si>
  <si>
    <t>% Million Ton-Miles Traveled</t>
  </si>
  <si>
    <t>6. Freight Metrics</t>
  </si>
  <si>
    <t>Petrol Consumption</t>
  </si>
  <si>
    <t>Reference Case</t>
  </si>
  <si>
    <t>High Electric Case</t>
  </si>
  <si>
    <t>H2E Case</t>
  </si>
  <si>
    <t>Direct Electricity Demand</t>
  </si>
  <si>
    <t>Electricity Demand</t>
  </si>
  <si>
    <t>Total Electricity</t>
  </si>
  <si>
    <t>Emissions</t>
  </si>
  <si>
    <r>
      <t>kTonne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</t>
    </r>
  </si>
  <si>
    <t>Indirect Electricity (H2 Production)</t>
  </si>
  <si>
    <t>HDV All</t>
  </si>
  <si>
    <t>HDV</t>
  </si>
  <si>
    <t>Electric Vehicle Sales Market Share</t>
  </si>
  <si>
    <t>%</t>
  </si>
  <si>
    <t>Direct demand (Reference)</t>
  </si>
  <si>
    <t>Direct demand w/additional high electification</t>
  </si>
  <si>
    <t>Direct demand w/additional potential range of indirect demand</t>
  </si>
  <si>
    <t>Electric Vehicle Stock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</si>
</sst>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"/>
  </numFmts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vertAlign val="subscript"/>
      <sz val="10"/>
      <color theme="1"/>
      <name val="Arial"/>
      <family val="2"/>
    </font>
    <font>
      <sz val="8"/>
      <name val="Arial"/>
      <family val="2"/>
    </font>
    <font>
      <b/>
      <sz val="10"/>
      <color rgb="FFCC9900"/>
      <name val="Arial"/>
      <family val="2"/>
    </font>
    <font>
      <b/>
      <sz val="10"/>
      <color rgb="FF7A0000"/>
      <name val="Arial"/>
      <family val="2"/>
    </font>
    <font>
      <b/>
      <sz val="10"/>
      <color rgb="FF00B050"/>
      <name val="Arial"/>
      <family val="2"/>
    </font>
    <font>
      <b/>
      <sz val="10"/>
      <color rgb="FF7030A0"/>
      <name val="Arial"/>
      <family val="2"/>
    </font>
    <font>
      <b/>
      <sz val="10"/>
      <color rgb="FF002060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8" tint="-0.249977111117893"/>
      <name val="Arial"/>
      <family val="2"/>
    </font>
    <font>
      <b/>
      <vertAlign val="subscript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C00000"/>
      </top>
      <bottom style="double">
        <color rgb="FFC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0" fillId="3" borderId="0" xfId="0" applyFill="1"/>
    <xf numFmtId="0" fontId="1" fillId="4" borderId="0" xfId="0" applyFont="1" applyFill="1"/>
    <xf numFmtId="0" fontId="4" fillId="0" borderId="0" xfId="0" applyFont="1"/>
    <xf numFmtId="0" fontId="4" fillId="0" borderId="3" xfId="0" applyFont="1" applyBorder="1"/>
    <xf numFmtId="0" fontId="0" fillId="0" borderId="3" xfId="0" applyBorder="1"/>
    <xf numFmtId="3" fontId="0" fillId="0" borderId="0" xfId="0" applyNumberFormat="1"/>
    <xf numFmtId="3" fontId="0" fillId="0" borderId="3" xfId="0" applyNumberFormat="1" applyBorder="1"/>
    <xf numFmtId="164" fontId="0" fillId="0" borderId="0" xfId="0" applyNumberFormat="1"/>
    <xf numFmtId="0" fontId="2" fillId="0" borderId="1" xfId="0" applyFont="1" applyBorder="1"/>
    <xf numFmtId="0" fontId="0" fillId="5" borderId="0" xfId="0" applyFill="1"/>
    <xf numFmtId="0" fontId="5" fillId="0" borderId="0" xfId="0" applyFont="1"/>
    <xf numFmtId="0" fontId="5" fillId="0" borderId="0" xfId="0" applyFont="1" applyFill="1" applyBorder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Border="1"/>
    <xf numFmtId="165" fontId="0" fillId="0" borderId="0" xfId="0" applyNumberFormat="1"/>
    <xf numFmtId="3" fontId="0" fillId="0" borderId="0" xfId="0" applyNumberFormat="1" applyBorder="1"/>
    <xf numFmtId="0" fontId="2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5" fillId="0" borderId="3" xfId="0" applyFont="1" applyFill="1" applyBorder="1"/>
    <xf numFmtId="0" fontId="5" fillId="0" borderId="3" xfId="0" applyFont="1" applyBorder="1"/>
    <xf numFmtId="0" fontId="2" fillId="0" borderId="0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2" fontId="0" fillId="0" borderId="0" xfId="0" applyNumberFormat="1"/>
    <xf numFmtId="166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1" fontId="0" fillId="0" borderId="0" xfId="0" applyNumberForma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2" fillId="10" borderId="1" xfId="0" applyFont="1" applyFill="1" applyBorder="1" applyAlignment="1">
      <alignment wrapText="1"/>
    </xf>
    <xf numFmtId="0" fontId="0" fillId="0" borderId="5" xfId="0" applyBorder="1"/>
    <xf numFmtId="3" fontId="0" fillId="0" borderId="5" xfId="0" applyNumberFormat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Charts_Comparisons!$F$31</c:f>
              <c:strCache>
                <c:ptCount val="1"/>
                <c:pt idx="0">
                  <c:v>Reference Case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Charts_Comparisons!$G$29:$L$29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Charts_Comparisons!$G$31:$L$31</c:f>
              <c:numCache>
                <c:formatCode>#,##0</c:formatCode>
                <c:ptCount val="6"/>
                <c:pt idx="0">
                  <c:v>74408.709199999983</c:v>
                </c:pt>
                <c:pt idx="1">
                  <c:v>77219.678199999995</c:v>
                </c:pt>
                <c:pt idx="2">
                  <c:v>79994.379499999995</c:v>
                </c:pt>
                <c:pt idx="3">
                  <c:v>83070.353399999993</c:v>
                </c:pt>
                <c:pt idx="4">
                  <c:v>86350.413099999991</c:v>
                </c:pt>
                <c:pt idx="5">
                  <c:v>89962.118699999992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9D-452C-9CA2-44E2347CBCE9}"/>
            </c:ext>
          </c:extLst>
        </c:ser>
        <c:ser>
          <c:idx val="1"/>
          <c:order val="1"/>
          <c:tx>
            <c:strRef>
              <c:f>Charts_Comparisons!$F$32</c:f>
              <c:strCache>
                <c:ptCount val="1"/>
                <c:pt idx="0">
                  <c:v>High Electric Case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Charts_Comparisons!$G$29:$L$29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Charts_Comparisons!$G$32:$L$32</c:f>
              <c:numCache>
                <c:formatCode>#,##0</c:formatCode>
                <c:ptCount val="6"/>
                <c:pt idx="0">
                  <c:v>74387.390100000004</c:v>
                </c:pt>
                <c:pt idx="1">
                  <c:v>76310.737500000017</c:v>
                </c:pt>
                <c:pt idx="2">
                  <c:v>75172.199899999992</c:v>
                </c:pt>
                <c:pt idx="3">
                  <c:v>72918.866899999994</c:v>
                </c:pt>
                <c:pt idx="4">
                  <c:v>70851.703199999989</c:v>
                </c:pt>
                <c:pt idx="5">
                  <c:v>70319.384600000005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9D-452C-9CA2-44E2347CBCE9}"/>
            </c:ext>
          </c:extLst>
        </c:ser>
        <c:ser>
          <c:idx val="2"/>
          <c:order val="2"/>
          <c:tx>
            <c:strRef>
              <c:f>Charts_Comparisons!$F$33</c:f>
              <c:strCache>
                <c:ptCount val="1"/>
                <c:pt idx="0">
                  <c:v>H2E Case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Charts_Comparisons!$G$29:$L$29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Charts_Comparisons!$G$33:$L$33</c:f>
              <c:numCache>
                <c:formatCode>#,##0</c:formatCode>
                <c:ptCount val="6"/>
                <c:pt idx="0">
                  <c:v>74387.390100000004</c:v>
                </c:pt>
                <c:pt idx="1">
                  <c:v>76310.737500000017</c:v>
                </c:pt>
                <c:pt idx="2">
                  <c:v>74888.272400000002</c:v>
                </c:pt>
                <c:pt idx="3">
                  <c:v>71227.636599999998</c:v>
                </c:pt>
                <c:pt idx="4">
                  <c:v>63421.294300000001</c:v>
                </c:pt>
                <c:pt idx="5">
                  <c:v>49410.842499999999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9D-452C-9CA2-44E2347CB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408096"/>
        <c:axId val="1736406848"/>
      </c:lineChart>
      <c:catAx>
        <c:axId val="173640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406848"/>
        <c:crosses val="autoZero"/>
        <c:auto val="1"/>
        <c:lblAlgn val="ctr"/>
        <c:lblOffset val="100"/>
        <c:noMultiLvlLbl val="0"/>
      </c:catAx>
      <c:valAx>
        <c:axId val="173640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kTonne CO</a:t>
                </a:r>
                <a:r>
                  <a:rPr lang="en-US" baseline="-25000"/>
                  <a:t>2</a:t>
                </a:r>
                <a:r>
                  <a:rPr lang="en-US"/>
                  <a:t>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40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Reference!$AL$13</c:f>
              <c:strCache>
                <c:ptCount val="1"/>
                <c:pt idx="0">
                  <c:v>Ave Annual
 % Growth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Reference!$AH$14:$AH$18</c:f>
              <c:strCache>
                <c:ptCount val="5"/>
                <c:pt idx="0">
                  <c:v>LDV </c:v>
                </c:pt>
                <c:pt idx="1">
                  <c:v>HDV Light</c:v>
                </c:pt>
                <c:pt idx="2">
                  <c:v>HDV Med</c:v>
                </c:pt>
                <c:pt idx="3">
                  <c:v>HDV Heavy</c:v>
                </c:pt>
                <c:pt idx="4">
                  <c:v>Bus</c:v>
                </c:pt>
              </c:strCache>
            </c:strRef>
          </c:cat>
          <c:val>
            <c:numRef>
              <c:f>Reference!$AL$14:$AL$18</c:f>
              <c:numCache>
                <c:formatCode>0.0</c:formatCode>
                <c:ptCount val="5"/>
                <c:pt idx="0">
                  <c:v>1.2368768787937658</c:v>
                </c:pt>
                <c:pt idx="1">
                  <c:v>2.6978448409911437</c:v>
                </c:pt>
                <c:pt idx="2">
                  <c:v>5.7104329070349795</c:v>
                </c:pt>
                <c:pt idx="3">
                  <c:v>2.899181826044865</c:v>
                </c:pt>
                <c:pt idx="4">
                  <c:v>1.3654976802170007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D-4FBF-BB1B-48D713A46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1396544"/>
        <c:axId val="615033440"/>
      </c:barChart>
      <c:catAx>
        <c:axId val="71139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033440"/>
        <c:crosses val="autoZero"/>
        <c:auto val="1"/>
        <c:lblAlgn val="ctr"/>
        <c:lblOffset val="100"/>
        <c:noMultiLvlLbl val="0"/>
      </c:catAx>
      <c:valAx>
        <c:axId val="6150334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396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Reference!$W$45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Reference!$Y$41:$AD$41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Reference!$Y$45:$AD$45</c:f>
              <c:numCache>
                <c:formatCode>#,##0</c:formatCode>
                <c:ptCount val="6"/>
                <c:pt idx="0">
                  <c:v>35836.0147</c:v>
                </c:pt>
                <c:pt idx="1">
                  <c:v>37662.610999999997</c:v>
                </c:pt>
                <c:pt idx="2">
                  <c:v>39748.533500000005</c:v>
                </c:pt>
                <c:pt idx="3">
                  <c:v>42101.848899999997</c:v>
                </c:pt>
                <c:pt idx="4">
                  <c:v>44689.086399999993</c:v>
                </c:pt>
                <c:pt idx="5">
                  <c:v>47600.5916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B-455B-BD86-D678ECDB1825}"/>
            </c:ext>
          </c:extLst>
        </c:ser>
        <c:ser>
          <c:idx val="2"/>
          <c:order val="1"/>
          <c:tx>
            <c:strRef>
              <c:f>Reference!$W$44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Reference!$Y$41:$AD$41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Reference!$Y$44:$AD$44</c:f>
              <c:numCache>
                <c:formatCode>#,##0</c:formatCode>
                <c:ptCount val="6"/>
                <c:pt idx="0">
                  <c:v>19367.656099999997</c:v>
                </c:pt>
                <c:pt idx="1">
                  <c:v>19798.489000000001</c:v>
                </c:pt>
                <c:pt idx="2">
                  <c:v>19986.337100000001</c:v>
                </c:pt>
                <c:pt idx="3">
                  <c:v>20108.716699999997</c:v>
                </c:pt>
                <c:pt idx="4">
                  <c:v>20139.016599999995</c:v>
                </c:pt>
                <c:pt idx="5">
                  <c:v>20069.812699999999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FB-455B-BD86-D678ECDB1825}"/>
            </c:ext>
          </c:extLst>
        </c:ser>
        <c:ser>
          <c:idx val="0"/>
          <c:order val="2"/>
          <c:tx>
            <c:strRef>
              <c:f>Reference!$W$42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Reference!$Y$41:$AD$41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Reference!$Y$42:$AD$42</c:f>
              <c:numCache>
                <c:formatCode>#,##0</c:formatCode>
                <c:ptCount val="6"/>
                <c:pt idx="0">
                  <c:v>15311.777599999999</c:v>
                </c:pt>
                <c:pt idx="1">
                  <c:v>15897.482</c:v>
                </c:pt>
                <c:pt idx="2">
                  <c:v>16437.1682</c:v>
                </c:pt>
                <c:pt idx="3">
                  <c:v>17043.231900000002</c:v>
                </c:pt>
                <c:pt idx="4">
                  <c:v>17696.287899999999</c:v>
                </c:pt>
                <c:pt idx="5">
                  <c:v>18448.967800000002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FB-455B-BD86-D678ECDB1825}"/>
            </c:ext>
          </c:extLst>
        </c:ser>
        <c:ser>
          <c:idx val="1"/>
          <c:order val="3"/>
          <c:tx>
            <c:strRef>
              <c:f>Reference!$W$43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Reference!$Y$41:$AD$41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Reference!$Y$43:$AD$43</c:f>
              <c:numCache>
                <c:formatCode>#,##0</c:formatCode>
                <c:ptCount val="6"/>
                <c:pt idx="0">
                  <c:v>3893.2709</c:v>
                </c:pt>
                <c:pt idx="1">
                  <c:v>3861.1010000000001</c:v>
                </c:pt>
                <c:pt idx="2">
                  <c:v>3822.3410000000003</c:v>
                </c:pt>
                <c:pt idx="3">
                  <c:v>3816.5558000000001</c:v>
                </c:pt>
                <c:pt idx="4">
                  <c:v>3826.0224999999996</c:v>
                </c:pt>
                <c:pt idx="5">
                  <c:v>3842.7469999999998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FB-455B-BD86-D678ECDB1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227215"/>
        <c:axId val="595208495"/>
      </c:barChart>
      <c:lineChart>
        <c:grouping val="standard"/>
        <c:varyColors val="0"/>
        <c:ser>
          <c:idx val="4"/>
          <c:order val="4"/>
          <c:tx>
            <c:strRef>
              <c:f>Reference!$W$47</c:f>
              <c:strCache>
                <c:ptCount val="1"/>
                <c:pt idx="0">
                  <c:v>Region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Reference!$Y$47:$AD$47</c:f>
              <c:numCache>
                <c:formatCode>#,##0</c:formatCode>
                <c:ptCount val="6"/>
                <c:pt idx="0">
                  <c:v>74408.719299999997</c:v>
                </c:pt>
                <c:pt idx="1">
                  <c:v>77219.68299999999</c:v>
                </c:pt>
                <c:pt idx="2">
                  <c:v>79994.37980000001</c:v>
                </c:pt>
                <c:pt idx="3">
                  <c:v>83070.353299999988</c:v>
                </c:pt>
                <c:pt idx="4">
                  <c:v>86350.41339999999</c:v>
                </c:pt>
                <c:pt idx="5">
                  <c:v>89962.119099999996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B-4FDD-8C3A-57EE375DB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227215"/>
        <c:axId val="595208495"/>
      </c:lineChart>
      <c:catAx>
        <c:axId val="59522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08495"/>
        <c:crosses val="autoZero"/>
        <c:auto val="1"/>
        <c:lblAlgn val="ctr"/>
        <c:lblOffset val="100"/>
        <c:noMultiLvlLbl val="0"/>
      </c:catAx>
      <c:valAx>
        <c:axId val="59520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kTonne</a:t>
                </a:r>
                <a:r>
                  <a:rPr lang="en-US" sz="1000" baseline="0"/>
                  <a:t> CO</a:t>
                </a:r>
                <a:r>
                  <a:rPr lang="en-US" sz="1000" baseline="-25000"/>
                  <a:t>2</a:t>
                </a:r>
                <a:r>
                  <a:rPr lang="en-US" sz="1000" baseline="0"/>
                  <a:t>e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272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Reference!$W$14</c:f>
              <c:strCache>
                <c:ptCount val="1"/>
                <c:pt idx="0">
                  <c:v>LDV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Reference!$Y$13:$AD$13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Reference!$Y$14:$AD$14</c:f>
              <c:numCache>
                <c:formatCode>#,##0</c:formatCode>
                <c:ptCount val="6"/>
                <c:pt idx="0">
                  <c:v>43097.296199999997</c:v>
                </c:pt>
                <c:pt idx="1">
                  <c:v>42988.509599999998</c:v>
                </c:pt>
                <c:pt idx="2">
                  <c:v>42348.058099999995</c:v>
                </c:pt>
                <c:pt idx="3">
                  <c:v>41256.123500000002</c:v>
                </c:pt>
                <c:pt idx="4">
                  <c:v>39464.245699999999</c:v>
                </c:pt>
                <c:pt idx="5">
                  <c:v>36852.347199999997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3-43AB-9E2E-61E4F02C6CFC}"/>
            </c:ext>
          </c:extLst>
        </c:ser>
        <c:ser>
          <c:idx val="1"/>
          <c:order val="1"/>
          <c:tx>
            <c:strRef>
              <c:f>Reference!$W$15</c:f>
              <c:strCache>
                <c:ptCount val="1"/>
                <c:pt idx="0">
                  <c:v>HDV Light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Reference!$Y$13:$AD$13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Reference!$Y$15:$AD$15</c:f>
              <c:numCache>
                <c:formatCode>#,##0</c:formatCode>
                <c:ptCount val="6"/>
                <c:pt idx="0">
                  <c:v>3382.806</c:v>
                </c:pt>
                <c:pt idx="1">
                  <c:v>3667.7939999999999</c:v>
                </c:pt>
                <c:pt idx="2">
                  <c:v>3976.8310000000001</c:v>
                </c:pt>
                <c:pt idx="3">
                  <c:v>4352.6129999999994</c:v>
                </c:pt>
                <c:pt idx="4">
                  <c:v>4821.88</c:v>
                </c:pt>
                <c:pt idx="5">
                  <c:v>5414.2479999999996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3-43AB-9E2E-61E4F02C6CFC}"/>
            </c:ext>
          </c:extLst>
        </c:ser>
        <c:ser>
          <c:idx val="2"/>
          <c:order val="2"/>
          <c:tx>
            <c:strRef>
              <c:f>Reference!$W$16</c:f>
              <c:strCache>
                <c:ptCount val="1"/>
                <c:pt idx="0">
                  <c:v>HDV Med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Reference!$Y$13:$AD$13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Reference!$Y$16:$AD$16</c:f>
              <c:numCache>
                <c:formatCode>#,##0</c:formatCode>
                <c:ptCount val="6"/>
                <c:pt idx="0">
                  <c:v>6869.0505999999996</c:v>
                </c:pt>
                <c:pt idx="1">
                  <c:v>7959.0069999999996</c:v>
                </c:pt>
                <c:pt idx="2">
                  <c:v>9272.6867999999995</c:v>
                </c:pt>
                <c:pt idx="3">
                  <c:v>10835.825000000001</c:v>
                </c:pt>
                <c:pt idx="4">
                  <c:v>12663.887999999999</c:v>
                </c:pt>
                <c:pt idx="5">
                  <c:v>14822.875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3-43AB-9E2E-61E4F02C6CFC}"/>
            </c:ext>
          </c:extLst>
        </c:ser>
        <c:ser>
          <c:idx val="3"/>
          <c:order val="3"/>
          <c:tx>
            <c:strRef>
              <c:f>Reference!$W$17</c:f>
              <c:strCache>
                <c:ptCount val="1"/>
                <c:pt idx="0">
                  <c:v>HDV Heavy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Reference!$Y$13:$AD$13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Reference!$Y$17:$AD$17</c:f>
              <c:numCache>
                <c:formatCode>#,##0</c:formatCode>
                <c:ptCount val="6"/>
                <c:pt idx="0">
                  <c:v>19161.453000000001</c:v>
                </c:pt>
                <c:pt idx="1">
                  <c:v>20630.727999999999</c:v>
                </c:pt>
                <c:pt idx="2">
                  <c:v>22358.325000000001</c:v>
                </c:pt>
                <c:pt idx="3">
                  <c:v>24533.098999999998</c:v>
                </c:pt>
                <c:pt idx="4">
                  <c:v>27259.434999999998</c:v>
                </c:pt>
                <c:pt idx="5">
                  <c:v>30690.486999999997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D3-43AB-9E2E-61E4F02C6CFC}"/>
            </c:ext>
          </c:extLst>
        </c:ser>
        <c:ser>
          <c:idx val="4"/>
          <c:order val="4"/>
          <c:tx>
            <c:strRef>
              <c:f>Reference!$W$18</c:f>
              <c:strCache>
                <c:ptCount val="1"/>
                <c:pt idx="0">
                  <c:v>Bus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Reference!$Y$13:$AD$13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Reference!$Y$18:$AD$18</c:f>
              <c:numCache>
                <c:formatCode>#,##0</c:formatCode>
                <c:ptCount val="6"/>
                <c:pt idx="0">
                  <c:v>1898.1034</c:v>
                </c:pt>
                <c:pt idx="1">
                  <c:v>1973.6396</c:v>
                </c:pt>
                <c:pt idx="2">
                  <c:v>2038.4785999999999</c:v>
                </c:pt>
                <c:pt idx="3">
                  <c:v>2092.6929</c:v>
                </c:pt>
                <c:pt idx="4">
                  <c:v>2140.9643999999998</c:v>
                </c:pt>
                <c:pt idx="5">
                  <c:v>2182.1614999999997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D3-43AB-9E2E-61E4F02C6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8325999"/>
        <c:axId val="1628313103"/>
      </c:barChart>
      <c:lineChart>
        <c:grouping val="standard"/>
        <c:varyColors val="0"/>
        <c:ser>
          <c:idx val="5"/>
          <c:order val="5"/>
          <c:tx>
            <c:strRef>
              <c:f>Reference!$W$19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Reference!$Y$19:$AD$19</c:f>
              <c:numCache>
                <c:formatCode>#,##0</c:formatCode>
                <c:ptCount val="6"/>
                <c:pt idx="0">
                  <c:v>74408.709199999983</c:v>
                </c:pt>
                <c:pt idx="1">
                  <c:v>77219.678199999995</c:v>
                </c:pt>
                <c:pt idx="2">
                  <c:v>79994.379499999995</c:v>
                </c:pt>
                <c:pt idx="3">
                  <c:v>83070.353399999993</c:v>
                </c:pt>
                <c:pt idx="4">
                  <c:v>86350.413099999991</c:v>
                </c:pt>
                <c:pt idx="5">
                  <c:v>89962.118699999992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AB-42D7-9F12-B5E50630C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325999"/>
        <c:axId val="1628313103"/>
      </c:lineChart>
      <c:catAx>
        <c:axId val="1628325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313103"/>
        <c:crosses val="autoZero"/>
        <c:auto val="1"/>
        <c:lblAlgn val="ctr"/>
        <c:lblOffset val="100"/>
        <c:noMultiLvlLbl val="0"/>
      </c:catAx>
      <c:valAx>
        <c:axId val="162831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kTonne CO</a:t>
                </a:r>
                <a:r>
                  <a:rPr lang="en-US" baseline="-25000"/>
                  <a:t>2</a:t>
                </a:r>
                <a:r>
                  <a:rPr lang="en-US"/>
                  <a:t>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32599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Reference!$AL$13</c:f>
              <c:strCache>
                <c:ptCount val="1"/>
                <c:pt idx="0">
                  <c:v>Ave Annual
 % Growth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03-4726-B9C8-01E482272C18}"/>
              </c:ext>
            </c:extLst>
          </c:dPt>
          <c:cat>
            <c:strRef>
              <c:f>Reference!$AH$22:$AH$27</c:f>
              <c:strCache>
                <c:ptCount val="6"/>
                <c:pt idx="0">
                  <c:v>LDV </c:v>
                </c:pt>
                <c:pt idx="1">
                  <c:v>HDV Light</c:v>
                </c:pt>
                <c:pt idx="2">
                  <c:v>HDV Med</c:v>
                </c:pt>
                <c:pt idx="3">
                  <c:v>HDV Heavy</c:v>
                </c:pt>
                <c:pt idx="4">
                  <c:v>Bus</c:v>
                </c:pt>
                <c:pt idx="5">
                  <c:v>Overall</c:v>
                </c:pt>
              </c:strCache>
            </c:strRef>
          </c:cat>
          <c:val>
            <c:numRef>
              <c:f>Reference!$AL$22:$AL$27</c:f>
              <c:numCache>
                <c:formatCode>0.0</c:formatCode>
                <c:ptCount val="6"/>
                <c:pt idx="0">
                  <c:v>-0.57961399443893658</c:v>
                </c:pt>
                <c:pt idx="1">
                  <c:v>2.4020792206233517</c:v>
                </c:pt>
                <c:pt idx="2">
                  <c:v>4.631687761915745</c:v>
                </c:pt>
                <c:pt idx="3">
                  <c:v>2.4067139376121416</c:v>
                </c:pt>
                <c:pt idx="4">
                  <c:v>0.59861459602253442</c:v>
                </c:pt>
                <c:pt idx="5">
                  <c:v>0.83610693786904244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3-4726-B9C8-01E482272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1396544"/>
        <c:axId val="615033440"/>
      </c:barChart>
      <c:catAx>
        <c:axId val="71139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033440"/>
        <c:crosses val="autoZero"/>
        <c:auto val="1"/>
        <c:lblAlgn val="ctr"/>
        <c:lblOffset val="100"/>
        <c:noMultiLvlLbl val="0"/>
      </c:catAx>
      <c:valAx>
        <c:axId val="6150334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396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'High Electric'!$B$67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Reference!$C$62:$H$62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Electric'!$C$67:$H$67</c:f>
              <c:numCache>
                <c:formatCode>#,##0</c:formatCode>
                <c:ptCount val="6"/>
                <c:pt idx="0">
                  <c:v>344.5051069108809</c:v>
                </c:pt>
                <c:pt idx="1">
                  <c:v>1812.088070217497</c:v>
                </c:pt>
                <c:pt idx="2">
                  <c:v>6790.1941918578405</c:v>
                </c:pt>
                <c:pt idx="3">
                  <c:v>12396.146583625939</c:v>
                </c:pt>
                <c:pt idx="4">
                  <c:v>16851.003519491136</c:v>
                </c:pt>
                <c:pt idx="5">
                  <c:v>20420.697737871917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8-436D-B257-58753A69C641}"/>
            </c:ext>
          </c:extLst>
        </c:ser>
        <c:ser>
          <c:idx val="2"/>
          <c:order val="1"/>
          <c:tx>
            <c:strRef>
              <c:f>'High Electric'!$B$66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Reference!$C$62:$H$62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Electric'!$C$66:$H$66</c:f>
              <c:numCache>
                <c:formatCode>#,##0</c:formatCode>
                <c:ptCount val="6"/>
                <c:pt idx="0">
                  <c:v>185.33817916668741</c:v>
                </c:pt>
                <c:pt idx="1">
                  <c:v>959.80793290781367</c:v>
                </c:pt>
                <c:pt idx="2">
                  <c:v>3398.8044456545031</c:v>
                </c:pt>
                <c:pt idx="3">
                  <c:v>6385.6388115262525</c:v>
                </c:pt>
                <c:pt idx="4">
                  <c:v>8871.4094757514413</c:v>
                </c:pt>
                <c:pt idx="5">
                  <c:v>10811.188634936247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8-436D-B257-58753A69C641}"/>
            </c:ext>
          </c:extLst>
        </c:ser>
        <c:ser>
          <c:idx val="0"/>
          <c:order val="2"/>
          <c:tx>
            <c:strRef>
              <c:f>'High Electric'!$B$64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Reference!$C$62:$H$62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Electric'!$C$64:$H$64</c:f>
              <c:numCache>
                <c:formatCode>#,##0</c:formatCode>
                <c:ptCount val="6"/>
                <c:pt idx="0">
                  <c:v>16.998125224016242</c:v>
                </c:pt>
                <c:pt idx="1">
                  <c:v>92.170868671605305</c:v>
                </c:pt>
                <c:pt idx="2">
                  <c:v>449.07288415103596</c:v>
                </c:pt>
                <c:pt idx="3">
                  <c:v>1518.9876385530376</c:v>
                </c:pt>
                <c:pt idx="4">
                  <c:v>3114.8478330760654</c:v>
                </c:pt>
                <c:pt idx="5">
                  <c:v>4674.5430508293766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B8-436D-B257-58753A69C641}"/>
            </c:ext>
          </c:extLst>
        </c:ser>
        <c:ser>
          <c:idx val="1"/>
          <c:order val="3"/>
          <c:tx>
            <c:strRef>
              <c:f>'High Electric'!$B$65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Reference!$C$62:$H$62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Electric'!$C$65:$H$65</c:f>
              <c:numCache>
                <c:formatCode>#,##0</c:formatCode>
                <c:ptCount val="6"/>
                <c:pt idx="0">
                  <c:v>6.4475647401440908</c:v>
                </c:pt>
                <c:pt idx="1">
                  <c:v>34.611699809591691</c:v>
                </c:pt>
                <c:pt idx="2">
                  <c:v>151.40054294356531</c:v>
                </c:pt>
                <c:pt idx="3">
                  <c:v>432.95397230067573</c:v>
                </c:pt>
                <c:pt idx="4">
                  <c:v>778.39690681012314</c:v>
                </c:pt>
                <c:pt idx="5">
                  <c:v>1078.325895676644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B8-436D-B257-58753A69C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227215"/>
        <c:axId val="595208495"/>
      </c:barChart>
      <c:lineChart>
        <c:grouping val="standard"/>
        <c:varyColors val="0"/>
        <c:ser>
          <c:idx val="4"/>
          <c:order val="4"/>
          <c:tx>
            <c:strRef>
              <c:f>'High Electric'!$B$68</c:f>
              <c:strCache>
                <c:ptCount val="1"/>
                <c:pt idx="0">
                  <c:v>Region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'High Electric'!$C$62:$H$62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Electric'!$C$68:$H$68</c:f>
              <c:numCache>
                <c:formatCode>#,##0</c:formatCode>
                <c:ptCount val="6"/>
                <c:pt idx="0">
                  <c:v>553.28897604172857</c:v>
                </c:pt>
                <c:pt idx="1">
                  <c:v>2898.6785716065078</c:v>
                </c:pt>
                <c:pt idx="2">
                  <c:v>10789.472064606944</c:v>
                </c:pt>
                <c:pt idx="3">
                  <c:v>20733.727006005905</c:v>
                </c:pt>
                <c:pt idx="4">
                  <c:v>29615.657735128767</c:v>
                </c:pt>
                <c:pt idx="5">
                  <c:v>36984.755319314179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B8-436D-B257-58753A69C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227215"/>
        <c:axId val="595208495"/>
      </c:lineChart>
      <c:catAx>
        <c:axId val="59522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08495"/>
        <c:crosses val="autoZero"/>
        <c:auto val="1"/>
        <c:lblAlgn val="ctr"/>
        <c:lblOffset val="100"/>
        <c:noMultiLvlLbl val="0"/>
      </c:catAx>
      <c:valAx>
        <c:axId val="59520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GWh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272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'High Electric'!$B$51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Reference!$C$46:$H$46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Electric'!$C$51:$H$51</c:f>
              <c:numCache>
                <c:formatCode>#,##0</c:formatCode>
                <c:ptCount val="6"/>
                <c:pt idx="0">
                  <c:v>17303.7</c:v>
                </c:pt>
                <c:pt idx="1">
                  <c:v>117078</c:v>
                </c:pt>
                <c:pt idx="2">
                  <c:v>323142.70000000007</c:v>
                </c:pt>
                <c:pt idx="3">
                  <c:v>322607.49999999994</c:v>
                </c:pt>
                <c:pt idx="4">
                  <c:v>326446.5</c:v>
                </c:pt>
                <c:pt idx="5">
                  <c:v>330196.3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1-4322-B193-10E2BCA4E630}"/>
            </c:ext>
          </c:extLst>
        </c:ser>
        <c:ser>
          <c:idx val="2"/>
          <c:order val="1"/>
          <c:tx>
            <c:strRef>
              <c:f>'High Electric'!$B$50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Reference!$C$46:$H$46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Electric'!$C$50:$H$50</c:f>
              <c:numCache>
                <c:formatCode>#,##0</c:formatCode>
                <c:ptCount val="6"/>
                <c:pt idx="0">
                  <c:v>8906.7000000000007</c:v>
                </c:pt>
                <c:pt idx="1">
                  <c:v>59190</c:v>
                </c:pt>
                <c:pt idx="2">
                  <c:v>145597.5</c:v>
                </c:pt>
                <c:pt idx="3">
                  <c:v>169445.7</c:v>
                </c:pt>
                <c:pt idx="4">
                  <c:v>169240.5</c:v>
                </c:pt>
                <c:pt idx="5">
                  <c:v>168601.1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C1-4322-B193-10E2BCA4E630}"/>
            </c:ext>
          </c:extLst>
        </c:ser>
        <c:ser>
          <c:idx val="0"/>
          <c:order val="2"/>
          <c:tx>
            <c:strRef>
              <c:f>'High Electric'!$B$48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Reference!$C$46:$H$46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Electric'!$C$48:$H$48</c:f>
              <c:numCache>
                <c:formatCode>#,##0</c:formatCode>
                <c:ptCount val="6"/>
                <c:pt idx="0">
                  <c:v>944.00000000000011</c:v>
                </c:pt>
                <c:pt idx="1">
                  <c:v>5645.6</c:v>
                </c:pt>
                <c:pt idx="2">
                  <c:v>26702.799999999999</c:v>
                </c:pt>
                <c:pt idx="3">
                  <c:v>69230.600000000006</c:v>
                </c:pt>
                <c:pt idx="4">
                  <c:v>95660.1</c:v>
                </c:pt>
                <c:pt idx="5">
                  <c:v>104733.49999999999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C1-4322-B193-10E2BCA4E630}"/>
            </c:ext>
          </c:extLst>
        </c:ser>
        <c:ser>
          <c:idx val="1"/>
          <c:order val="3"/>
          <c:tx>
            <c:strRef>
              <c:f>'High Electric'!$B$49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Reference!$C$46:$H$46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Electric'!$C$49:$H$49</c:f>
              <c:numCache>
                <c:formatCode>#,##0</c:formatCode>
                <c:ptCount val="6"/>
                <c:pt idx="0">
                  <c:v>439.00000000000006</c:v>
                </c:pt>
                <c:pt idx="1">
                  <c:v>2469.7999999999997</c:v>
                </c:pt>
                <c:pt idx="2">
                  <c:v>9972.6999999999989</c:v>
                </c:pt>
                <c:pt idx="3">
                  <c:v>20545.3</c:v>
                </c:pt>
                <c:pt idx="4">
                  <c:v>24711.100000000002</c:v>
                </c:pt>
                <c:pt idx="5">
                  <c:v>25233.399999999998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C1-4322-B193-10E2BCA4E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227215"/>
        <c:axId val="595208495"/>
      </c:barChart>
      <c:lineChart>
        <c:grouping val="standard"/>
        <c:varyColors val="0"/>
        <c:ser>
          <c:idx val="4"/>
          <c:order val="4"/>
          <c:tx>
            <c:strRef>
              <c:f>'High Electric'!$B$52</c:f>
              <c:strCache>
                <c:ptCount val="1"/>
                <c:pt idx="0">
                  <c:v>Region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'High Electric'!$C$46:$H$46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Electric'!$C$52:$H$52</c:f>
              <c:numCache>
                <c:formatCode>#,##0</c:formatCode>
                <c:ptCount val="6"/>
                <c:pt idx="0">
                  <c:v>27593.4</c:v>
                </c:pt>
                <c:pt idx="1">
                  <c:v>184383.4</c:v>
                </c:pt>
                <c:pt idx="2">
                  <c:v>505415.70000000007</c:v>
                </c:pt>
                <c:pt idx="3">
                  <c:v>581829.1</c:v>
                </c:pt>
                <c:pt idx="4">
                  <c:v>616058.19999999995</c:v>
                </c:pt>
                <c:pt idx="5">
                  <c:v>628764.30000000005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C1-4322-B193-10E2BCA4E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227215"/>
        <c:axId val="595208495"/>
      </c:lineChart>
      <c:catAx>
        <c:axId val="59522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08495"/>
        <c:crosses val="autoZero"/>
        <c:auto val="1"/>
        <c:lblAlgn val="ctr"/>
        <c:lblOffset val="100"/>
        <c:noMultiLvlLbl val="0"/>
      </c:catAx>
      <c:valAx>
        <c:axId val="59520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Electric Vehicle 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272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'High Electric'!$B$59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Reference!$C$54:$H$54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Electric'!$C$59:$H$59</c:f>
              <c:numCache>
                <c:formatCode>#,##0</c:formatCode>
                <c:ptCount val="6"/>
                <c:pt idx="0">
                  <c:v>64495.6</c:v>
                </c:pt>
                <c:pt idx="1">
                  <c:v>368909</c:v>
                </c:pt>
                <c:pt idx="2">
                  <c:v>1444275.7999999998</c:v>
                </c:pt>
                <c:pt idx="3">
                  <c:v>2699423.8</c:v>
                </c:pt>
                <c:pt idx="4">
                  <c:v>3756165.5999999996</c:v>
                </c:pt>
                <c:pt idx="5">
                  <c:v>4662686.5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E-45C9-9E8D-2454532AC7F0}"/>
            </c:ext>
          </c:extLst>
        </c:ser>
        <c:ser>
          <c:idx val="2"/>
          <c:order val="1"/>
          <c:tx>
            <c:strRef>
              <c:f>'High Electric'!$B$58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Reference!$C$54:$H$54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Electric'!$C$58:$H$58</c:f>
              <c:numCache>
                <c:formatCode>#,##0</c:formatCode>
                <c:ptCount val="6"/>
                <c:pt idx="0">
                  <c:v>33201.4</c:v>
                </c:pt>
                <c:pt idx="1">
                  <c:v>186585.90000000002</c:v>
                </c:pt>
                <c:pt idx="2">
                  <c:v>691049.4</c:v>
                </c:pt>
                <c:pt idx="3">
                  <c:v>1331857.2000000002</c:v>
                </c:pt>
                <c:pt idx="4">
                  <c:v>1895232.8</c:v>
                </c:pt>
                <c:pt idx="5">
                  <c:v>2366283.4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EE-45C9-9E8D-2454532AC7F0}"/>
            </c:ext>
          </c:extLst>
        </c:ser>
        <c:ser>
          <c:idx val="0"/>
          <c:order val="2"/>
          <c:tx>
            <c:strRef>
              <c:f>'High Electric'!$B$56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Reference!$C$54:$H$54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Electric'!$C$56:$H$56</c:f>
              <c:numCache>
                <c:formatCode>#,##0</c:formatCode>
                <c:ptCount val="6"/>
                <c:pt idx="0">
                  <c:v>2958.2999999999997</c:v>
                </c:pt>
                <c:pt idx="1">
                  <c:v>17703.800000000003</c:v>
                </c:pt>
                <c:pt idx="2">
                  <c:v>91706.4</c:v>
                </c:pt>
                <c:pt idx="3">
                  <c:v>320878.69999999995</c:v>
                </c:pt>
                <c:pt idx="4">
                  <c:v>673493.6</c:v>
                </c:pt>
                <c:pt idx="5">
                  <c:v>1031861.5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EE-45C9-9E8D-2454532AC7F0}"/>
            </c:ext>
          </c:extLst>
        </c:ser>
        <c:ser>
          <c:idx val="1"/>
          <c:order val="3"/>
          <c:tx>
            <c:strRef>
              <c:f>'High Electric'!$B$57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Reference!$C$54:$H$54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Reference!$C$57:$H$57</c:f>
              <c:numCache>
                <c:formatCode>#,##0</c:formatCode>
                <c:ptCount val="6"/>
                <c:pt idx="0">
                  <c:v>1249.1000000000001</c:v>
                </c:pt>
                <c:pt idx="1">
                  <c:v>4572.0999999999995</c:v>
                </c:pt>
                <c:pt idx="2">
                  <c:v>11447.199999999999</c:v>
                </c:pt>
                <c:pt idx="3">
                  <c:v>23570.6</c:v>
                </c:pt>
                <c:pt idx="4">
                  <c:v>44372.1</c:v>
                </c:pt>
                <c:pt idx="5">
                  <c:v>78423.999999999985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EE-45C9-9E8D-2454532A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227215"/>
        <c:axId val="595208495"/>
      </c:barChart>
      <c:lineChart>
        <c:grouping val="standard"/>
        <c:varyColors val="0"/>
        <c:ser>
          <c:idx val="4"/>
          <c:order val="4"/>
          <c:tx>
            <c:strRef>
              <c:f>'High Electric'!$B$60</c:f>
              <c:strCache>
                <c:ptCount val="1"/>
                <c:pt idx="0">
                  <c:v>Region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'High Electric'!$C$54:$H$54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Electric'!$C$60:$H$60</c:f>
              <c:numCache>
                <c:formatCode>#,##0</c:formatCode>
                <c:ptCount val="6"/>
                <c:pt idx="0">
                  <c:v>102002.8</c:v>
                </c:pt>
                <c:pt idx="1">
                  <c:v>581129.10000000009</c:v>
                </c:pt>
                <c:pt idx="2">
                  <c:v>2263832.5</c:v>
                </c:pt>
                <c:pt idx="3">
                  <c:v>4460744.8</c:v>
                </c:pt>
                <c:pt idx="4">
                  <c:v>6524508.6999999993</c:v>
                </c:pt>
                <c:pt idx="5">
                  <c:v>8343250.2999999998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EE-45C9-9E8D-2454532A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227215"/>
        <c:axId val="595208495"/>
      </c:lineChart>
      <c:catAx>
        <c:axId val="59522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08495"/>
        <c:crosses val="autoZero"/>
        <c:auto val="1"/>
        <c:lblAlgn val="ctr"/>
        <c:lblOffset val="100"/>
        <c:noMultiLvlLbl val="0"/>
      </c:catAx>
      <c:valAx>
        <c:axId val="59520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Electric Vehicle Stock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272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'High Electric'!$AL$13</c:f>
              <c:strCache>
                <c:ptCount val="1"/>
                <c:pt idx="0">
                  <c:v>Ave Annual % Growth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E8-4D61-A243-F0C1E697FAF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7E8-4D61-A243-F0C1E697FAF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7E8-4D61-A243-F0C1E697FAFC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7E8-4D61-A243-F0C1E697FAFC}"/>
              </c:ext>
            </c:extLst>
          </c:dPt>
          <c:cat>
            <c:strRef>
              <c:f>'High Electric'!$AH$22:$AH$27</c:f>
              <c:strCache>
                <c:ptCount val="6"/>
                <c:pt idx="0">
                  <c:v>LDV </c:v>
                </c:pt>
                <c:pt idx="1">
                  <c:v>HDV Light</c:v>
                </c:pt>
                <c:pt idx="2">
                  <c:v>HDV Med</c:v>
                </c:pt>
                <c:pt idx="3">
                  <c:v>HDV Heavy</c:v>
                </c:pt>
                <c:pt idx="4">
                  <c:v>Bus</c:v>
                </c:pt>
                <c:pt idx="5">
                  <c:v>All</c:v>
                </c:pt>
              </c:strCache>
            </c:strRef>
          </c:cat>
          <c:val>
            <c:numRef>
              <c:f>'High Electric'!$AL$22:$AL$27</c:f>
              <c:numCache>
                <c:formatCode>0.0</c:formatCode>
                <c:ptCount val="6"/>
                <c:pt idx="0">
                  <c:v>-1.9803155722125205</c:v>
                </c:pt>
                <c:pt idx="1">
                  <c:v>-2.0700106361405295</c:v>
                </c:pt>
                <c:pt idx="2">
                  <c:v>4.631687761915745</c:v>
                </c:pt>
                <c:pt idx="3">
                  <c:v>2.4067160251365065</c:v>
                </c:pt>
                <c:pt idx="4">
                  <c:v>-0.99945599725880785</c:v>
                </c:pt>
                <c:pt idx="5">
                  <c:v>-0.21874704809679826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E8-4D61-A243-F0C1E697F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1396544"/>
        <c:axId val="615033440"/>
      </c:barChart>
      <c:catAx>
        <c:axId val="71139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033440"/>
        <c:crosses val="autoZero"/>
        <c:auto val="1"/>
        <c:lblAlgn val="ctr"/>
        <c:lblOffset val="100"/>
        <c:noMultiLvlLbl val="0"/>
      </c:catAx>
      <c:valAx>
        <c:axId val="6150334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15366887463160811"/>
              <c:y val="0.42582953829800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396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'High Electric'!$W$45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Reference!$Y$41:$AD$41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Electric'!$Y$45:$AD$45</c:f>
              <c:numCache>
                <c:formatCode>#,##0</c:formatCode>
                <c:ptCount val="6"/>
                <c:pt idx="0">
                  <c:v>35822.469499999999</c:v>
                </c:pt>
                <c:pt idx="1">
                  <c:v>37085.621599999999</c:v>
                </c:pt>
                <c:pt idx="2">
                  <c:v>36690.021199999996</c:v>
                </c:pt>
                <c:pt idx="3">
                  <c:v>36051.676400000004</c:v>
                </c:pt>
                <c:pt idx="4">
                  <c:v>35895.901899999997</c:v>
                </c:pt>
                <c:pt idx="5">
                  <c:v>36785.854099999997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F-463D-B1B9-90B370DEA3C5}"/>
            </c:ext>
          </c:extLst>
        </c:ser>
        <c:ser>
          <c:idx val="2"/>
          <c:order val="1"/>
          <c:tx>
            <c:strRef>
              <c:f>'High Electric'!$W$44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Reference!$Y$41:$AD$41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Electric'!$Y$44:$AD$44</c:f>
              <c:numCache>
                <c:formatCode>#,##0</c:formatCode>
                <c:ptCount val="6"/>
                <c:pt idx="0">
                  <c:v>19360.9362</c:v>
                </c:pt>
                <c:pt idx="1">
                  <c:v>19498.900900000001</c:v>
                </c:pt>
                <c:pt idx="2">
                  <c:v>18485.0762</c:v>
                </c:pt>
                <c:pt idx="3">
                  <c:v>17036.846199999996</c:v>
                </c:pt>
                <c:pt idx="4">
                  <c:v>15697.707499999999</c:v>
                </c:pt>
                <c:pt idx="5">
                  <c:v>14773.839199999999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CF-463D-B1B9-90B370DEA3C5}"/>
            </c:ext>
          </c:extLst>
        </c:ser>
        <c:ser>
          <c:idx val="0"/>
          <c:order val="2"/>
          <c:tx>
            <c:strRef>
              <c:f>'High Electric'!$W$42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Reference!$Y$41:$AD$41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Electric'!$Y$42:$AD$42</c:f>
              <c:numCache>
                <c:formatCode>#,##0</c:formatCode>
                <c:ptCount val="6"/>
                <c:pt idx="0">
                  <c:v>15311.0124</c:v>
                </c:pt>
                <c:pt idx="1">
                  <c:v>15873.714399999999</c:v>
                </c:pt>
                <c:pt idx="2">
                  <c:v>16238.3303</c:v>
                </c:pt>
                <c:pt idx="3">
                  <c:v>16229.606600000001</c:v>
                </c:pt>
                <c:pt idx="4">
                  <c:v>15853.604799999999</c:v>
                </c:pt>
                <c:pt idx="5">
                  <c:v>15526.122299999999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CF-463D-B1B9-90B370DEA3C5}"/>
            </c:ext>
          </c:extLst>
        </c:ser>
        <c:ser>
          <c:idx val="1"/>
          <c:order val="3"/>
          <c:tx>
            <c:strRef>
              <c:f>'High Electric'!$W$43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Reference!$Y$41:$AD$41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Electric'!$Y$43:$AD$43</c:f>
              <c:numCache>
                <c:formatCode>#,##0</c:formatCode>
                <c:ptCount val="6"/>
                <c:pt idx="0">
                  <c:v>3892.9764999999998</c:v>
                </c:pt>
                <c:pt idx="1">
                  <c:v>3852.4919</c:v>
                </c:pt>
                <c:pt idx="2">
                  <c:v>3758.7701000000002</c:v>
                </c:pt>
                <c:pt idx="3">
                  <c:v>3600.7495999999996</c:v>
                </c:pt>
                <c:pt idx="4">
                  <c:v>3404.4825000000001</c:v>
                </c:pt>
                <c:pt idx="5">
                  <c:v>3233.5605999999993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CF-463D-B1B9-90B370DEA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227215"/>
        <c:axId val="595208495"/>
      </c:barChart>
      <c:lineChart>
        <c:grouping val="standard"/>
        <c:varyColors val="0"/>
        <c:ser>
          <c:idx val="4"/>
          <c:order val="4"/>
          <c:tx>
            <c:strRef>
              <c:f>'High Electric'!$W$47</c:f>
              <c:strCache>
                <c:ptCount val="1"/>
                <c:pt idx="0">
                  <c:v>Region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'High Electric'!$Y$41:$AD$41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Electric'!$Y$47:$AD$47</c:f>
              <c:numCache>
                <c:formatCode>#,##0</c:formatCode>
                <c:ptCount val="6"/>
                <c:pt idx="0">
                  <c:v>74387.3946</c:v>
                </c:pt>
                <c:pt idx="1">
                  <c:v>76310.728799999997</c:v>
                </c:pt>
                <c:pt idx="2">
                  <c:v>75172.197799999994</c:v>
                </c:pt>
                <c:pt idx="3">
                  <c:v>72918.878800000006</c:v>
                </c:pt>
                <c:pt idx="4">
                  <c:v>70851.6967</c:v>
                </c:pt>
                <c:pt idx="5">
                  <c:v>70319.376199999999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CF-463D-B1B9-90B370DEA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227215"/>
        <c:axId val="595208495"/>
      </c:lineChart>
      <c:catAx>
        <c:axId val="59522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08495"/>
        <c:crosses val="autoZero"/>
        <c:auto val="1"/>
        <c:lblAlgn val="ctr"/>
        <c:lblOffset val="100"/>
        <c:noMultiLvlLbl val="0"/>
      </c:catAx>
      <c:valAx>
        <c:axId val="595208495"/>
        <c:scaling>
          <c:orientation val="minMax"/>
          <c:max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kTonne</a:t>
                </a:r>
                <a:r>
                  <a:rPr lang="en-US" sz="1000" baseline="0"/>
                  <a:t> CO</a:t>
                </a:r>
                <a:r>
                  <a:rPr lang="en-US" sz="1000" baseline="-25000"/>
                  <a:t>2</a:t>
                </a:r>
                <a:r>
                  <a:rPr lang="en-US" sz="1000" baseline="0"/>
                  <a:t>e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272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'High Electric'!$W$14</c:f>
              <c:strCache>
                <c:ptCount val="1"/>
                <c:pt idx="0">
                  <c:v>LDV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'High Electric'!$Y$13:$AD$13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Electric'!$Y$14:$AD$14</c:f>
              <c:numCache>
                <c:formatCode>#,##0</c:formatCode>
                <c:ptCount val="6"/>
                <c:pt idx="0">
                  <c:v>43075.928300000007</c:v>
                </c:pt>
                <c:pt idx="1">
                  <c:v>42083.792300000008</c:v>
                </c:pt>
                <c:pt idx="2">
                  <c:v>37611.539799999999</c:v>
                </c:pt>
                <c:pt idx="3">
                  <c:v>31777.893799999998</c:v>
                </c:pt>
                <c:pt idx="4">
                  <c:v>26369.455700000002</c:v>
                </c:pt>
                <c:pt idx="5">
                  <c:v>21749.945400000001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C-4926-B9E6-D984F0ECEEAC}"/>
            </c:ext>
          </c:extLst>
        </c:ser>
        <c:ser>
          <c:idx val="1"/>
          <c:order val="1"/>
          <c:tx>
            <c:strRef>
              <c:f>'High Electric'!$W$15</c:f>
              <c:strCache>
                <c:ptCount val="1"/>
                <c:pt idx="0">
                  <c:v>HDV Light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'High Electric'!$Y$13:$AD$13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Electric'!$Y$15:$AD$15</c:f>
              <c:numCache>
                <c:formatCode>#,##0</c:formatCode>
                <c:ptCount val="6"/>
                <c:pt idx="0">
                  <c:v>3382.806</c:v>
                </c:pt>
                <c:pt idx="1">
                  <c:v>3663.3789999999999</c:v>
                </c:pt>
                <c:pt idx="2">
                  <c:v>3911.4259999999999</c:v>
                </c:pt>
                <c:pt idx="3">
                  <c:v>3839.38</c:v>
                </c:pt>
                <c:pt idx="4">
                  <c:v>2861.3409999999999</c:v>
                </c:pt>
                <c:pt idx="5">
                  <c:v>1632.1949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C-4926-B9E6-D984F0ECEEAC}"/>
            </c:ext>
          </c:extLst>
        </c:ser>
        <c:ser>
          <c:idx val="2"/>
          <c:order val="2"/>
          <c:tx>
            <c:strRef>
              <c:f>'High Electric'!$W$16</c:f>
              <c:strCache>
                <c:ptCount val="1"/>
                <c:pt idx="0">
                  <c:v>HDV Med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'High Electric'!$Y$13:$AD$13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Electric'!$Y$16:$AD$16</c:f>
              <c:numCache>
                <c:formatCode>#,##0</c:formatCode>
                <c:ptCount val="6"/>
                <c:pt idx="0">
                  <c:v>6869.0505999999996</c:v>
                </c:pt>
                <c:pt idx="1">
                  <c:v>7959.0069999999996</c:v>
                </c:pt>
                <c:pt idx="2">
                  <c:v>9272.6857999999993</c:v>
                </c:pt>
                <c:pt idx="3">
                  <c:v>10835.824000000001</c:v>
                </c:pt>
                <c:pt idx="4">
                  <c:v>12663.887999999999</c:v>
                </c:pt>
                <c:pt idx="5">
                  <c:v>14822.875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C-4926-B9E6-D984F0ECEEAC}"/>
            </c:ext>
          </c:extLst>
        </c:ser>
        <c:ser>
          <c:idx val="3"/>
          <c:order val="3"/>
          <c:tx>
            <c:strRef>
              <c:f>'High Electric'!$W$17</c:f>
              <c:strCache>
                <c:ptCount val="1"/>
                <c:pt idx="0">
                  <c:v>HDV Heavy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'High Electric'!$Y$13:$AD$13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Electric'!$Y$17:$AD$17</c:f>
              <c:numCache>
                <c:formatCode>#,##0</c:formatCode>
                <c:ptCount val="6"/>
                <c:pt idx="0">
                  <c:v>19161.453000000001</c:v>
                </c:pt>
                <c:pt idx="1">
                  <c:v>20630.738000000001</c:v>
                </c:pt>
                <c:pt idx="2">
                  <c:v>22358.325000000001</c:v>
                </c:pt>
                <c:pt idx="3">
                  <c:v>24533.098999999998</c:v>
                </c:pt>
                <c:pt idx="4">
                  <c:v>27259.445</c:v>
                </c:pt>
                <c:pt idx="5">
                  <c:v>30690.496999999999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1C-4926-B9E6-D984F0ECEEAC}"/>
            </c:ext>
          </c:extLst>
        </c:ser>
        <c:ser>
          <c:idx val="4"/>
          <c:order val="4"/>
          <c:tx>
            <c:strRef>
              <c:f>'High Electric'!$W$18</c:f>
              <c:strCache>
                <c:ptCount val="1"/>
                <c:pt idx="0">
                  <c:v>Bus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'High Electric'!$Y$13:$AD$13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'High Electric'!$Y$18:$AD$18</c:f>
              <c:numCache>
                <c:formatCode>#,##0</c:formatCode>
                <c:ptCount val="6"/>
                <c:pt idx="0">
                  <c:v>1898.1522</c:v>
                </c:pt>
                <c:pt idx="1">
                  <c:v>1973.8212000000001</c:v>
                </c:pt>
                <c:pt idx="2">
                  <c:v>2018.2233000000001</c:v>
                </c:pt>
                <c:pt idx="3">
                  <c:v>1932.6701</c:v>
                </c:pt>
                <c:pt idx="4">
                  <c:v>1697.5735</c:v>
                </c:pt>
                <c:pt idx="5">
                  <c:v>1423.8723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1C-4926-B9E6-D984F0ECE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8325999"/>
        <c:axId val="1628313103"/>
      </c:barChart>
      <c:lineChart>
        <c:grouping val="standard"/>
        <c:varyColors val="0"/>
        <c:ser>
          <c:idx val="5"/>
          <c:order val="5"/>
          <c:tx>
            <c:strRef>
              <c:f>'High Electric'!$W$19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'High Electric'!$Y$19:$AD$19</c:f>
              <c:numCache>
                <c:formatCode>#,##0</c:formatCode>
                <c:ptCount val="6"/>
                <c:pt idx="0">
                  <c:v>74387.390100000004</c:v>
                </c:pt>
                <c:pt idx="1">
                  <c:v>76310.737500000017</c:v>
                </c:pt>
                <c:pt idx="2">
                  <c:v>75172.199899999992</c:v>
                </c:pt>
                <c:pt idx="3">
                  <c:v>72918.866899999994</c:v>
                </c:pt>
                <c:pt idx="4">
                  <c:v>70851.703199999989</c:v>
                </c:pt>
                <c:pt idx="5">
                  <c:v>70319.384600000005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1C-4926-B9E6-D984F0ECE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325999"/>
        <c:axId val="1628313103"/>
      </c:lineChart>
      <c:catAx>
        <c:axId val="1628325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313103"/>
        <c:crosses val="autoZero"/>
        <c:auto val="1"/>
        <c:lblAlgn val="ctr"/>
        <c:lblOffset val="100"/>
        <c:noMultiLvlLbl val="0"/>
      </c:catAx>
      <c:valAx>
        <c:axId val="162831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kTonne CO</a:t>
                </a:r>
                <a:r>
                  <a:rPr lang="en-US" baseline="-25000"/>
                  <a:t>2</a:t>
                </a:r>
                <a:r>
                  <a:rPr lang="en-US"/>
                  <a:t>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32599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Charts_Comparisons!$F$7</c:f>
              <c:strCache>
                <c:ptCount val="1"/>
                <c:pt idx="0">
                  <c:v>Reference Case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Charts_Comparisons!$G$5:$L$5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Charts_Comparisons!$G$7:$L$7</c:f>
              <c:numCache>
                <c:formatCode>#,##0</c:formatCode>
                <c:ptCount val="6"/>
                <c:pt idx="0">
                  <c:v>8017.9178157103324</c:v>
                </c:pt>
                <c:pt idx="1">
                  <c:v>8308.4071991350484</c:v>
                </c:pt>
                <c:pt idx="2">
                  <c:v>8589.8053895185549</c:v>
                </c:pt>
                <c:pt idx="3">
                  <c:v>8896.4402482442492</c:v>
                </c:pt>
                <c:pt idx="4">
                  <c:v>9212.6400512368637</c:v>
                </c:pt>
                <c:pt idx="5">
                  <c:v>9549.2888766473952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4D-458C-9976-69D76C3321FC}"/>
            </c:ext>
          </c:extLst>
        </c:ser>
        <c:ser>
          <c:idx val="1"/>
          <c:order val="1"/>
          <c:tx>
            <c:strRef>
              <c:f>Charts_Comparisons!$F$8</c:f>
              <c:strCache>
                <c:ptCount val="1"/>
                <c:pt idx="0">
                  <c:v>High Electric Case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Charts_Comparisons!$G$5:$L$5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Charts_Comparisons!$G$8:$L$8</c:f>
              <c:numCache>
                <c:formatCode>#,##0</c:formatCode>
                <c:ptCount val="6"/>
                <c:pt idx="0">
                  <c:v>8013.8945309792789</c:v>
                </c:pt>
                <c:pt idx="1">
                  <c:v>8191.8481154186738</c:v>
                </c:pt>
                <c:pt idx="2">
                  <c:v>8011.1424872019061</c:v>
                </c:pt>
                <c:pt idx="3">
                  <c:v>7704.4256251115639</c:v>
                </c:pt>
                <c:pt idx="4">
                  <c:v>7423.3587772857882</c:v>
                </c:pt>
                <c:pt idx="5">
                  <c:v>7309.7034258210115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4D-458C-9976-69D76C3321FC}"/>
            </c:ext>
          </c:extLst>
        </c:ser>
        <c:ser>
          <c:idx val="2"/>
          <c:order val="2"/>
          <c:tx>
            <c:strRef>
              <c:f>Charts_Comparisons!$F$9</c:f>
              <c:strCache>
                <c:ptCount val="1"/>
                <c:pt idx="0">
                  <c:v>H2E Case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Charts_Comparisons!$G$5:$L$5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Charts_Comparisons!$G$9:$L$9</c:f>
              <c:numCache>
                <c:formatCode>#,##0</c:formatCode>
                <c:ptCount val="6"/>
                <c:pt idx="0">
                  <c:v>8013.8945309792789</c:v>
                </c:pt>
                <c:pt idx="1">
                  <c:v>8191.8481154186738</c:v>
                </c:pt>
                <c:pt idx="2">
                  <c:v>7982.7510936551598</c:v>
                </c:pt>
                <c:pt idx="3">
                  <c:v>7535.0675660907145</c:v>
                </c:pt>
                <c:pt idx="4">
                  <c:v>6678.2458288385014</c:v>
                </c:pt>
                <c:pt idx="5">
                  <c:v>5210.4158518293352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4D-458C-9976-69D76C332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408096"/>
        <c:axId val="1736406848"/>
      </c:lineChart>
      <c:catAx>
        <c:axId val="173640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406848"/>
        <c:crosses val="autoZero"/>
        <c:auto val="1"/>
        <c:lblAlgn val="ctr"/>
        <c:lblOffset val="100"/>
        <c:noMultiLvlLbl val="0"/>
      </c:catAx>
      <c:valAx>
        <c:axId val="1736406848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gallons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40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H2E!$AL$13</c:f>
              <c:strCache>
                <c:ptCount val="1"/>
                <c:pt idx="0">
                  <c:v>Ave Annual % Growth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AE-4473-8A67-C616AFB5C80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AE-4473-8A67-C616AFB5C8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00-40B5-A03A-A8B735A89B7E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AE-4473-8A67-C616AFB5C80F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CAE-4473-8A67-C616AFB5C80F}"/>
              </c:ext>
            </c:extLst>
          </c:dPt>
          <c:cat>
            <c:strRef>
              <c:f>H2E!$AH$22:$AH$27</c:f>
              <c:strCache>
                <c:ptCount val="6"/>
                <c:pt idx="0">
                  <c:v>LDV </c:v>
                </c:pt>
                <c:pt idx="1">
                  <c:v>HDV Light</c:v>
                </c:pt>
                <c:pt idx="2">
                  <c:v>HDV Med</c:v>
                </c:pt>
                <c:pt idx="3">
                  <c:v>HDV Heavy</c:v>
                </c:pt>
                <c:pt idx="4">
                  <c:v>Bus</c:v>
                </c:pt>
                <c:pt idx="5">
                  <c:v>All</c:v>
                </c:pt>
              </c:strCache>
            </c:strRef>
          </c:cat>
          <c:val>
            <c:numRef>
              <c:f>H2E!$AL$22:$AL$27</c:f>
              <c:numCache>
                <c:formatCode>0.0</c:formatCode>
                <c:ptCount val="6"/>
                <c:pt idx="0">
                  <c:v>-1.9803155722125205</c:v>
                </c:pt>
                <c:pt idx="1">
                  <c:v>-2.0700106361405295</c:v>
                </c:pt>
                <c:pt idx="2">
                  <c:v>0.62277095469350652</c:v>
                </c:pt>
                <c:pt idx="3">
                  <c:v>-0.52086551056436103</c:v>
                </c:pt>
                <c:pt idx="4">
                  <c:v>-0.99945599725880785</c:v>
                </c:pt>
                <c:pt idx="5">
                  <c:v>-1.3430527709830222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AE-4473-8A67-C616AFB5C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1396544"/>
        <c:axId val="615033440"/>
      </c:barChart>
      <c:catAx>
        <c:axId val="71139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033440"/>
        <c:crosses val="autoZero"/>
        <c:auto val="1"/>
        <c:lblAlgn val="ctr"/>
        <c:lblOffset val="100"/>
        <c:noMultiLvlLbl val="0"/>
      </c:catAx>
      <c:valAx>
        <c:axId val="6150334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15366887463160811"/>
              <c:y val="0.42582953829800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396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H2E!$W$45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Reference!$Y$41:$AD$41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H2E!$Y$45:$AD$45</c:f>
              <c:numCache>
                <c:formatCode>#,##0</c:formatCode>
                <c:ptCount val="6"/>
                <c:pt idx="0">
                  <c:v>35822.469499999999</c:v>
                </c:pt>
                <c:pt idx="1">
                  <c:v>37085.621599999999</c:v>
                </c:pt>
                <c:pt idx="2">
                  <c:v>36547.914499999992</c:v>
                </c:pt>
                <c:pt idx="3">
                  <c:v>35170.2431</c:v>
                </c:pt>
                <c:pt idx="4">
                  <c:v>31865.202599999997</c:v>
                </c:pt>
                <c:pt idx="5">
                  <c:v>25074.5959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7-47F4-AAAF-D04629BBEDA0}"/>
            </c:ext>
          </c:extLst>
        </c:ser>
        <c:ser>
          <c:idx val="2"/>
          <c:order val="1"/>
          <c:tx>
            <c:strRef>
              <c:f>H2E!$W$44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Reference!$Y$41:$AD$41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H2E!$Y$44:$AD$44</c:f>
              <c:numCache>
                <c:formatCode>#,##0</c:formatCode>
                <c:ptCount val="6"/>
                <c:pt idx="0">
                  <c:v>19360.9362</c:v>
                </c:pt>
                <c:pt idx="1">
                  <c:v>19498.900900000001</c:v>
                </c:pt>
                <c:pt idx="2">
                  <c:v>18431.745099999996</c:v>
                </c:pt>
                <c:pt idx="3">
                  <c:v>16727.420299999998</c:v>
                </c:pt>
                <c:pt idx="4">
                  <c:v>14378.6924</c:v>
                </c:pt>
                <c:pt idx="5">
                  <c:v>11171.8421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7-47F4-AAAF-D04629BBEDA0}"/>
            </c:ext>
          </c:extLst>
        </c:ser>
        <c:ser>
          <c:idx val="0"/>
          <c:order val="2"/>
          <c:tx>
            <c:strRef>
              <c:f>H2E!$W$42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Reference!$Y$41:$AD$41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H2E!$Y$42:$AD$42</c:f>
              <c:numCache>
                <c:formatCode>#,##0</c:formatCode>
                <c:ptCount val="6"/>
                <c:pt idx="0">
                  <c:v>15311.0124</c:v>
                </c:pt>
                <c:pt idx="1">
                  <c:v>15873.714399999999</c:v>
                </c:pt>
                <c:pt idx="2">
                  <c:v>16164.706800000002</c:v>
                </c:pt>
                <c:pt idx="3">
                  <c:v>15812.485500000001</c:v>
                </c:pt>
                <c:pt idx="4">
                  <c:v>14112.830199999999</c:v>
                </c:pt>
                <c:pt idx="5">
                  <c:v>10825.923999999999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07-47F4-AAAF-D04629BBEDA0}"/>
            </c:ext>
          </c:extLst>
        </c:ser>
        <c:ser>
          <c:idx val="1"/>
          <c:order val="3"/>
          <c:tx>
            <c:strRef>
              <c:f>H2E!$W$43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Reference!$Y$41:$AD$41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H2E!$Y$43:$AD$43</c:f>
              <c:numCache>
                <c:formatCode>#,##0</c:formatCode>
                <c:ptCount val="6"/>
                <c:pt idx="0">
                  <c:v>3892.9764999999998</c:v>
                </c:pt>
                <c:pt idx="1">
                  <c:v>3852.4919</c:v>
                </c:pt>
                <c:pt idx="2">
                  <c:v>3743.8995000000004</c:v>
                </c:pt>
                <c:pt idx="3">
                  <c:v>3517.4984999999997</c:v>
                </c:pt>
                <c:pt idx="4">
                  <c:v>3064.5688000000005</c:v>
                </c:pt>
                <c:pt idx="5">
                  <c:v>2338.4851999999996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07-47F4-AAAF-D04629BBE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227215"/>
        <c:axId val="595208495"/>
      </c:barChart>
      <c:lineChart>
        <c:grouping val="standard"/>
        <c:varyColors val="0"/>
        <c:ser>
          <c:idx val="4"/>
          <c:order val="4"/>
          <c:tx>
            <c:strRef>
              <c:f>H2E!$W$47</c:f>
              <c:strCache>
                <c:ptCount val="1"/>
                <c:pt idx="0">
                  <c:v>Region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H2E!$Y$41:$AD$41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H2E!$Y$47:$AD$47</c:f>
              <c:numCache>
                <c:formatCode>#,##0</c:formatCode>
                <c:ptCount val="6"/>
                <c:pt idx="0">
                  <c:v>74387.3946</c:v>
                </c:pt>
                <c:pt idx="1">
                  <c:v>76310.728799999997</c:v>
                </c:pt>
                <c:pt idx="2">
                  <c:v>74888.265899999999</c:v>
                </c:pt>
                <c:pt idx="3">
                  <c:v>71227.647399999987</c:v>
                </c:pt>
                <c:pt idx="4">
                  <c:v>63421.293999999994</c:v>
                </c:pt>
                <c:pt idx="5">
                  <c:v>49410.847199999997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07-47F4-AAAF-D04629BBE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227215"/>
        <c:axId val="595208495"/>
      </c:lineChart>
      <c:catAx>
        <c:axId val="59522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08495"/>
        <c:crosses val="autoZero"/>
        <c:auto val="1"/>
        <c:lblAlgn val="ctr"/>
        <c:lblOffset val="100"/>
        <c:noMultiLvlLbl val="0"/>
      </c:catAx>
      <c:valAx>
        <c:axId val="595208495"/>
        <c:scaling>
          <c:orientation val="minMax"/>
          <c:max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kTonne</a:t>
                </a:r>
                <a:r>
                  <a:rPr lang="en-US" sz="1000" baseline="0"/>
                  <a:t> CO</a:t>
                </a:r>
                <a:r>
                  <a:rPr lang="en-US" sz="1000" baseline="-25000"/>
                  <a:t>2</a:t>
                </a:r>
                <a:r>
                  <a:rPr lang="en-US" sz="1000" baseline="0"/>
                  <a:t>e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272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H2E!$W$14</c:f>
              <c:strCache>
                <c:ptCount val="1"/>
                <c:pt idx="0">
                  <c:v>LDV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H2E!$Y$13:$AD$13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H2E!$Y$14:$AD$14</c:f>
              <c:numCache>
                <c:formatCode>#,##0</c:formatCode>
                <c:ptCount val="6"/>
                <c:pt idx="0">
                  <c:v>43075.928300000007</c:v>
                </c:pt>
                <c:pt idx="1">
                  <c:v>42083.792300000008</c:v>
                </c:pt>
                <c:pt idx="2">
                  <c:v>37611.539799999999</c:v>
                </c:pt>
                <c:pt idx="3">
                  <c:v>31777.893799999998</c:v>
                </c:pt>
                <c:pt idx="4">
                  <c:v>26369.455700000002</c:v>
                </c:pt>
                <c:pt idx="5">
                  <c:v>21749.945400000001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8-4D50-B5EC-B7D4A31861F9}"/>
            </c:ext>
          </c:extLst>
        </c:ser>
        <c:ser>
          <c:idx val="1"/>
          <c:order val="1"/>
          <c:tx>
            <c:strRef>
              <c:f>H2E!$W$15</c:f>
              <c:strCache>
                <c:ptCount val="1"/>
                <c:pt idx="0">
                  <c:v>HDV Light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H2E!$Y$13:$AD$13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H2E!$Y$15:$AD$15</c:f>
              <c:numCache>
                <c:formatCode>#,##0</c:formatCode>
                <c:ptCount val="6"/>
                <c:pt idx="0">
                  <c:v>3382.806</c:v>
                </c:pt>
                <c:pt idx="1">
                  <c:v>3663.3789999999999</c:v>
                </c:pt>
                <c:pt idx="2">
                  <c:v>3911.4270000000001</c:v>
                </c:pt>
                <c:pt idx="3">
                  <c:v>3839.38</c:v>
                </c:pt>
                <c:pt idx="4">
                  <c:v>2861.3410999999996</c:v>
                </c:pt>
                <c:pt idx="5">
                  <c:v>1632.1949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8-4D50-B5EC-B7D4A31861F9}"/>
            </c:ext>
          </c:extLst>
        </c:ser>
        <c:ser>
          <c:idx val="2"/>
          <c:order val="2"/>
          <c:tx>
            <c:strRef>
              <c:f>H2E!$W$16</c:f>
              <c:strCache>
                <c:ptCount val="1"/>
                <c:pt idx="0">
                  <c:v>HDV Med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H2E!$Y$13:$AD$13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H2E!$Y$16:$AD$16</c:f>
              <c:numCache>
                <c:formatCode>#,##0</c:formatCode>
                <c:ptCount val="6"/>
                <c:pt idx="0">
                  <c:v>6869.0505999999996</c:v>
                </c:pt>
                <c:pt idx="1">
                  <c:v>7959.0069999999996</c:v>
                </c:pt>
                <c:pt idx="2">
                  <c:v>9186.7382999999991</c:v>
                </c:pt>
                <c:pt idx="3">
                  <c:v>10305.489699999998</c:v>
                </c:pt>
                <c:pt idx="4">
                  <c:v>10267.513000000001</c:v>
                </c:pt>
                <c:pt idx="5">
                  <c:v>7938.5119000000004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D8-4D50-B5EC-B7D4A31861F9}"/>
            </c:ext>
          </c:extLst>
        </c:ser>
        <c:ser>
          <c:idx val="3"/>
          <c:order val="3"/>
          <c:tx>
            <c:strRef>
              <c:f>H2E!$W$17</c:f>
              <c:strCache>
                <c:ptCount val="1"/>
                <c:pt idx="0">
                  <c:v>HDV Heavy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H2E!$Y$13:$AD$13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H2E!$Y$17:$AD$17</c:f>
              <c:numCache>
                <c:formatCode>#,##0</c:formatCode>
                <c:ptCount val="6"/>
                <c:pt idx="0">
                  <c:v>19161.453000000001</c:v>
                </c:pt>
                <c:pt idx="1">
                  <c:v>20630.738000000001</c:v>
                </c:pt>
                <c:pt idx="2">
                  <c:v>22160.343999999997</c:v>
                </c:pt>
                <c:pt idx="3">
                  <c:v>23372.202999999998</c:v>
                </c:pt>
                <c:pt idx="4">
                  <c:v>22225.411</c:v>
                </c:pt>
                <c:pt idx="5">
                  <c:v>16666.317999999999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D8-4D50-B5EC-B7D4A31861F9}"/>
            </c:ext>
          </c:extLst>
        </c:ser>
        <c:ser>
          <c:idx val="4"/>
          <c:order val="4"/>
          <c:tx>
            <c:strRef>
              <c:f>H2E!$W$18</c:f>
              <c:strCache>
                <c:ptCount val="1"/>
                <c:pt idx="0">
                  <c:v>Bus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H2E!$Y$13:$AD$13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H2E!$Y$18:$AD$18</c:f>
              <c:numCache>
                <c:formatCode>#,##0</c:formatCode>
                <c:ptCount val="6"/>
                <c:pt idx="0">
                  <c:v>1898.1522</c:v>
                </c:pt>
                <c:pt idx="1">
                  <c:v>1973.8212000000001</c:v>
                </c:pt>
                <c:pt idx="2">
                  <c:v>2018.2233000000001</c:v>
                </c:pt>
                <c:pt idx="3">
                  <c:v>1932.6701</c:v>
                </c:pt>
                <c:pt idx="4">
                  <c:v>1697.5735</c:v>
                </c:pt>
                <c:pt idx="5">
                  <c:v>1423.8723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8-4D50-B5EC-B7D4A3186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8325999"/>
        <c:axId val="1628313103"/>
      </c:barChart>
      <c:lineChart>
        <c:grouping val="standard"/>
        <c:varyColors val="0"/>
        <c:ser>
          <c:idx val="5"/>
          <c:order val="5"/>
          <c:tx>
            <c:strRef>
              <c:f>H2E!$W$19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H2E!$Y$19:$AD$19</c:f>
              <c:numCache>
                <c:formatCode>#,##0</c:formatCode>
                <c:ptCount val="6"/>
                <c:pt idx="0">
                  <c:v>74387.390100000004</c:v>
                </c:pt>
                <c:pt idx="1">
                  <c:v>76310.737500000017</c:v>
                </c:pt>
                <c:pt idx="2">
                  <c:v>74888.272400000002</c:v>
                </c:pt>
                <c:pt idx="3">
                  <c:v>71227.636599999998</c:v>
                </c:pt>
                <c:pt idx="4">
                  <c:v>63421.294300000001</c:v>
                </c:pt>
                <c:pt idx="5">
                  <c:v>49410.842499999999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D8-4D50-B5EC-B7D4A3186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325999"/>
        <c:axId val="1628313103"/>
      </c:lineChart>
      <c:catAx>
        <c:axId val="1628325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313103"/>
        <c:crosses val="autoZero"/>
        <c:auto val="1"/>
        <c:lblAlgn val="ctr"/>
        <c:lblOffset val="100"/>
        <c:noMultiLvlLbl val="0"/>
      </c:catAx>
      <c:valAx>
        <c:axId val="162831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kTonne CO</a:t>
                </a:r>
                <a:r>
                  <a:rPr lang="en-US" baseline="-25000"/>
                  <a:t>2</a:t>
                </a:r>
                <a:r>
                  <a:rPr lang="en-US"/>
                  <a:t>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32599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Charts_Comparisons!$E$37</c:f>
              <c:strCache>
                <c:ptCount val="1"/>
                <c:pt idx="0">
                  <c:v>Direct demand (Reference)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Charts_Comparisons!$G$35:$L$35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Charts_Comparisons!$G$37:$L$37</c:f>
              <c:numCache>
                <c:formatCode>#,##0</c:formatCode>
                <c:ptCount val="6"/>
                <c:pt idx="0">
                  <c:v>60.049470486117833</c:v>
                </c:pt>
                <c:pt idx="1">
                  <c:v>161.48687341324987</c:v>
                </c:pt>
                <c:pt idx="2">
                  <c:v>336.00136051377717</c:v>
                </c:pt>
                <c:pt idx="3">
                  <c:v>602.97711096183571</c:v>
                </c:pt>
                <c:pt idx="4">
                  <c:v>992.90891129043371</c:v>
                </c:pt>
                <c:pt idx="5">
                  <c:v>1523.7691140234681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6-44BA-A20F-8A6A8D8EA1A1}"/>
            </c:ext>
          </c:extLst>
        </c:ser>
        <c:ser>
          <c:idx val="1"/>
          <c:order val="1"/>
          <c:tx>
            <c:strRef>
              <c:f>Charts_Comparisons!$E$38</c:f>
              <c:strCache>
                <c:ptCount val="1"/>
                <c:pt idx="0">
                  <c:v>Direct demand w/additional high electification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Charts_Comparisons!$G$35:$L$35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Charts_Comparisons!$G$38:$L$38</c:f>
              <c:numCache>
                <c:formatCode>#,##0</c:formatCode>
                <c:ptCount val="6"/>
                <c:pt idx="0">
                  <c:v>3.3254874178617868</c:v>
                </c:pt>
                <c:pt idx="1">
                  <c:v>170.65036439667384</c:v>
                </c:pt>
                <c:pt idx="2">
                  <c:v>910.24679547501205</c:v>
                </c:pt>
                <c:pt idx="3">
                  <c:v>1872.4836055109624</c:v>
                </c:pt>
                <c:pt idx="4">
                  <c:v>2778.2707684628258</c:v>
                </c:pt>
                <c:pt idx="5">
                  <c:v>3430.1599780656479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6-44BA-A20F-8A6A8D8EA1A1}"/>
            </c:ext>
          </c:extLst>
        </c:ser>
        <c:ser>
          <c:idx val="2"/>
          <c:order val="2"/>
          <c:tx>
            <c:strRef>
              <c:f>Charts_Comparisons!$E$39</c:f>
              <c:strCache>
                <c:ptCount val="1"/>
                <c:pt idx="0">
                  <c:v>Direct demand w/additional potential range of indirect demand</c:v>
                </c:pt>
              </c:strCache>
            </c:strRef>
          </c:tx>
          <c:spPr>
            <a:pattFill prst="wdDnDiag">
              <a:fgClr>
                <a:schemeClr val="accent5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numRef>
              <c:f>Charts_Comparisons!$G$35:$L$35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Charts_Comparisons!$G$39:$L$39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189.58438556110548</c:v>
                </c:pt>
                <c:pt idx="3">
                  <c:v>1094.3363813653532</c:v>
                </c:pt>
                <c:pt idx="4">
                  <c:v>4595.7412386189881</c:v>
                </c:pt>
                <c:pt idx="5">
                  <c:v>11980.200247762379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C6-44BA-A20F-8A6A8D8EA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452320"/>
        <c:axId val="1959432352"/>
      </c:barChart>
      <c:catAx>
        <c:axId val="195945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9432352"/>
        <c:crosses val="autoZero"/>
        <c:auto val="1"/>
        <c:lblAlgn val="ctr"/>
        <c:lblOffset val="100"/>
        <c:noMultiLvlLbl val="0"/>
      </c:catAx>
      <c:valAx>
        <c:axId val="195943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in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9452320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Reference!$AL$44</c:f>
              <c:strCache>
                <c:ptCount val="1"/>
                <c:pt idx="0">
                  <c:v>Ave Annual
 % Growth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Reference!$AH$45:$AH$47</c:f>
              <c:strCache>
                <c:ptCount val="3"/>
                <c:pt idx="0">
                  <c:v>LDV </c:v>
                </c:pt>
                <c:pt idx="1">
                  <c:v>HDV</c:v>
                </c:pt>
                <c:pt idx="2">
                  <c:v>Bus</c:v>
                </c:pt>
              </c:strCache>
            </c:strRef>
          </c:cat>
          <c:val>
            <c:numRef>
              <c:f>Reference!$AL$45:$AL$47</c:f>
              <c:numCache>
                <c:formatCode>0.0</c:formatCode>
                <c:ptCount val="3"/>
                <c:pt idx="0">
                  <c:v>1.2368768787937658</c:v>
                </c:pt>
                <c:pt idx="1">
                  <c:v>3.200244815769687</c:v>
                </c:pt>
                <c:pt idx="2">
                  <c:v>1.3654976802170007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7-4EC8-A48F-546641F02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1396544"/>
        <c:axId val="615033440"/>
      </c:barChart>
      <c:catAx>
        <c:axId val="71139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033440"/>
        <c:crosses val="autoZero"/>
        <c:auto val="1"/>
        <c:lblAlgn val="ctr"/>
        <c:lblOffset val="100"/>
        <c:noMultiLvlLbl val="0"/>
      </c:catAx>
      <c:valAx>
        <c:axId val="61503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39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Charts_Comparisons!$F$43</c:f>
              <c:strCache>
                <c:ptCount val="1"/>
                <c:pt idx="0">
                  <c:v>Reference Case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Charts_Comparisons!$G$41:$L$41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Charts_Comparisons!$G$43:$L$43</c:f>
              <c:numCache>
                <c:formatCode>#,##0</c:formatCode>
                <c:ptCount val="6"/>
                <c:pt idx="0">
                  <c:v>4.2332051278352125</c:v>
                </c:pt>
                <c:pt idx="1">
                  <c:v>10.395877963801285</c:v>
                </c:pt>
                <c:pt idx="2">
                  <c:v>17.262407801412238</c:v>
                </c:pt>
                <c:pt idx="3">
                  <c:v>27.277311850071271</c:v>
                </c:pt>
                <c:pt idx="4">
                  <c:v>40.270316160252243</c:v>
                </c:pt>
                <c:pt idx="5">
                  <c:v>55.244508926268196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0-49E3-B73A-08CA37020E55}"/>
            </c:ext>
          </c:extLst>
        </c:ser>
        <c:ser>
          <c:idx val="1"/>
          <c:order val="1"/>
          <c:tx>
            <c:strRef>
              <c:f>Charts_Comparisons!$F$44</c:f>
              <c:strCache>
                <c:ptCount val="1"/>
                <c:pt idx="0">
                  <c:v>High Electric Case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Charts_Comparisons!$G$41:$L$41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Charts_Comparisons!$G$44:$L$44</c:f>
              <c:numCache>
                <c:formatCode>#,##0</c:formatCode>
                <c:ptCount val="6"/>
                <c:pt idx="0">
                  <c:v>5.3045216099459731</c:v>
                </c:pt>
                <c:pt idx="1">
                  <c:v>32.9613348754811</c:v>
                </c:pt>
                <c:pt idx="2">
                  <c:v>83.355562442080497</c:v>
                </c:pt>
                <c:pt idx="3">
                  <c:v>94.515730201463739</c:v>
                </c:pt>
                <c:pt idx="4">
                  <c:v>98.573286474910645</c:v>
                </c:pt>
                <c:pt idx="5">
                  <c:v>99.629931747720406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0-49E3-B73A-08CA37020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698000"/>
        <c:axId val="1103682608"/>
      </c:lineChart>
      <c:catAx>
        <c:axId val="110369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682608"/>
        <c:crosses val="autoZero"/>
        <c:auto val="1"/>
        <c:lblAlgn val="ctr"/>
        <c:lblOffset val="100"/>
        <c:noMultiLvlLbl val="0"/>
      </c:catAx>
      <c:valAx>
        <c:axId val="1103682608"/>
        <c:scaling>
          <c:orientation val="minMax"/>
          <c:max val="10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Sales 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6980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Charts_Comparisons!$F$25</c:f>
              <c:strCache>
                <c:ptCount val="1"/>
                <c:pt idx="0">
                  <c:v>Reference Case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Charts_Comparisons!$G$23:$L$23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Charts_Comparisons!$G$25:$L$25</c:f>
              <c:numCache>
                <c:formatCode>#,##0</c:formatCode>
                <c:ptCount val="6"/>
                <c:pt idx="0">
                  <c:v>60.049470486117833</c:v>
                </c:pt>
                <c:pt idx="1">
                  <c:v>161.48687341324987</c:v>
                </c:pt>
                <c:pt idx="2">
                  <c:v>336.00136051377717</c:v>
                </c:pt>
                <c:pt idx="3">
                  <c:v>602.97711096183571</c:v>
                </c:pt>
                <c:pt idx="4">
                  <c:v>992.90891129043371</c:v>
                </c:pt>
                <c:pt idx="5">
                  <c:v>1523.7691140234681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F-46F8-92E7-99E1D1A6A4C0}"/>
            </c:ext>
          </c:extLst>
        </c:ser>
        <c:ser>
          <c:idx val="1"/>
          <c:order val="1"/>
          <c:tx>
            <c:strRef>
              <c:f>Charts_Comparisons!$F$26</c:f>
              <c:strCache>
                <c:ptCount val="1"/>
                <c:pt idx="0">
                  <c:v>High Electric Case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Charts_Comparisons!$G$23:$L$23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Charts_Comparisons!$G$26:$L$26</c:f>
              <c:numCache>
                <c:formatCode>#,##0</c:formatCode>
                <c:ptCount val="6"/>
                <c:pt idx="0">
                  <c:v>63.37495790397962</c:v>
                </c:pt>
                <c:pt idx="1">
                  <c:v>332.1372378099237</c:v>
                </c:pt>
                <c:pt idx="2">
                  <c:v>1246.2481559887892</c:v>
                </c:pt>
                <c:pt idx="3">
                  <c:v>2475.4607164727981</c:v>
                </c:pt>
                <c:pt idx="4">
                  <c:v>3771.1796797532593</c:v>
                </c:pt>
                <c:pt idx="5">
                  <c:v>4953.9290920891162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F-46F8-92E7-99E1D1A6A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698000"/>
        <c:axId val="1103682608"/>
      </c:lineChart>
      <c:catAx>
        <c:axId val="110369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682608"/>
        <c:crosses val="autoZero"/>
        <c:auto val="1"/>
        <c:lblAlgn val="ctr"/>
        <c:lblOffset val="100"/>
        <c:noMultiLvlLbl val="0"/>
      </c:catAx>
      <c:valAx>
        <c:axId val="110368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Direct Electricity Demand aMW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69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Reference!$B$51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Reference!$C$46:$H$46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Reference!$C$51:$H$51</c:f>
              <c:numCache>
                <c:formatCode>#,##0</c:formatCode>
                <c:ptCount val="6"/>
                <c:pt idx="0">
                  <c:v>13706.800000000001</c:v>
                </c:pt>
                <c:pt idx="1">
                  <c:v>34876.800000000003</c:v>
                </c:pt>
                <c:pt idx="2">
                  <c:v>59893.4</c:v>
                </c:pt>
                <c:pt idx="3">
                  <c:v>96762.499999999985</c:v>
                </c:pt>
                <c:pt idx="4">
                  <c:v>145973.70000000001</c:v>
                </c:pt>
                <c:pt idx="5">
                  <c:v>200889.00000000003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5F-47C4-BEB5-312E30F3161B}"/>
            </c:ext>
          </c:extLst>
        </c:ser>
        <c:ser>
          <c:idx val="2"/>
          <c:order val="1"/>
          <c:tx>
            <c:strRef>
              <c:f>Reference!$B$50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Reference!$C$46:$H$46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Reference!$C$50:$H$50</c:f>
              <c:numCache>
                <c:formatCode>#,##0</c:formatCode>
                <c:ptCount val="6"/>
                <c:pt idx="0">
                  <c:v>7194.5000000000009</c:v>
                </c:pt>
                <c:pt idx="1">
                  <c:v>18311</c:v>
                </c:pt>
                <c:pt idx="2">
                  <c:v>31340.899999999994</c:v>
                </c:pt>
                <c:pt idx="3">
                  <c:v>50537.100000000006</c:v>
                </c:pt>
                <c:pt idx="4">
                  <c:v>75827.3</c:v>
                </c:pt>
                <c:pt idx="5">
                  <c:v>103365.8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5F-47C4-BEB5-312E30F3161B}"/>
            </c:ext>
          </c:extLst>
        </c:ser>
        <c:ser>
          <c:idx val="0"/>
          <c:order val="2"/>
          <c:tx>
            <c:strRef>
              <c:f>Reference!$B$48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Reference!$C$46:$H$46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Reference!$C$48:$H$48</c:f>
              <c:numCache>
                <c:formatCode>#,##0</c:formatCode>
                <c:ptCount val="6"/>
                <c:pt idx="0">
                  <c:v>765.29999999999984</c:v>
                </c:pt>
                <c:pt idx="1">
                  <c:v>2614</c:v>
                </c:pt>
                <c:pt idx="2">
                  <c:v>5471.0999999999995</c:v>
                </c:pt>
                <c:pt idx="3">
                  <c:v>10947.800000000001</c:v>
                </c:pt>
                <c:pt idx="4">
                  <c:v>21232.6</c:v>
                </c:pt>
                <c:pt idx="5">
                  <c:v>38489.499999999993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F-47C4-BEB5-312E30F3161B}"/>
            </c:ext>
          </c:extLst>
        </c:ser>
        <c:ser>
          <c:idx val="1"/>
          <c:order val="3"/>
          <c:tx>
            <c:strRef>
              <c:f>Reference!$B$49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Reference!$C$46:$H$46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Reference!$C$49:$H$49</c:f>
              <c:numCache>
                <c:formatCode>#,##0</c:formatCode>
                <c:ptCount val="6"/>
                <c:pt idx="0">
                  <c:v>340.5</c:v>
                </c:pt>
                <c:pt idx="1">
                  <c:v>1062.8</c:v>
                </c:pt>
                <c:pt idx="2">
                  <c:v>2035.4</c:v>
                </c:pt>
                <c:pt idx="3">
                  <c:v>3695.3</c:v>
                </c:pt>
                <c:pt idx="4">
                  <c:v>6472.4999999999991</c:v>
                </c:pt>
                <c:pt idx="5">
                  <c:v>10615.599999999999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5F-47C4-BEB5-312E30F31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227215"/>
        <c:axId val="595208495"/>
      </c:barChart>
      <c:lineChart>
        <c:grouping val="standard"/>
        <c:varyColors val="0"/>
        <c:ser>
          <c:idx val="4"/>
          <c:order val="4"/>
          <c:tx>
            <c:strRef>
              <c:f>Reference!$B$52</c:f>
              <c:strCache>
                <c:ptCount val="1"/>
                <c:pt idx="0">
                  <c:v>Region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Reference!$C$52:$H$52</c:f>
              <c:numCache>
                <c:formatCode>#,##0</c:formatCode>
                <c:ptCount val="6"/>
                <c:pt idx="0">
                  <c:v>22007.100000000002</c:v>
                </c:pt>
                <c:pt idx="1">
                  <c:v>56864.600000000006</c:v>
                </c:pt>
                <c:pt idx="2">
                  <c:v>98740.799999999988</c:v>
                </c:pt>
                <c:pt idx="3">
                  <c:v>161942.70000000001</c:v>
                </c:pt>
                <c:pt idx="4">
                  <c:v>249506.1</c:v>
                </c:pt>
                <c:pt idx="5">
                  <c:v>353359.9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E-4626-AEE8-80F264EE0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227215"/>
        <c:axId val="595208495"/>
      </c:lineChart>
      <c:catAx>
        <c:axId val="59522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08495"/>
        <c:crosses val="autoZero"/>
        <c:auto val="1"/>
        <c:lblAlgn val="ctr"/>
        <c:lblOffset val="100"/>
        <c:noMultiLvlLbl val="0"/>
      </c:catAx>
      <c:valAx>
        <c:axId val="59520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Electric Vehicle 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272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Reference!$B$59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Reference!$C$54:$H$54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Reference!$C$59:$H$59</c:f>
              <c:numCache>
                <c:formatCode>#,##0</c:formatCode>
                <c:ptCount val="6"/>
                <c:pt idx="0">
                  <c:v>60899.5</c:v>
                </c:pt>
                <c:pt idx="1">
                  <c:v>172666.19999999998</c:v>
                </c:pt>
                <c:pt idx="2">
                  <c:v>376438.50000000006</c:v>
                </c:pt>
                <c:pt idx="3">
                  <c:v>695998.7</c:v>
                </c:pt>
                <c:pt idx="4">
                  <c:v>1167394.1000000001</c:v>
                </c:pt>
                <c:pt idx="5">
                  <c:v>1805660.7999999998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F-4878-A80B-8FBFF7A06909}"/>
            </c:ext>
          </c:extLst>
        </c:ser>
        <c:ser>
          <c:idx val="2"/>
          <c:order val="1"/>
          <c:tx>
            <c:strRef>
              <c:f>Reference!$B$58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Reference!$C$54:$H$54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Reference!$C$58:$H$58</c:f>
              <c:numCache>
                <c:formatCode>#,##0</c:formatCode>
                <c:ptCount val="6"/>
                <c:pt idx="0">
                  <c:v>31490.400000000001</c:v>
                </c:pt>
                <c:pt idx="1">
                  <c:v>90209.2</c:v>
                </c:pt>
                <c:pt idx="2">
                  <c:v>196696.40000000002</c:v>
                </c:pt>
                <c:pt idx="3">
                  <c:v>363392.2</c:v>
                </c:pt>
                <c:pt idx="4">
                  <c:v>608282</c:v>
                </c:pt>
                <c:pt idx="5">
                  <c:v>936903.79999999993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F-4878-A80B-8FBFF7A06909}"/>
            </c:ext>
          </c:extLst>
        </c:ser>
        <c:ser>
          <c:idx val="0"/>
          <c:order val="2"/>
          <c:tx>
            <c:strRef>
              <c:f>Reference!$B$56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Reference!$C$54:$H$54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Reference!$C$56:$H$56</c:f>
              <c:numCache>
                <c:formatCode>#,##0</c:formatCode>
                <c:ptCount val="6"/>
                <c:pt idx="0">
                  <c:v>2779.7999999999997</c:v>
                </c:pt>
                <c:pt idx="1">
                  <c:v>10764.000000000002</c:v>
                </c:pt>
                <c:pt idx="2">
                  <c:v>28886.5</c:v>
                </c:pt>
                <c:pt idx="3">
                  <c:v>64308.499999999993</c:v>
                </c:pt>
                <c:pt idx="4">
                  <c:v>132007.19999999998</c:v>
                </c:pt>
                <c:pt idx="5">
                  <c:v>255297.4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F-4878-A80B-8FBFF7A06909}"/>
            </c:ext>
          </c:extLst>
        </c:ser>
        <c:ser>
          <c:idx val="1"/>
          <c:order val="3"/>
          <c:tx>
            <c:strRef>
              <c:f>Reference!$B$57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Reference!$C$54:$H$54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Reference!$C$57:$H$57</c:f>
              <c:numCache>
                <c:formatCode>#,##0</c:formatCode>
                <c:ptCount val="6"/>
                <c:pt idx="0">
                  <c:v>1249.1000000000001</c:v>
                </c:pt>
                <c:pt idx="1">
                  <c:v>4572.0999999999995</c:v>
                </c:pt>
                <c:pt idx="2">
                  <c:v>11447.199999999999</c:v>
                </c:pt>
                <c:pt idx="3">
                  <c:v>23570.6</c:v>
                </c:pt>
                <c:pt idx="4">
                  <c:v>44372.1</c:v>
                </c:pt>
                <c:pt idx="5">
                  <c:v>78423.999999999985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9F-4878-A80B-8FBFF7A06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227215"/>
        <c:axId val="595208495"/>
      </c:barChart>
      <c:lineChart>
        <c:grouping val="standard"/>
        <c:varyColors val="0"/>
        <c:ser>
          <c:idx val="4"/>
          <c:order val="4"/>
          <c:tx>
            <c:strRef>
              <c:f>Reference!$B$60</c:f>
              <c:strCache>
                <c:ptCount val="1"/>
                <c:pt idx="0">
                  <c:v>Region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Reference!$C$60:$H$60</c:f>
              <c:numCache>
                <c:formatCode>#,##0</c:formatCode>
                <c:ptCount val="6"/>
                <c:pt idx="0">
                  <c:v>96418.8</c:v>
                </c:pt>
                <c:pt idx="1">
                  <c:v>278211.5</c:v>
                </c:pt>
                <c:pt idx="2">
                  <c:v>613468.60000000009</c:v>
                </c:pt>
                <c:pt idx="3">
                  <c:v>1147270</c:v>
                </c:pt>
                <c:pt idx="4">
                  <c:v>1952055.4000000001</c:v>
                </c:pt>
                <c:pt idx="5">
                  <c:v>3076286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60-4401-8F66-19D1D79A9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227215"/>
        <c:axId val="595208495"/>
      </c:lineChart>
      <c:catAx>
        <c:axId val="59522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08495"/>
        <c:crosses val="autoZero"/>
        <c:auto val="1"/>
        <c:lblAlgn val="ctr"/>
        <c:lblOffset val="100"/>
        <c:noMultiLvlLbl val="0"/>
      </c:catAx>
      <c:valAx>
        <c:axId val="59520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Electric Vehicle Stock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272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Reference!$B$67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Reference!$C$62:$H$62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Reference!$C$67:$H$67</c:f>
              <c:numCache>
                <c:formatCode>#,##0</c:formatCode>
                <c:ptCount val="6"/>
                <c:pt idx="0">
                  <c:v>325.39686959009026</c:v>
                </c:pt>
                <c:pt idx="1">
                  <c:v>855.1522343302928</c:v>
                </c:pt>
                <c:pt idx="2">
                  <c:v>1759.0128895611288</c:v>
                </c:pt>
                <c:pt idx="3">
                  <c:v>3125.6621575720342</c:v>
                </c:pt>
                <c:pt idx="4">
                  <c:v>5083.7289549288844</c:v>
                </c:pt>
                <c:pt idx="5">
                  <c:v>7670.6091571245161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6-4E65-B2EF-51F08DE3C810}"/>
            </c:ext>
          </c:extLst>
        </c:ser>
        <c:ser>
          <c:idx val="2"/>
          <c:order val="1"/>
          <c:tx>
            <c:strRef>
              <c:f>Reference!$B$66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Reference!$C$62:$H$62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Reference!$C$66:$H$66</c:f>
              <c:numCache>
                <c:formatCode>#,##0</c:formatCode>
                <c:ptCount val="6"/>
                <c:pt idx="0">
                  <c:v>175.75475339383689</c:v>
                </c:pt>
                <c:pt idx="1">
                  <c:v>468.0052787970954</c:v>
                </c:pt>
                <c:pt idx="2">
                  <c:v>964.61429935046647</c:v>
                </c:pt>
                <c:pt idx="3">
                  <c:v>1714.6419213039553</c:v>
                </c:pt>
                <c:pt idx="4">
                  <c:v>2784.4980614810465</c:v>
                </c:pt>
                <c:pt idx="5">
                  <c:v>4183.6782243172247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6-4E65-B2EF-51F08DE3C810}"/>
            </c:ext>
          </c:extLst>
        </c:ser>
        <c:ser>
          <c:idx val="0"/>
          <c:order val="2"/>
          <c:tx>
            <c:strRef>
              <c:f>Reference!$B$64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Reference!$C$62:$H$62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Reference!$C$64:$H$64</c:f>
              <c:numCache>
                <c:formatCode>#,##0</c:formatCode>
                <c:ptCount val="6"/>
                <c:pt idx="0">
                  <c:v>15.943069175629027</c:v>
                </c:pt>
                <c:pt idx="1">
                  <c:v>56.386884363805599</c:v>
                </c:pt>
                <c:pt idx="2">
                  <c:v>141.67058160843882</c:v>
                </c:pt>
                <c:pt idx="3">
                  <c:v>301.45295871419142</c:v>
                </c:pt>
                <c:pt idx="4">
                  <c:v>597.63063718644696</c:v>
                </c:pt>
                <c:pt idx="5">
                  <c:v>1126.1551032035311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6-4E65-B2EF-51F08DE3C810}"/>
            </c:ext>
          </c:extLst>
        </c:ser>
        <c:ser>
          <c:idx val="1"/>
          <c:order val="3"/>
          <c:tx>
            <c:strRef>
              <c:f>Reference!$B$65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Reference!$C$62:$H$62</c:f>
              <c:numCache>
                <c:formatCode>General</c:formatCode>
                <c:ptCount val="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</c:numCache>
            </c:numRef>
          </c:cat>
          <c:val>
            <c:numRef>
              <c:f>Reference!$C$65:$H$65</c:f>
              <c:numCache>
                <c:formatCode>#,##0</c:formatCode>
                <c:ptCount val="6"/>
                <c:pt idx="0">
                  <c:v>6.0079580533160843</c:v>
                </c:pt>
                <c:pt idx="1">
                  <c:v>20.046064919357086</c:v>
                </c:pt>
                <c:pt idx="2">
                  <c:v>47.125836827962274</c:v>
                </c:pt>
                <c:pt idx="3">
                  <c:v>92.81562514561972</c:v>
                </c:pt>
                <c:pt idx="4">
                  <c:v>168.83827485440963</c:v>
                </c:pt>
                <c:pt idx="5">
                  <c:v>290.63863421822253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6-4E65-B2EF-51F08DE3C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227215"/>
        <c:axId val="595208495"/>
      </c:barChart>
      <c:lineChart>
        <c:grouping val="standard"/>
        <c:varyColors val="0"/>
        <c:ser>
          <c:idx val="4"/>
          <c:order val="4"/>
          <c:tx>
            <c:strRef>
              <c:f>Reference!$B$68</c:f>
              <c:strCache>
                <c:ptCount val="1"/>
                <c:pt idx="0">
                  <c:v>Region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Reference!$C$68:$H$68</c:f>
              <c:numCache>
                <c:formatCode>#,##0</c:formatCode>
                <c:ptCount val="6"/>
                <c:pt idx="0">
                  <c:v>523.10265021287228</c:v>
                </c:pt>
                <c:pt idx="1">
                  <c:v>1399.590462410551</c:v>
                </c:pt>
                <c:pt idx="2">
                  <c:v>2912.423607347996</c:v>
                </c:pt>
                <c:pt idx="3">
                  <c:v>5234.5726627358008</c:v>
                </c:pt>
                <c:pt idx="4">
                  <c:v>8634.6959284507866</c:v>
                </c:pt>
                <c:pt idx="5">
                  <c:v>13271.081118863494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48-47D9-BFF8-6CF5D8D13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227215"/>
        <c:axId val="595208495"/>
      </c:lineChart>
      <c:catAx>
        <c:axId val="59522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08495"/>
        <c:crosses val="autoZero"/>
        <c:auto val="1"/>
        <c:lblAlgn val="ctr"/>
        <c:lblOffset val="100"/>
        <c:noMultiLvlLbl val="0"/>
      </c:catAx>
      <c:valAx>
        <c:axId val="59520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GWh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2272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13" Type="http://schemas.openxmlformats.org/officeDocument/2006/relationships/chart" Target="../charts/chart19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12" Type="http://schemas.openxmlformats.org/officeDocument/2006/relationships/chart" Target="../charts/chart18.xml"/><Relationship Id="rId2" Type="http://schemas.openxmlformats.org/officeDocument/2006/relationships/chart" Target="../charts/chart8.xml"/><Relationship Id="rId16" Type="http://schemas.openxmlformats.org/officeDocument/2006/relationships/chart" Target="../charts/chart22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11" Type="http://schemas.openxmlformats.org/officeDocument/2006/relationships/chart" Target="../charts/chart17.xml"/><Relationship Id="rId5" Type="http://schemas.openxmlformats.org/officeDocument/2006/relationships/chart" Target="../charts/chart11.xml"/><Relationship Id="rId15" Type="http://schemas.openxmlformats.org/officeDocument/2006/relationships/chart" Target="../charts/chart2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Relationship Id="rId1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9525</xdr:rowOff>
    </xdr:from>
    <xdr:to>
      <xdr:col>7</xdr:col>
      <xdr:colOff>657225</xdr:colOff>
      <xdr:row>5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80795BC-4DF2-42EE-B219-01C1CC949D01}"/>
            </a:ext>
          </a:extLst>
        </xdr:cNvPr>
        <xdr:cNvSpPr txBox="1"/>
      </xdr:nvSpPr>
      <xdr:spPr>
        <a:xfrm>
          <a:off x="638174" y="171450"/>
          <a:ext cx="6238876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Data from Reference</a:t>
          </a:r>
          <a:r>
            <a:rPr lang="en-US" sz="1100" baseline="0"/>
            <a:t> Case Results Summary:</a:t>
          </a:r>
        </a:p>
        <a:p>
          <a:endParaRPr lang="en-US" sz="1100" baseline="0"/>
        </a:p>
        <a:p>
          <a:r>
            <a:rPr lang="en-US" sz="1100" i="1" baseline="0"/>
            <a:t>TPT_Results_Reference_Case.xlsx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9524</xdr:rowOff>
    </xdr:from>
    <xdr:to>
      <xdr:col>8</xdr:col>
      <xdr:colOff>38100</xdr:colOff>
      <xdr:row>5</xdr:row>
      <xdr:rowOff>57149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21BB5F-3654-48AF-AD0F-13229A46DB20}"/>
            </a:ext>
          </a:extLst>
        </xdr:cNvPr>
        <xdr:cNvSpPr txBox="1"/>
      </xdr:nvSpPr>
      <xdr:spPr>
        <a:xfrm>
          <a:off x="638174" y="171449"/>
          <a:ext cx="6296026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Data from</a:t>
          </a:r>
          <a:r>
            <a:rPr lang="en-US" sz="1100" baseline="0"/>
            <a:t> High Electric Case Results Summary:</a:t>
          </a:r>
        </a:p>
        <a:p>
          <a:endParaRPr lang="en-US" sz="1100" baseline="0"/>
        </a:p>
        <a:p>
          <a:r>
            <a:rPr lang="en-US" sz="1100" b="1" i="1" baseline="0"/>
            <a:t>TPT_Results_HighElectric_Case.xlsx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9525</xdr:rowOff>
    </xdr:from>
    <xdr:to>
      <xdr:col>7</xdr:col>
      <xdr:colOff>657225</xdr:colOff>
      <xdr:row>5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C42232-8224-4BAD-B2CC-1881E1DDE164}"/>
            </a:ext>
          </a:extLst>
        </xdr:cNvPr>
        <xdr:cNvSpPr txBox="1"/>
      </xdr:nvSpPr>
      <xdr:spPr>
        <a:xfrm>
          <a:off x="638174" y="171450"/>
          <a:ext cx="6238876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Data from Hydrogen</a:t>
          </a:r>
          <a:r>
            <a:rPr lang="en-US" sz="1100" baseline="0"/>
            <a:t> plu High Electric Case Results Summary:</a:t>
          </a:r>
        </a:p>
        <a:p>
          <a:endParaRPr lang="en-US" sz="1100" baseline="0"/>
        </a:p>
        <a:p>
          <a:r>
            <a:rPr lang="en-US" sz="1100" i="1" baseline="0"/>
            <a:t>TPT_Results_H2E_Case.xlsx</a:t>
          </a: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519641</xdr:colOff>
      <xdr:row>8</xdr:row>
      <xdr:rowOff>125410</xdr:rowOff>
    </xdr:from>
    <xdr:to>
      <xdr:col>60</xdr:col>
      <xdr:colOff>539750</xdr:colOff>
      <xdr:row>35</xdr:row>
      <xdr:rowOff>116415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65F2B1-007D-4304-8C6D-51367DFDD9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612776</xdr:colOff>
      <xdr:row>8</xdr:row>
      <xdr:rowOff>135465</xdr:rowOff>
    </xdr:from>
    <xdr:to>
      <xdr:col>50</xdr:col>
      <xdr:colOff>550333</xdr:colOff>
      <xdr:row>35</xdr:row>
      <xdr:rowOff>105832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DBB2CFB-53D8-44F2-84BA-1BB74633C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547159</xdr:colOff>
      <xdr:row>4</xdr:row>
      <xdr:rowOff>10584</xdr:rowOff>
    </xdr:from>
    <xdr:to>
      <xdr:col>59</xdr:col>
      <xdr:colOff>219076</xdr:colOff>
      <xdr:row>8</xdr:row>
      <xdr:rowOff>28575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06CF91A-7554-44BA-A888-CCB355294557}"/>
            </a:ext>
          </a:extLst>
        </xdr:cNvPr>
        <xdr:cNvSpPr txBox="1"/>
      </xdr:nvSpPr>
      <xdr:spPr>
        <a:xfrm>
          <a:off x="33704742" y="656167"/>
          <a:ext cx="4582584" cy="663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6"/>
              </a:solidFill>
            </a:rPr>
            <a:t>Fig 5</a:t>
          </a:r>
          <a:r>
            <a:rPr lang="en-US" sz="1100"/>
            <a:t> Tailpipe</a:t>
          </a:r>
          <a:r>
            <a:rPr lang="en-US" sz="1100" baseline="0"/>
            <a:t> </a:t>
          </a:r>
          <a:r>
            <a:rPr lang="en-US" sz="1100"/>
            <a:t>Emissions</a:t>
          </a:r>
        </a:p>
      </xdr:txBody>
    </xdr:sp>
    <xdr:clientData/>
  </xdr:twoCellAnchor>
  <xdr:twoCellAnchor>
    <xdr:from>
      <xdr:col>42</xdr:col>
      <xdr:colOff>377826</xdr:colOff>
      <xdr:row>4</xdr:row>
      <xdr:rowOff>14818</xdr:rowOff>
    </xdr:from>
    <xdr:to>
      <xdr:col>50</xdr:col>
      <xdr:colOff>78317</xdr:colOff>
      <xdr:row>7</xdr:row>
      <xdr:rowOff>143934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9E462DB-0330-4825-831E-F7F1A87E3CFF}"/>
            </a:ext>
          </a:extLst>
        </xdr:cNvPr>
        <xdr:cNvSpPr txBox="1"/>
      </xdr:nvSpPr>
      <xdr:spPr>
        <a:xfrm>
          <a:off x="28010909" y="660401"/>
          <a:ext cx="4611158" cy="615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6"/>
              </a:solidFill>
            </a:rPr>
            <a:t>Fig 4</a:t>
          </a:r>
          <a:r>
            <a:rPr lang="en-US" sz="1100"/>
            <a:t> Gasoline</a:t>
          </a:r>
          <a:r>
            <a:rPr lang="en-US" sz="1100" baseline="0"/>
            <a:t> + Diesel fuel use</a:t>
          </a:r>
          <a:endParaRPr lang="en-US" sz="1100"/>
        </a:p>
      </xdr:txBody>
    </xdr:sp>
    <xdr:clientData/>
  </xdr:twoCellAnchor>
  <xdr:twoCellAnchor>
    <xdr:from>
      <xdr:col>13</xdr:col>
      <xdr:colOff>169334</xdr:colOff>
      <xdr:row>42</xdr:row>
      <xdr:rowOff>59795</xdr:rowOff>
    </xdr:from>
    <xdr:to>
      <xdr:col>24</xdr:col>
      <xdr:colOff>84667</xdr:colOff>
      <xdr:row>77</xdr:row>
      <xdr:rowOff>148167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8C4912E-8CB9-4999-ABA1-F7BC4E1729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180976</xdr:colOff>
      <xdr:row>10</xdr:row>
      <xdr:rowOff>38100</xdr:rowOff>
    </xdr:from>
    <xdr:to>
      <xdr:col>21</xdr:col>
      <xdr:colOff>447676</xdr:colOff>
      <xdr:row>35</xdr:row>
      <xdr:rowOff>19050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B7A2457-962C-47A6-9F7B-C7800E0A7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570634</xdr:colOff>
      <xdr:row>3</xdr:row>
      <xdr:rowOff>170584</xdr:rowOff>
    </xdr:from>
    <xdr:to>
      <xdr:col>20</xdr:col>
      <xdr:colOff>240723</xdr:colOff>
      <xdr:row>7</xdr:row>
      <xdr:rowOff>122959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61DF122-B18E-495D-9867-875FD73A2413}"/>
            </a:ext>
          </a:extLst>
        </xdr:cNvPr>
        <xdr:cNvSpPr txBox="1"/>
      </xdr:nvSpPr>
      <xdr:spPr>
        <a:xfrm>
          <a:off x="10416020" y="664152"/>
          <a:ext cx="3913044" cy="6277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Fig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Forecast of Average Annual Growth Rates for Miles Traveled by Roadway Transport Category from 2020 to 2045 for Reference Case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22</xdr:col>
      <xdr:colOff>476250</xdr:colOff>
      <xdr:row>10</xdr:row>
      <xdr:rowOff>23812</xdr:rowOff>
    </xdr:from>
    <xdr:to>
      <xdr:col>31</xdr:col>
      <xdr:colOff>251114</xdr:colOff>
      <xdr:row>36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3597B21-107C-405B-9FFC-056D4FC8CB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4</xdr:row>
      <xdr:rowOff>0</xdr:rowOff>
    </xdr:from>
    <xdr:to>
      <xdr:col>29</xdr:col>
      <xdr:colOff>276226</xdr:colOff>
      <xdr:row>7</xdr:row>
      <xdr:rowOff>125557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C04C782-21F4-44B4-B840-A84BF6E9D743}"/>
            </a:ext>
          </a:extLst>
        </xdr:cNvPr>
        <xdr:cNvSpPr txBox="1"/>
      </xdr:nvSpPr>
      <xdr:spPr>
        <a:xfrm>
          <a:off x="15906750" y="666750"/>
          <a:ext cx="3913044" cy="6277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Fig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2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Sales market share of electric vehicles in the LDV category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32</xdr:col>
      <xdr:colOff>0</xdr:colOff>
      <xdr:row>4</xdr:row>
      <xdr:rowOff>0</xdr:rowOff>
    </xdr:from>
    <xdr:to>
      <xdr:col>38</xdr:col>
      <xdr:colOff>276226</xdr:colOff>
      <xdr:row>7</xdr:row>
      <xdr:rowOff>125557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BED5BEF3-6E3E-45C3-B04A-4681945C0961}"/>
            </a:ext>
          </a:extLst>
        </xdr:cNvPr>
        <xdr:cNvSpPr txBox="1"/>
      </xdr:nvSpPr>
      <xdr:spPr>
        <a:xfrm>
          <a:off x="21361977" y="666750"/>
          <a:ext cx="3913044" cy="6277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Fig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3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Direct Electricity Demand aMW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32</xdr:col>
      <xdr:colOff>0</xdr:colOff>
      <xdr:row>10</xdr:row>
      <xdr:rowOff>0</xdr:rowOff>
    </xdr:from>
    <xdr:to>
      <xdr:col>40</xdr:col>
      <xdr:colOff>381000</xdr:colOff>
      <xdr:row>35</xdr:row>
      <xdr:rowOff>140710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51E88045-D6D8-48E2-B8D5-283A51715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52916</xdr:colOff>
      <xdr:row>37</xdr:row>
      <xdr:rowOff>148166</xdr:rowOff>
    </xdr:from>
    <xdr:to>
      <xdr:col>22</xdr:col>
      <xdr:colOff>52916</xdr:colOff>
      <xdr:row>41</xdr:row>
      <xdr:rowOff>10583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3E98F41-74B2-42CA-BFC4-8D53E9F7CFC8}"/>
            </a:ext>
          </a:extLst>
        </xdr:cNvPr>
        <xdr:cNvSpPr txBox="1"/>
      </xdr:nvSpPr>
      <xdr:spPr>
        <a:xfrm>
          <a:off x="9884833" y="6170083"/>
          <a:ext cx="5524500" cy="6879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6"/>
              </a:solidFill>
            </a:rPr>
            <a:t>Fig_6</a:t>
          </a:r>
          <a:r>
            <a:rPr lang="en-US" sz="1100"/>
            <a:t> Range of Electricity</a:t>
          </a:r>
          <a:r>
            <a:rPr lang="en-US" sz="1100" baseline="0"/>
            <a:t> Demand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</xdr:row>
      <xdr:rowOff>19049</xdr:rowOff>
    </xdr:from>
    <xdr:to>
      <xdr:col>9</xdr:col>
      <xdr:colOff>9525</xdr:colOff>
      <xdr:row>67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FFD6A1-BBCF-4673-BA64-5B9FCF699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37</xdr:row>
      <xdr:rowOff>19050</xdr:rowOff>
    </xdr:from>
    <xdr:to>
      <xdr:col>8</xdr:col>
      <xdr:colOff>171450</xdr:colOff>
      <xdr:row>40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A95BC57-2841-4633-B474-A1F25C7CD6AF}"/>
            </a:ext>
          </a:extLst>
        </xdr:cNvPr>
        <xdr:cNvSpPr txBox="1"/>
      </xdr:nvSpPr>
      <xdr:spPr>
        <a:xfrm>
          <a:off x="1114425" y="180975"/>
          <a:ext cx="393382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Figure 2: Electric Vehicle Sales by State - Reference Case</a:t>
          </a:r>
        </a:p>
        <a:p>
          <a:endParaRPr lang="en-US" sz="1100"/>
        </a:p>
      </xdr:txBody>
    </xdr:sp>
    <xdr:clientData/>
  </xdr:twoCellAnchor>
  <xdr:twoCellAnchor>
    <xdr:from>
      <xdr:col>10</xdr:col>
      <xdr:colOff>0</xdr:colOff>
      <xdr:row>41</xdr:row>
      <xdr:rowOff>0</xdr:rowOff>
    </xdr:from>
    <xdr:to>
      <xdr:col>18</xdr:col>
      <xdr:colOff>0</xdr:colOff>
      <xdr:row>66</xdr:row>
      <xdr:rowOff>152401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17A3AB1-6475-4780-92AF-3854C475A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38</xdr:row>
      <xdr:rowOff>0</xdr:rowOff>
    </xdr:from>
    <xdr:to>
      <xdr:col>17</xdr:col>
      <xdr:colOff>276225</xdr:colOff>
      <xdr:row>40</xdr:row>
      <xdr:rowOff>133350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D399AD2-B959-4F15-BEF9-D1341E7B1392}"/>
            </a:ext>
          </a:extLst>
        </xdr:cNvPr>
        <xdr:cNvSpPr txBox="1"/>
      </xdr:nvSpPr>
      <xdr:spPr>
        <a:xfrm>
          <a:off x="6705600" y="161925"/>
          <a:ext cx="39338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Figure 3: Electric Vehicle Stock by State - Reference Case</a:t>
          </a:r>
        </a:p>
        <a:p>
          <a:endParaRPr lang="en-US" sz="1100"/>
        </a:p>
      </xdr:txBody>
    </xdr:sp>
    <xdr:clientData/>
  </xdr:twoCellAnchor>
  <xdr:twoCellAnchor>
    <xdr:from>
      <xdr:col>19</xdr:col>
      <xdr:colOff>0</xdr:colOff>
      <xdr:row>38</xdr:row>
      <xdr:rowOff>0</xdr:rowOff>
    </xdr:from>
    <xdr:to>
      <xdr:col>25</xdr:col>
      <xdr:colOff>276225</xdr:colOff>
      <xdr:row>40</xdr:row>
      <xdr:rowOff>133350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EF3A302-C094-41E4-89F7-5986A871C942}"/>
            </a:ext>
          </a:extLst>
        </xdr:cNvPr>
        <xdr:cNvSpPr txBox="1"/>
      </xdr:nvSpPr>
      <xdr:spPr>
        <a:xfrm>
          <a:off x="11582400" y="161925"/>
          <a:ext cx="39338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Figure 4: Electric Vehicle Electricity Demand by State – Reference Case</a:t>
          </a:r>
        </a:p>
        <a:p>
          <a:endParaRPr lang="en-US" sz="1100"/>
        </a:p>
      </xdr:txBody>
    </xdr:sp>
    <xdr:clientData/>
  </xdr:twoCellAnchor>
  <xdr:twoCellAnchor>
    <xdr:from>
      <xdr:col>18</xdr:col>
      <xdr:colOff>257175</xdr:colOff>
      <xdr:row>41</xdr:row>
      <xdr:rowOff>104775</xdr:rowOff>
    </xdr:from>
    <xdr:to>
      <xdr:col>26</xdr:col>
      <xdr:colOff>257175</xdr:colOff>
      <xdr:row>67</xdr:row>
      <xdr:rowOff>95251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37F72E3-7960-4B94-A0C9-5205563A5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</xdr:row>
      <xdr:rowOff>0</xdr:rowOff>
    </xdr:from>
    <xdr:to>
      <xdr:col>9</xdr:col>
      <xdr:colOff>552027</xdr:colOff>
      <xdr:row>33</xdr:row>
      <xdr:rowOff>30480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4EE5C2B-3CEF-4229-8E4D-90751CE4D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342900</xdr:colOff>
      <xdr:row>3</xdr:row>
      <xdr:rowOff>114300</xdr:rowOff>
    </xdr:from>
    <xdr:to>
      <xdr:col>8</xdr:col>
      <xdr:colOff>9525</xdr:colOff>
      <xdr:row>7</xdr:row>
      <xdr:rowOff>85725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A5C26D1-FF6E-4C43-87B5-C2DAEA81F331}"/>
            </a:ext>
          </a:extLst>
        </xdr:cNvPr>
        <xdr:cNvSpPr txBox="1"/>
      </xdr:nvSpPr>
      <xdr:spPr>
        <a:xfrm>
          <a:off x="952500" y="600075"/>
          <a:ext cx="393382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Fig 1 Forecast of Average Annual Growth Rates for Miles Traveled by Roadway Transport Category from 2020 to 2045 for Reference Case</a:t>
          </a:r>
        </a:p>
        <a:p>
          <a:endParaRPr lang="en-US" sz="1100"/>
        </a:p>
      </xdr:txBody>
    </xdr:sp>
    <xdr:clientData/>
  </xdr:twoCellAnchor>
  <xdr:twoCellAnchor>
    <xdr:from>
      <xdr:col>1</xdr:col>
      <xdr:colOff>22860</xdr:colOff>
      <xdr:row>74</xdr:row>
      <xdr:rowOff>15240</xdr:rowOff>
    </xdr:from>
    <xdr:to>
      <xdr:col>9</xdr:col>
      <xdr:colOff>22860</xdr:colOff>
      <xdr:row>100</xdr:row>
      <xdr:rowOff>7621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D4B821B-3CDC-4F08-B89F-5102CA59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600074</xdr:colOff>
      <xdr:row>73</xdr:row>
      <xdr:rowOff>95249</xdr:rowOff>
    </xdr:from>
    <xdr:to>
      <xdr:col>17</xdr:col>
      <xdr:colOff>590549</xdr:colOff>
      <xdr:row>99</xdr:row>
      <xdr:rowOff>123824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4F52AD8-B8D6-48CE-8DF4-2F7F84991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190501</xdr:colOff>
      <xdr:row>74</xdr:row>
      <xdr:rowOff>104775</xdr:rowOff>
    </xdr:from>
    <xdr:to>
      <xdr:col>26</xdr:col>
      <xdr:colOff>276225</xdr:colOff>
      <xdr:row>100</xdr:row>
      <xdr:rowOff>66675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3549965-1017-45BC-8CC0-7D00E9A51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323850</xdr:colOff>
      <xdr:row>68</xdr:row>
      <xdr:rowOff>66675</xdr:rowOff>
    </xdr:from>
    <xdr:to>
      <xdr:col>8</xdr:col>
      <xdr:colOff>114300</xdr:colOff>
      <xdr:row>72</xdr:row>
      <xdr:rowOff>28575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FAE73F4-70D1-4EE8-A02E-91E3D3BB1FA9}"/>
            </a:ext>
          </a:extLst>
        </xdr:cNvPr>
        <xdr:cNvSpPr txBox="1"/>
      </xdr:nvSpPr>
      <xdr:spPr>
        <a:xfrm>
          <a:off x="933450" y="11077575"/>
          <a:ext cx="40576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Figure 6:</a:t>
          </a:r>
          <a:r>
            <a:rPr lang="en-US" sz="1100" baseline="0"/>
            <a:t> Annual Vehicle Tailpipe Emissions by State - Reference Case </a:t>
          </a:r>
          <a:endParaRPr lang="en-US" sz="1100"/>
        </a:p>
      </xdr:txBody>
    </xdr:sp>
    <xdr:clientData/>
  </xdr:twoCellAnchor>
  <xdr:twoCellAnchor>
    <xdr:from>
      <xdr:col>10</xdr:col>
      <xdr:colOff>9525</xdr:colOff>
      <xdr:row>68</xdr:row>
      <xdr:rowOff>57150</xdr:rowOff>
    </xdr:from>
    <xdr:to>
      <xdr:col>17</xdr:col>
      <xdr:colOff>361950</xdr:colOff>
      <xdr:row>72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1FEC9B2-2FE4-479C-BB73-A33A9F4AE38C}"/>
            </a:ext>
          </a:extLst>
        </xdr:cNvPr>
        <xdr:cNvSpPr txBox="1"/>
      </xdr:nvSpPr>
      <xdr:spPr>
        <a:xfrm>
          <a:off x="6105525" y="11068050"/>
          <a:ext cx="461962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Figure 7: Annual Tailpipe Emissions by Vehicle</a:t>
          </a:r>
          <a:r>
            <a:rPr lang="en-US" sz="1100" baseline="0"/>
            <a:t> </a:t>
          </a:r>
          <a:r>
            <a:rPr lang="en-US" sz="1100"/>
            <a:t>Category - Reference Case</a:t>
          </a:r>
        </a:p>
      </xdr:txBody>
    </xdr:sp>
    <xdr:clientData/>
  </xdr:twoCellAnchor>
  <xdr:twoCellAnchor>
    <xdr:from>
      <xdr:col>18</xdr:col>
      <xdr:colOff>0</xdr:colOff>
      <xdr:row>68</xdr:row>
      <xdr:rowOff>0</xdr:rowOff>
    </xdr:from>
    <xdr:to>
      <xdr:col>25</xdr:col>
      <xdr:colOff>352425</xdr:colOff>
      <xdr:row>71</xdr:row>
      <xdr:rowOff>104775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79526891-CBD0-493D-8529-C82118EB7561}"/>
            </a:ext>
          </a:extLst>
        </xdr:cNvPr>
        <xdr:cNvSpPr txBox="1"/>
      </xdr:nvSpPr>
      <xdr:spPr>
        <a:xfrm>
          <a:off x="10972800" y="11010900"/>
          <a:ext cx="461962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Figure 5: Annual Tailpipe Emission</a:t>
          </a:r>
          <a:r>
            <a:rPr lang="en-US" sz="1100" baseline="0"/>
            <a:t> Growth Rates </a:t>
          </a:r>
          <a:r>
            <a:rPr lang="en-US" sz="1100"/>
            <a:t>Category - Reference Case</a:t>
          </a:r>
        </a:p>
      </xdr:txBody>
    </xdr:sp>
    <xdr:clientData/>
  </xdr:twoCellAnchor>
  <xdr:twoCellAnchor>
    <xdr:from>
      <xdr:col>1</xdr:col>
      <xdr:colOff>0</xdr:colOff>
      <xdr:row>107</xdr:row>
      <xdr:rowOff>0</xdr:rowOff>
    </xdr:from>
    <xdr:to>
      <xdr:col>9</xdr:col>
      <xdr:colOff>0</xdr:colOff>
      <xdr:row>132</xdr:row>
      <xdr:rowOff>152401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BCD421B9-ECA9-4A13-A0DA-207305915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266700</xdr:colOff>
      <xdr:row>102</xdr:row>
      <xdr:rowOff>85725</xdr:rowOff>
    </xdr:from>
    <xdr:to>
      <xdr:col>7</xdr:col>
      <xdr:colOff>542925</xdr:colOff>
      <xdr:row>105</xdr:row>
      <xdr:rowOff>57150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3F97BEE8-5F89-4959-8AE1-04F84C5EAE2B}"/>
            </a:ext>
          </a:extLst>
        </xdr:cNvPr>
        <xdr:cNvSpPr txBox="1"/>
      </xdr:nvSpPr>
      <xdr:spPr>
        <a:xfrm>
          <a:off x="876300" y="16602075"/>
          <a:ext cx="39338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Figure 10: LDV Electric Vehicle Electricity Demand by State – High Electric Case</a:t>
          </a:r>
        </a:p>
        <a:p>
          <a:endParaRPr lang="en-US" sz="1100"/>
        </a:p>
      </xdr:txBody>
    </xdr:sp>
    <xdr:clientData/>
  </xdr:twoCellAnchor>
  <xdr:twoCellAnchor>
    <xdr:from>
      <xdr:col>10</xdr:col>
      <xdr:colOff>0</xdr:colOff>
      <xdr:row>102</xdr:row>
      <xdr:rowOff>0</xdr:rowOff>
    </xdr:from>
    <xdr:to>
      <xdr:col>16</xdr:col>
      <xdr:colOff>541020</xdr:colOff>
      <xdr:row>104</xdr:row>
      <xdr:rowOff>144780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D5819C24-5B6B-4755-A1A0-BD39667B3EAF}"/>
            </a:ext>
          </a:extLst>
        </xdr:cNvPr>
        <xdr:cNvSpPr txBox="1"/>
      </xdr:nvSpPr>
      <xdr:spPr>
        <a:xfrm>
          <a:off x="6096000" y="16322040"/>
          <a:ext cx="4198620" cy="464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Figure 8: Electric Vehicle Sales by State - High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Electric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Case</a:t>
          </a:r>
        </a:p>
        <a:p>
          <a:endParaRPr lang="en-US" sz="1100"/>
        </a:p>
      </xdr:txBody>
    </xdr:sp>
    <xdr:clientData/>
  </xdr:twoCellAnchor>
  <xdr:twoCellAnchor>
    <xdr:from>
      <xdr:col>10</xdr:col>
      <xdr:colOff>22860</xdr:colOff>
      <xdr:row>106</xdr:row>
      <xdr:rowOff>53340</xdr:rowOff>
    </xdr:from>
    <xdr:to>
      <xdr:col>18</xdr:col>
      <xdr:colOff>22860</xdr:colOff>
      <xdr:row>132</xdr:row>
      <xdr:rowOff>40006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BDB450DA-D4B7-4C69-BB83-6A1FF308F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0</xdr:colOff>
      <xdr:row>107</xdr:row>
      <xdr:rowOff>0</xdr:rowOff>
    </xdr:from>
    <xdr:to>
      <xdr:col>27</xdr:col>
      <xdr:colOff>0</xdr:colOff>
      <xdr:row>132</xdr:row>
      <xdr:rowOff>152401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284505E9-53A3-4C98-A291-12F58E447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0</xdr:colOff>
      <xdr:row>102</xdr:row>
      <xdr:rowOff>0</xdr:rowOff>
    </xdr:from>
    <xdr:to>
      <xdr:col>26</xdr:col>
      <xdr:colOff>510540</xdr:colOff>
      <xdr:row>104</xdr:row>
      <xdr:rowOff>129540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6892D5D-CDBA-4A28-8A0C-ECC734F1B2BA}"/>
            </a:ext>
          </a:extLst>
        </xdr:cNvPr>
        <xdr:cNvSpPr txBox="1"/>
      </xdr:nvSpPr>
      <xdr:spPr>
        <a:xfrm>
          <a:off x="11582400" y="16322040"/>
          <a:ext cx="4777740" cy="449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Figure 9: Electric Vehicle Stock by State - High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Electric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Case</a:t>
          </a:r>
        </a:p>
        <a:p>
          <a:endParaRPr lang="en-US" sz="1100"/>
        </a:p>
      </xdr:txBody>
    </xdr:sp>
    <xdr:clientData/>
  </xdr:twoCellAnchor>
  <xdr:twoCellAnchor>
    <xdr:from>
      <xdr:col>1</xdr:col>
      <xdr:colOff>0</xdr:colOff>
      <xdr:row>134</xdr:row>
      <xdr:rowOff>0</xdr:rowOff>
    </xdr:from>
    <xdr:to>
      <xdr:col>8</xdr:col>
      <xdr:colOff>350520</xdr:colOff>
      <xdr:row>137</xdr:row>
      <xdr:rowOff>106680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78AAF26-EDE9-44FD-AD25-1903FA9D0E1C}"/>
            </a:ext>
          </a:extLst>
        </xdr:cNvPr>
        <xdr:cNvSpPr txBox="1"/>
      </xdr:nvSpPr>
      <xdr:spPr>
        <a:xfrm>
          <a:off x="609600" y="21442680"/>
          <a:ext cx="4617720" cy="586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Figure 11: Average Annual Tailpipe Emission</a:t>
          </a:r>
          <a:r>
            <a:rPr lang="en-US" sz="1100" baseline="0"/>
            <a:t> Growth Rates </a:t>
          </a:r>
          <a:r>
            <a:rPr lang="en-US" sz="1100"/>
            <a:t>Category - High</a:t>
          </a:r>
          <a:r>
            <a:rPr lang="en-US" sz="1100" baseline="0"/>
            <a:t> Electric</a:t>
          </a:r>
          <a:r>
            <a:rPr lang="en-US" sz="1100"/>
            <a:t> Case</a:t>
          </a:r>
        </a:p>
      </xdr:txBody>
    </xdr:sp>
    <xdr:clientData/>
  </xdr:twoCellAnchor>
  <xdr:twoCellAnchor>
    <xdr:from>
      <xdr:col>1</xdr:col>
      <xdr:colOff>0</xdr:colOff>
      <xdr:row>139</xdr:row>
      <xdr:rowOff>0</xdr:rowOff>
    </xdr:from>
    <xdr:to>
      <xdr:col>9</xdr:col>
      <xdr:colOff>83819</xdr:colOff>
      <xdr:row>164</xdr:row>
      <xdr:rowOff>121920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D8E843FB-7A82-40B3-B2A7-E029B3AEA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134</xdr:row>
      <xdr:rowOff>0</xdr:rowOff>
    </xdr:from>
    <xdr:to>
      <xdr:col>16</xdr:col>
      <xdr:colOff>400050</xdr:colOff>
      <xdr:row>137</xdr:row>
      <xdr:rowOff>129540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15D89D9D-5AFE-4D21-ADE6-88676459A606}"/>
            </a:ext>
          </a:extLst>
        </xdr:cNvPr>
        <xdr:cNvSpPr txBox="1"/>
      </xdr:nvSpPr>
      <xdr:spPr>
        <a:xfrm>
          <a:off x="6096000" y="22463760"/>
          <a:ext cx="4057650" cy="632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Figure 12:</a:t>
          </a:r>
          <a:r>
            <a:rPr lang="en-US" sz="1100" baseline="0"/>
            <a:t> Annual Vehicle Tailpipe Emissions by State - High Electric Case </a:t>
          </a:r>
          <a:endParaRPr lang="en-US" sz="1100"/>
        </a:p>
      </xdr:txBody>
    </xdr:sp>
    <xdr:clientData/>
  </xdr:twoCellAnchor>
  <xdr:twoCellAnchor>
    <xdr:from>
      <xdr:col>9</xdr:col>
      <xdr:colOff>472440</xdr:colOff>
      <xdr:row>138</xdr:row>
      <xdr:rowOff>15240</xdr:rowOff>
    </xdr:from>
    <xdr:to>
      <xdr:col>17</xdr:col>
      <xdr:colOff>472440</xdr:colOff>
      <xdr:row>164</xdr:row>
      <xdr:rowOff>7621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32B6E828-7DEC-4577-8584-64C2B580F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19</xdr:col>
      <xdr:colOff>0</xdr:colOff>
      <xdr:row>134</xdr:row>
      <xdr:rowOff>0</xdr:rowOff>
    </xdr:from>
    <xdr:to>
      <xdr:col>26</xdr:col>
      <xdr:colOff>352425</xdr:colOff>
      <xdr:row>137</xdr:row>
      <xdr:rowOff>110490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8BE6D3A-C525-4E9C-89C7-55C7092B656F}"/>
            </a:ext>
          </a:extLst>
        </xdr:cNvPr>
        <xdr:cNvSpPr txBox="1"/>
      </xdr:nvSpPr>
      <xdr:spPr>
        <a:xfrm>
          <a:off x="11582400" y="22463760"/>
          <a:ext cx="4619625" cy="613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Figure 13: Annual Tailpipe Emissions by Vehicle</a:t>
          </a:r>
          <a:r>
            <a:rPr lang="en-US" sz="1100" baseline="0"/>
            <a:t> </a:t>
          </a:r>
          <a:r>
            <a:rPr lang="en-US" sz="1100"/>
            <a:t>Category - High</a:t>
          </a:r>
          <a:r>
            <a:rPr lang="en-US" sz="1100" baseline="0"/>
            <a:t> Electric</a:t>
          </a:r>
          <a:r>
            <a:rPr lang="en-US" sz="1100"/>
            <a:t> Case</a:t>
          </a:r>
        </a:p>
      </xdr:txBody>
    </xdr:sp>
    <xdr:clientData/>
  </xdr:twoCellAnchor>
  <xdr:twoCellAnchor>
    <xdr:from>
      <xdr:col>18</xdr:col>
      <xdr:colOff>281940</xdr:colOff>
      <xdr:row>139</xdr:row>
      <xdr:rowOff>0</xdr:rowOff>
    </xdr:from>
    <xdr:to>
      <xdr:col>26</xdr:col>
      <xdr:colOff>272415</xdr:colOff>
      <xdr:row>165</xdr:row>
      <xdr:rowOff>28575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938909DD-07C8-469A-B208-7C06B66CE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166</xdr:row>
      <xdr:rowOff>0</xdr:rowOff>
    </xdr:from>
    <xdr:to>
      <xdr:col>8</xdr:col>
      <xdr:colOff>350520</xdr:colOff>
      <xdr:row>169</xdr:row>
      <xdr:rowOff>106680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0F7C39D-8BE3-4566-A1D7-BDD3BBB5266C}"/>
            </a:ext>
          </a:extLst>
        </xdr:cNvPr>
        <xdr:cNvSpPr txBox="1"/>
      </xdr:nvSpPr>
      <xdr:spPr>
        <a:xfrm>
          <a:off x="609600" y="26879550"/>
          <a:ext cx="4617720" cy="5924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Figure 14: Average Annual Tailpipe Emission</a:t>
          </a:r>
          <a:r>
            <a:rPr lang="en-US" sz="1100" baseline="0"/>
            <a:t> Growth Rates </a:t>
          </a:r>
          <a:r>
            <a:rPr lang="en-US" sz="1100"/>
            <a:t>Category - H2E</a:t>
          </a:r>
          <a:r>
            <a:rPr lang="en-US" sz="1100" baseline="0"/>
            <a:t> Case</a:t>
          </a:r>
          <a:endParaRPr lang="en-US" sz="1100"/>
        </a:p>
      </xdr:txBody>
    </xdr:sp>
    <xdr:clientData/>
  </xdr:twoCellAnchor>
  <xdr:twoCellAnchor>
    <xdr:from>
      <xdr:col>1</xdr:col>
      <xdr:colOff>0</xdr:colOff>
      <xdr:row>170</xdr:row>
      <xdr:rowOff>0</xdr:rowOff>
    </xdr:from>
    <xdr:to>
      <xdr:col>9</xdr:col>
      <xdr:colOff>83819</xdr:colOff>
      <xdr:row>195</xdr:row>
      <xdr:rowOff>121920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C2A30259-74DB-43BB-90E9-E165538D0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166</xdr:row>
      <xdr:rowOff>0</xdr:rowOff>
    </xdr:from>
    <xdr:to>
      <xdr:col>16</xdr:col>
      <xdr:colOff>400050</xdr:colOff>
      <xdr:row>169</xdr:row>
      <xdr:rowOff>129540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B062BAF4-4E8D-45A4-BA30-75AF01B3B6F5}"/>
            </a:ext>
          </a:extLst>
        </xdr:cNvPr>
        <xdr:cNvSpPr txBox="1"/>
      </xdr:nvSpPr>
      <xdr:spPr>
        <a:xfrm>
          <a:off x="6096000" y="26879550"/>
          <a:ext cx="4057650" cy="615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Figure 15:</a:t>
          </a:r>
          <a:r>
            <a:rPr lang="en-US" sz="1100" baseline="0"/>
            <a:t> Annual Vehicle Tailpipe Emissions by State - H2E Case </a:t>
          </a:r>
          <a:endParaRPr lang="en-US" sz="1100"/>
        </a:p>
      </xdr:txBody>
    </xdr:sp>
    <xdr:clientData/>
  </xdr:twoCellAnchor>
  <xdr:twoCellAnchor>
    <xdr:from>
      <xdr:col>10</xdr:col>
      <xdr:colOff>0</xdr:colOff>
      <xdr:row>170</xdr:row>
      <xdr:rowOff>0</xdr:rowOff>
    </xdr:from>
    <xdr:to>
      <xdr:col>18</xdr:col>
      <xdr:colOff>0</xdr:colOff>
      <xdr:row>195</xdr:row>
      <xdr:rowOff>154306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7CF9AAF0-5AFD-462A-B900-D69CF1A1E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0</xdr:colOff>
      <xdr:row>166</xdr:row>
      <xdr:rowOff>0</xdr:rowOff>
    </xdr:from>
    <xdr:to>
      <xdr:col>26</xdr:col>
      <xdr:colOff>352425</xdr:colOff>
      <xdr:row>169</xdr:row>
      <xdr:rowOff>110490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65FDBD92-D591-4373-8DC8-AF41A4B4939F}"/>
            </a:ext>
          </a:extLst>
        </xdr:cNvPr>
        <xdr:cNvSpPr txBox="1"/>
      </xdr:nvSpPr>
      <xdr:spPr>
        <a:xfrm>
          <a:off x="11582400" y="26879550"/>
          <a:ext cx="4619625" cy="596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Figure 16: Annual Tailpipe Emissions by Vehicle</a:t>
          </a:r>
          <a:r>
            <a:rPr lang="en-US" sz="1100" baseline="0"/>
            <a:t> </a:t>
          </a:r>
          <a:r>
            <a:rPr lang="en-US" sz="1100"/>
            <a:t>Category - H2E Case</a:t>
          </a:r>
        </a:p>
      </xdr:txBody>
    </xdr:sp>
    <xdr:clientData/>
  </xdr:twoCellAnchor>
  <xdr:twoCellAnchor>
    <xdr:from>
      <xdr:col>19</xdr:col>
      <xdr:colOff>0</xdr:colOff>
      <xdr:row>171</xdr:row>
      <xdr:rowOff>0</xdr:rowOff>
    </xdr:from>
    <xdr:to>
      <xdr:col>26</xdr:col>
      <xdr:colOff>600075</xdr:colOff>
      <xdr:row>197</xdr:row>
      <xdr:rowOff>28575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8586139-82F4-4083-B104-CF6FC8818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647700</xdr:colOff>
      <xdr:row>5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1E1192-F18C-47C1-AD94-A1D3C0CE01FD}"/>
            </a:ext>
          </a:extLst>
        </xdr:cNvPr>
        <xdr:cNvSpPr txBox="1"/>
      </xdr:nvSpPr>
      <xdr:spPr>
        <a:xfrm>
          <a:off x="609600" y="161925"/>
          <a:ext cx="269557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baseline="0"/>
            <a:t>Definitions</a:t>
          </a:r>
        </a:p>
        <a:p>
          <a:r>
            <a:rPr lang="en-US" sz="1100" b="1" i="1" baseline="0"/>
            <a:t>From AEO 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2021PowerPlan">
  <a:themeElements>
    <a:clrScheme name="2021PowerPlan">
      <a:dk1>
        <a:srgbClr val="000000"/>
      </a:dk1>
      <a:lt1>
        <a:srgbClr val="FEFFFF"/>
      </a:lt1>
      <a:dk2>
        <a:srgbClr val="EFE8CF"/>
      </a:dk2>
      <a:lt2>
        <a:srgbClr val="FEFFFF"/>
      </a:lt2>
      <a:accent1>
        <a:srgbClr val="02BAD2"/>
      </a:accent1>
      <a:accent2>
        <a:srgbClr val="03B28B"/>
      </a:accent2>
      <a:accent3>
        <a:srgbClr val="9AC368"/>
      </a:accent3>
      <a:accent4>
        <a:srgbClr val="F7C719"/>
      </a:accent4>
      <a:accent5>
        <a:srgbClr val="F77F38"/>
      </a:accent5>
      <a:accent6>
        <a:srgbClr val="F23E49"/>
      </a:accent6>
      <a:hlink>
        <a:srgbClr val="2F395F"/>
      </a:hlink>
      <a:folHlink>
        <a:srgbClr val="576C7D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2021PowerPlan" id="{FE2D48F6-2255-4CA2-8CDC-3AD959F99ED5}" vid="{EB538543-5F3B-42A0-95F9-DFDD7530CAA6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8AA56-106E-43ED-896A-E8C5F19DBD31}">
  <dimension ref="B7:AL100"/>
  <sheetViews>
    <sheetView topLeftCell="A16" zoomScale="90" zoomScaleNormal="90" workbookViewId="0">
      <selection activeCell="P5" sqref="P5"/>
    </sheetView>
  </sheetViews>
  <sheetFormatPr defaultRowHeight="12.75" x14ac:dyDescent="0.2"/>
  <cols>
    <col min="2" max="2" width="30.28515625" bestFit="1" customWidth="1"/>
    <col min="3" max="8" width="11" bestFit="1" customWidth="1"/>
    <col min="9" max="9" width="3.140625" customWidth="1"/>
    <col min="10" max="10" width="3.42578125" customWidth="1"/>
    <col min="11" max="11" width="3.140625" customWidth="1"/>
    <col min="12" max="12" width="14.85546875" bestFit="1" customWidth="1"/>
    <col min="13" max="13" width="14" bestFit="1" customWidth="1"/>
    <col min="14" max="18" width="6" bestFit="1" customWidth="1"/>
    <col min="19" max="19" width="7.140625" bestFit="1" customWidth="1"/>
    <col min="20" max="20" width="6.5703125" bestFit="1" customWidth="1"/>
    <col min="21" max="21" width="3.5703125" customWidth="1"/>
    <col min="22" max="22" width="3" customWidth="1"/>
    <col min="23" max="23" width="20.28515625" bestFit="1" customWidth="1"/>
    <col min="24" max="24" width="27.85546875" bestFit="1" customWidth="1"/>
    <col min="25" max="30" width="11" bestFit="1" customWidth="1"/>
    <col min="31" max="31" width="9.140625" customWidth="1"/>
    <col min="32" max="32" width="3.140625" customWidth="1"/>
    <col min="33" max="33" width="3.5703125" customWidth="1"/>
    <col min="34" max="34" width="14.85546875" bestFit="1" customWidth="1"/>
    <col min="35" max="35" width="24.140625" bestFit="1" customWidth="1"/>
    <col min="36" max="36" width="12.5703125" bestFit="1" customWidth="1"/>
    <col min="37" max="38" width="7.5703125" bestFit="1" customWidth="1"/>
    <col min="39" max="42" width="3.5703125" customWidth="1"/>
  </cols>
  <sheetData>
    <row r="7" spans="2:38" x14ac:dyDescent="0.2">
      <c r="B7" s="3"/>
      <c r="C7" s="3"/>
      <c r="D7" s="3"/>
      <c r="E7" s="3"/>
      <c r="F7" s="3"/>
      <c r="G7" s="3"/>
      <c r="H7" s="3"/>
    </row>
    <row r="9" spans="2:38" ht="38.25" x14ac:dyDescent="0.2">
      <c r="B9" s="4" t="s">
        <v>14</v>
      </c>
      <c r="J9" s="12"/>
      <c r="L9" s="4" t="s">
        <v>93</v>
      </c>
      <c r="U9" s="12"/>
      <c r="W9" s="21" t="s">
        <v>73</v>
      </c>
      <c r="AF9" s="12"/>
      <c r="AH9" s="21" t="s">
        <v>74</v>
      </c>
    </row>
    <row r="10" spans="2:38" x14ac:dyDescent="0.2">
      <c r="J10" s="12"/>
      <c r="U10" s="12"/>
      <c r="AF10" s="12"/>
    </row>
    <row r="11" spans="2:38" x14ac:dyDescent="0.2">
      <c r="J11" s="12"/>
      <c r="U11" s="12"/>
      <c r="AF11" s="12"/>
    </row>
    <row r="12" spans="2:38" ht="13.5" thickBot="1" x14ac:dyDescent="0.25">
      <c r="J12" s="12"/>
      <c r="U12" s="12"/>
      <c r="AF12" s="12"/>
    </row>
    <row r="13" spans="2:38" ht="51.75" thickBot="1" x14ac:dyDescent="0.25">
      <c r="B13" s="1" t="s">
        <v>1</v>
      </c>
      <c r="C13" s="2">
        <v>2020</v>
      </c>
      <c r="D13" s="2">
        <v>2025</v>
      </c>
      <c r="E13" s="2">
        <v>2030</v>
      </c>
      <c r="F13" s="2">
        <v>2035</v>
      </c>
      <c r="G13" s="2">
        <v>2040</v>
      </c>
      <c r="H13" s="2">
        <v>2045</v>
      </c>
      <c r="J13" s="12"/>
      <c r="L13" s="1" t="s">
        <v>15</v>
      </c>
      <c r="M13" s="1" t="s">
        <v>16</v>
      </c>
      <c r="N13" s="2">
        <v>2020</v>
      </c>
      <c r="O13" s="2">
        <v>2025</v>
      </c>
      <c r="P13" s="2">
        <v>2030</v>
      </c>
      <c r="Q13" s="2">
        <v>2035</v>
      </c>
      <c r="R13" s="2">
        <v>2040</v>
      </c>
      <c r="S13" s="2">
        <v>2045</v>
      </c>
      <c r="U13" s="12"/>
      <c r="W13" s="1" t="s">
        <v>54</v>
      </c>
      <c r="X13" s="1" t="s">
        <v>16</v>
      </c>
      <c r="Y13" s="2">
        <v>2020</v>
      </c>
      <c r="Z13" s="2">
        <v>2025</v>
      </c>
      <c r="AA13" s="2">
        <v>2030</v>
      </c>
      <c r="AB13" s="2">
        <v>2035</v>
      </c>
      <c r="AC13" s="2">
        <v>2040</v>
      </c>
      <c r="AD13" s="2">
        <v>2045</v>
      </c>
      <c r="AF13" s="12"/>
      <c r="AH13" s="1" t="s">
        <v>54</v>
      </c>
      <c r="AI13" s="1" t="s">
        <v>76</v>
      </c>
      <c r="AJ13" s="1" t="s">
        <v>78</v>
      </c>
      <c r="AK13" s="25" t="s">
        <v>79</v>
      </c>
      <c r="AL13" s="26" t="s">
        <v>83</v>
      </c>
    </row>
    <row r="14" spans="2:38" ht="15.75" x14ac:dyDescent="0.3">
      <c r="J14" s="12"/>
      <c r="L14" s="13" t="s">
        <v>2</v>
      </c>
      <c r="M14" s="13" t="s">
        <v>17</v>
      </c>
      <c r="N14" s="8">
        <v>5439.9805463644989</v>
      </c>
      <c r="O14" s="8">
        <v>5517.3494837304434</v>
      </c>
      <c r="P14" s="8">
        <v>5550.918643898709</v>
      </c>
      <c r="Q14" s="8">
        <v>5549.9127080458238</v>
      </c>
      <c r="R14" s="8">
        <v>5486.1189165821461</v>
      </c>
      <c r="S14" s="8">
        <v>5349.9418053638838</v>
      </c>
      <c r="U14" s="12"/>
      <c r="W14" t="s">
        <v>26</v>
      </c>
      <c r="X14" t="s">
        <v>58</v>
      </c>
      <c r="Y14" s="8">
        <v>43097.296199999997</v>
      </c>
      <c r="Z14" s="8">
        <v>42988.509599999998</v>
      </c>
      <c r="AA14" s="8">
        <v>42348.058099999995</v>
      </c>
      <c r="AB14" s="8">
        <v>41256.123500000002</v>
      </c>
      <c r="AC14" s="8">
        <v>39464.245699999999</v>
      </c>
      <c r="AD14" s="8">
        <v>36852.347199999997</v>
      </c>
      <c r="AF14" s="12"/>
      <c r="AH14" t="s">
        <v>75</v>
      </c>
      <c r="AI14" t="s">
        <v>60</v>
      </c>
      <c r="AJ14" t="s">
        <v>77</v>
      </c>
      <c r="AK14" s="10">
        <f>100*(AD22-Y22)/Y22</f>
        <v>30.921921969844146</v>
      </c>
      <c r="AL14" s="10">
        <f>AK14/25</f>
        <v>1.2368768787937658</v>
      </c>
    </row>
    <row r="15" spans="2:38" ht="15.75" x14ac:dyDescent="0.3">
      <c r="B15" s="5" t="s">
        <v>2</v>
      </c>
      <c r="C15" s="8">
        <v>485741.5</v>
      </c>
      <c r="D15" s="8">
        <v>480802.30000000005</v>
      </c>
      <c r="E15" s="8">
        <v>465175.60000000003</v>
      </c>
      <c r="F15" s="8">
        <v>425149</v>
      </c>
      <c r="G15" s="8">
        <v>364630.19999999995</v>
      </c>
      <c r="H15" s="8">
        <v>281950.3</v>
      </c>
      <c r="J15" s="12"/>
      <c r="L15" s="13" t="s">
        <v>18</v>
      </c>
      <c r="M15" s="13" t="s">
        <v>17</v>
      </c>
      <c r="N15" s="8">
        <v>2577.9372693458336</v>
      </c>
      <c r="O15" s="8">
        <v>2791.0577154046046</v>
      </c>
      <c r="P15" s="8">
        <v>3038.886745619845</v>
      </c>
      <c r="Q15" s="8">
        <v>3346.5275401984259</v>
      </c>
      <c r="R15" s="8">
        <v>3726.5211346547185</v>
      </c>
      <c r="S15" s="8">
        <v>4199.3470712835106</v>
      </c>
      <c r="U15" s="12"/>
      <c r="W15" t="s">
        <v>28</v>
      </c>
      <c r="X15" t="s">
        <v>58</v>
      </c>
      <c r="Y15" s="8">
        <v>3382.806</v>
      </c>
      <c r="Z15" s="8">
        <v>3667.7939999999999</v>
      </c>
      <c r="AA15" s="8">
        <v>3976.8310000000001</v>
      </c>
      <c r="AB15" s="8">
        <v>4352.6129999999994</v>
      </c>
      <c r="AC15" s="8">
        <v>4821.88</v>
      </c>
      <c r="AD15" s="8">
        <v>5414.2479999999996</v>
      </c>
      <c r="AF15" s="12"/>
      <c r="AH15" t="s">
        <v>28</v>
      </c>
      <c r="AI15" t="s">
        <v>61</v>
      </c>
      <c r="AJ15" t="s">
        <v>77</v>
      </c>
      <c r="AK15" s="10">
        <f>100*(AD25-Y25)/Y25</f>
        <v>67.446121024778591</v>
      </c>
      <c r="AL15" s="10">
        <f t="shared" ref="AL15:AL18" si="0">AK15/25</f>
        <v>2.6978448409911437</v>
      </c>
    </row>
    <row r="16" spans="2:38" ht="15.75" x14ac:dyDescent="0.3">
      <c r="B16" s="5" t="s">
        <v>3</v>
      </c>
      <c r="C16" s="8">
        <v>22007.100000000002</v>
      </c>
      <c r="D16" s="8">
        <v>56864.600000000006</v>
      </c>
      <c r="E16" s="8">
        <v>98740.799999999988</v>
      </c>
      <c r="F16" s="8">
        <v>161942.70000000001</v>
      </c>
      <c r="G16" s="8">
        <v>249506.1</v>
      </c>
      <c r="H16" s="8">
        <v>353359.9</v>
      </c>
      <c r="J16" s="12"/>
      <c r="L16" s="13" t="s">
        <v>19</v>
      </c>
      <c r="M16" s="13" t="s">
        <v>20</v>
      </c>
      <c r="N16" s="8">
        <v>35.031999999999996</v>
      </c>
      <c r="O16" s="8">
        <v>34.894100000000002</v>
      </c>
      <c r="P16" s="8">
        <v>34.551499999999997</v>
      </c>
      <c r="Q16" s="8">
        <v>34.191299999999998</v>
      </c>
      <c r="R16" s="8">
        <v>33.717399999999998</v>
      </c>
      <c r="S16" s="8">
        <v>33.190399999999997</v>
      </c>
      <c r="U16" s="12"/>
      <c r="W16" t="s">
        <v>29</v>
      </c>
      <c r="X16" t="s">
        <v>58</v>
      </c>
      <c r="Y16" s="8">
        <v>6869.0505999999996</v>
      </c>
      <c r="Z16" s="8">
        <v>7959.0069999999996</v>
      </c>
      <c r="AA16" s="8">
        <v>9272.6867999999995</v>
      </c>
      <c r="AB16" s="8">
        <v>10835.825000000001</v>
      </c>
      <c r="AC16" s="8">
        <v>12663.887999999999</v>
      </c>
      <c r="AD16" s="8">
        <v>14822.875</v>
      </c>
      <c r="AF16" s="12"/>
      <c r="AH16" t="s">
        <v>29</v>
      </c>
      <c r="AI16" t="s">
        <v>61</v>
      </c>
      <c r="AJ16" t="s">
        <v>77</v>
      </c>
      <c r="AK16" s="10">
        <f>100*(AD26-Y26)/Y26</f>
        <v>142.76082267587449</v>
      </c>
      <c r="AL16" s="10">
        <f t="shared" si="0"/>
        <v>5.7104329070349795</v>
      </c>
    </row>
    <row r="17" spans="2:38" ht="16.5" thickBot="1" x14ac:dyDescent="0.35">
      <c r="B17" s="6" t="s">
        <v>4</v>
      </c>
      <c r="C17" s="9">
        <v>12119.900000000023</v>
      </c>
      <c r="D17" s="9">
        <v>9324.9000000000233</v>
      </c>
      <c r="E17" s="9">
        <v>8082.5999999999767</v>
      </c>
      <c r="F17" s="9">
        <v>6598.4000000000815</v>
      </c>
      <c r="G17" s="9">
        <v>5441.9000000001397</v>
      </c>
      <c r="H17" s="9">
        <v>4318.7999999999884</v>
      </c>
      <c r="J17" s="12"/>
      <c r="L17" s="13" t="s">
        <v>21</v>
      </c>
      <c r="M17" s="13" t="s">
        <v>11</v>
      </c>
      <c r="N17" s="8">
        <v>526.03336145839239</v>
      </c>
      <c r="O17" s="8">
        <v>1414.6250111000688</v>
      </c>
      <c r="P17" s="8">
        <v>2943.3719181006882</v>
      </c>
      <c r="Q17" s="8">
        <v>5282.0794920256822</v>
      </c>
      <c r="R17" s="8">
        <v>8697.8820629042002</v>
      </c>
      <c r="S17" s="8">
        <v>13348.217438845581</v>
      </c>
      <c r="U17" s="12"/>
      <c r="W17" t="s">
        <v>30</v>
      </c>
      <c r="X17" t="s">
        <v>58</v>
      </c>
      <c r="Y17" s="8">
        <v>19161.453000000001</v>
      </c>
      <c r="Z17" s="8">
        <v>20630.727999999999</v>
      </c>
      <c r="AA17" s="8">
        <v>22358.325000000001</v>
      </c>
      <c r="AB17" s="8">
        <v>24533.098999999998</v>
      </c>
      <c r="AC17" s="8">
        <v>27259.434999999998</v>
      </c>
      <c r="AD17" s="8">
        <v>30690.486999999997</v>
      </c>
      <c r="AF17" s="12"/>
      <c r="AH17" t="s">
        <v>30</v>
      </c>
      <c r="AI17" t="s">
        <v>61</v>
      </c>
      <c r="AJ17" t="s">
        <v>77</v>
      </c>
      <c r="AK17" s="10">
        <f>100*(AD27-Y27)/Y27</f>
        <v>72.479545651121626</v>
      </c>
      <c r="AL17" s="10">
        <f t="shared" si="0"/>
        <v>2.899181826044865</v>
      </c>
    </row>
    <row r="18" spans="2:38" ht="16.5" thickBot="1" x14ac:dyDescent="0.35">
      <c r="B18" s="5" t="s">
        <v>5</v>
      </c>
      <c r="C18" s="8">
        <v>519868.5</v>
      </c>
      <c r="D18" s="8">
        <v>546991.80000000005</v>
      </c>
      <c r="E18" s="8">
        <v>571999</v>
      </c>
      <c r="F18" s="8">
        <v>593690.10000000009</v>
      </c>
      <c r="G18" s="8">
        <v>619578.20000000007</v>
      </c>
      <c r="H18" s="8">
        <v>639629</v>
      </c>
      <c r="J18" s="12"/>
      <c r="L18" s="13"/>
      <c r="M18" s="13" t="s">
        <v>12</v>
      </c>
      <c r="N18" s="8">
        <f>N17*1000/8760</f>
        <v>60.049470486117848</v>
      </c>
      <c r="O18" s="8">
        <f t="shared" ref="O18:S18" si="1">O17*1000/8760</f>
        <v>161.48687341324987</v>
      </c>
      <c r="P18" s="8">
        <f t="shared" si="1"/>
        <v>336.00136051377717</v>
      </c>
      <c r="Q18" s="8">
        <f t="shared" si="1"/>
        <v>602.97711096183582</v>
      </c>
      <c r="R18" s="8">
        <f t="shared" si="1"/>
        <v>992.90891129043371</v>
      </c>
      <c r="S18" s="8">
        <f t="shared" si="1"/>
        <v>1523.7691140234681</v>
      </c>
      <c r="U18" s="12"/>
      <c r="W18" s="7" t="s">
        <v>27</v>
      </c>
      <c r="X18" s="7" t="s">
        <v>58</v>
      </c>
      <c r="Y18" s="9">
        <v>1898.1034</v>
      </c>
      <c r="Z18" s="9">
        <v>1973.6396</v>
      </c>
      <c r="AA18" s="9">
        <v>2038.4785999999999</v>
      </c>
      <c r="AB18" s="9">
        <v>2092.6929</v>
      </c>
      <c r="AC18" s="9">
        <v>2140.9643999999998</v>
      </c>
      <c r="AD18" s="9">
        <v>2182.1614999999997</v>
      </c>
      <c r="AF18" s="12"/>
      <c r="AH18" s="17" t="s">
        <v>27</v>
      </c>
      <c r="AI18" s="17" t="s">
        <v>60</v>
      </c>
      <c r="AJ18" t="s">
        <v>77</v>
      </c>
      <c r="AK18" s="10">
        <f>100*(AD29-Y29)/Y29</f>
        <v>34.137442005425015</v>
      </c>
      <c r="AL18" s="10">
        <f t="shared" si="0"/>
        <v>1.3654976802170007</v>
      </c>
    </row>
    <row r="19" spans="2:38" ht="15.75" x14ac:dyDescent="0.3">
      <c r="J19" s="12"/>
      <c r="L19" s="13" t="s">
        <v>22</v>
      </c>
      <c r="M19" s="13" t="s">
        <v>23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U19" s="12"/>
      <c r="W19" t="s">
        <v>5</v>
      </c>
      <c r="X19" t="s">
        <v>58</v>
      </c>
      <c r="Y19" s="8">
        <f>SUM(Y14:Y18)</f>
        <v>74408.709199999983</v>
      </c>
      <c r="Z19" s="8">
        <f t="shared" ref="Z19:AD19" si="2">SUM(Z14:Z18)</f>
        <v>77219.678199999995</v>
      </c>
      <c r="AA19" s="8">
        <f t="shared" si="2"/>
        <v>79994.379499999995</v>
      </c>
      <c r="AB19" s="8">
        <f t="shared" si="2"/>
        <v>83070.353399999993</v>
      </c>
      <c r="AC19" s="8">
        <f t="shared" si="2"/>
        <v>86350.413099999991</v>
      </c>
      <c r="AD19" s="8">
        <f t="shared" si="2"/>
        <v>89962.118699999992</v>
      </c>
      <c r="AF19" s="12"/>
      <c r="AH19" s="17" t="s">
        <v>91</v>
      </c>
      <c r="AI19" s="17" t="s">
        <v>60</v>
      </c>
      <c r="AJ19" t="s">
        <v>77</v>
      </c>
      <c r="AK19" s="10">
        <f>100*(AD30-Y30)/Y30</f>
        <v>62.164566704958773</v>
      </c>
      <c r="AL19" s="10">
        <f t="shared" ref="AL19" si="3">AK19/25</f>
        <v>2.4865826681983507</v>
      </c>
    </row>
    <row r="20" spans="2:38" ht="13.5" thickBot="1" x14ac:dyDescent="0.25">
      <c r="B20" s="5" t="s">
        <v>6</v>
      </c>
      <c r="C20" s="10">
        <f>100*(C16/C18)</f>
        <v>4.2332051278352125</v>
      </c>
      <c r="D20" s="10">
        <f t="shared" ref="D20:H20" si="4">100*(D16/D18)</f>
        <v>10.395877963801285</v>
      </c>
      <c r="E20" s="10">
        <f t="shared" si="4"/>
        <v>17.262407801412238</v>
      </c>
      <c r="F20" s="10">
        <f t="shared" si="4"/>
        <v>27.277311850071271</v>
      </c>
      <c r="G20" s="10">
        <f t="shared" si="4"/>
        <v>40.270316160252243</v>
      </c>
      <c r="H20" s="10">
        <f t="shared" si="4"/>
        <v>55.244508926268196</v>
      </c>
      <c r="J20" s="12"/>
      <c r="N20" s="8"/>
      <c r="O20" s="8"/>
      <c r="P20" s="8"/>
      <c r="Q20" s="8"/>
      <c r="R20" s="8"/>
      <c r="S20" s="8"/>
      <c r="U20" s="12"/>
      <c r="AF20" s="12"/>
      <c r="AK20" s="10"/>
      <c r="AL20" s="10"/>
    </row>
    <row r="21" spans="2:38" ht="51.75" thickBot="1" x14ac:dyDescent="0.25">
      <c r="J21" s="12"/>
      <c r="L21" s="1" t="s">
        <v>25</v>
      </c>
      <c r="U21" s="12"/>
      <c r="W21" s="1" t="s">
        <v>63</v>
      </c>
      <c r="X21" s="1" t="s">
        <v>16</v>
      </c>
      <c r="Y21" s="2">
        <v>2020</v>
      </c>
      <c r="Z21" s="2">
        <v>2025</v>
      </c>
      <c r="AA21" s="2">
        <v>2030</v>
      </c>
      <c r="AB21" s="2">
        <v>2035</v>
      </c>
      <c r="AC21" s="2">
        <v>2040</v>
      </c>
      <c r="AD21" s="2">
        <v>2045</v>
      </c>
      <c r="AF21" s="12"/>
      <c r="AH21" s="1" t="s">
        <v>54</v>
      </c>
      <c r="AI21" s="1" t="s">
        <v>76</v>
      </c>
      <c r="AJ21" s="1" t="s">
        <v>78</v>
      </c>
      <c r="AK21" s="25" t="s">
        <v>79</v>
      </c>
      <c r="AL21" s="26" t="s">
        <v>80</v>
      </c>
    </row>
    <row r="22" spans="2:38" ht="27.75" thickBot="1" x14ac:dyDescent="0.35">
      <c r="B22" s="1" t="s">
        <v>7</v>
      </c>
      <c r="C22" s="2">
        <v>2020</v>
      </c>
      <c r="D22" s="2">
        <v>2025</v>
      </c>
      <c r="E22" s="2">
        <v>2030</v>
      </c>
      <c r="F22" s="2">
        <v>2035</v>
      </c>
      <c r="G22" s="2">
        <v>2040</v>
      </c>
      <c r="H22" s="2">
        <v>2045</v>
      </c>
      <c r="J22" s="12"/>
      <c r="L22" s="1" t="s">
        <v>54</v>
      </c>
      <c r="M22" s="1" t="s">
        <v>16</v>
      </c>
      <c r="N22" s="2">
        <v>2020</v>
      </c>
      <c r="O22" s="2">
        <v>2025</v>
      </c>
      <c r="P22" s="2">
        <v>2030</v>
      </c>
      <c r="Q22" s="2">
        <v>2035</v>
      </c>
      <c r="R22" s="2">
        <v>2040</v>
      </c>
      <c r="S22" s="2">
        <v>2045</v>
      </c>
      <c r="U22" s="12"/>
      <c r="W22" t="s">
        <v>26</v>
      </c>
      <c r="X22" t="s">
        <v>60</v>
      </c>
      <c r="Y22" s="8">
        <v>143613.62059999999</v>
      </c>
      <c r="Z22" s="8">
        <v>152776.3205</v>
      </c>
      <c r="AA22" s="8">
        <v>161659.59030000001</v>
      </c>
      <c r="AB22" s="8">
        <v>170616.86060000001</v>
      </c>
      <c r="AC22" s="8">
        <v>179326.58149999997</v>
      </c>
      <c r="AD22" s="8">
        <v>188021.71230000001</v>
      </c>
      <c r="AF22" s="12"/>
      <c r="AH22" t="s">
        <v>75</v>
      </c>
      <c r="AI22" t="s">
        <v>58</v>
      </c>
      <c r="AJ22" t="s">
        <v>77</v>
      </c>
      <c r="AK22" s="10">
        <f>100*(AD14-Y14)/Y14</f>
        <v>-14.490349860973415</v>
      </c>
      <c r="AL22" s="10">
        <f>AK22/25</f>
        <v>-0.57961399443893658</v>
      </c>
    </row>
    <row r="23" spans="2:38" ht="15.75" x14ac:dyDescent="0.3">
      <c r="J23" s="12"/>
      <c r="L23" s="14" t="s">
        <v>26</v>
      </c>
      <c r="M23" s="13" t="s">
        <v>17</v>
      </c>
      <c r="N23" s="8">
        <v>4945.4865902931351</v>
      </c>
      <c r="O23" s="8">
        <v>4943.3649801306892</v>
      </c>
      <c r="P23" s="8">
        <v>4879.95444191344</v>
      </c>
      <c r="Q23" s="8">
        <v>4763.2135078063948</v>
      </c>
      <c r="R23" s="8">
        <v>4563.14118018722</v>
      </c>
      <c r="S23" s="8">
        <v>4265.2877309080031</v>
      </c>
      <c r="U23" s="12"/>
      <c r="W23" t="s">
        <v>26</v>
      </c>
      <c r="X23" t="s">
        <v>62</v>
      </c>
      <c r="Y23" s="8">
        <f>C27</f>
        <v>13039465.1</v>
      </c>
      <c r="Z23" s="8">
        <f t="shared" ref="Z23:AD23" si="5">D27</f>
        <v>13657980.300000001</v>
      </c>
      <c r="AA23" s="8">
        <f t="shared" si="5"/>
        <v>14196375.699999999</v>
      </c>
      <c r="AB23" s="8">
        <f t="shared" si="5"/>
        <v>14677917.6</v>
      </c>
      <c r="AC23" s="8">
        <f t="shared" si="5"/>
        <v>15122457.699999999</v>
      </c>
      <c r="AD23" s="8">
        <f t="shared" si="5"/>
        <v>15546014.9</v>
      </c>
      <c r="AF23" s="12"/>
      <c r="AH23" t="s">
        <v>28</v>
      </c>
      <c r="AI23" t="s">
        <v>58</v>
      </c>
      <c r="AJ23" t="s">
        <v>77</v>
      </c>
      <c r="AK23" s="10">
        <f t="shared" ref="AK23:AK26" si="6">100*(AD15-Y15)/Y15</f>
        <v>60.051980515583793</v>
      </c>
      <c r="AL23" s="10">
        <f t="shared" ref="AL23:AL27" si="7">AK23/25</f>
        <v>2.4020792206233517</v>
      </c>
    </row>
    <row r="24" spans="2:38" ht="15.75" x14ac:dyDescent="0.3">
      <c r="B24" s="5" t="s">
        <v>2</v>
      </c>
      <c r="C24" s="8">
        <v>12481360.9</v>
      </c>
      <c r="D24" s="8">
        <v>12936794.5</v>
      </c>
      <c r="E24" s="8">
        <v>13167388.300000001</v>
      </c>
      <c r="F24" s="8">
        <v>13147141.899999999</v>
      </c>
      <c r="G24" s="8">
        <v>12821950.6</v>
      </c>
      <c r="H24" s="8">
        <v>12156951.800000001</v>
      </c>
      <c r="J24" s="12"/>
      <c r="L24" s="14" t="s">
        <v>28</v>
      </c>
      <c r="M24" s="13" t="s">
        <v>17</v>
      </c>
      <c r="N24" s="8">
        <v>251.35676637347657</v>
      </c>
      <c r="O24" s="8">
        <v>277.34150275177495</v>
      </c>
      <c r="P24" s="8">
        <v>306.62920040569981</v>
      </c>
      <c r="Q24" s="8">
        <v>341.52602962938334</v>
      </c>
      <c r="R24" s="8">
        <v>383.7753354505096</v>
      </c>
      <c r="S24" s="8">
        <v>435.64587732570709</v>
      </c>
      <c r="U24" s="12"/>
      <c r="Y24" s="8"/>
      <c r="Z24" s="8"/>
      <c r="AA24" s="8"/>
      <c r="AB24" s="8"/>
      <c r="AC24" s="8"/>
      <c r="AD24" s="8"/>
      <c r="AF24" s="12"/>
      <c r="AH24" t="s">
        <v>29</v>
      </c>
      <c r="AI24" t="s">
        <v>58</v>
      </c>
      <c r="AJ24" t="s">
        <v>77</v>
      </c>
      <c r="AK24" s="10">
        <f t="shared" si="6"/>
        <v>115.79219404789362</v>
      </c>
      <c r="AL24" s="10">
        <f t="shared" si="7"/>
        <v>4.631687761915745</v>
      </c>
    </row>
    <row r="25" spans="2:38" ht="15.75" x14ac:dyDescent="0.3">
      <c r="B25" s="5" t="s">
        <v>3</v>
      </c>
      <c r="C25" s="8">
        <v>96418.8</v>
      </c>
      <c r="D25" s="8">
        <v>278211.5</v>
      </c>
      <c r="E25" s="8">
        <v>613468.60000000009</v>
      </c>
      <c r="F25" s="8">
        <v>1147270</v>
      </c>
      <c r="G25" s="8">
        <v>1952055.4000000001</v>
      </c>
      <c r="H25" s="8">
        <v>3076286</v>
      </c>
      <c r="J25" s="12"/>
      <c r="L25" s="14" t="s">
        <v>29</v>
      </c>
      <c r="M25" s="13" t="s">
        <v>17</v>
      </c>
      <c r="N25" s="8">
        <v>62.929185441364751</v>
      </c>
      <c r="O25" s="8">
        <v>78.862045458324332</v>
      </c>
      <c r="P25" s="8">
        <v>99.049764727399705</v>
      </c>
      <c r="Q25" s="8">
        <v>123.2662155196781</v>
      </c>
      <c r="R25" s="8">
        <v>151.54382056099629</v>
      </c>
      <c r="S25" s="8">
        <v>184.63495336115591</v>
      </c>
      <c r="U25" s="12"/>
      <c r="W25" t="s">
        <v>28</v>
      </c>
      <c r="X25" t="s">
        <v>61</v>
      </c>
      <c r="Y25" s="8">
        <v>6012.9670000000006</v>
      </c>
      <c r="Z25" s="8">
        <v>6617.3379999999997</v>
      </c>
      <c r="AA25" s="8">
        <v>7260.2199999999993</v>
      </c>
      <c r="AB25" s="8">
        <v>8013.0249999999996</v>
      </c>
      <c r="AC25" s="8">
        <v>8928.7560000000012</v>
      </c>
      <c r="AD25" s="8">
        <v>10068.48</v>
      </c>
      <c r="AF25" s="12"/>
      <c r="AH25" t="s">
        <v>30</v>
      </c>
      <c r="AI25" t="s">
        <v>58</v>
      </c>
      <c r="AJ25" t="s">
        <v>77</v>
      </c>
      <c r="AK25" s="10">
        <f t="shared" si="6"/>
        <v>60.167848440303537</v>
      </c>
      <c r="AL25" s="10">
        <f t="shared" si="7"/>
        <v>2.4067139376121416</v>
      </c>
    </row>
    <row r="26" spans="2:38" ht="16.5" thickBot="1" x14ac:dyDescent="0.35">
      <c r="B26" s="6" t="s">
        <v>4</v>
      </c>
      <c r="C26" s="9">
        <v>461685.39999999851</v>
      </c>
      <c r="D26" s="9">
        <v>442974.30000000075</v>
      </c>
      <c r="E26" s="9">
        <v>415518.79999999888</v>
      </c>
      <c r="F26" s="9">
        <v>383505.70000000112</v>
      </c>
      <c r="G26" s="9">
        <v>348451.69999999925</v>
      </c>
      <c r="H26" s="9">
        <v>312777.09999999963</v>
      </c>
      <c r="J26" s="12"/>
      <c r="L26" s="14" t="s">
        <v>30</v>
      </c>
      <c r="M26" s="13" t="s">
        <v>17</v>
      </c>
      <c r="N26" s="8">
        <v>172.72916216351032</v>
      </c>
      <c r="O26" s="8">
        <v>209.95876494355122</v>
      </c>
      <c r="P26" s="8">
        <v>257.16043429825584</v>
      </c>
      <c r="Q26" s="8">
        <v>313.49533611559121</v>
      </c>
      <c r="R26" s="8">
        <v>378.99423041750498</v>
      </c>
      <c r="S26" s="8">
        <v>455.49357364946877</v>
      </c>
      <c r="U26" s="12"/>
      <c r="W26" t="s">
        <v>29</v>
      </c>
      <c r="X26" t="s">
        <v>61</v>
      </c>
      <c r="Y26" s="8">
        <v>27480.519</v>
      </c>
      <c r="Z26" s="8">
        <v>33123.019</v>
      </c>
      <c r="AA26" s="8">
        <v>39784.239999999998</v>
      </c>
      <c r="AB26" s="8">
        <v>47495.492999999995</v>
      </c>
      <c r="AC26" s="8">
        <v>56352.387000000002</v>
      </c>
      <c r="AD26" s="8">
        <v>66711.933999999994</v>
      </c>
      <c r="AF26" s="12"/>
      <c r="AH26" s="17" t="s">
        <v>27</v>
      </c>
      <c r="AI26" t="s">
        <v>58</v>
      </c>
      <c r="AJ26" t="s">
        <v>77</v>
      </c>
      <c r="AK26" s="10">
        <f t="shared" si="6"/>
        <v>14.96536490056336</v>
      </c>
      <c r="AL26" s="10">
        <f t="shared" si="7"/>
        <v>0.59861459602253442</v>
      </c>
    </row>
    <row r="27" spans="2:38" ht="15.75" x14ac:dyDescent="0.3">
      <c r="B27" s="5" t="s">
        <v>5</v>
      </c>
      <c r="C27" s="8">
        <v>13039465.1</v>
      </c>
      <c r="D27" s="8">
        <v>13657980.300000001</v>
      </c>
      <c r="E27" s="8">
        <v>14196375.699999999</v>
      </c>
      <c r="F27" s="8">
        <v>14677917.6</v>
      </c>
      <c r="G27" s="8">
        <v>15122457.699999999</v>
      </c>
      <c r="H27" s="8">
        <v>15546014.9</v>
      </c>
      <c r="J27" s="12"/>
      <c r="L27" s="14" t="s">
        <v>27</v>
      </c>
      <c r="M27" s="13" t="s">
        <v>17</v>
      </c>
      <c r="N27" s="8">
        <v>7.4788420930116555</v>
      </c>
      <c r="O27" s="8">
        <v>7.8221904461034537</v>
      </c>
      <c r="P27" s="8">
        <v>8.1248025539131739</v>
      </c>
      <c r="Q27" s="8">
        <v>8.4116189747767827</v>
      </c>
      <c r="R27" s="8">
        <v>8.6643499659145711</v>
      </c>
      <c r="S27" s="8">
        <v>8.8796701195484111</v>
      </c>
      <c r="U27" s="12"/>
      <c r="W27" t="s">
        <v>30</v>
      </c>
      <c r="X27" t="s">
        <v>61</v>
      </c>
      <c r="Y27" s="8">
        <v>219091.55000000002</v>
      </c>
      <c r="Z27" s="8">
        <v>241270.53000000003</v>
      </c>
      <c r="AA27" s="8">
        <v>266492.25</v>
      </c>
      <c r="AB27" s="8">
        <v>296629.53000000003</v>
      </c>
      <c r="AC27" s="8">
        <v>333043.93</v>
      </c>
      <c r="AD27" s="8">
        <v>377888.11</v>
      </c>
      <c r="AF27" s="12"/>
      <c r="AH27" s="27" t="s">
        <v>91</v>
      </c>
      <c r="AI27" t="s">
        <v>58</v>
      </c>
      <c r="AJ27" t="s">
        <v>77</v>
      </c>
      <c r="AK27" s="10">
        <f t="shared" ref="AK27" si="8">100*(AD19-Y19)/Y19</f>
        <v>20.902673446726062</v>
      </c>
      <c r="AL27" s="10">
        <f t="shared" si="7"/>
        <v>0.83610693786904244</v>
      </c>
    </row>
    <row r="28" spans="2:38" ht="13.5" thickBot="1" x14ac:dyDescent="0.25">
      <c r="J28" s="12"/>
      <c r="U28" s="12"/>
      <c r="Y28" s="8"/>
      <c r="Z28" s="8"/>
      <c r="AA28" s="8"/>
      <c r="AB28" s="8"/>
      <c r="AC28" s="8"/>
      <c r="AD28" s="8"/>
      <c r="AF28" s="12"/>
    </row>
    <row r="29" spans="2:38" ht="51.75" thickBot="1" x14ac:dyDescent="0.25">
      <c r="B29" s="5" t="s">
        <v>8</v>
      </c>
      <c r="C29" s="10">
        <v>0.73943830717411863</v>
      </c>
      <c r="D29" s="10">
        <v>2.0369885875439429</v>
      </c>
      <c r="E29" s="10">
        <v>4.3213043453055429</v>
      </c>
      <c r="F29" s="10">
        <v>7.8162995001416284</v>
      </c>
      <c r="G29" s="10">
        <v>12.908321112381094</v>
      </c>
      <c r="H29" s="10">
        <v>19.788260977416147</v>
      </c>
      <c r="J29" s="12"/>
      <c r="L29" s="1" t="s">
        <v>31</v>
      </c>
      <c r="U29" s="12"/>
      <c r="W29" s="17" t="s">
        <v>27</v>
      </c>
      <c r="X29" s="17" t="s">
        <v>60</v>
      </c>
      <c r="Y29" s="19">
        <v>700.75519999999995</v>
      </c>
      <c r="Z29" s="19">
        <v>750.68719999999996</v>
      </c>
      <c r="AA29" s="19">
        <v>801.03160000000003</v>
      </c>
      <c r="AB29" s="19">
        <v>851.33890000000008</v>
      </c>
      <c r="AC29" s="19">
        <v>897.94470000000001</v>
      </c>
      <c r="AD29" s="19">
        <v>939.9751</v>
      </c>
      <c r="AF29" s="12"/>
      <c r="AH29" s="1" t="s">
        <v>54</v>
      </c>
      <c r="AI29" s="1" t="s">
        <v>76</v>
      </c>
      <c r="AJ29" s="1" t="s">
        <v>78</v>
      </c>
      <c r="AK29" s="25" t="s">
        <v>79</v>
      </c>
      <c r="AL29" s="26" t="s">
        <v>80</v>
      </c>
    </row>
    <row r="30" spans="2:38" ht="13.5" thickBot="1" x14ac:dyDescent="0.25">
      <c r="J30" s="12"/>
      <c r="L30" s="1" t="s">
        <v>54</v>
      </c>
      <c r="M30" s="1" t="s">
        <v>16</v>
      </c>
      <c r="N30" s="2">
        <v>2020</v>
      </c>
      <c r="O30" s="2">
        <v>2025</v>
      </c>
      <c r="P30" s="2">
        <v>2030</v>
      </c>
      <c r="Q30" s="2">
        <v>2035</v>
      </c>
      <c r="R30" s="2">
        <v>2040</v>
      </c>
      <c r="S30" s="2">
        <v>2045</v>
      </c>
      <c r="U30" s="12"/>
      <c r="W30" s="27" t="s">
        <v>5</v>
      </c>
      <c r="X30" s="17" t="s">
        <v>60</v>
      </c>
      <c r="Y30" s="19">
        <f>SUM(Y22+Y25+Y26+Y27+Y29)</f>
        <v>396899.4118</v>
      </c>
      <c r="Z30" s="19">
        <f t="shared" ref="Z30:AD30" si="9">SUM(Z22+Z25+Z26+Z27+Z29)</f>
        <v>434537.8947</v>
      </c>
      <c r="AA30" s="19">
        <f t="shared" si="9"/>
        <v>475997.33189999999</v>
      </c>
      <c r="AB30" s="19">
        <f t="shared" si="9"/>
        <v>523606.2475</v>
      </c>
      <c r="AC30" s="19">
        <f t="shared" si="9"/>
        <v>578549.59919999994</v>
      </c>
      <c r="AD30" s="19">
        <f t="shared" si="9"/>
        <v>643630.21140000003</v>
      </c>
      <c r="AF30" s="12"/>
      <c r="AH30" s="13" t="s">
        <v>2</v>
      </c>
      <c r="AI30" s="13" t="s">
        <v>17</v>
      </c>
      <c r="AJ30" t="s">
        <v>77</v>
      </c>
      <c r="AK30" s="10">
        <f>100*(S14-N14)/N14</f>
        <v>-1.6551298342562526</v>
      </c>
      <c r="AL30" s="10">
        <f>AK30/25</f>
        <v>-6.6205193370250104E-2</v>
      </c>
    </row>
    <row r="31" spans="2:38" ht="13.5" thickBot="1" x14ac:dyDescent="0.25">
      <c r="B31" s="11" t="s">
        <v>11</v>
      </c>
      <c r="C31" s="2">
        <v>2020</v>
      </c>
      <c r="D31" s="2">
        <v>2025</v>
      </c>
      <c r="E31" s="2">
        <v>2030</v>
      </c>
      <c r="F31" s="2">
        <v>2035</v>
      </c>
      <c r="G31" s="2">
        <v>2040</v>
      </c>
      <c r="H31" s="2">
        <v>2045</v>
      </c>
      <c r="J31" s="12"/>
      <c r="L31" s="14" t="s">
        <v>26</v>
      </c>
      <c r="M31" s="13" t="s">
        <v>17</v>
      </c>
      <c r="N31" s="8">
        <v>20.626578638967544</v>
      </c>
      <c r="O31" s="8">
        <v>18.389005757710308</v>
      </c>
      <c r="P31" s="8">
        <v>16.173997859966079</v>
      </c>
      <c r="Q31" s="8">
        <v>14.18755140812776</v>
      </c>
      <c r="R31" s="8">
        <v>12.412924640234092</v>
      </c>
      <c r="S31" s="8">
        <v>10.838471113181587</v>
      </c>
      <c r="U31" s="12"/>
      <c r="W31" s="1" t="s">
        <v>64</v>
      </c>
      <c r="X31" s="1" t="s">
        <v>16</v>
      </c>
      <c r="Y31" s="2">
        <v>2020</v>
      </c>
      <c r="Z31" s="2">
        <v>2025</v>
      </c>
      <c r="AA31" s="2">
        <v>2030</v>
      </c>
      <c r="AB31" s="2">
        <v>2035</v>
      </c>
      <c r="AC31" s="2">
        <v>2040</v>
      </c>
      <c r="AD31" s="2">
        <v>2045</v>
      </c>
      <c r="AF31" s="12"/>
      <c r="AH31" s="13" t="s">
        <v>18</v>
      </c>
      <c r="AI31" s="13" t="s">
        <v>17</v>
      </c>
      <c r="AJ31" t="s">
        <v>77</v>
      </c>
      <c r="AK31" s="10">
        <f>100*(S15-N15)/N15</f>
        <v>62.895626717446042</v>
      </c>
      <c r="AL31" s="10">
        <f t="shared" ref="AL31:AL36" si="10">AK31/25</f>
        <v>2.5158250686978416</v>
      </c>
    </row>
    <row r="32" spans="2:38" ht="15.75" x14ac:dyDescent="0.3">
      <c r="J32" s="12"/>
      <c r="L32" s="14" t="s">
        <v>28</v>
      </c>
      <c r="M32" s="13" t="s">
        <v>17</v>
      </c>
      <c r="N32" s="8">
        <v>122.49656065977099</v>
      </c>
      <c r="O32" s="8">
        <v>128.85551859427432</v>
      </c>
      <c r="P32" s="8">
        <v>134.83596712791433</v>
      </c>
      <c r="Q32" s="8">
        <v>142.69804412546128</v>
      </c>
      <c r="R32" s="8">
        <v>153.61148921612158</v>
      </c>
      <c r="S32" s="8">
        <v>168.59172665798033</v>
      </c>
      <c r="U32" s="12"/>
      <c r="W32" t="s">
        <v>26</v>
      </c>
      <c r="X32" t="s">
        <v>65</v>
      </c>
      <c r="Y32" s="18">
        <f>((Y14*1000)*1000)/(Y22*1000000)</f>
        <v>0.30009198305804702</v>
      </c>
      <c r="Z32" s="18">
        <f t="shared" ref="Z32:AD32" si="11">((Z14*1000)*1000)/(Z22*1000000)</f>
        <v>0.28138201953881975</v>
      </c>
      <c r="AA32" s="18">
        <f t="shared" si="11"/>
        <v>0.26195821739627401</v>
      </c>
      <c r="AB32" s="18">
        <f t="shared" si="11"/>
        <v>0.24180566536575929</v>
      </c>
      <c r="AC32" s="18">
        <f t="shared" si="11"/>
        <v>0.22006913514938112</v>
      </c>
      <c r="AD32" s="18">
        <f t="shared" si="11"/>
        <v>0.19600048712033771</v>
      </c>
      <c r="AF32" s="12"/>
      <c r="AH32" s="13" t="s">
        <v>19</v>
      </c>
      <c r="AI32" s="13" t="s">
        <v>20</v>
      </c>
      <c r="AJ32" t="s">
        <v>77</v>
      </c>
      <c r="AK32" s="10">
        <f>100*(S16-N16)/N16</f>
        <v>-5.2569079698561314</v>
      </c>
      <c r="AL32" s="10">
        <f t="shared" si="10"/>
        <v>-0.21027631879424524</v>
      </c>
    </row>
    <row r="33" spans="2:38" ht="15.75" x14ac:dyDescent="0.3">
      <c r="B33" t="s">
        <v>9</v>
      </c>
      <c r="C33" s="8">
        <v>523.10265021287228</v>
      </c>
      <c r="D33" s="8">
        <v>1399.5611552980959</v>
      </c>
      <c r="E33" s="8">
        <v>2912.4236073479965</v>
      </c>
      <c r="F33" s="8">
        <v>5234.5433556233465</v>
      </c>
      <c r="G33" s="8">
        <v>8634.7252355632427</v>
      </c>
      <c r="H33" s="8">
        <v>13271.110425975949</v>
      </c>
      <c r="J33" s="12"/>
      <c r="L33" s="14" t="s">
        <v>29</v>
      </c>
      <c r="M33" s="13" t="s">
        <v>17</v>
      </c>
      <c r="N33" s="8">
        <v>623.37004389253241</v>
      </c>
      <c r="O33" s="8">
        <v>717.03146723346015</v>
      </c>
      <c r="P33" s="8">
        <v>828.78927944912311</v>
      </c>
      <c r="Q33" s="8">
        <v>961.88555913845425</v>
      </c>
      <c r="R33" s="8">
        <v>1118.1029399989807</v>
      </c>
      <c r="S33" s="8">
        <v>1303.4917492229636</v>
      </c>
      <c r="U33" s="12"/>
      <c r="W33" t="s">
        <v>26</v>
      </c>
      <c r="X33" t="s">
        <v>66</v>
      </c>
      <c r="Y33" s="18">
        <f>(Y14*1000)/(Y23)</f>
        <v>3.3051429540618193</v>
      </c>
      <c r="Z33" s="18">
        <f t="shared" ref="Z33:AD33" si="12">(Z14*1000)/(Z23)</f>
        <v>3.1475012158276425</v>
      </c>
      <c r="AA33" s="18">
        <f t="shared" si="12"/>
        <v>2.9830189757516772</v>
      </c>
      <c r="AB33" s="18">
        <f t="shared" si="12"/>
        <v>2.8107613507790781</v>
      </c>
      <c r="AC33" s="18">
        <f t="shared" si="12"/>
        <v>2.6096449719280752</v>
      </c>
      <c r="AD33" s="18">
        <f t="shared" si="12"/>
        <v>2.3705333770135519</v>
      </c>
      <c r="AF33" s="12"/>
      <c r="AH33" s="13" t="s">
        <v>21</v>
      </c>
      <c r="AI33" s="13" t="s">
        <v>11</v>
      </c>
      <c r="AJ33" t="s">
        <v>77</v>
      </c>
      <c r="AK33" s="10">
        <f>100*(S17-N17)/N17</f>
        <v>2437.5229817817144</v>
      </c>
      <c r="AL33" s="10">
        <f t="shared" si="10"/>
        <v>97.500919271268572</v>
      </c>
    </row>
    <row r="34" spans="2:38" x14ac:dyDescent="0.2">
      <c r="B34" t="s">
        <v>13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J34" s="12"/>
      <c r="L34" s="14" t="s">
        <v>30</v>
      </c>
      <c r="M34" s="13" t="s">
        <v>17</v>
      </c>
      <c r="N34" s="8">
        <v>1731.6586718687442</v>
      </c>
      <c r="O34" s="8">
        <v>1843.7826191394734</v>
      </c>
      <c r="P34" s="8">
        <v>1973.2430248724347</v>
      </c>
      <c r="Q34" s="8">
        <v>2139.18664152976</v>
      </c>
      <c r="R34" s="8">
        <v>2351.4095835668686</v>
      </c>
      <c r="S34" s="8">
        <v>2623.3613090602043</v>
      </c>
      <c r="U34" s="12"/>
      <c r="AF34" s="12"/>
      <c r="AH34" s="13" t="s">
        <v>22</v>
      </c>
      <c r="AI34" s="13" t="s">
        <v>23</v>
      </c>
      <c r="AJ34" t="s">
        <v>77</v>
      </c>
      <c r="AK34" s="10">
        <v>0</v>
      </c>
      <c r="AL34" s="10">
        <v>0</v>
      </c>
    </row>
    <row r="35" spans="2:38" ht="16.5" thickBot="1" x14ac:dyDescent="0.35">
      <c r="B35" s="7" t="s">
        <v>10</v>
      </c>
      <c r="C35" s="9">
        <v>2.9307112455200417</v>
      </c>
      <c r="D35" s="9">
        <v>15.063855801973013</v>
      </c>
      <c r="E35" s="9">
        <v>30.94831075269164</v>
      </c>
      <c r="F35" s="9">
        <v>47.536136402335075</v>
      </c>
      <c r="G35" s="9">
        <v>63.156827340956895</v>
      </c>
      <c r="H35" s="9">
        <v>77.1070128696323</v>
      </c>
      <c r="J35" s="12"/>
      <c r="L35" s="14" t="s">
        <v>27</v>
      </c>
      <c r="M35" s="13" t="s">
        <v>17</v>
      </c>
      <c r="N35" s="8">
        <v>79.785414285818263</v>
      </c>
      <c r="O35" s="8">
        <v>82.999104679686411</v>
      </c>
      <c r="P35" s="8">
        <v>85.844476310406819</v>
      </c>
      <c r="Q35" s="8">
        <v>88.56974399662252</v>
      </c>
      <c r="R35" s="8">
        <v>90.984197232513935</v>
      </c>
      <c r="S35" s="8">
        <v>93.06381522918015</v>
      </c>
      <c r="U35" s="12"/>
      <c r="W35" t="s">
        <v>28</v>
      </c>
      <c r="X35" t="s">
        <v>67</v>
      </c>
      <c r="Y35" s="18">
        <f>(Y15*1000*1000)/(Y25*1000000)</f>
        <v>0.56258515970568268</v>
      </c>
      <c r="Z35" s="18">
        <f t="shared" ref="Z35:AD37" si="13">(Z15*1000*1000)/(Z25*1000000)</f>
        <v>0.55427031232196389</v>
      </c>
      <c r="AA35" s="18">
        <f t="shared" si="13"/>
        <v>0.54775626633903662</v>
      </c>
      <c r="AB35" s="18">
        <f t="shared" si="13"/>
        <v>0.54319224013403167</v>
      </c>
      <c r="AC35" s="18">
        <f t="shared" si="13"/>
        <v>0.5400393963055995</v>
      </c>
      <c r="AD35" s="18">
        <f t="shared" si="13"/>
        <v>0.53774234045258074</v>
      </c>
      <c r="AF35" s="12"/>
      <c r="AH35" s="13"/>
      <c r="AK35" s="10"/>
      <c r="AL35" s="10"/>
    </row>
    <row r="36" spans="2:38" ht="16.5" thickBot="1" x14ac:dyDescent="0.35">
      <c r="B36" t="s">
        <v>5</v>
      </c>
      <c r="C36" s="8">
        <v>526.03336145839228</v>
      </c>
      <c r="D36" s="8">
        <v>1414.6250111000688</v>
      </c>
      <c r="E36" s="8">
        <v>2943.3719181006882</v>
      </c>
      <c r="F36" s="8">
        <v>5282.0794920256812</v>
      </c>
      <c r="G36" s="8">
        <v>8697.8820629042002</v>
      </c>
      <c r="H36" s="8">
        <v>13348.217438845581</v>
      </c>
      <c r="J36" s="12"/>
      <c r="U36" s="12"/>
      <c r="W36" t="s">
        <v>29</v>
      </c>
      <c r="X36" t="s">
        <v>67</v>
      </c>
      <c r="Y36" s="18">
        <f>(Y16*1000*1000)/(Y26*1000000)</f>
        <v>0.24996073036320748</v>
      </c>
      <c r="Z36" s="18">
        <f t="shared" si="13"/>
        <v>0.24028627946021466</v>
      </c>
      <c r="AA36" s="18">
        <f t="shared" si="13"/>
        <v>0.23307437316887286</v>
      </c>
      <c r="AB36" s="18">
        <f t="shared" si="13"/>
        <v>0.22814427886873395</v>
      </c>
      <c r="AC36" s="18">
        <f t="shared" si="13"/>
        <v>0.22472673606532406</v>
      </c>
      <c r="AD36" s="18">
        <f t="shared" si="13"/>
        <v>0.22219225423745026</v>
      </c>
      <c r="AF36" s="12"/>
      <c r="AH36" s="13" t="s">
        <v>92</v>
      </c>
      <c r="AI36" s="13" t="s">
        <v>17</v>
      </c>
      <c r="AJ36" t="s">
        <v>77</v>
      </c>
      <c r="AK36" s="10">
        <f>100*((S14+S15) - (N14+N15))/(N14+N15)</f>
        <v>19.099360908096234</v>
      </c>
      <c r="AL36" s="10">
        <f t="shared" si="10"/>
        <v>0.76397443632384932</v>
      </c>
    </row>
    <row r="37" spans="2:38" ht="27.75" thickBot="1" x14ac:dyDescent="0.35">
      <c r="J37" s="12"/>
      <c r="L37" s="1" t="s">
        <v>55</v>
      </c>
      <c r="U37" s="12"/>
      <c r="W37" t="s">
        <v>30</v>
      </c>
      <c r="X37" t="s">
        <v>67</v>
      </c>
      <c r="Y37" s="18">
        <f>(Y17*1000*1000)/(Y27*1000000)</f>
        <v>8.7458658264090952E-2</v>
      </c>
      <c r="Z37" s="18">
        <f t="shared" si="13"/>
        <v>8.5508694327483745E-2</v>
      </c>
      <c r="AA37" s="18">
        <f t="shared" si="13"/>
        <v>8.3898593673924854E-2</v>
      </c>
      <c r="AB37" s="18">
        <f t="shared" si="13"/>
        <v>8.2706192468430237E-2</v>
      </c>
      <c r="AC37" s="18">
        <f t="shared" si="13"/>
        <v>8.1849367439304474E-2</v>
      </c>
      <c r="AD37" s="18">
        <f t="shared" si="13"/>
        <v>8.121580485821582E-2</v>
      </c>
      <c r="AF37" s="12"/>
    </row>
    <row r="38" spans="2:38" ht="51.75" thickBot="1" x14ac:dyDescent="0.25">
      <c r="B38" s="11" t="s">
        <v>12</v>
      </c>
      <c r="C38" s="2">
        <v>2020</v>
      </c>
      <c r="D38" s="2">
        <v>2025</v>
      </c>
      <c r="E38" s="2">
        <v>2030</v>
      </c>
      <c r="F38" s="2">
        <v>2035</v>
      </c>
      <c r="G38" s="2">
        <v>2040</v>
      </c>
      <c r="H38" s="2">
        <v>2045</v>
      </c>
      <c r="J38" s="12"/>
      <c r="L38" s="1" t="s">
        <v>54</v>
      </c>
      <c r="M38" s="1" t="s">
        <v>16</v>
      </c>
      <c r="N38" s="2">
        <v>2020</v>
      </c>
      <c r="O38" s="2">
        <v>2025</v>
      </c>
      <c r="P38" s="2">
        <v>2030</v>
      </c>
      <c r="Q38" s="2">
        <v>2035</v>
      </c>
      <c r="R38" s="2">
        <v>2040</v>
      </c>
      <c r="S38" s="2">
        <v>2045</v>
      </c>
      <c r="U38" s="12"/>
      <c r="AF38" s="12"/>
      <c r="AH38" s="1" t="s">
        <v>54</v>
      </c>
      <c r="AI38" s="1" t="s">
        <v>76</v>
      </c>
      <c r="AJ38" s="1" t="s">
        <v>78</v>
      </c>
      <c r="AK38" s="25" t="s">
        <v>79</v>
      </c>
      <c r="AL38" s="26" t="s">
        <v>80</v>
      </c>
    </row>
    <row r="39" spans="2:38" ht="15.75" x14ac:dyDescent="0.3">
      <c r="J39" s="12"/>
      <c r="L39" s="14" t="s">
        <v>26</v>
      </c>
      <c r="M39" s="13" t="s">
        <v>20</v>
      </c>
      <c r="N39" s="8">
        <v>15.868600000000001</v>
      </c>
      <c r="O39" s="8">
        <v>14.8795</v>
      </c>
      <c r="P39" s="8">
        <v>13.683499999999999</v>
      </c>
      <c r="Q39" s="8">
        <v>12.446400000000001</v>
      </c>
      <c r="R39" s="8">
        <v>11.166799999999999</v>
      </c>
      <c r="S39" s="8">
        <v>9.916599999999999</v>
      </c>
      <c r="U39" s="12"/>
      <c r="W39" s="17" t="s">
        <v>27</v>
      </c>
      <c r="X39" t="s">
        <v>65</v>
      </c>
      <c r="Y39" s="18">
        <f>((Y18*1000)*1000)/(Y29*1000000)</f>
        <v>2.708654034961139</v>
      </c>
      <c r="Z39" s="18">
        <f t="shared" ref="Z39:AD39" si="14">((Z18*1000)*1000)/(Z29*1000000)</f>
        <v>2.6291105003522102</v>
      </c>
      <c r="AA39" s="18">
        <f t="shared" si="14"/>
        <v>2.5448167088539324</v>
      </c>
      <c r="AB39" s="18">
        <f t="shared" si="14"/>
        <v>2.4581196747852117</v>
      </c>
      <c r="AC39" s="18">
        <f t="shared" si="14"/>
        <v>2.3842942666736606</v>
      </c>
      <c r="AD39" s="18">
        <f t="shared" si="14"/>
        <v>2.3215098995707435</v>
      </c>
      <c r="AF39" s="12"/>
      <c r="AH39" t="s">
        <v>75</v>
      </c>
      <c r="AI39" t="s">
        <v>58</v>
      </c>
      <c r="AJ39" t="s">
        <v>77</v>
      </c>
      <c r="AK39" s="10">
        <f>100*(AD52-Y52)/Y52</f>
        <v>-14.490349860973415</v>
      </c>
      <c r="AL39" s="10">
        <f>AK39/25</f>
        <v>-0.57961399443893658</v>
      </c>
    </row>
    <row r="40" spans="2:38" ht="16.5" thickBot="1" x14ac:dyDescent="0.35">
      <c r="B40" t="s">
        <v>9</v>
      </c>
      <c r="C40" s="8">
        <f t="shared" ref="C40:H40" si="15">1000*C33/8760</f>
        <v>59.714914407862132</v>
      </c>
      <c r="D40" s="8">
        <f t="shared" si="15"/>
        <v>159.76725517101551</v>
      </c>
      <c r="E40" s="8">
        <f t="shared" si="15"/>
        <v>332.46844832739686</v>
      </c>
      <c r="F40" s="8">
        <f t="shared" si="15"/>
        <v>597.55061137252812</v>
      </c>
      <c r="G40" s="8">
        <f t="shared" si="15"/>
        <v>985.69922780402317</v>
      </c>
      <c r="H40" s="8">
        <f t="shared" si="15"/>
        <v>1514.9669436045604</v>
      </c>
      <c r="J40" s="12"/>
      <c r="L40" s="14" t="s">
        <v>28</v>
      </c>
      <c r="M40" s="13" t="s">
        <v>20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U40" s="12"/>
      <c r="AF40" s="12"/>
      <c r="AH40" t="s">
        <v>113</v>
      </c>
      <c r="AI40" t="s">
        <v>58</v>
      </c>
      <c r="AJ40" t="s">
        <v>77</v>
      </c>
      <c r="AK40" s="10">
        <f>100*(AD53-Y53)/Y53</f>
        <v>73.144779328063109</v>
      </c>
      <c r="AL40" s="10">
        <f t="shared" ref="AL40:AL42" si="16">AK40/25</f>
        <v>2.9257911731225246</v>
      </c>
    </row>
    <row r="41" spans="2:38" ht="16.5" thickBot="1" x14ac:dyDescent="0.35">
      <c r="B41" t="s">
        <v>13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J41" s="12"/>
      <c r="L41" s="14" t="s">
        <v>29</v>
      </c>
      <c r="M41" s="13" t="s">
        <v>20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U41" s="12"/>
      <c r="W41" s="1" t="s">
        <v>54</v>
      </c>
      <c r="X41" s="1" t="s">
        <v>16</v>
      </c>
      <c r="Y41" s="2">
        <v>2020</v>
      </c>
      <c r="Z41" s="2">
        <v>2025</v>
      </c>
      <c r="AA41" s="2">
        <v>2030</v>
      </c>
      <c r="AB41" s="2">
        <v>2035</v>
      </c>
      <c r="AC41" s="2">
        <v>2040</v>
      </c>
      <c r="AD41" s="2">
        <v>2045</v>
      </c>
      <c r="AF41" s="12"/>
      <c r="AH41" t="s">
        <v>27</v>
      </c>
      <c r="AI41" t="s">
        <v>58</v>
      </c>
      <c r="AJ41" t="s">
        <v>77</v>
      </c>
      <c r="AK41" s="10">
        <f>100*(AD54-Y54)/Y54</f>
        <v>14.96536490056336</v>
      </c>
      <c r="AL41" s="10">
        <f t="shared" si="16"/>
        <v>0.59861459602253442</v>
      </c>
    </row>
    <row r="42" spans="2:38" ht="16.5" thickBot="1" x14ac:dyDescent="0.35">
      <c r="B42" s="7" t="s">
        <v>10</v>
      </c>
      <c r="C42" s="9">
        <f>1000*C35/8760</f>
        <v>0.33455607825571254</v>
      </c>
      <c r="D42" s="9">
        <f t="shared" ref="D42:H42" si="17">1000*D35/8760</f>
        <v>1.7196182422343622</v>
      </c>
      <c r="E42" s="9">
        <f t="shared" si="17"/>
        <v>3.5329121863803241</v>
      </c>
      <c r="F42" s="9">
        <f t="shared" si="17"/>
        <v>5.4264995893076575</v>
      </c>
      <c r="G42" s="9">
        <f t="shared" si="17"/>
        <v>7.2096834864106043</v>
      </c>
      <c r="H42" s="9">
        <f t="shared" si="17"/>
        <v>8.8021704189077958</v>
      </c>
      <c r="J42" s="12"/>
      <c r="L42" s="14" t="s">
        <v>30</v>
      </c>
      <c r="M42" s="13" t="s">
        <v>20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U42" s="12"/>
      <c r="W42" s="29" t="s">
        <v>85</v>
      </c>
      <c r="X42" t="s">
        <v>58</v>
      </c>
      <c r="Y42" s="8">
        <v>15311.777599999999</v>
      </c>
      <c r="Z42" s="8">
        <v>15897.482</v>
      </c>
      <c r="AA42" s="8">
        <v>16437.1682</v>
      </c>
      <c r="AB42" s="8">
        <v>17043.231900000002</v>
      </c>
      <c r="AC42" s="8">
        <v>17696.287899999999</v>
      </c>
      <c r="AD42" s="8">
        <v>18448.967800000002</v>
      </c>
      <c r="AF42" s="12"/>
      <c r="AH42" t="s">
        <v>91</v>
      </c>
      <c r="AI42" t="s">
        <v>58</v>
      </c>
      <c r="AJ42" t="s">
        <v>77</v>
      </c>
      <c r="AK42" s="10">
        <f>100*(AD55-Y55)/Y55</f>
        <v>20.90267344672608</v>
      </c>
      <c r="AL42" s="10">
        <f t="shared" si="16"/>
        <v>0.83610693786904322</v>
      </c>
    </row>
    <row r="43" spans="2:38" ht="16.5" thickBot="1" x14ac:dyDescent="0.35">
      <c r="B43" t="s">
        <v>5</v>
      </c>
      <c r="C43" s="8">
        <f>1000*C36/8760</f>
        <v>60.049470486117833</v>
      </c>
      <c r="D43" s="8">
        <f t="shared" ref="D43:H43" si="18">1000*D36/8760</f>
        <v>161.48687341324987</v>
      </c>
      <c r="E43" s="8">
        <f t="shared" si="18"/>
        <v>336.00136051377717</v>
      </c>
      <c r="F43" s="8">
        <f t="shared" si="18"/>
        <v>602.97711096183571</v>
      </c>
      <c r="G43" s="8">
        <f t="shared" si="18"/>
        <v>992.90891129043371</v>
      </c>
      <c r="H43" s="8">
        <f t="shared" si="18"/>
        <v>1523.7691140234681</v>
      </c>
      <c r="J43" s="12"/>
      <c r="L43" s="14" t="s">
        <v>27</v>
      </c>
      <c r="M43" s="13" t="s">
        <v>20</v>
      </c>
      <c r="N43" s="8">
        <v>19.163399999999999</v>
      </c>
      <c r="O43" s="8">
        <v>20.014600000000002</v>
      </c>
      <c r="P43" s="8">
        <v>20.867999999999999</v>
      </c>
      <c r="Q43" s="8">
        <v>21.744900000000001</v>
      </c>
      <c r="R43" s="8">
        <v>22.550599999999999</v>
      </c>
      <c r="S43" s="8">
        <v>23.273800000000001</v>
      </c>
      <c r="U43" s="12"/>
      <c r="W43" s="31" t="s">
        <v>86</v>
      </c>
      <c r="X43" t="s">
        <v>58</v>
      </c>
      <c r="Y43" s="8">
        <v>3893.2709</v>
      </c>
      <c r="Z43" s="8">
        <v>3861.1010000000001</v>
      </c>
      <c r="AA43" s="8">
        <v>3822.3410000000003</v>
      </c>
      <c r="AB43" s="8">
        <v>3816.5558000000001</v>
      </c>
      <c r="AC43" s="8">
        <v>3826.0224999999996</v>
      </c>
      <c r="AD43" s="8">
        <v>3842.7469999999998</v>
      </c>
      <c r="AF43" s="12"/>
      <c r="AH43" s="17"/>
      <c r="AK43" s="10"/>
      <c r="AL43" s="10"/>
    </row>
    <row r="44" spans="2:38" ht="53.25" thickBot="1" x14ac:dyDescent="0.35">
      <c r="J44" s="12"/>
      <c r="U44" s="12"/>
      <c r="W44" s="32" t="s">
        <v>87</v>
      </c>
      <c r="X44" t="s">
        <v>58</v>
      </c>
      <c r="Y44" s="8">
        <v>19367.656099999997</v>
      </c>
      <c r="Z44" s="8">
        <v>19798.489000000001</v>
      </c>
      <c r="AA44" s="8">
        <v>19986.337100000001</v>
      </c>
      <c r="AB44" s="8">
        <v>20108.716699999997</v>
      </c>
      <c r="AC44" s="8">
        <v>20139.016599999995</v>
      </c>
      <c r="AD44" s="8">
        <v>20069.812699999999</v>
      </c>
      <c r="AF44" s="12"/>
      <c r="AH44" s="1" t="s">
        <v>54</v>
      </c>
      <c r="AI44" s="1" t="s">
        <v>76</v>
      </c>
      <c r="AJ44" s="1" t="s">
        <v>78</v>
      </c>
      <c r="AK44" s="25" t="s">
        <v>79</v>
      </c>
      <c r="AL44" s="26" t="s">
        <v>83</v>
      </c>
    </row>
    <row r="45" spans="2:38" ht="40.5" thickBot="1" x14ac:dyDescent="0.35">
      <c r="J45" s="12"/>
      <c r="L45" s="1" t="s">
        <v>56</v>
      </c>
      <c r="U45" s="12"/>
      <c r="W45" s="33" t="s">
        <v>88</v>
      </c>
      <c r="X45" t="s">
        <v>58</v>
      </c>
      <c r="Y45" s="8">
        <v>35836.0147</v>
      </c>
      <c r="Z45" s="8">
        <v>37662.610999999997</v>
      </c>
      <c r="AA45" s="8">
        <v>39748.533500000005</v>
      </c>
      <c r="AB45" s="8">
        <v>42101.848899999997</v>
      </c>
      <c r="AC45" s="8">
        <v>44689.086399999993</v>
      </c>
      <c r="AD45" s="8">
        <v>47600.5916</v>
      </c>
      <c r="AF45" s="12"/>
      <c r="AH45" t="s">
        <v>75</v>
      </c>
      <c r="AI45" t="s">
        <v>60</v>
      </c>
      <c r="AJ45" t="s">
        <v>77</v>
      </c>
      <c r="AK45" s="10">
        <f>100*(AD58-Y58)/Y58</f>
        <v>30.921921969844146</v>
      </c>
      <c r="AL45" s="10">
        <f>AK45/25</f>
        <v>1.2368768787937658</v>
      </c>
    </row>
    <row r="46" spans="2:38" ht="13.5" thickBot="1" x14ac:dyDescent="0.25">
      <c r="B46" s="20" t="s">
        <v>84</v>
      </c>
      <c r="C46" s="2">
        <v>2020</v>
      </c>
      <c r="D46" s="2">
        <v>2025</v>
      </c>
      <c r="E46" s="2">
        <v>2030</v>
      </c>
      <c r="F46" s="2">
        <v>2035</v>
      </c>
      <c r="G46" s="2">
        <v>2040</v>
      </c>
      <c r="H46" s="2">
        <v>2045</v>
      </c>
      <c r="J46" s="12"/>
      <c r="L46" s="1" t="s">
        <v>54</v>
      </c>
      <c r="M46" s="1" t="s">
        <v>16</v>
      </c>
      <c r="N46" s="2">
        <v>2020</v>
      </c>
      <c r="O46" s="2">
        <v>2025</v>
      </c>
      <c r="P46" s="2">
        <v>2030</v>
      </c>
      <c r="Q46" s="2">
        <v>2035</v>
      </c>
      <c r="R46" s="2">
        <v>2040</v>
      </c>
      <c r="S46" s="2">
        <v>2045</v>
      </c>
      <c r="U46" s="12"/>
      <c r="W46" s="7"/>
      <c r="X46" s="7"/>
      <c r="Y46" s="9"/>
      <c r="Z46" s="9"/>
      <c r="AA46" s="9"/>
      <c r="AB46" s="9"/>
      <c r="AC46" s="9"/>
      <c r="AD46" s="9"/>
      <c r="AF46" s="12"/>
      <c r="AH46" t="s">
        <v>114</v>
      </c>
      <c r="AI46" t="s">
        <v>61</v>
      </c>
      <c r="AJ46" t="s">
        <v>77</v>
      </c>
      <c r="AK46" s="10">
        <f>100*(AD59-Y59)/Y59</f>
        <v>80.006120394242174</v>
      </c>
      <c r="AL46" s="10">
        <f>AK46/25</f>
        <v>3.200244815769687</v>
      </c>
    </row>
    <row r="47" spans="2:38" ht="15.75" x14ac:dyDescent="0.3">
      <c r="B47" s="28"/>
      <c r="C47" s="28"/>
      <c r="D47" s="28"/>
      <c r="E47" s="28"/>
      <c r="F47" s="28"/>
      <c r="G47" s="28"/>
      <c r="H47" s="28"/>
      <c r="J47" s="12"/>
      <c r="L47" s="14" t="s">
        <v>26</v>
      </c>
      <c r="M47" s="13" t="s">
        <v>11</v>
      </c>
      <c r="N47" s="8">
        <v>523.10265021287228</v>
      </c>
      <c r="O47" s="8">
        <v>1399.5611552980959</v>
      </c>
      <c r="P47" s="8">
        <v>2912.4236073479965</v>
      </c>
      <c r="Q47" s="8">
        <v>5234.5433556233465</v>
      </c>
      <c r="R47" s="8">
        <v>8634.7252355632427</v>
      </c>
      <c r="S47" s="8">
        <v>13271.110425975949</v>
      </c>
      <c r="U47" s="12"/>
      <c r="W47" t="s">
        <v>94</v>
      </c>
      <c r="X47" t="s">
        <v>58</v>
      </c>
      <c r="Y47" s="8">
        <f>SUM(Y42:Y45)</f>
        <v>74408.719299999997</v>
      </c>
      <c r="Z47" s="8">
        <f t="shared" ref="Z47:AD47" si="19">SUM(Z42:Z45)</f>
        <v>77219.68299999999</v>
      </c>
      <c r="AA47" s="8">
        <f t="shared" si="19"/>
        <v>79994.37980000001</v>
      </c>
      <c r="AB47" s="8">
        <f t="shared" si="19"/>
        <v>83070.353299999988</v>
      </c>
      <c r="AC47" s="8">
        <f t="shared" si="19"/>
        <v>86350.41339999999</v>
      </c>
      <c r="AD47" s="8">
        <f t="shared" si="19"/>
        <v>89962.119099999996</v>
      </c>
      <c r="AF47" s="12"/>
      <c r="AH47" t="s">
        <v>27</v>
      </c>
      <c r="AI47" t="s">
        <v>61</v>
      </c>
      <c r="AJ47" t="s">
        <v>77</v>
      </c>
      <c r="AK47" s="10">
        <f>100*(AD60-Y60)/Y60</f>
        <v>34.137442005425015</v>
      </c>
      <c r="AL47" s="10">
        <f>AK47/25</f>
        <v>1.3654976802170007</v>
      </c>
    </row>
    <row r="48" spans="2:38" x14ac:dyDescent="0.2">
      <c r="B48" s="29" t="s">
        <v>85</v>
      </c>
      <c r="C48" s="30">
        <v>765.29999999999984</v>
      </c>
      <c r="D48" s="30">
        <v>2614</v>
      </c>
      <c r="E48" s="30">
        <v>5471.0999999999995</v>
      </c>
      <c r="F48" s="30">
        <v>10947.800000000001</v>
      </c>
      <c r="G48" s="30">
        <v>21232.6</v>
      </c>
      <c r="H48" s="30">
        <v>38489.499999999993</v>
      </c>
      <c r="J48" s="12"/>
      <c r="L48" s="14" t="s">
        <v>28</v>
      </c>
      <c r="M48" s="13" t="s">
        <v>11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U48" s="12"/>
      <c r="AF48" s="12"/>
      <c r="AH48" s="17" t="s">
        <v>91</v>
      </c>
      <c r="AI48" s="17" t="s">
        <v>60</v>
      </c>
      <c r="AJ48" t="s">
        <v>77</v>
      </c>
      <c r="AK48" s="10">
        <f>100*(AD61-Y61)/Y61</f>
        <v>62.164566704958773</v>
      </c>
      <c r="AL48" s="10">
        <f>AK48/25</f>
        <v>2.4865826681983507</v>
      </c>
    </row>
    <row r="49" spans="2:38" x14ac:dyDescent="0.2">
      <c r="B49" s="31" t="s">
        <v>86</v>
      </c>
      <c r="C49" s="30">
        <v>340.5</v>
      </c>
      <c r="D49" s="30">
        <v>1062.8</v>
      </c>
      <c r="E49" s="30">
        <v>2035.4</v>
      </c>
      <c r="F49" s="30">
        <v>3695.3</v>
      </c>
      <c r="G49" s="30">
        <v>6472.4999999999991</v>
      </c>
      <c r="H49" s="30">
        <v>10615.599999999999</v>
      </c>
      <c r="J49" s="12"/>
      <c r="L49" s="14" t="s">
        <v>29</v>
      </c>
      <c r="M49" s="13" t="s">
        <v>11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U49" s="12"/>
      <c r="Y49" s="8">
        <f t="shared" ref="Y49:AC49" si="20">Y47-Y19</f>
        <v>1.0100000014062971E-2</v>
      </c>
      <c r="Z49" s="8">
        <f t="shared" si="20"/>
        <v>4.7999999951571226E-3</v>
      </c>
      <c r="AA49" s="8">
        <f t="shared" si="20"/>
        <v>3.0000001424923539E-4</v>
      </c>
      <c r="AB49" s="8">
        <f t="shared" si="20"/>
        <v>-1.0000000474974513E-4</v>
      </c>
      <c r="AC49" s="8">
        <f t="shared" si="20"/>
        <v>2.9999999969732016E-4</v>
      </c>
      <c r="AD49" s="8">
        <f>AD47-AD19</f>
        <v>4.0000000444706529E-4</v>
      </c>
      <c r="AF49" s="12"/>
      <c r="AH49" s="17"/>
      <c r="AI49" s="17"/>
      <c r="AK49" s="10"/>
      <c r="AL49" s="10"/>
    </row>
    <row r="50" spans="2:38" ht="13.5" thickBot="1" x14ac:dyDescent="0.25">
      <c r="B50" s="32" t="s">
        <v>87</v>
      </c>
      <c r="C50" s="30">
        <v>7194.5000000000009</v>
      </c>
      <c r="D50" s="30">
        <v>18311</v>
      </c>
      <c r="E50" s="30">
        <v>31340.899999999994</v>
      </c>
      <c r="F50" s="30">
        <v>50537.100000000006</v>
      </c>
      <c r="G50" s="30">
        <v>75827.3</v>
      </c>
      <c r="H50" s="30">
        <v>103365.8</v>
      </c>
      <c r="J50" s="12"/>
      <c r="L50" s="14" t="s">
        <v>30</v>
      </c>
      <c r="M50" s="13" t="s">
        <v>11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U50" s="12"/>
      <c r="AF50" s="12"/>
    </row>
    <row r="51" spans="2:38" ht="13.5" thickBot="1" x14ac:dyDescent="0.25">
      <c r="B51" s="33" t="s">
        <v>88</v>
      </c>
      <c r="C51" s="30">
        <v>13706.800000000001</v>
      </c>
      <c r="D51" s="30">
        <v>34876.800000000003</v>
      </c>
      <c r="E51" s="30">
        <v>59893.4</v>
      </c>
      <c r="F51" s="30">
        <v>96762.499999999985</v>
      </c>
      <c r="G51" s="30">
        <v>145973.70000000001</v>
      </c>
      <c r="H51" s="30">
        <v>200889.00000000003</v>
      </c>
      <c r="J51" s="12"/>
      <c r="L51" s="14" t="s">
        <v>27</v>
      </c>
      <c r="M51" s="13" t="s">
        <v>11</v>
      </c>
      <c r="N51" s="8">
        <v>2.9307112455200417</v>
      </c>
      <c r="O51" s="8">
        <v>15.063855801973013</v>
      </c>
      <c r="P51" s="8">
        <v>30.94831075269164</v>
      </c>
      <c r="Q51" s="8">
        <v>47.536136402335075</v>
      </c>
      <c r="R51" s="8">
        <v>63.156827340956895</v>
      </c>
      <c r="S51" s="8">
        <v>77.1070128696323</v>
      </c>
      <c r="U51" s="12"/>
      <c r="W51" s="1" t="s">
        <v>54</v>
      </c>
      <c r="X51" s="1" t="s">
        <v>16</v>
      </c>
      <c r="Y51" s="2">
        <v>2020</v>
      </c>
      <c r="Z51" s="2">
        <v>2025</v>
      </c>
      <c r="AA51" s="2">
        <v>2030</v>
      </c>
      <c r="AB51" s="2">
        <v>2035</v>
      </c>
      <c r="AC51" s="2">
        <v>2040</v>
      </c>
      <c r="AD51" s="2">
        <v>2045</v>
      </c>
      <c r="AF51" s="12"/>
    </row>
    <row r="52" spans="2:38" ht="16.5" thickBot="1" x14ac:dyDescent="0.35">
      <c r="B52" t="s">
        <v>94</v>
      </c>
      <c r="C52" s="8">
        <f>SUM(C48:C51)</f>
        <v>22007.100000000002</v>
      </c>
      <c r="D52" s="8">
        <f t="shared" ref="D52:H52" si="21">SUM(D48:D51)</f>
        <v>56864.600000000006</v>
      </c>
      <c r="E52" s="8">
        <f t="shared" si="21"/>
        <v>98740.799999999988</v>
      </c>
      <c r="F52" s="8">
        <f t="shared" si="21"/>
        <v>161942.70000000001</v>
      </c>
      <c r="G52" s="8">
        <f t="shared" si="21"/>
        <v>249506.1</v>
      </c>
      <c r="H52" s="8">
        <f t="shared" si="21"/>
        <v>353359.9</v>
      </c>
      <c r="J52" s="12"/>
      <c r="U52" s="12"/>
      <c r="W52" t="s">
        <v>26</v>
      </c>
      <c r="X52" t="s">
        <v>58</v>
      </c>
      <c r="Y52" s="8">
        <f>Y14</f>
        <v>43097.296199999997</v>
      </c>
      <c r="Z52" s="8">
        <f t="shared" ref="Z52:AD52" si="22">Z14</f>
        <v>42988.509599999998</v>
      </c>
      <c r="AA52" s="8">
        <f t="shared" si="22"/>
        <v>42348.058099999995</v>
      </c>
      <c r="AB52" s="8">
        <f t="shared" si="22"/>
        <v>41256.123500000002</v>
      </c>
      <c r="AC52" s="8">
        <f t="shared" si="22"/>
        <v>39464.245699999999</v>
      </c>
      <c r="AD52" s="8">
        <f t="shared" si="22"/>
        <v>36852.347199999997</v>
      </c>
      <c r="AF52" s="12"/>
    </row>
    <row r="53" spans="2:38" ht="27.75" thickBot="1" x14ac:dyDescent="0.35">
      <c r="J53" s="12"/>
      <c r="L53" s="1" t="s">
        <v>57</v>
      </c>
      <c r="U53" s="12"/>
      <c r="W53" t="s">
        <v>113</v>
      </c>
      <c r="X53" t="s">
        <v>58</v>
      </c>
      <c r="Y53" s="8">
        <f>Y15+Y16+Y17</f>
        <v>29413.309600000001</v>
      </c>
      <c r="Z53" s="8">
        <f t="shared" ref="Z53:AD53" si="23">Z15+Z16+Z17</f>
        <v>32257.528999999999</v>
      </c>
      <c r="AA53" s="8">
        <f t="shared" si="23"/>
        <v>35607.842799999999</v>
      </c>
      <c r="AB53" s="8">
        <f t="shared" si="23"/>
        <v>39721.536999999997</v>
      </c>
      <c r="AC53" s="8">
        <f t="shared" si="23"/>
        <v>44745.202999999994</v>
      </c>
      <c r="AD53" s="8">
        <f t="shared" si="23"/>
        <v>50927.61</v>
      </c>
      <c r="AF53" s="12"/>
    </row>
    <row r="54" spans="2:38" ht="16.5" thickBot="1" x14ac:dyDescent="0.35">
      <c r="B54" s="20" t="s">
        <v>89</v>
      </c>
      <c r="C54" s="2">
        <v>2020</v>
      </c>
      <c r="D54" s="2">
        <v>2025</v>
      </c>
      <c r="E54" s="2">
        <v>2030</v>
      </c>
      <c r="F54" s="2">
        <v>2035</v>
      </c>
      <c r="G54" s="2">
        <v>2040</v>
      </c>
      <c r="H54" s="2">
        <v>2045</v>
      </c>
      <c r="J54" s="12"/>
      <c r="L54" s="1" t="s">
        <v>54</v>
      </c>
      <c r="M54" s="1" t="s">
        <v>16</v>
      </c>
      <c r="N54" s="2">
        <v>2020</v>
      </c>
      <c r="O54" s="2">
        <v>2025</v>
      </c>
      <c r="P54" s="2">
        <v>2030</v>
      </c>
      <c r="Q54" s="2">
        <v>2035</v>
      </c>
      <c r="R54" s="2">
        <v>2040</v>
      </c>
      <c r="S54" s="2">
        <v>2045</v>
      </c>
      <c r="U54" s="12"/>
      <c r="W54" t="s">
        <v>27</v>
      </c>
      <c r="X54" t="s">
        <v>58</v>
      </c>
      <c r="Y54" s="8">
        <f>Y18</f>
        <v>1898.1034</v>
      </c>
      <c r="Z54" s="8">
        <f t="shared" ref="Z54:AD54" si="24">Z18</f>
        <v>1973.6396</v>
      </c>
      <c r="AA54" s="8">
        <f t="shared" si="24"/>
        <v>2038.4785999999999</v>
      </c>
      <c r="AB54" s="8">
        <f t="shared" si="24"/>
        <v>2092.6929</v>
      </c>
      <c r="AC54" s="8">
        <f t="shared" si="24"/>
        <v>2140.9643999999998</v>
      </c>
      <c r="AD54" s="8">
        <f t="shared" si="24"/>
        <v>2182.1614999999997</v>
      </c>
      <c r="AF54" s="12"/>
    </row>
    <row r="55" spans="2:38" ht="15.75" x14ac:dyDescent="0.3">
      <c r="B55" s="28"/>
      <c r="C55" s="28"/>
      <c r="D55" s="28"/>
      <c r="E55" s="28"/>
      <c r="F55" s="28"/>
      <c r="G55" s="28"/>
      <c r="H55" s="28"/>
      <c r="J55" s="12"/>
      <c r="L55" s="14" t="s">
        <v>26</v>
      </c>
      <c r="M55" s="13" t="s">
        <v>23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U55" s="12"/>
      <c r="W55" s="42" t="s">
        <v>5</v>
      </c>
      <c r="X55" s="42" t="s">
        <v>58</v>
      </c>
      <c r="Y55" s="43">
        <f>SUM(Y52:Y54)</f>
        <v>74408.709199999983</v>
      </c>
      <c r="Z55" s="43">
        <f t="shared" ref="Z55:AD55" si="25">SUM(Z52:Z54)</f>
        <v>77219.678199999995</v>
      </c>
      <c r="AA55" s="43">
        <f t="shared" si="25"/>
        <v>79994.379499999995</v>
      </c>
      <c r="AB55" s="43">
        <f t="shared" si="25"/>
        <v>83070.353399999993</v>
      </c>
      <c r="AC55" s="43">
        <f t="shared" si="25"/>
        <v>86350.413099999991</v>
      </c>
      <c r="AD55" s="43">
        <f t="shared" si="25"/>
        <v>89962.118700000006</v>
      </c>
      <c r="AF55" s="12"/>
    </row>
    <row r="56" spans="2:38" ht="13.5" thickBot="1" x14ac:dyDescent="0.25">
      <c r="B56" s="29" t="s">
        <v>85</v>
      </c>
      <c r="C56" s="30">
        <v>2779.7999999999997</v>
      </c>
      <c r="D56" s="30">
        <v>10764.000000000002</v>
      </c>
      <c r="E56" s="30">
        <v>28886.5</v>
      </c>
      <c r="F56" s="30">
        <v>64308.499999999993</v>
      </c>
      <c r="G56" s="30">
        <v>132007.19999999998</v>
      </c>
      <c r="H56" s="30">
        <v>255297.4</v>
      </c>
      <c r="J56" s="12"/>
      <c r="L56" s="14" t="s">
        <v>28</v>
      </c>
      <c r="M56" s="13" t="s">
        <v>23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U56" s="12"/>
      <c r="W56" s="42"/>
      <c r="X56" s="42"/>
      <c r="Y56" s="43"/>
      <c r="Z56" s="43"/>
      <c r="AA56" s="43"/>
      <c r="AB56" s="43"/>
      <c r="AC56" s="43"/>
      <c r="AD56" s="43"/>
      <c r="AF56" s="12"/>
    </row>
    <row r="57" spans="2:38" ht="13.5" thickBot="1" x14ac:dyDescent="0.25">
      <c r="B57" s="31" t="s">
        <v>86</v>
      </c>
      <c r="C57" s="30">
        <v>1249.1000000000001</v>
      </c>
      <c r="D57" s="30">
        <v>4572.0999999999995</v>
      </c>
      <c r="E57" s="30">
        <v>11447.199999999999</v>
      </c>
      <c r="F57" s="30">
        <v>23570.6</v>
      </c>
      <c r="G57" s="30">
        <v>44372.1</v>
      </c>
      <c r="H57" s="30">
        <v>78423.999999999985</v>
      </c>
      <c r="J57" s="12"/>
      <c r="L57" s="14" t="s">
        <v>29</v>
      </c>
      <c r="M57" s="13" t="s">
        <v>23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U57" s="12"/>
      <c r="W57" s="1" t="s">
        <v>63</v>
      </c>
      <c r="X57" s="1" t="s">
        <v>16</v>
      </c>
      <c r="Y57" s="2">
        <v>2020</v>
      </c>
      <c r="Z57" s="2">
        <v>2025</v>
      </c>
      <c r="AA57" s="2">
        <v>2030</v>
      </c>
      <c r="AB57" s="2">
        <v>2035</v>
      </c>
      <c r="AC57" s="2">
        <v>2040</v>
      </c>
      <c r="AD57" s="2">
        <v>2045</v>
      </c>
      <c r="AF57" s="12"/>
    </row>
    <row r="58" spans="2:38" x14ac:dyDescent="0.2">
      <c r="B58" s="32" t="s">
        <v>87</v>
      </c>
      <c r="C58" s="30">
        <v>31490.400000000001</v>
      </c>
      <c r="D58" s="30">
        <v>90209.2</v>
      </c>
      <c r="E58" s="30">
        <v>196696.40000000002</v>
      </c>
      <c r="F58" s="30">
        <v>363392.2</v>
      </c>
      <c r="G58" s="30">
        <v>608282</v>
      </c>
      <c r="H58" s="30">
        <v>936903.79999999993</v>
      </c>
      <c r="J58" s="12"/>
      <c r="L58" s="14" t="s">
        <v>30</v>
      </c>
      <c r="M58" s="13" t="s">
        <v>23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U58" s="12"/>
      <c r="W58" t="s">
        <v>26</v>
      </c>
      <c r="X58" t="s">
        <v>60</v>
      </c>
      <c r="Y58" s="8">
        <f>Y22</f>
        <v>143613.62059999999</v>
      </c>
      <c r="Z58" s="8">
        <f t="shared" ref="Z58:AD58" si="26">Z22</f>
        <v>152776.3205</v>
      </c>
      <c r="AA58" s="8">
        <f t="shared" si="26"/>
        <v>161659.59030000001</v>
      </c>
      <c r="AB58" s="8">
        <f t="shared" si="26"/>
        <v>170616.86060000001</v>
      </c>
      <c r="AC58" s="8">
        <f t="shared" si="26"/>
        <v>179326.58149999997</v>
      </c>
      <c r="AD58" s="8">
        <f t="shared" si="26"/>
        <v>188021.71230000001</v>
      </c>
      <c r="AF58" s="12"/>
    </row>
    <row r="59" spans="2:38" x14ac:dyDescent="0.2">
      <c r="B59" s="33" t="s">
        <v>88</v>
      </c>
      <c r="C59" s="30">
        <v>60899.5</v>
      </c>
      <c r="D59" s="30">
        <v>172666.19999999998</v>
      </c>
      <c r="E59" s="30">
        <v>376438.50000000006</v>
      </c>
      <c r="F59" s="30">
        <v>695998.7</v>
      </c>
      <c r="G59" s="30">
        <v>1167394.1000000001</v>
      </c>
      <c r="H59" s="30">
        <v>1805660.7999999998</v>
      </c>
      <c r="L59" s="14" t="s">
        <v>27</v>
      </c>
      <c r="M59" s="13" t="s">
        <v>23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W59" t="s">
        <v>114</v>
      </c>
      <c r="X59" t="s">
        <v>61</v>
      </c>
      <c r="Y59" s="8">
        <f>SUM(Y25:Y27)</f>
        <v>252585.03600000002</v>
      </c>
      <c r="Z59" s="8">
        <f t="shared" ref="Z59:AD59" si="27">SUM(Z25:Z27)</f>
        <v>281010.88700000005</v>
      </c>
      <c r="AA59" s="8">
        <f t="shared" si="27"/>
        <v>313536.71000000002</v>
      </c>
      <c r="AB59" s="8">
        <f t="shared" si="27"/>
        <v>352138.04800000001</v>
      </c>
      <c r="AC59" s="8">
        <f t="shared" si="27"/>
        <v>398325.07299999997</v>
      </c>
      <c r="AD59" s="8">
        <f t="shared" si="27"/>
        <v>454668.52399999998</v>
      </c>
    </row>
    <row r="60" spans="2:38" x14ac:dyDescent="0.2">
      <c r="B60" t="s">
        <v>94</v>
      </c>
      <c r="C60" s="8">
        <f>SUM(C56:C59)</f>
        <v>96418.8</v>
      </c>
      <c r="D60" s="8">
        <f t="shared" ref="D60" si="28">SUM(D56:D59)</f>
        <v>278211.5</v>
      </c>
      <c r="E60" s="8">
        <f t="shared" ref="E60" si="29">SUM(E56:E59)</f>
        <v>613468.60000000009</v>
      </c>
      <c r="F60" s="8">
        <f t="shared" ref="F60" si="30">SUM(F56:F59)</f>
        <v>1147270</v>
      </c>
      <c r="G60" s="8">
        <f t="shared" ref="G60" si="31">SUM(G56:G59)</f>
        <v>1952055.4000000001</v>
      </c>
      <c r="H60" s="8">
        <f t="shared" ref="H60" si="32">SUM(H56:H59)</f>
        <v>3076286</v>
      </c>
      <c r="W60" t="s">
        <v>27</v>
      </c>
      <c r="X60" s="17" t="s">
        <v>60</v>
      </c>
      <c r="Y60" s="8">
        <f>Y29</f>
        <v>700.75519999999995</v>
      </c>
      <c r="Z60" s="8">
        <f t="shared" ref="Z60:AD60" si="33">Z29</f>
        <v>750.68719999999996</v>
      </c>
      <c r="AA60" s="8">
        <f t="shared" si="33"/>
        <v>801.03160000000003</v>
      </c>
      <c r="AB60" s="8">
        <f t="shared" si="33"/>
        <v>851.33890000000008</v>
      </c>
      <c r="AC60" s="8">
        <f t="shared" si="33"/>
        <v>897.94470000000001</v>
      </c>
      <c r="AD60" s="8">
        <f t="shared" si="33"/>
        <v>939.9751</v>
      </c>
    </row>
    <row r="61" spans="2:38" ht="13.5" thickBot="1" x14ac:dyDescent="0.25">
      <c r="W61" s="42" t="s">
        <v>5</v>
      </c>
      <c r="X61" s="42"/>
      <c r="Y61" s="43">
        <f>SUM(Y58:Y60)</f>
        <v>396899.4118</v>
      </c>
      <c r="Z61" s="43">
        <f t="shared" ref="Z61:AD61" si="34">SUM(Z58:Z60)</f>
        <v>434537.8947</v>
      </c>
      <c r="AA61" s="43">
        <f t="shared" si="34"/>
        <v>475997.33189999999</v>
      </c>
      <c r="AB61" s="43">
        <f t="shared" si="34"/>
        <v>523606.2475</v>
      </c>
      <c r="AC61" s="43">
        <f t="shared" si="34"/>
        <v>578549.59919999994</v>
      </c>
      <c r="AD61" s="43">
        <f t="shared" si="34"/>
        <v>643630.21140000003</v>
      </c>
    </row>
    <row r="62" spans="2:38" ht="13.5" thickBot="1" x14ac:dyDescent="0.25">
      <c r="B62" s="11" t="s">
        <v>90</v>
      </c>
      <c r="C62" s="2">
        <v>2020</v>
      </c>
      <c r="D62" s="2">
        <v>2025</v>
      </c>
      <c r="E62" s="2">
        <v>2030</v>
      </c>
      <c r="F62" s="2">
        <v>2035</v>
      </c>
      <c r="G62" s="2">
        <v>2040</v>
      </c>
      <c r="H62" s="2">
        <v>2045</v>
      </c>
    </row>
    <row r="64" spans="2:38" x14ac:dyDescent="0.2">
      <c r="B64" s="29" t="s">
        <v>85</v>
      </c>
      <c r="C64" s="30">
        <v>15.943069175629027</v>
      </c>
      <c r="D64" s="30">
        <v>56.386884363805599</v>
      </c>
      <c r="E64" s="30">
        <v>141.67058160843882</v>
      </c>
      <c r="F64" s="30">
        <v>301.45295871419142</v>
      </c>
      <c r="G64" s="30">
        <v>597.63063718644696</v>
      </c>
      <c r="H64" s="30">
        <v>1126.1551032035311</v>
      </c>
    </row>
    <row r="65" spans="2:8" x14ac:dyDescent="0.2">
      <c r="B65" s="31" t="s">
        <v>86</v>
      </c>
      <c r="C65" s="30">
        <v>6.0079580533160843</v>
      </c>
      <c r="D65" s="30">
        <v>20.046064919357086</v>
      </c>
      <c r="E65" s="30">
        <v>47.125836827962274</v>
      </c>
      <c r="F65" s="30">
        <v>92.81562514561972</v>
      </c>
      <c r="G65" s="30">
        <v>168.83827485440963</v>
      </c>
      <c r="H65" s="30">
        <v>290.63863421822253</v>
      </c>
    </row>
    <row r="66" spans="2:8" x14ac:dyDescent="0.2">
      <c r="B66" s="32" t="s">
        <v>87</v>
      </c>
      <c r="C66" s="30">
        <v>175.75475339383689</v>
      </c>
      <c r="D66" s="30">
        <v>468.0052787970954</v>
      </c>
      <c r="E66" s="30">
        <v>964.61429935046647</v>
      </c>
      <c r="F66" s="30">
        <v>1714.6419213039553</v>
      </c>
      <c r="G66" s="30">
        <v>2784.4980614810465</v>
      </c>
      <c r="H66" s="30">
        <v>4183.6782243172247</v>
      </c>
    </row>
    <row r="67" spans="2:8" x14ac:dyDescent="0.2">
      <c r="B67" s="33" t="s">
        <v>88</v>
      </c>
      <c r="C67" s="30">
        <v>325.39686959009026</v>
      </c>
      <c r="D67" s="30">
        <v>855.1522343302928</v>
      </c>
      <c r="E67" s="30">
        <v>1759.0128895611288</v>
      </c>
      <c r="F67" s="30">
        <v>3125.6621575720342</v>
      </c>
      <c r="G67" s="30">
        <v>5083.7289549288844</v>
      </c>
      <c r="H67" s="30">
        <v>7670.6091571245161</v>
      </c>
    </row>
    <row r="68" spans="2:8" x14ac:dyDescent="0.2">
      <c r="B68" t="s">
        <v>94</v>
      </c>
      <c r="C68" s="8">
        <f>SUM(C64:C67)</f>
        <v>523.10265021287228</v>
      </c>
      <c r="D68" s="8">
        <f t="shared" ref="D68" si="35">SUM(D64:D67)</f>
        <v>1399.590462410551</v>
      </c>
      <c r="E68" s="8">
        <f t="shared" ref="E68" si="36">SUM(E64:E67)</f>
        <v>2912.423607347996</v>
      </c>
      <c r="F68" s="8">
        <f t="shared" ref="F68" si="37">SUM(F64:F67)</f>
        <v>5234.5726627358008</v>
      </c>
      <c r="G68" s="8">
        <f t="shared" ref="G68" si="38">SUM(G64:G67)</f>
        <v>8634.6959284507866</v>
      </c>
      <c r="H68" s="8">
        <f t="shared" ref="H68" si="39">SUM(H64:H67)</f>
        <v>13271.081118863494</v>
      </c>
    </row>
    <row r="69" spans="2:8" ht="13.5" thickBot="1" x14ac:dyDescent="0.25">
      <c r="C69" s="34"/>
      <c r="D69" s="34"/>
      <c r="E69" s="34"/>
      <c r="F69" s="34"/>
      <c r="G69" s="34"/>
      <c r="H69" s="34"/>
    </row>
    <row r="70" spans="2:8" ht="13.5" thickBot="1" x14ac:dyDescent="0.25">
      <c r="B70" s="20" t="s">
        <v>95</v>
      </c>
      <c r="C70" s="2">
        <v>2020</v>
      </c>
      <c r="D70" s="2">
        <v>2025</v>
      </c>
      <c r="E70" s="2">
        <v>2030</v>
      </c>
      <c r="F70" s="2">
        <v>2035</v>
      </c>
      <c r="G70" s="2">
        <v>2040</v>
      </c>
      <c r="H70" s="2">
        <v>2045</v>
      </c>
    </row>
    <row r="71" spans="2:8" x14ac:dyDescent="0.2">
      <c r="B71" s="28"/>
      <c r="C71" s="28"/>
      <c r="D71" s="28"/>
      <c r="E71" s="28"/>
      <c r="F71" s="28"/>
      <c r="G71" s="28"/>
      <c r="H71" s="28"/>
    </row>
    <row r="72" spans="2:8" x14ac:dyDescent="0.2">
      <c r="B72" s="29" t="s">
        <v>85</v>
      </c>
      <c r="C72" s="30">
        <v>73486.3</v>
      </c>
      <c r="D72" s="30">
        <v>81476.5</v>
      </c>
      <c r="E72" s="30">
        <v>87008.3</v>
      </c>
      <c r="F72" s="30">
        <v>92368.5</v>
      </c>
      <c r="G72" s="30">
        <v>99004</v>
      </c>
      <c r="H72" s="30">
        <v>105181.29999999999</v>
      </c>
    </row>
    <row r="73" spans="2:8" x14ac:dyDescent="0.2">
      <c r="B73" s="31" t="s">
        <v>86</v>
      </c>
      <c r="C73" s="30">
        <v>21770.7</v>
      </c>
      <c r="D73" s="30">
        <v>23234.2</v>
      </c>
      <c r="E73" s="30">
        <v>23594</v>
      </c>
      <c r="F73" s="30">
        <v>23985.1</v>
      </c>
      <c r="G73" s="30">
        <v>24707.599999999999</v>
      </c>
      <c r="H73" s="30">
        <v>25211.200000000001</v>
      </c>
    </row>
    <row r="74" spans="2:8" x14ac:dyDescent="0.2">
      <c r="B74" s="32" t="s">
        <v>87</v>
      </c>
      <c r="C74" s="30">
        <v>152854.5</v>
      </c>
      <c r="D74" s="30">
        <v>154958.20000000001</v>
      </c>
      <c r="E74" s="30">
        <v>160627.80000000002</v>
      </c>
      <c r="F74" s="30">
        <v>165134.70000000001</v>
      </c>
      <c r="G74" s="30">
        <v>169705.7</v>
      </c>
      <c r="H74" s="30">
        <v>172192.6</v>
      </c>
    </row>
    <row r="75" spans="2:8" x14ac:dyDescent="0.2">
      <c r="B75" s="33" t="s">
        <v>88</v>
      </c>
      <c r="C75" s="30">
        <v>271757</v>
      </c>
      <c r="D75" s="30">
        <v>287322.90000000002</v>
      </c>
      <c r="E75" s="30">
        <v>300768.89999999997</v>
      </c>
      <c r="F75" s="30">
        <v>312201.8</v>
      </c>
      <c r="G75" s="30">
        <v>326160.90000000002</v>
      </c>
      <c r="H75" s="30">
        <v>337043.9</v>
      </c>
    </row>
    <row r="76" spans="2:8" x14ac:dyDescent="0.2">
      <c r="B76" t="s">
        <v>94</v>
      </c>
      <c r="C76" s="8">
        <f>SUM(C72:C75)</f>
        <v>519868.5</v>
      </c>
      <c r="D76" s="8">
        <f t="shared" ref="D76:H76" si="40">SUM(D72:D75)</f>
        <v>546991.80000000005</v>
      </c>
      <c r="E76" s="8">
        <f t="shared" si="40"/>
        <v>571999</v>
      </c>
      <c r="F76" s="8">
        <f t="shared" si="40"/>
        <v>593690.10000000009</v>
      </c>
      <c r="G76" s="8">
        <f t="shared" si="40"/>
        <v>619578.20000000007</v>
      </c>
      <c r="H76" s="8">
        <f t="shared" si="40"/>
        <v>639629</v>
      </c>
    </row>
    <row r="77" spans="2:8" ht="13.5" thickBot="1" x14ac:dyDescent="0.25"/>
    <row r="78" spans="2:8" ht="13.5" thickBot="1" x14ac:dyDescent="0.25">
      <c r="B78" s="20" t="s">
        <v>96</v>
      </c>
      <c r="C78" s="2">
        <v>2020</v>
      </c>
      <c r="D78" s="2">
        <v>2025</v>
      </c>
      <c r="E78" s="2">
        <v>2030</v>
      </c>
      <c r="F78" s="2">
        <v>2035</v>
      </c>
      <c r="G78" s="2">
        <v>2040</v>
      </c>
      <c r="H78" s="2">
        <v>2045</v>
      </c>
    </row>
    <row r="79" spans="2:8" x14ac:dyDescent="0.2">
      <c r="B79" s="28"/>
      <c r="C79" s="28"/>
      <c r="D79" s="28"/>
      <c r="E79" s="28"/>
      <c r="F79" s="28"/>
      <c r="G79" s="28"/>
      <c r="H79" s="28"/>
    </row>
    <row r="80" spans="2:8" x14ac:dyDescent="0.2">
      <c r="B80" s="29" t="s">
        <v>85</v>
      </c>
      <c r="C80" s="30">
        <v>1833734</v>
      </c>
      <c r="D80" s="30">
        <v>1942459</v>
      </c>
      <c r="E80" s="30">
        <v>2050360.9999999998</v>
      </c>
      <c r="F80" s="30">
        <v>2154843</v>
      </c>
      <c r="G80" s="30">
        <v>2259069</v>
      </c>
      <c r="H80" s="30">
        <v>2363944</v>
      </c>
    </row>
    <row r="81" spans="2:8" x14ac:dyDescent="0.2">
      <c r="B81" s="31" t="s">
        <v>86</v>
      </c>
      <c r="C81" s="30">
        <v>621607.1</v>
      </c>
      <c r="D81" s="30">
        <v>640178.30000000005</v>
      </c>
      <c r="E81" s="30">
        <v>654052.69999999995</v>
      </c>
      <c r="F81" s="30">
        <v>663384.6</v>
      </c>
      <c r="G81" s="30">
        <v>670524.70000000007</v>
      </c>
      <c r="H81" s="30">
        <v>676296.9</v>
      </c>
    </row>
    <row r="82" spans="2:8" x14ac:dyDescent="0.2">
      <c r="B82" s="32" t="s">
        <v>87</v>
      </c>
      <c r="C82" s="30">
        <v>3743022</v>
      </c>
      <c r="D82" s="30">
        <v>3908198</v>
      </c>
      <c r="E82" s="30">
        <v>4041031</v>
      </c>
      <c r="F82" s="30">
        <v>4156482</v>
      </c>
      <c r="G82" s="30">
        <v>4256021</v>
      </c>
      <c r="H82" s="30">
        <v>4343019</v>
      </c>
    </row>
    <row r="83" spans="2:8" x14ac:dyDescent="0.2">
      <c r="B83" s="33" t="s">
        <v>88</v>
      </c>
      <c r="C83" s="30">
        <v>6841102</v>
      </c>
      <c r="D83" s="30">
        <v>7167145</v>
      </c>
      <c r="E83" s="30">
        <v>7450931</v>
      </c>
      <c r="F83" s="30">
        <v>7703208</v>
      </c>
      <c r="G83" s="30">
        <v>7936843</v>
      </c>
      <c r="H83" s="30">
        <v>8162755</v>
      </c>
    </row>
    <row r="84" spans="2:8" x14ac:dyDescent="0.2">
      <c r="B84" t="s">
        <v>94</v>
      </c>
      <c r="C84" s="8">
        <f>SUM(C80:C83)</f>
        <v>13039465.1</v>
      </c>
      <c r="D84" s="8">
        <f t="shared" ref="D84:H84" si="41">SUM(D80:D83)</f>
        <v>13657980.300000001</v>
      </c>
      <c r="E84" s="8">
        <f t="shared" si="41"/>
        <v>14196375.699999999</v>
      </c>
      <c r="F84" s="8">
        <f t="shared" si="41"/>
        <v>14677917.6</v>
      </c>
      <c r="G84" s="8">
        <f t="shared" si="41"/>
        <v>15122457.699999999</v>
      </c>
      <c r="H84" s="8">
        <f t="shared" si="41"/>
        <v>15546014.9</v>
      </c>
    </row>
    <row r="85" spans="2:8" ht="13.5" thickBot="1" x14ac:dyDescent="0.25"/>
    <row r="86" spans="2:8" ht="26.25" thickBot="1" x14ac:dyDescent="0.25">
      <c r="B86" s="20" t="s">
        <v>97</v>
      </c>
      <c r="C86" s="2">
        <v>2020</v>
      </c>
      <c r="D86" s="2">
        <v>2025</v>
      </c>
      <c r="E86" s="2">
        <v>2030</v>
      </c>
      <c r="F86" s="2">
        <v>2035</v>
      </c>
      <c r="G86" s="2">
        <v>2040</v>
      </c>
      <c r="H86" s="2">
        <v>2045</v>
      </c>
    </row>
    <row r="87" spans="2:8" x14ac:dyDescent="0.2">
      <c r="B87" s="28"/>
      <c r="C87" s="28"/>
      <c r="D87" s="28"/>
      <c r="E87" s="28"/>
      <c r="F87" s="28"/>
      <c r="G87" s="28"/>
      <c r="H87" s="28"/>
    </row>
    <row r="88" spans="2:8" x14ac:dyDescent="0.2">
      <c r="B88" s="29" t="s">
        <v>85</v>
      </c>
      <c r="C88" s="35">
        <f>100*(C48/C72)</f>
        <v>1.0414186045562233</v>
      </c>
      <c r="D88" s="35">
        <f t="shared" ref="D88:H88" si="42">100*(D48/D72)</f>
        <v>3.2082870520947755</v>
      </c>
      <c r="E88" s="35">
        <f t="shared" si="42"/>
        <v>6.2880207980158209</v>
      </c>
      <c r="F88" s="35">
        <f t="shared" si="42"/>
        <v>11.852308958140492</v>
      </c>
      <c r="G88" s="35">
        <f t="shared" si="42"/>
        <v>21.446204193769947</v>
      </c>
      <c r="H88" s="35">
        <f t="shared" si="42"/>
        <v>36.593481921216032</v>
      </c>
    </row>
    <row r="89" spans="2:8" x14ac:dyDescent="0.2">
      <c r="B89" s="31" t="s">
        <v>86</v>
      </c>
      <c r="C89" s="35">
        <f t="shared" ref="C89:H92" si="43">100*(C49/C73)</f>
        <v>1.5640287174964513</v>
      </c>
      <c r="D89" s="35">
        <f t="shared" si="43"/>
        <v>4.574291346377322</v>
      </c>
      <c r="E89" s="35">
        <f t="shared" si="43"/>
        <v>8.6267695176739849</v>
      </c>
      <c r="F89" s="35">
        <f t="shared" si="43"/>
        <v>15.406648294149287</v>
      </c>
      <c r="G89" s="35">
        <f t="shared" si="43"/>
        <v>26.196393012676261</v>
      </c>
      <c r="H89" s="35">
        <f t="shared" si="43"/>
        <v>42.106682744177185</v>
      </c>
    </row>
    <row r="90" spans="2:8" x14ac:dyDescent="0.2">
      <c r="B90" s="32" t="s">
        <v>87</v>
      </c>
      <c r="C90" s="35">
        <f t="shared" si="43"/>
        <v>4.7067636216140194</v>
      </c>
      <c r="D90" s="35">
        <f t="shared" si="43"/>
        <v>11.816735093722048</v>
      </c>
      <c r="E90" s="35">
        <f t="shared" si="43"/>
        <v>19.511504235256904</v>
      </c>
      <c r="F90" s="35">
        <f t="shared" si="43"/>
        <v>30.603561819532782</v>
      </c>
      <c r="G90" s="35">
        <f t="shared" si="43"/>
        <v>44.681645931751255</v>
      </c>
      <c r="H90" s="35">
        <f t="shared" si="43"/>
        <v>60.029176631283811</v>
      </c>
    </row>
    <row r="91" spans="2:8" x14ac:dyDescent="0.2">
      <c r="B91" s="33" t="s">
        <v>88</v>
      </c>
      <c r="C91" s="35">
        <f t="shared" si="43"/>
        <v>5.0437707216373449</v>
      </c>
      <c r="D91" s="35">
        <f t="shared" si="43"/>
        <v>12.138538209102025</v>
      </c>
      <c r="E91" s="35">
        <f t="shared" si="43"/>
        <v>19.913428549294824</v>
      </c>
      <c r="F91" s="35">
        <f t="shared" si="43"/>
        <v>30.993575309303147</v>
      </c>
      <c r="G91" s="35">
        <f t="shared" si="43"/>
        <v>44.755119329140925</v>
      </c>
      <c r="H91" s="35">
        <f t="shared" si="43"/>
        <v>59.60321489277807</v>
      </c>
    </row>
    <row r="92" spans="2:8" x14ac:dyDescent="0.2">
      <c r="B92" t="s">
        <v>94</v>
      </c>
      <c r="C92" s="35">
        <f t="shared" si="43"/>
        <v>4.2332051278352125</v>
      </c>
      <c r="D92" s="35">
        <f t="shared" si="43"/>
        <v>10.395877963801285</v>
      </c>
      <c r="E92" s="35">
        <f t="shared" si="43"/>
        <v>17.262407801412238</v>
      </c>
      <c r="F92" s="35">
        <f t="shared" si="43"/>
        <v>27.277311850071271</v>
      </c>
      <c r="G92" s="35">
        <f t="shared" si="43"/>
        <v>40.270316160252243</v>
      </c>
      <c r="H92" s="35">
        <f t="shared" si="43"/>
        <v>55.244508926268196</v>
      </c>
    </row>
    <row r="93" spans="2:8" ht="13.5" thickBot="1" x14ac:dyDescent="0.25"/>
    <row r="94" spans="2:8" ht="26.25" thickBot="1" x14ac:dyDescent="0.25">
      <c r="B94" s="20" t="s">
        <v>98</v>
      </c>
      <c r="C94" s="2">
        <v>2020</v>
      </c>
      <c r="D94" s="2">
        <v>2025</v>
      </c>
      <c r="E94" s="2">
        <v>2030</v>
      </c>
      <c r="F94" s="2">
        <v>2035</v>
      </c>
      <c r="G94" s="2">
        <v>2040</v>
      </c>
      <c r="H94" s="2">
        <v>2045</v>
      </c>
    </row>
    <row r="95" spans="2:8" x14ac:dyDescent="0.2">
      <c r="B95" s="28"/>
      <c r="C95" s="28"/>
      <c r="D95" s="28"/>
      <c r="E95" s="28"/>
      <c r="F95" s="28"/>
      <c r="G95" s="28"/>
      <c r="H95" s="28"/>
    </row>
    <row r="96" spans="2:8" x14ac:dyDescent="0.2">
      <c r="B96" s="29" t="s">
        <v>85</v>
      </c>
      <c r="C96" s="35">
        <f>100*(C56/C80)</f>
        <v>0.1515923247319404</v>
      </c>
      <c r="D96" s="35">
        <f t="shared" ref="D96:H96" si="44">100*(D56/D80)</f>
        <v>0.55414297032781656</v>
      </c>
      <c r="E96" s="35">
        <f t="shared" si="44"/>
        <v>1.4088494660208619</v>
      </c>
      <c r="F96" s="35">
        <f t="shared" si="44"/>
        <v>2.9843705550706012</v>
      </c>
      <c r="G96" s="35">
        <f t="shared" si="44"/>
        <v>5.8434337330997854</v>
      </c>
      <c r="H96" s="35">
        <f t="shared" si="44"/>
        <v>10.79963823170092</v>
      </c>
    </row>
    <row r="97" spans="2:8" x14ac:dyDescent="0.2">
      <c r="B97" s="31" t="s">
        <v>86</v>
      </c>
      <c r="C97" s="35">
        <f t="shared" ref="C97:H100" si="45">100*(C57/C81)</f>
        <v>0.20094686820662119</v>
      </c>
      <c r="D97" s="35">
        <f t="shared" si="45"/>
        <v>0.71419165566842846</v>
      </c>
      <c r="E97" s="35">
        <f t="shared" si="45"/>
        <v>1.7501953588755157</v>
      </c>
      <c r="F97" s="35">
        <f t="shared" si="45"/>
        <v>3.5530821788748184</v>
      </c>
      <c r="G97" s="35">
        <f t="shared" si="45"/>
        <v>6.6175190861723658</v>
      </c>
      <c r="H97" s="35">
        <f t="shared" si="45"/>
        <v>11.596090415319068</v>
      </c>
    </row>
    <row r="98" spans="2:8" x14ac:dyDescent="0.2">
      <c r="B98" s="32" t="s">
        <v>87</v>
      </c>
      <c r="C98" s="35">
        <f t="shared" si="45"/>
        <v>0.84130950873385202</v>
      </c>
      <c r="D98" s="35">
        <f t="shared" si="45"/>
        <v>2.3082044461411626</v>
      </c>
      <c r="E98" s="35">
        <f t="shared" si="45"/>
        <v>4.8674806008664628</v>
      </c>
      <c r="F98" s="35">
        <f t="shared" si="45"/>
        <v>8.7427829592429376</v>
      </c>
      <c r="G98" s="35">
        <f t="shared" si="45"/>
        <v>14.292269704496288</v>
      </c>
      <c r="H98" s="35">
        <f t="shared" si="45"/>
        <v>21.572638756588443</v>
      </c>
    </row>
    <row r="99" spans="2:8" x14ac:dyDescent="0.2">
      <c r="B99" s="33" t="s">
        <v>88</v>
      </c>
      <c r="C99" s="35">
        <f t="shared" si="45"/>
        <v>0.89020014611680987</v>
      </c>
      <c r="D99" s="35">
        <f t="shared" si="45"/>
        <v>2.4091350181976221</v>
      </c>
      <c r="E99" s="35">
        <f t="shared" si="45"/>
        <v>5.0522344120486427</v>
      </c>
      <c r="F99" s="35">
        <f t="shared" si="45"/>
        <v>9.0351798886905303</v>
      </c>
      <c r="G99" s="35">
        <f t="shared" si="45"/>
        <v>14.70854469466008</v>
      </c>
      <c r="H99" s="35">
        <f t="shared" si="45"/>
        <v>22.120727621985466</v>
      </c>
    </row>
    <row r="100" spans="2:8" x14ac:dyDescent="0.2">
      <c r="B100" t="s">
        <v>94</v>
      </c>
      <c r="C100" s="35">
        <f t="shared" si="45"/>
        <v>0.73943830717411863</v>
      </c>
      <c r="D100" s="35">
        <f t="shared" si="45"/>
        <v>2.0369885875439429</v>
      </c>
      <c r="E100" s="35">
        <f t="shared" si="45"/>
        <v>4.3213043453055429</v>
      </c>
      <c r="F100" s="35">
        <f t="shared" si="45"/>
        <v>7.8162995001416284</v>
      </c>
      <c r="G100" s="35">
        <f t="shared" si="45"/>
        <v>12.908321112381094</v>
      </c>
      <c r="H100" s="35">
        <f t="shared" si="45"/>
        <v>19.788260977416147</v>
      </c>
    </row>
  </sheetData>
  <phoneticPr fontId="7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A6A07-7261-4BEA-8174-7E173B5ACA1D}">
  <dimension ref="B7:AW108"/>
  <sheetViews>
    <sheetView topLeftCell="A10" zoomScaleNormal="100" workbookViewId="0">
      <selection activeCell="O1" sqref="O1"/>
    </sheetView>
  </sheetViews>
  <sheetFormatPr defaultRowHeight="12.75" x14ac:dyDescent="0.2"/>
  <cols>
    <col min="2" max="2" width="32.85546875" bestFit="1" customWidth="1"/>
    <col min="3" max="8" width="10.85546875" bestFit="1" customWidth="1"/>
    <col min="9" max="9" width="10.140625" bestFit="1" customWidth="1"/>
    <col min="10" max="10" width="3" customWidth="1"/>
    <col min="12" max="12" width="15.140625" bestFit="1" customWidth="1"/>
    <col min="13" max="13" width="13.28515625" bestFit="1" customWidth="1"/>
    <col min="14" max="15" width="6" bestFit="1" customWidth="1"/>
    <col min="16" max="19" width="7.140625" bestFit="1" customWidth="1"/>
    <col min="20" max="20" width="2.7109375" customWidth="1"/>
    <col min="21" max="21" width="2.85546875" customWidth="1"/>
    <col min="22" max="22" width="3" customWidth="1"/>
    <col min="23" max="23" width="22.28515625" bestFit="1" customWidth="1"/>
    <col min="24" max="24" width="28" bestFit="1" customWidth="1"/>
    <col min="25" max="30" width="10.85546875" bestFit="1" customWidth="1"/>
    <col min="31" max="32" width="3" customWidth="1"/>
    <col min="33" max="33" width="3.140625" customWidth="1"/>
    <col min="34" max="34" width="19.140625" bestFit="1" customWidth="1"/>
    <col min="35" max="35" width="23.5703125" bestFit="1" customWidth="1"/>
    <col min="36" max="36" width="12.42578125" bestFit="1" customWidth="1"/>
    <col min="37" max="37" width="11.140625" customWidth="1"/>
    <col min="38" max="38" width="10.140625" bestFit="1" customWidth="1"/>
    <col min="39" max="39" width="2.42578125" customWidth="1"/>
    <col min="40" max="40" width="3.28515625" customWidth="1"/>
    <col min="41" max="41" width="2.85546875" customWidth="1"/>
    <col min="43" max="43" width="32.140625" bestFit="1" customWidth="1"/>
  </cols>
  <sheetData>
    <row r="7" spans="2:49" x14ac:dyDescent="0.2">
      <c r="B7" s="3"/>
      <c r="C7" s="3"/>
      <c r="D7" s="3"/>
      <c r="E7" s="3"/>
      <c r="F7" s="3"/>
      <c r="G7" s="3"/>
      <c r="H7" s="3"/>
    </row>
    <row r="9" spans="2:49" ht="38.25" x14ac:dyDescent="0.2">
      <c r="B9" s="4" t="s">
        <v>14</v>
      </c>
      <c r="J9" s="12"/>
      <c r="L9" s="4" t="s">
        <v>24</v>
      </c>
      <c r="U9" s="12"/>
      <c r="W9" s="4" t="s">
        <v>59</v>
      </c>
      <c r="AF9" s="12"/>
      <c r="AH9" s="21" t="s">
        <v>74</v>
      </c>
      <c r="AN9" s="12"/>
      <c r="AP9" s="21" t="s">
        <v>100</v>
      </c>
    </row>
    <row r="10" spans="2:49" x14ac:dyDescent="0.2">
      <c r="J10" s="12"/>
      <c r="U10" s="12"/>
      <c r="AF10" s="12"/>
      <c r="AN10" s="12"/>
    </row>
    <row r="11" spans="2:49" x14ac:dyDescent="0.2">
      <c r="J11" s="12"/>
      <c r="U11" s="12"/>
      <c r="AF11" s="12"/>
      <c r="AN11" s="12"/>
    </row>
    <row r="12" spans="2:49" ht="13.5" thickBot="1" x14ac:dyDescent="0.25">
      <c r="J12" s="12"/>
      <c r="U12" s="12"/>
      <c r="AF12" s="12"/>
      <c r="AN12" s="12"/>
    </row>
    <row r="13" spans="2:49" ht="39" thickBot="1" x14ac:dyDescent="0.25">
      <c r="B13" s="1" t="s">
        <v>1</v>
      </c>
      <c r="C13" s="2">
        <v>2020</v>
      </c>
      <c r="D13" s="2">
        <v>2025</v>
      </c>
      <c r="E13" s="2">
        <v>2030</v>
      </c>
      <c r="F13" s="2">
        <v>2035</v>
      </c>
      <c r="G13" s="2">
        <v>2040</v>
      </c>
      <c r="H13" s="2">
        <v>2045</v>
      </c>
      <c r="J13" s="12"/>
      <c r="L13" s="1" t="s">
        <v>15</v>
      </c>
      <c r="M13" s="1" t="s">
        <v>16</v>
      </c>
      <c r="N13" s="2">
        <v>2020</v>
      </c>
      <c r="O13" s="2">
        <v>2025</v>
      </c>
      <c r="P13" s="2">
        <v>2030</v>
      </c>
      <c r="Q13" s="2">
        <v>2035</v>
      </c>
      <c r="R13" s="2">
        <v>2040</v>
      </c>
      <c r="S13" s="2">
        <v>2045</v>
      </c>
      <c r="U13" s="12"/>
      <c r="W13" s="1" t="s">
        <v>54</v>
      </c>
      <c r="X13" s="1" t="s">
        <v>16</v>
      </c>
      <c r="Y13" s="2">
        <v>2020</v>
      </c>
      <c r="Z13" s="2">
        <v>2025</v>
      </c>
      <c r="AA13" s="2">
        <v>2030</v>
      </c>
      <c r="AB13" s="2">
        <v>2035</v>
      </c>
      <c r="AC13" s="2">
        <v>2040</v>
      </c>
      <c r="AD13" s="2">
        <v>2045</v>
      </c>
      <c r="AF13" s="12"/>
      <c r="AH13" s="1" t="s">
        <v>54</v>
      </c>
      <c r="AI13" s="1" t="s">
        <v>76</v>
      </c>
      <c r="AJ13" s="1" t="s">
        <v>78</v>
      </c>
      <c r="AK13" s="25" t="s">
        <v>79</v>
      </c>
      <c r="AL13" s="26" t="s">
        <v>80</v>
      </c>
      <c r="AN13" s="12"/>
      <c r="AP13" s="1" t="s">
        <v>28</v>
      </c>
      <c r="AQ13" s="1" t="s">
        <v>76</v>
      </c>
      <c r="AR13" s="2">
        <v>2020</v>
      </c>
      <c r="AS13" s="2">
        <v>2025</v>
      </c>
      <c r="AT13" s="2">
        <v>2030</v>
      </c>
      <c r="AU13" s="2">
        <v>2035</v>
      </c>
      <c r="AV13" s="2">
        <v>2040</v>
      </c>
      <c r="AW13" s="2">
        <v>2045</v>
      </c>
    </row>
    <row r="14" spans="2:49" ht="15.75" x14ac:dyDescent="0.3">
      <c r="J14" s="12"/>
      <c r="L14" s="13" t="s">
        <v>2</v>
      </c>
      <c r="M14" s="13" t="s">
        <v>17</v>
      </c>
      <c r="N14" s="8">
        <v>5435.5685615948669</v>
      </c>
      <c r="O14" s="8">
        <v>5398.8701927073816</v>
      </c>
      <c r="P14" s="8">
        <v>4973.0076650649298</v>
      </c>
      <c r="Q14" s="8">
        <v>4378.941023893055</v>
      </c>
      <c r="R14" s="8">
        <v>3774.1299901900475</v>
      </c>
      <c r="S14" s="8">
        <v>3256.4180370117883</v>
      </c>
      <c r="U14" s="12"/>
      <c r="W14" t="s">
        <v>26</v>
      </c>
      <c r="X14" t="s">
        <v>58</v>
      </c>
      <c r="Y14" s="8">
        <v>43075.928300000007</v>
      </c>
      <c r="Z14" s="8">
        <v>42083.792300000008</v>
      </c>
      <c r="AA14" s="8">
        <v>37611.539799999999</v>
      </c>
      <c r="AB14" s="8">
        <v>31777.893799999998</v>
      </c>
      <c r="AC14" s="8">
        <v>26369.455700000002</v>
      </c>
      <c r="AD14" s="8">
        <v>21749.945400000001</v>
      </c>
      <c r="AF14" s="12"/>
      <c r="AH14" t="s">
        <v>75</v>
      </c>
      <c r="AI14" t="s">
        <v>60</v>
      </c>
      <c r="AJ14" t="s">
        <v>77</v>
      </c>
      <c r="AK14" s="10">
        <f>100*(AD22-Y22)/Y22</f>
        <v>30.848468991082164</v>
      </c>
      <c r="AL14" s="10">
        <f>AK14/25</f>
        <v>1.2339387596432865</v>
      </c>
      <c r="AN14" s="12"/>
    </row>
    <row r="15" spans="2:49" ht="15.75" x14ac:dyDescent="0.3">
      <c r="B15" s="5" t="s">
        <v>2</v>
      </c>
      <c r="C15" s="8">
        <v>474636.30000000005</v>
      </c>
      <c r="D15" s="8">
        <v>360609.4</v>
      </c>
      <c r="E15" s="8">
        <v>95789.89999999998</v>
      </c>
      <c r="F15" s="8">
        <v>31894.899999999998</v>
      </c>
      <c r="G15" s="8">
        <v>8445.2000000000007</v>
      </c>
      <c r="H15" s="8">
        <v>2247.1</v>
      </c>
      <c r="J15" s="12"/>
      <c r="L15" s="13" t="s">
        <v>18</v>
      </c>
      <c r="M15" s="13" t="s">
        <v>17</v>
      </c>
      <c r="N15" s="8">
        <v>2578.325969384412</v>
      </c>
      <c r="O15" s="8">
        <v>2792.9779227112917</v>
      </c>
      <c r="P15" s="8">
        <v>3038.1348221369763</v>
      </c>
      <c r="Q15" s="8">
        <v>3325.4846012185085</v>
      </c>
      <c r="R15" s="8">
        <v>3649.2287870957407</v>
      </c>
      <c r="S15" s="8">
        <v>4053.2853888092232</v>
      </c>
      <c r="U15" s="12"/>
      <c r="W15" t="s">
        <v>28</v>
      </c>
      <c r="X15" t="s">
        <v>58</v>
      </c>
      <c r="Y15" s="8">
        <v>3382.806</v>
      </c>
      <c r="Z15" s="8">
        <v>3663.3789999999999</v>
      </c>
      <c r="AA15" s="8">
        <v>3911.4259999999999</v>
      </c>
      <c r="AB15" s="8">
        <v>3839.38</v>
      </c>
      <c r="AC15" s="8">
        <v>2861.3409999999999</v>
      </c>
      <c r="AD15" s="8">
        <v>1632.1949</v>
      </c>
      <c r="AF15" s="12"/>
      <c r="AH15" t="s">
        <v>28</v>
      </c>
      <c r="AI15" t="s">
        <v>61</v>
      </c>
      <c r="AJ15" t="s">
        <v>77</v>
      </c>
      <c r="AK15" s="10">
        <f>100*(AD25-Y25)/Y25</f>
        <v>69.145831001567117</v>
      </c>
      <c r="AL15" s="10">
        <f t="shared" ref="AL15:AL18" si="0">AK15/25</f>
        <v>2.7658332400626846</v>
      </c>
      <c r="AN15" s="12"/>
      <c r="AP15" t="s">
        <v>2</v>
      </c>
      <c r="AQ15" t="s">
        <v>101</v>
      </c>
      <c r="AR15" s="8">
        <v>58.171165748955545</v>
      </c>
      <c r="AS15" s="8">
        <v>59.379829266184778</v>
      </c>
      <c r="AT15" s="8">
        <v>59.803531351746329</v>
      </c>
      <c r="AU15" s="8">
        <v>54.332508299043681</v>
      </c>
      <c r="AV15" s="8">
        <v>36.387982207781903</v>
      </c>
      <c r="AW15" s="8">
        <v>18.373829958125722</v>
      </c>
    </row>
    <row r="16" spans="2:49" ht="15.75" x14ac:dyDescent="0.3">
      <c r="B16" s="5" t="s">
        <v>3</v>
      </c>
      <c r="C16" s="8">
        <v>27593.4</v>
      </c>
      <c r="D16" s="8">
        <v>184383.4</v>
      </c>
      <c r="E16" s="8">
        <v>505415.70000000007</v>
      </c>
      <c r="F16" s="8">
        <v>581829.1</v>
      </c>
      <c r="G16" s="8">
        <v>616058.19999999995</v>
      </c>
      <c r="H16" s="8">
        <v>628764.30000000005</v>
      </c>
      <c r="J16" s="12"/>
      <c r="L16" s="13" t="s">
        <v>19</v>
      </c>
      <c r="M16" s="13" t="s">
        <v>20</v>
      </c>
      <c r="N16" s="8">
        <v>35.182000000000002</v>
      </c>
      <c r="O16" s="8">
        <v>35.776600000000002</v>
      </c>
      <c r="P16" s="8">
        <v>35.0047</v>
      </c>
      <c r="Q16" s="8">
        <v>32.429499999999997</v>
      </c>
      <c r="R16" s="8">
        <v>28.283000000000001</v>
      </c>
      <c r="S16" s="8">
        <v>23.9008</v>
      </c>
      <c r="U16" s="12"/>
      <c r="W16" t="s">
        <v>29</v>
      </c>
      <c r="X16" t="s">
        <v>58</v>
      </c>
      <c r="Y16" s="8">
        <v>6869.0505999999996</v>
      </c>
      <c r="Z16" s="8">
        <v>7959.0069999999996</v>
      </c>
      <c r="AA16" s="8">
        <v>9272.6857999999993</v>
      </c>
      <c r="AB16" s="8">
        <v>10835.824000000001</v>
      </c>
      <c r="AC16" s="8">
        <v>12663.887999999999</v>
      </c>
      <c r="AD16" s="8">
        <v>14822.875</v>
      </c>
      <c r="AF16" s="12"/>
      <c r="AH16" t="s">
        <v>29</v>
      </c>
      <c r="AI16" t="s">
        <v>61</v>
      </c>
      <c r="AJ16" t="s">
        <v>77</v>
      </c>
      <c r="AK16" s="10">
        <f>100*(AD26-Y26)/Y26</f>
        <v>142.76086270423062</v>
      </c>
      <c r="AL16" s="10">
        <f t="shared" si="0"/>
        <v>5.7104345081692252</v>
      </c>
      <c r="AN16" s="12"/>
      <c r="AP16" t="s">
        <v>18</v>
      </c>
      <c r="AQ16" t="s">
        <v>101</v>
      </c>
      <c r="AR16" s="8">
        <v>41.828834251044448</v>
      </c>
      <c r="AS16" s="8">
        <v>40.497308285853585</v>
      </c>
      <c r="AT16" s="8">
        <v>38.489963858693116</v>
      </c>
      <c r="AU16" s="8">
        <v>33.520628342546431</v>
      </c>
      <c r="AV16" s="8">
        <v>22.32259797010699</v>
      </c>
      <c r="AW16" s="8">
        <v>11.389785720388691</v>
      </c>
    </row>
    <row r="17" spans="2:49" ht="16.5" thickBot="1" x14ac:dyDescent="0.35">
      <c r="B17" s="6" t="s">
        <v>4</v>
      </c>
      <c r="C17" s="9">
        <v>17956.699999999953</v>
      </c>
      <c r="D17" s="9">
        <v>14400.199999999953</v>
      </c>
      <c r="E17" s="9">
        <v>5131.4999999999272</v>
      </c>
      <c r="F17" s="9">
        <v>1865.6999999999789</v>
      </c>
      <c r="G17" s="9">
        <v>471.4000000000924</v>
      </c>
      <c r="H17" s="9">
        <v>88.400000000000091</v>
      </c>
      <c r="J17" s="12"/>
      <c r="L17" s="13" t="s">
        <v>21</v>
      </c>
      <c r="M17" s="13" t="s">
        <v>11</v>
      </c>
      <c r="N17" s="8">
        <v>555.16463123886149</v>
      </c>
      <c r="O17" s="8">
        <v>2909.5222032149313</v>
      </c>
      <c r="P17" s="8">
        <v>10917.133846461795</v>
      </c>
      <c r="Q17" s="8">
        <v>21685.03587630171</v>
      </c>
      <c r="R17" s="8">
        <v>33035.533994638557</v>
      </c>
      <c r="S17" s="8">
        <v>43396.418846700653</v>
      </c>
      <c r="U17" s="12"/>
      <c r="W17" t="s">
        <v>30</v>
      </c>
      <c r="X17" t="s">
        <v>58</v>
      </c>
      <c r="Y17" s="8">
        <v>19161.453000000001</v>
      </c>
      <c r="Z17" s="8">
        <v>20630.738000000001</v>
      </c>
      <c r="AA17" s="8">
        <v>22358.325000000001</v>
      </c>
      <c r="AB17" s="8">
        <v>24533.098999999998</v>
      </c>
      <c r="AC17" s="8">
        <v>27259.445</v>
      </c>
      <c r="AD17" s="8">
        <v>30690.496999999999</v>
      </c>
      <c r="AF17" s="12"/>
      <c r="AH17" t="s">
        <v>30</v>
      </c>
      <c r="AI17" t="s">
        <v>61</v>
      </c>
      <c r="AJ17" t="s">
        <v>77</v>
      </c>
      <c r="AK17" s="10">
        <f>100*(AD27-Y27)/Y27</f>
        <v>72.479541086819651</v>
      </c>
      <c r="AL17" s="10">
        <f t="shared" si="0"/>
        <v>2.8991816434727862</v>
      </c>
      <c r="AN17" s="12"/>
      <c r="AP17" t="s">
        <v>3</v>
      </c>
      <c r="AQ17" t="s">
        <v>101</v>
      </c>
      <c r="AR17" s="8">
        <v>0</v>
      </c>
      <c r="AS17" s="8">
        <v>0.12286244796162625</v>
      </c>
      <c r="AT17" s="8">
        <v>1.7065047895605465</v>
      </c>
      <c r="AU17" s="8">
        <v>12.146863358409876</v>
      </c>
      <c r="AV17" s="8">
        <v>41.289419822111107</v>
      </c>
      <c r="AW17" s="8">
        <v>70.236384321485588</v>
      </c>
    </row>
    <row r="18" spans="2:49" ht="16.5" thickBot="1" x14ac:dyDescent="0.35">
      <c r="B18" s="5" t="s">
        <v>5</v>
      </c>
      <c r="C18" s="8">
        <v>520186.4</v>
      </c>
      <c r="D18" s="8">
        <v>559393</v>
      </c>
      <c r="E18" s="8">
        <v>606337.1</v>
      </c>
      <c r="F18" s="8">
        <v>615589.69999999995</v>
      </c>
      <c r="G18" s="8">
        <v>624974.80000000005</v>
      </c>
      <c r="H18" s="8">
        <v>631099.80000000005</v>
      </c>
      <c r="J18" s="12"/>
      <c r="L18" s="13"/>
      <c r="M18" s="13" t="s">
        <v>12</v>
      </c>
      <c r="N18" s="8">
        <f>N17*1000/8760</f>
        <v>63.37495790397962</v>
      </c>
      <c r="O18" s="8">
        <f t="shared" ref="O18:S18" si="1">O17*1000/8760</f>
        <v>332.13723780992365</v>
      </c>
      <c r="P18" s="8">
        <f t="shared" si="1"/>
        <v>1246.2481559887894</v>
      </c>
      <c r="Q18" s="8">
        <f t="shared" si="1"/>
        <v>2475.4607164727977</v>
      </c>
      <c r="R18" s="8">
        <f t="shared" si="1"/>
        <v>3771.1796797532602</v>
      </c>
      <c r="S18" s="8">
        <f t="shared" si="1"/>
        <v>4953.9290920891153</v>
      </c>
      <c r="U18" s="12"/>
      <c r="W18" s="7" t="s">
        <v>27</v>
      </c>
      <c r="X18" s="7" t="s">
        <v>58</v>
      </c>
      <c r="Y18" s="9">
        <v>1898.1522</v>
      </c>
      <c r="Z18" s="9">
        <v>1973.8212000000001</v>
      </c>
      <c r="AA18" s="9">
        <v>2018.2233000000001</v>
      </c>
      <c r="AB18" s="9">
        <v>1932.6701</v>
      </c>
      <c r="AC18" s="9">
        <v>1697.5735</v>
      </c>
      <c r="AD18" s="9">
        <v>1423.8723</v>
      </c>
      <c r="AF18" s="12"/>
      <c r="AH18" s="17" t="s">
        <v>27</v>
      </c>
      <c r="AI18" s="17" t="s">
        <v>60</v>
      </c>
      <c r="AJ18" t="s">
        <v>77</v>
      </c>
      <c r="AK18" s="10">
        <f>100*(AD29-Y29)/Y29</f>
        <v>34.137442005425015</v>
      </c>
      <c r="AL18" s="10">
        <f t="shared" si="0"/>
        <v>1.3654976802170007</v>
      </c>
      <c r="AN18" s="12"/>
    </row>
    <row r="19" spans="2:49" ht="15.75" x14ac:dyDescent="0.3">
      <c r="J19" s="12"/>
      <c r="L19" s="13" t="s">
        <v>22</v>
      </c>
      <c r="M19" s="13" t="s">
        <v>23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U19" s="12"/>
      <c r="W19" t="s">
        <v>5</v>
      </c>
      <c r="X19" t="s">
        <v>58</v>
      </c>
      <c r="Y19" s="8">
        <f>SUM(Y14:Y18)</f>
        <v>74387.390100000004</v>
      </c>
      <c r="Z19" s="8">
        <f t="shared" ref="Z19:AD19" si="2">SUM(Z14:Z18)</f>
        <v>76310.737500000017</v>
      </c>
      <c r="AA19" s="8">
        <f t="shared" si="2"/>
        <v>75172.199899999992</v>
      </c>
      <c r="AB19" s="8">
        <f t="shared" si="2"/>
        <v>72918.866899999994</v>
      </c>
      <c r="AC19" s="8">
        <f t="shared" si="2"/>
        <v>70851.703199999989</v>
      </c>
      <c r="AD19" s="8">
        <f t="shared" si="2"/>
        <v>70319.384600000005</v>
      </c>
      <c r="AF19" s="12"/>
      <c r="AK19" s="10"/>
      <c r="AL19" s="10"/>
      <c r="AN19" s="12"/>
    </row>
    <row r="20" spans="2:49" ht="13.5" thickBot="1" x14ac:dyDescent="0.25">
      <c r="B20" s="5" t="s">
        <v>6</v>
      </c>
      <c r="C20" s="10">
        <v>5.3045216099459731</v>
      </c>
      <c r="D20" s="10">
        <v>32.9613348754811</v>
      </c>
      <c r="E20" s="10">
        <v>83.355562442080497</v>
      </c>
      <c r="F20" s="10">
        <v>94.515730201463739</v>
      </c>
      <c r="G20" s="10">
        <v>98.573286474910645</v>
      </c>
      <c r="H20" s="10">
        <v>99.629931747720406</v>
      </c>
      <c r="J20" s="12"/>
      <c r="U20" s="12"/>
      <c r="AF20" s="12"/>
      <c r="AK20" s="10"/>
      <c r="AL20" s="10"/>
      <c r="AN20" s="12"/>
    </row>
    <row r="21" spans="2:49" ht="39" thickBot="1" x14ac:dyDescent="0.25">
      <c r="J21" s="12"/>
      <c r="L21" s="1" t="s">
        <v>25</v>
      </c>
      <c r="U21" s="12"/>
      <c r="W21" s="1" t="s">
        <v>63</v>
      </c>
      <c r="X21" s="1" t="s">
        <v>16</v>
      </c>
      <c r="Y21" s="2">
        <v>2020</v>
      </c>
      <c r="Z21" s="2">
        <v>2025</v>
      </c>
      <c r="AA21" s="2">
        <v>2030</v>
      </c>
      <c r="AB21" s="2">
        <v>2035</v>
      </c>
      <c r="AC21" s="2">
        <v>2040</v>
      </c>
      <c r="AD21" s="2">
        <v>2045</v>
      </c>
      <c r="AF21" s="12"/>
      <c r="AH21" s="1" t="s">
        <v>54</v>
      </c>
      <c r="AI21" s="1" t="s">
        <v>76</v>
      </c>
      <c r="AJ21" s="1" t="s">
        <v>78</v>
      </c>
      <c r="AK21" s="25" t="s">
        <v>79</v>
      </c>
      <c r="AL21" s="26" t="s">
        <v>80</v>
      </c>
      <c r="AN21" s="12"/>
    </row>
    <row r="22" spans="2:49" ht="27.75" thickBot="1" x14ac:dyDescent="0.35">
      <c r="B22" s="1" t="s">
        <v>7</v>
      </c>
      <c r="C22" s="2">
        <v>2020</v>
      </c>
      <c r="D22" s="2">
        <v>2025</v>
      </c>
      <c r="E22" s="2">
        <v>2030</v>
      </c>
      <c r="F22" s="2">
        <v>2035</v>
      </c>
      <c r="G22" s="2">
        <v>2040</v>
      </c>
      <c r="H22" s="2">
        <v>2045</v>
      </c>
      <c r="J22" s="12"/>
      <c r="L22" s="1" t="s">
        <v>54</v>
      </c>
      <c r="M22" s="1" t="s">
        <v>16</v>
      </c>
      <c r="N22" s="2">
        <v>2020</v>
      </c>
      <c r="O22" s="2">
        <v>2025</v>
      </c>
      <c r="P22" s="2">
        <v>2030</v>
      </c>
      <c r="Q22" s="2">
        <v>2035</v>
      </c>
      <c r="R22" s="2">
        <v>2040</v>
      </c>
      <c r="S22" s="2">
        <v>2045</v>
      </c>
      <c r="U22" s="12"/>
      <c r="W22" t="s">
        <v>26</v>
      </c>
      <c r="X22" t="s">
        <v>60</v>
      </c>
      <c r="Y22" s="8">
        <v>143598.35690000001</v>
      </c>
      <c r="Z22" s="8">
        <v>152710.3493</v>
      </c>
      <c r="AA22" s="8">
        <v>161621.1531</v>
      </c>
      <c r="AB22" s="8">
        <v>170610.22960000002</v>
      </c>
      <c r="AC22" s="8">
        <v>179290.19320000004</v>
      </c>
      <c r="AD22" s="8">
        <v>187896.25150000001</v>
      </c>
      <c r="AF22" s="12"/>
      <c r="AH22" t="s">
        <v>75</v>
      </c>
      <c r="AI22" t="s">
        <v>58</v>
      </c>
      <c r="AJ22" t="s">
        <v>77</v>
      </c>
      <c r="AK22" s="10">
        <f>100*(AD14-Y14)/Y14</f>
        <v>-49.507889305313014</v>
      </c>
      <c r="AL22" s="10">
        <f>AK22/25</f>
        <v>-1.9803155722125205</v>
      </c>
      <c r="AN22" s="12"/>
    </row>
    <row r="23" spans="2:49" ht="15.75" x14ac:dyDescent="0.3">
      <c r="J23" s="12"/>
      <c r="L23" s="14" t="s">
        <v>26</v>
      </c>
      <c r="M23" s="13" t="s">
        <v>17</v>
      </c>
      <c r="N23" s="8">
        <v>4941.0737741715584</v>
      </c>
      <c r="O23" s="8">
        <v>4825.2356882762761</v>
      </c>
      <c r="P23" s="8">
        <v>4307.3350182066088</v>
      </c>
      <c r="Q23" s="8">
        <v>3634.5418419433681</v>
      </c>
      <c r="R23" s="8">
        <v>3012.9857173735932</v>
      </c>
      <c r="S23" s="8">
        <v>2483.3712984054669</v>
      </c>
      <c r="U23" s="12"/>
      <c r="W23" t="s">
        <v>26</v>
      </c>
      <c r="X23" t="s">
        <v>62</v>
      </c>
      <c r="Y23" s="8">
        <f>C27</f>
        <v>13039439.4</v>
      </c>
      <c r="Z23" s="8">
        <f t="shared" ref="Z23:AD23" si="3">D27</f>
        <v>13657700.6</v>
      </c>
      <c r="AA23" s="8">
        <f t="shared" si="3"/>
        <v>14195982.1</v>
      </c>
      <c r="AB23" s="8">
        <f t="shared" si="3"/>
        <v>14678102.600000001</v>
      </c>
      <c r="AC23" s="8">
        <f t="shared" si="3"/>
        <v>15123386.4</v>
      </c>
      <c r="AD23" s="8">
        <f t="shared" si="3"/>
        <v>15547336.5</v>
      </c>
      <c r="AF23" s="12"/>
      <c r="AH23" t="s">
        <v>28</v>
      </c>
      <c r="AI23" t="s">
        <v>58</v>
      </c>
      <c r="AJ23" t="s">
        <v>77</v>
      </c>
      <c r="AK23" s="10">
        <f t="shared" ref="AK23:AK27" si="4">100*(AD15-Y15)/Y15</f>
        <v>-51.750265903513238</v>
      </c>
      <c r="AL23" s="10">
        <f t="shared" ref="AL23:AL27" si="5">AK23/25</f>
        <v>-2.0700106361405295</v>
      </c>
      <c r="AN23" s="12"/>
    </row>
    <row r="24" spans="2:49" ht="15.75" x14ac:dyDescent="0.3">
      <c r="B24" s="5" t="s">
        <v>2</v>
      </c>
      <c r="C24" s="8">
        <v>12469927.5</v>
      </c>
      <c r="D24" s="8">
        <v>12601114.300000001</v>
      </c>
      <c r="E24" s="8">
        <v>11491918.799999999</v>
      </c>
      <c r="F24" s="8">
        <v>9835742</v>
      </c>
      <c r="G24" s="8">
        <v>8276440.5</v>
      </c>
      <c r="H24" s="8">
        <v>6933787.9000000004</v>
      </c>
      <c r="J24" s="12"/>
      <c r="L24" s="14" t="s">
        <v>28</v>
      </c>
      <c r="M24" s="13" t="s">
        <v>17</v>
      </c>
      <c r="N24" s="8">
        <v>251.35676637347657</v>
      </c>
      <c r="O24" s="8">
        <v>276.99150358312687</v>
      </c>
      <c r="P24" s="8">
        <v>301.4274312887618</v>
      </c>
      <c r="Q24" s="8">
        <v>299.92434697304759</v>
      </c>
      <c r="R24" s="8">
        <v>223.84816188085065</v>
      </c>
      <c r="S24" s="8">
        <v>127.21014914453886</v>
      </c>
      <c r="U24" s="12"/>
      <c r="Y24" s="8"/>
      <c r="Z24" s="8"/>
      <c r="AA24" s="8"/>
      <c r="AB24" s="8"/>
      <c r="AC24" s="8"/>
      <c r="AD24" s="8"/>
      <c r="AF24" s="12"/>
      <c r="AH24" t="s">
        <v>29</v>
      </c>
      <c r="AI24" t="s">
        <v>58</v>
      </c>
      <c r="AJ24" t="s">
        <v>77</v>
      </c>
      <c r="AK24" s="10">
        <f t="shared" si="4"/>
        <v>115.79219404789362</v>
      </c>
      <c r="AL24" s="10">
        <f t="shared" si="5"/>
        <v>4.631687761915745</v>
      </c>
      <c r="AN24" s="12"/>
    </row>
    <row r="25" spans="2:49" ht="15.75" x14ac:dyDescent="0.3">
      <c r="B25" s="5" t="s">
        <v>3</v>
      </c>
      <c r="C25" s="8">
        <v>102002.8</v>
      </c>
      <c r="D25" s="8">
        <v>581129.10000000009</v>
      </c>
      <c r="E25" s="8">
        <v>2263832.5</v>
      </c>
      <c r="F25" s="8">
        <v>4460744.8</v>
      </c>
      <c r="G25" s="8">
        <v>6524508.6999999993</v>
      </c>
      <c r="H25" s="8">
        <v>8343250.2999999998</v>
      </c>
      <c r="J25" s="12"/>
      <c r="L25" s="14" t="s">
        <v>29</v>
      </c>
      <c r="M25" s="13" t="s">
        <v>17</v>
      </c>
      <c r="N25" s="8">
        <v>62.929185441364751</v>
      </c>
      <c r="O25" s="8">
        <v>78.862045458324332</v>
      </c>
      <c r="P25" s="8">
        <v>99.049764727399705</v>
      </c>
      <c r="Q25" s="8">
        <v>123.2662155196781</v>
      </c>
      <c r="R25" s="8">
        <v>151.54382056099629</v>
      </c>
      <c r="S25" s="8">
        <v>184.63495336115591</v>
      </c>
      <c r="U25" s="12"/>
      <c r="W25" t="s">
        <v>28</v>
      </c>
      <c r="X25" t="s">
        <v>61</v>
      </c>
      <c r="Y25" s="8">
        <v>6012.9670000000006</v>
      </c>
      <c r="Z25" s="8">
        <v>6617.4003000000002</v>
      </c>
      <c r="AA25" s="8">
        <v>7263.6831000000011</v>
      </c>
      <c r="AB25" s="8">
        <v>8040.5951000000005</v>
      </c>
      <c r="AC25" s="8">
        <v>9011.8050000000003</v>
      </c>
      <c r="AD25" s="8">
        <v>10170.683000000001</v>
      </c>
      <c r="AF25" s="12"/>
      <c r="AH25" t="s">
        <v>30</v>
      </c>
      <c r="AI25" t="s">
        <v>58</v>
      </c>
      <c r="AJ25" t="s">
        <v>77</v>
      </c>
      <c r="AK25" s="10">
        <f t="shared" si="4"/>
        <v>60.167900628412667</v>
      </c>
      <c r="AL25" s="10">
        <f t="shared" si="5"/>
        <v>2.4067160251365065</v>
      </c>
      <c r="AN25" s="12"/>
    </row>
    <row r="26" spans="2:49" ht="16.5" thickBot="1" x14ac:dyDescent="0.35">
      <c r="B26" s="6" t="s">
        <v>4</v>
      </c>
      <c r="C26" s="9">
        <v>467509.09999999963</v>
      </c>
      <c r="D26" s="9">
        <v>475457.19999999925</v>
      </c>
      <c r="E26" s="9">
        <v>440230.80000000075</v>
      </c>
      <c r="F26" s="9">
        <v>381615.80000000075</v>
      </c>
      <c r="G26" s="9">
        <v>322437.20000000112</v>
      </c>
      <c r="H26" s="9">
        <v>270298.29999999981</v>
      </c>
      <c r="J26" s="12"/>
      <c r="L26" s="14" t="s">
        <v>30</v>
      </c>
      <c r="M26" s="13" t="s">
        <v>17</v>
      </c>
      <c r="N26" s="8">
        <v>172.72916216351032</v>
      </c>
      <c r="O26" s="8">
        <v>209.95876494355122</v>
      </c>
      <c r="P26" s="8">
        <v>257.16043429825584</v>
      </c>
      <c r="Q26" s="8">
        <v>313.49533611559121</v>
      </c>
      <c r="R26" s="8">
        <v>378.99423041750498</v>
      </c>
      <c r="S26" s="8">
        <v>455.49357364946877</v>
      </c>
      <c r="U26" s="12"/>
      <c r="W26" t="s">
        <v>29</v>
      </c>
      <c r="X26" t="s">
        <v>61</v>
      </c>
      <c r="Y26" s="8">
        <v>27480.519</v>
      </c>
      <c r="Z26" s="8">
        <v>33123.019</v>
      </c>
      <c r="AA26" s="8">
        <v>39784.239999999998</v>
      </c>
      <c r="AB26" s="8">
        <v>47495.492999999995</v>
      </c>
      <c r="AC26" s="8">
        <v>56352.397000000004</v>
      </c>
      <c r="AD26" s="8">
        <v>66711.945000000007</v>
      </c>
      <c r="AF26" s="12"/>
      <c r="AH26" s="17" t="s">
        <v>27</v>
      </c>
      <c r="AI26" t="s">
        <v>58</v>
      </c>
      <c r="AJ26" t="s">
        <v>77</v>
      </c>
      <c r="AK26" s="10">
        <f t="shared" si="4"/>
        <v>-24.986399931470196</v>
      </c>
      <c r="AL26" s="10">
        <f t="shared" si="5"/>
        <v>-0.99945599725880785</v>
      </c>
      <c r="AN26" s="12"/>
    </row>
    <row r="27" spans="2:49" ht="15.75" x14ac:dyDescent="0.3">
      <c r="B27" s="5" t="s">
        <v>5</v>
      </c>
      <c r="C27" s="8">
        <v>13039439.4</v>
      </c>
      <c r="D27" s="8">
        <v>13657700.6</v>
      </c>
      <c r="E27" s="8">
        <v>14195982.1</v>
      </c>
      <c r="F27" s="8">
        <v>14678102.600000001</v>
      </c>
      <c r="G27" s="8">
        <v>15123386.4</v>
      </c>
      <c r="H27" s="8">
        <v>15547336.5</v>
      </c>
      <c r="J27" s="12"/>
      <c r="L27" s="14" t="s">
        <v>27</v>
      </c>
      <c r="M27" s="13" t="s">
        <v>17</v>
      </c>
      <c r="N27" s="8">
        <v>7.4796734449561884</v>
      </c>
      <c r="O27" s="8">
        <v>7.8221904461034537</v>
      </c>
      <c r="P27" s="8">
        <v>8.0350165439036978</v>
      </c>
      <c r="Q27" s="8">
        <v>7.7132833413697357</v>
      </c>
      <c r="R27" s="8">
        <v>6.7580599571022395</v>
      </c>
      <c r="S27" s="8">
        <v>5.7080624511580735</v>
      </c>
      <c r="U27" s="12"/>
      <c r="W27" t="s">
        <v>30</v>
      </c>
      <c r="X27" t="s">
        <v>61</v>
      </c>
      <c r="Y27" s="8">
        <v>219091.55000000002</v>
      </c>
      <c r="Z27" s="8">
        <v>241270.53000000003</v>
      </c>
      <c r="AA27" s="8">
        <v>266492.24</v>
      </c>
      <c r="AB27" s="8">
        <v>296629.53000000003</v>
      </c>
      <c r="AC27" s="8">
        <v>333043.93</v>
      </c>
      <c r="AD27" s="8">
        <v>377888.10000000003</v>
      </c>
      <c r="AF27" s="12"/>
      <c r="AH27" s="27" t="s">
        <v>81</v>
      </c>
      <c r="AI27" t="s">
        <v>58</v>
      </c>
      <c r="AJ27" t="s">
        <v>77</v>
      </c>
      <c r="AK27" s="10">
        <f t="shared" si="4"/>
        <v>-5.4686762024199567</v>
      </c>
      <c r="AL27" s="10">
        <f t="shared" si="5"/>
        <v>-0.21874704809679826</v>
      </c>
      <c r="AN27" s="12"/>
    </row>
    <row r="28" spans="2:49" ht="13.5" thickBot="1" x14ac:dyDescent="0.25">
      <c r="J28" s="12"/>
      <c r="U28" s="12"/>
      <c r="Y28" s="8"/>
      <c r="Z28" s="8"/>
      <c r="AA28" s="8"/>
      <c r="AB28" s="8"/>
      <c r="AC28" s="8"/>
      <c r="AD28" s="8"/>
      <c r="AF28" s="12"/>
      <c r="AN28" s="12"/>
    </row>
    <row r="29" spans="2:49" ht="39" thickBot="1" x14ac:dyDescent="0.25">
      <c r="B29" s="5" t="s">
        <v>8</v>
      </c>
      <c r="C29" s="10">
        <v>0.78226369148968167</v>
      </c>
      <c r="D29" s="10">
        <v>4.2549556255465149</v>
      </c>
      <c r="E29" s="10">
        <v>15.946994607720729</v>
      </c>
      <c r="F29" s="10">
        <v>30.390472948458608</v>
      </c>
      <c r="G29" s="10">
        <v>43.141850161283976</v>
      </c>
      <c r="H29" s="10">
        <v>53.663534586776329</v>
      </c>
      <c r="J29" s="12"/>
      <c r="L29" s="1" t="s">
        <v>31</v>
      </c>
      <c r="U29" s="12"/>
      <c r="W29" s="17" t="s">
        <v>27</v>
      </c>
      <c r="X29" s="17" t="s">
        <v>60</v>
      </c>
      <c r="Y29" s="19">
        <v>700.75519999999995</v>
      </c>
      <c r="Z29" s="19">
        <v>750.68719999999996</v>
      </c>
      <c r="AA29" s="19">
        <v>801.03160000000003</v>
      </c>
      <c r="AB29" s="19">
        <v>851.33890000000008</v>
      </c>
      <c r="AC29" s="19">
        <v>897.94470000000001</v>
      </c>
      <c r="AD29" s="19">
        <v>939.9751</v>
      </c>
      <c r="AF29" s="12"/>
      <c r="AH29" s="1" t="s">
        <v>54</v>
      </c>
      <c r="AI29" s="1" t="s">
        <v>76</v>
      </c>
      <c r="AJ29" s="1" t="s">
        <v>78</v>
      </c>
      <c r="AK29" s="25" t="s">
        <v>79</v>
      </c>
      <c r="AL29" s="26" t="s">
        <v>80</v>
      </c>
      <c r="AN29" s="12"/>
    </row>
    <row r="30" spans="2:49" ht="13.5" thickBot="1" x14ac:dyDescent="0.25">
      <c r="J30" s="12"/>
      <c r="L30" s="1" t="s">
        <v>54</v>
      </c>
      <c r="M30" s="1" t="s">
        <v>16</v>
      </c>
      <c r="N30" s="2">
        <v>2020</v>
      </c>
      <c r="O30" s="2">
        <v>2025</v>
      </c>
      <c r="P30" s="2">
        <v>2030</v>
      </c>
      <c r="Q30" s="2">
        <v>2035</v>
      </c>
      <c r="R30" s="2">
        <v>2040</v>
      </c>
      <c r="S30" s="2">
        <v>2045</v>
      </c>
      <c r="U30" s="12"/>
      <c r="AF30" s="12"/>
      <c r="AH30" s="13" t="s">
        <v>2</v>
      </c>
      <c r="AI30" s="13" t="s">
        <v>17</v>
      </c>
      <c r="AJ30" t="s">
        <v>77</v>
      </c>
      <c r="AK30" s="10">
        <f>100*(S14-N14)/N14</f>
        <v>-40.09057194089899</v>
      </c>
      <c r="AL30" s="10">
        <f>AK30/25</f>
        <v>-1.6036228776359596</v>
      </c>
      <c r="AN30" s="12"/>
    </row>
    <row r="31" spans="2:49" ht="13.5" thickBot="1" x14ac:dyDescent="0.25">
      <c r="B31" s="11" t="s">
        <v>11</v>
      </c>
      <c r="C31" s="2">
        <v>2020</v>
      </c>
      <c r="D31" s="2">
        <v>2025</v>
      </c>
      <c r="E31" s="2">
        <v>2030</v>
      </c>
      <c r="F31" s="2">
        <v>2035</v>
      </c>
      <c r="G31" s="2">
        <v>2040</v>
      </c>
      <c r="H31" s="2">
        <v>2045</v>
      </c>
      <c r="J31" s="12"/>
      <c r="L31" s="14" t="s">
        <v>26</v>
      </c>
      <c r="M31" s="13" t="s">
        <v>17</v>
      </c>
      <c r="N31" s="8">
        <v>21.012367066770508</v>
      </c>
      <c r="O31" s="8">
        <v>20.446786673557476</v>
      </c>
      <c r="P31" s="8">
        <v>18.374447703830953</v>
      </c>
      <c r="Q31" s="8">
        <v>15.626615034102239</v>
      </c>
      <c r="R31" s="8">
        <v>12.989423573856644</v>
      </c>
      <c r="S31" s="8">
        <v>10.710360239043244</v>
      </c>
      <c r="U31" s="12"/>
      <c r="W31" s="1" t="s">
        <v>64</v>
      </c>
      <c r="X31" s="1" t="s">
        <v>16</v>
      </c>
      <c r="Y31" s="2">
        <v>2020</v>
      </c>
      <c r="Z31" s="2">
        <v>2025</v>
      </c>
      <c r="AA31" s="2">
        <v>2030</v>
      </c>
      <c r="AB31" s="2">
        <v>2035</v>
      </c>
      <c r="AC31" s="2">
        <v>2040</v>
      </c>
      <c r="AD31" s="2">
        <v>2045</v>
      </c>
      <c r="AF31" s="12"/>
      <c r="AH31" s="13" t="s">
        <v>18</v>
      </c>
      <c r="AI31" s="13" t="s">
        <v>17</v>
      </c>
      <c r="AJ31" t="s">
        <v>77</v>
      </c>
      <c r="AK31" s="10">
        <f>100*(S15-N15)/N15</f>
        <v>57.206087862387896</v>
      </c>
      <c r="AL31" s="10">
        <f t="shared" ref="AL31:AL36" si="6">AK31/25</f>
        <v>2.288243514495516</v>
      </c>
      <c r="AN31" s="12"/>
    </row>
    <row r="32" spans="2:49" ht="15.75" x14ac:dyDescent="0.3">
      <c r="J32" s="12"/>
      <c r="L32" s="14" t="s">
        <v>28</v>
      </c>
      <c r="M32" s="13" t="s">
        <v>17</v>
      </c>
      <c r="N32" s="8">
        <v>122.49656065977099</v>
      </c>
      <c r="O32" s="8">
        <v>128.7128496662566</v>
      </c>
      <c r="P32" s="8">
        <v>132.74907010430846</v>
      </c>
      <c r="Q32" s="8">
        <v>126.9687948115096</v>
      </c>
      <c r="R32" s="8">
        <v>94.355842510973119</v>
      </c>
      <c r="S32" s="8">
        <v>54.218560062890788</v>
      </c>
      <c r="U32" s="12"/>
      <c r="W32" t="s">
        <v>26</v>
      </c>
      <c r="X32" t="s">
        <v>65</v>
      </c>
      <c r="Y32" s="18">
        <f>((Y14*1000)*1000)/(Y22*1000000)</f>
        <v>0.29997507791817923</v>
      </c>
      <c r="Z32" s="18">
        <f t="shared" ref="Z32:AD32" si="7">((Z14*1000)*1000)/(Z22*1000000)</f>
        <v>0.27557917647956043</v>
      </c>
      <c r="AA32" s="18">
        <f t="shared" si="7"/>
        <v>0.23271421517905258</v>
      </c>
      <c r="AB32" s="18">
        <f t="shared" si="7"/>
        <v>0.18626019010996039</v>
      </c>
      <c r="AC32" s="18">
        <f t="shared" si="7"/>
        <v>0.14707695512706936</v>
      </c>
      <c r="AD32" s="18">
        <f t="shared" si="7"/>
        <v>0.11575507880741305</v>
      </c>
      <c r="AF32" s="12"/>
      <c r="AH32" s="13" t="s">
        <v>19</v>
      </c>
      <c r="AI32" s="13" t="s">
        <v>20</v>
      </c>
      <c r="AJ32" t="s">
        <v>77</v>
      </c>
      <c r="AK32" s="10">
        <f>100*(S16-N16)/N16</f>
        <v>-32.065260644647836</v>
      </c>
      <c r="AL32" s="10">
        <f t="shared" si="6"/>
        <v>-1.2826104257859134</v>
      </c>
      <c r="AN32" s="12"/>
    </row>
    <row r="33" spans="2:40" ht="15.75" x14ac:dyDescent="0.3">
      <c r="B33" t="s">
        <v>9</v>
      </c>
      <c r="C33" s="8">
        <v>553.25966892927352</v>
      </c>
      <c r="D33" s="8">
        <v>2898.6492644940522</v>
      </c>
      <c r="E33" s="8">
        <v>10789.442757494488</v>
      </c>
      <c r="F33" s="8">
        <v>20733.727006005905</v>
      </c>
      <c r="G33" s="8">
        <v>29615.599120903855</v>
      </c>
      <c r="H33" s="8">
        <v>36984.696705089271</v>
      </c>
      <c r="J33" s="12"/>
      <c r="L33" s="14" t="s">
        <v>29</v>
      </c>
      <c r="M33" s="13" t="s">
        <v>17</v>
      </c>
      <c r="N33" s="8">
        <v>623.37004389253241</v>
      </c>
      <c r="O33" s="8">
        <v>717.03146723346015</v>
      </c>
      <c r="P33" s="8">
        <v>828.78927944912311</v>
      </c>
      <c r="Q33" s="8">
        <v>961.88555913845425</v>
      </c>
      <c r="R33" s="8">
        <v>1118.1029399989807</v>
      </c>
      <c r="S33" s="8">
        <v>1303.4917492229636</v>
      </c>
      <c r="U33" s="12"/>
      <c r="W33" t="s">
        <v>26</v>
      </c>
      <c r="X33" t="s">
        <v>66</v>
      </c>
      <c r="Y33" s="18">
        <f>(Y14*1000)/(Y23)</f>
        <v>3.3035107552246457</v>
      </c>
      <c r="Z33" s="18">
        <f t="shared" ref="Z33:AD33" si="8">(Z14*1000)/(Z23)</f>
        <v>3.0813233890923053</v>
      </c>
      <c r="AA33" s="18">
        <f t="shared" si="8"/>
        <v>2.6494496495596453</v>
      </c>
      <c r="AB33" s="18">
        <f t="shared" si="8"/>
        <v>2.1649864881037142</v>
      </c>
      <c r="AC33" s="18">
        <f t="shared" si="8"/>
        <v>1.743621104595992</v>
      </c>
      <c r="AD33" s="18">
        <f t="shared" si="8"/>
        <v>1.3989499358941644</v>
      </c>
      <c r="AF33" s="12"/>
      <c r="AH33" s="13" t="s">
        <v>21</v>
      </c>
      <c r="AI33" s="13" t="s">
        <v>11</v>
      </c>
      <c r="AJ33" t="s">
        <v>77</v>
      </c>
      <c r="AK33" s="10">
        <f>100*(S17-N17)/N17</f>
        <v>7716.8558306498444</v>
      </c>
      <c r="AL33" s="10">
        <f t="shared" si="6"/>
        <v>308.67423322599376</v>
      </c>
      <c r="AN33" s="12"/>
    </row>
    <row r="34" spans="2:40" x14ac:dyDescent="0.2">
      <c r="B34" t="s">
        <v>13</v>
      </c>
      <c r="C34" s="8">
        <v>0</v>
      </c>
      <c r="D34" s="8">
        <v>6.8871714269720981</v>
      </c>
      <c r="E34" s="8">
        <v>103.60064252913347</v>
      </c>
      <c r="F34" s="8">
        <v>806.20935653010827</v>
      </c>
      <c r="G34" s="8">
        <v>3037.5356704192468</v>
      </c>
      <c r="H34" s="8">
        <v>5774.145910148497</v>
      </c>
      <c r="J34" s="12"/>
      <c r="L34" s="14" t="s">
        <v>30</v>
      </c>
      <c r="M34" s="13" t="s">
        <v>17</v>
      </c>
      <c r="N34" s="8">
        <v>1731.6586718687442</v>
      </c>
      <c r="O34" s="8">
        <v>1843.7833470421672</v>
      </c>
      <c r="P34" s="8">
        <v>1973.2430248724347</v>
      </c>
      <c r="Q34" s="8">
        <v>2139.187369432454</v>
      </c>
      <c r="R34" s="8">
        <v>2351.4095835668686</v>
      </c>
      <c r="S34" s="8">
        <v>2623.3613090602043</v>
      </c>
      <c r="U34" s="12"/>
      <c r="AF34" s="12"/>
      <c r="AH34" s="13" t="s">
        <v>22</v>
      </c>
      <c r="AI34" s="13" t="s">
        <v>23</v>
      </c>
      <c r="AJ34" t="s">
        <v>77</v>
      </c>
      <c r="AK34" s="10">
        <v>0</v>
      </c>
      <c r="AL34" s="10">
        <v>0</v>
      </c>
      <c r="AN34" s="12"/>
    </row>
    <row r="35" spans="2:40" ht="16.5" thickBot="1" x14ac:dyDescent="0.35">
      <c r="B35" s="7" t="s">
        <v>10</v>
      </c>
      <c r="C35" s="9">
        <v>1.904962309588027</v>
      </c>
      <c r="D35" s="9">
        <v>3.9857672939072564</v>
      </c>
      <c r="E35" s="9">
        <v>24.090446438174737</v>
      </c>
      <c r="F35" s="9">
        <v>145.09951376569725</v>
      </c>
      <c r="G35" s="9">
        <v>382.399203315455</v>
      </c>
      <c r="H35" s="9">
        <v>637.57623146288506</v>
      </c>
      <c r="J35" s="12"/>
      <c r="L35" s="14" t="s">
        <v>27</v>
      </c>
      <c r="M35" s="13" t="s">
        <v>17</v>
      </c>
      <c r="N35" s="8">
        <v>79.788325896594131</v>
      </c>
      <c r="O35" s="8">
        <v>83.003472095850213</v>
      </c>
      <c r="P35" s="8">
        <v>84.979000007279012</v>
      </c>
      <c r="Q35" s="8">
        <v>81.816262801988628</v>
      </c>
      <c r="R35" s="8">
        <v>72.370997445061533</v>
      </c>
      <c r="S35" s="8">
        <v>61.503410224121239</v>
      </c>
      <c r="U35" s="12"/>
      <c r="W35" t="s">
        <v>28</v>
      </c>
      <c r="X35" t="s">
        <v>67</v>
      </c>
      <c r="Y35" s="18">
        <f>(Y15*1000*1000)/(Y25*1000000)</f>
        <v>0.56258515970568268</v>
      </c>
      <c r="Z35" s="18">
        <f t="shared" ref="Z35:AD37" si="9">(Z15*1000*1000)/(Z25*1000000)</f>
        <v>0.55359791367011602</v>
      </c>
      <c r="AA35" s="18">
        <f t="shared" si="9"/>
        <v>0.53849072793387687</v>
      </c>
      <c r="AB35" s="18">
        <f t="shared" si="9"/>
        <v>0.47749948259426717</v>
      </c>
      <c r="AC35" s="18">
        <f t="shared" si="9"/>
        <v>0.31751031008771274</v>
      </c>
      <c r="AD35" s="18">
        <f t="shared" si="9"/>
        <v>0.16048036301986798</v>
      </c>
      <c r="AF35" s="12"/>
      <c r="AH35" s="13"/>
      <c r="AK35" s="10"/>
      <c r="AL35" s="10"/>
      <c r="AN35" s="12"/>
    </row>
    <row r="36" spans="2:40" ht="16.5" thickBot="1" x14ac:dyDescent="0.35">
      <c r="B36" t="s">
        <v>5</v>
      </c>
      <c r="C36" s="8">
        <f>SUM(C33:C35)</f>
        <v>555.16463123886149</v>
      </c>
      <c r="D36" s="8">
        <f t="shared" ref="D36:H36" si="10">SUM(D33:D35)</f>
        <v>2909.5222032149318</v>
      </c>
      <c r="E36" s="8">
        <f t="shared" si="10"/>
        <v>10917.133846461797</v>
      </c>
      <c r="F36" s="8">
        <f t="shared" si="10"/>
        <v>21685.03587630171</v>
      </c>
      <c r="G36" s="8">
        <f t="shared" si="10"/>
        <v>33035.533994638557</v>
      </c>
      <c r="H36" s="8">
        <f t="shared" si="10"/>
        <v>43396.418846700653</v>
      </c>
      <c r="J36" s="12"/>
      <c r="U36" s="12"/>
      <c r="W36" t="s">
        <v>29</v>
      </c>
      <c r="X36" t="s">
        <v>67</v>
      </c>
      <c r="Y36" s="18">
        <f>(Y16*1000*1000)/(Y26*1000000)</f>
        <v>0.24996073036320748</v>
      </c>
      <c r="Z36" s="18">
        <f t="shared" si="9"/>
        <v>0.24028627946021466</v>
      </c>
      <c r="AA36" s="18">
        <f t="shared" si="9"/>
        <v>0.23307434803329152</v>
      </c>
      <c r="AB36" s="18">
        <f t="shared" si="9"/>
        <v>0.22814425781410463</v>
      </c>
      <c r="AC36" s="18">
        <f t="shared" si="9"/>
        <v>0.22472669618649932</v>
      </c>
      <c r="AD36" s="18">
        <f t="shared" si="9"/>
        <v>0.22219221760061109</v>
      </c>
      <c r="AF36" s="12"/>
      <c r="AH36" s="13" t="s">
        <v>92</v>
      </c>
      <c r="AI36" s="13" t="s">
        <v>17</v>
      </c>
      <c r="AJ36" t="s">
        <v>77</v>
      </c>
      <c r="AK36" s="10">
        <f>100*((S14+S15) - (N14+N15))/(N14+N15)</f>
        <v>-8.7871271881115831</v>
      </c>
      <c r="AL36" s="10">
        <f t="shared" si="6"/>
        <v>-0.35148508752446334</v>
      </c>
      <c r="AN36" s="12"/>
    </row>
    <row r="37" spans="2:40" ht="27.75" thickBot="1" x14ac:dyDescent="0.35">
      <c r="J37" s="12"/>
      <c r="L37" s="1" t="s">
        <v>55</v>
      </c>
      <c r="U37" s="12"/>
      <c r="W37" t="s">
        <v>30</v>
      </c>
      <c r="X37" t="s">
        <v>67</v>
      </c>
      <c r="Y37" s="18">
        <f>(Y17*1000*1000)/(Y27*1000000)</f>
        <v>8.7458658264090952E-2</v>
      </c>
      <c r="Z37" s="18">
        <f t="shared" si="9"/>
        <v>8.5508735774733849E-2</v>
      </c>
      <c r="AA37" s="18">
        <f t="shared" si="9"/>
        <v>8.3898596822181384E-2</v>
      </c>
      <c r="AB37" s="18">
        <f t="shared" si="9"/>
        <v>8.2706192468430237E-2</v>
      </c>
      <c r="AC37" s="18">
        <f t="shared" si="9"/>
        <v>8.1849397465373411E-2</v>
      </c>
      <c r="AD37" s="18">
        <f t="shared" si="9"/>
        <v>8.1215833470278623E-2</v>
      </c>
      <c r="AF37" s="12"/>
      <c r="AN37" s="12"/>
    </row>
    <row r="38" spans="2:40" ht="39" thickBot="1" x14ac:dyDescent="0.25">
      <c r="B38" s="11" t="s">
        <v>12</v>
      </c>
      <c r="C38" s="2">
        <v>2020</v>
      </c>
      <c r="D38" s="2">
        <v>2025</v>
      </c>
      <c r="E38" s="2">
        <v>2030</v>
      </c>
      <c r="F38" s="2">
        <v>2035</v>
      </c>
      <c r="G38" s="2">
        <v>2040</v>
      </c>
      <c r="H38" s="2">
        <v>2045</v>
      </c>
      <c r="J38" s="12"/>
      <c r="L38" s="1" t="s">
        <v>54</v>
      </c>
      <c r="M38" s="1" t="s">
        <v>16</v>
      </c>
      <c r="N38" s="2">
        <v>2020</v>
      </c>
      <c r="O38" s="2">
        <v>2025</v>
      </c>
      <c r="P38" s="2">
        <v>2030</v>
      </c>
      <c r="Q38" s="2">
        <v>2035</v>
      </c>
      <c r="R38" s="2">
        <v>2040</v>
      </c>
      <c r="S38" s="2">
        <v>2045</v>
      </c>
      <c r="U38" s="12"/>
      <c r="AF38" s="12"/>
      <c r="AH38" s="1" t="s">
        <v>54</v>
      </c>
      <c r="AI38" s="1" t="s">
        <v>76</v>
      </c>
      <c r="AJ38" s="1" t="s">
        <v>78</v>
      </c>
      <c r="AK38" s="25" t="s">
        <v>79</v>
      </c>
      <c r="AL38" s="26" t="s">
        <v>80</v>
      </c>
      <c r="AN38" s="12"/>
    </row>
    <row r="39" spans="2:40" ht="15.75" x14ac:dyDescent="0.3">
      <c r="J39" s="12"/>
      <c r="L39" s="14" t="s">
        <v>26</v>
      </c>
      <c r="M39" s="13" t="s">
        <v>20</v>
      </c>
      <c r="N39" s="8">
        <v>16.0181</v>
      </c>
      <c r="O39" s="8">
        <v>15.762700000000001</v>
      </c>
      <c r="P39" s="8">
        <v>14.344799999999999</v>
      </c>
      <c r="Q39" s="8">
        <v>12.305400000000001</v>
      </c>
      <c r="R39" s="8">
        <v>10.259</v>
      </c>
      <c r="S39" s="8">
        <v>8.4657</v>
      </c>
      <c r="U39" s="12"/>
      <c r="W39" s="17" t="s">
        <v>27</v>
      </c>
      <c r="X39" t="s">
        <v>65</v>
      </c>
      <c r="Y39" s="18">
        <f>((Y18*1000)*1000)/(Y29*1000000)</f>
        <v>2.7087236741161536</v>
      </c>
      <c r="Z39" s="18">
        <f t="shared" ref="Z39:AD39" si="11">((Z18*1000)*1000)/(Z29*1000000)</f>
        <v>2.6293524120299376</v>
      </c>
      <c r="AA39" s="18">
        <f t="shared" si="11"/>
        <v>2.5195301908189389</v>
      </c>
      <c r="AB39" s="18">
        <f t="shared" si="11"/>
        <v>2.2701536368184279</v>
      </c>
      <c r="AC39" s="18">
        <f t="shared" si="11"/>
        <v>1.890510072613603</v>
      </c>
      <c r="AD39" s="18">
        <f t="shared" si="11"/>
        <v>1.5147978919867133</v>
      </c>
      <c r="AF39" s="12"/>
      <c r="AH39" t="s">
        <v>75</v>
      </c>
      <c r="AI39" t="s">
        <v>58</v>
      </c>
      <c r="AJ39" t="s">
        <v>77</v>
      </c>
      <c r="AK39" s="10">
        <f>100*(AD52-Y52)/Y52</f>
        <v>-49.507889305313014</v>
      </c>
      <c r="AL39" s="10">
        <f>AK39/25</f>
        <v>-1.9803155722125205</v>
      </c>
      <c r="AN39" s="12"/>
    </row>
    <row r="40" spans="2:40" ht="16.5" thickBot="1" x14ac:dyDescent="0.35">
      <c r="B40" t="s">
        <v>9</v>
      </c>
      <c r="C40" s="8">
        <f>1000*C33/8760</f>
        <v>63.15749645311341</v>
      </c>
      <c r="D40" s="8">
        <f t="shared" ref="D40:H40" si="12">1000*D33/8760</f>
        <v>330.89603475959501</v>
      </c>
      <c r="E40" s="8">
        <f t="shared" si="12"/>
        <v>1231.671547659188</v>
      </c>
      <c r="F40" s="8">
        <f t="shared" si="12"/>
        <v>2366.8638134709936</v>
      </c>
      <c r="G40" s="8">
        <f t="shared" si="12"/>
        <v>3380.776155354321</v>
      </c>
      <c r="H40" s="8">
        <f t="shared" si="12"/>
        <v>4221.9973407636153</v>
      </c>
      <c r="J40" s="12"/>
      <c r="L40" s="14" t="s">
        <v>28</v>
      </c>
      <c r="M40" s="13" t="s">
        <v>20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U40" s="12"/>
      <c r="AF40" s="12"/>
      <c r="AH40" t="s">
        <v>113</v>
      </c>
      <c r="AI40" t="s">
        <v>58</v>
      </c>
      <c r="AJ40" t="s">
        <v>77</v>
      </c>
      <c r="AK40" s="10">
        <f>100*(AD53-Y53)/Y53</f>
        <v>60.286508186756372</v>
      </c>
      <c r="AL40" s="10">
        <f t="shared" ref="AL40:AL42" si="13">AK40/25</f>
        <v>2.4114603274702548</v>
      </c>
      <c r="AN40" s="12"/>
    </row>
    <row r="41" spans="2:40" ht="16.5" thickBot="1" x14ac:dyDescent="0.35">
      <c r="B41" t="s">
        <v>13</v>
      </c>
      <c r="C41" s="8">
        <f t="shared" ref="C41:H42" si="14">1000*C34/8760</f>
        <v>0</v>
      </c>
      <c r="D41" s="8">
        <f t="shared" si="14"/>
        <v>0.78620678390092436</v>
      </c>
      <c r="E41" s="8">
        <f t="shared" si="14"/>
        <v>11.826557366339436</v>
      </c>
      <c r="F41" s="8">
        <f t="shared" si="14"/>
        <v>92.033031567363963</v>
      </c>
      <c r="G41" s="8">
        <f t="shared" si="14"/>
        <v>346.75064730813318</v>
      </c>
      <c r="H41" s="8">
        <f t="shared" si="14"/>
        <v>659.14907650096995</v>
      </c>
      <c r="J41" s="12"/>
      <c r="L41" s="14" t="s">
        <v>29</v>
      </c>
      <c r="M41" s="13" t="s">
        <v>20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U41" s="12"/>
      <c r="W41" s="1" t="s">
        <v>54</v>
      </c>
      <c r="X41" s="1" t="s">
        <v>16</v>
      </c>
      <c r="Y41" s="2">
        <v>2020</v>
      </c>
      <c r="Z41" s="2">
        <v>2025</v>
      </c>
      <c r="AA41" s="2">
        <v>2030</v>
      </c>
      <c r="AB41" s="2">
        <v>2035</v>
      </c>
      <c r="AC41" s="2">
        <v>2040</v>
      </c>
      <c r="AD41" s="2">
        <v>2045</v>
      </c>
      <c r="AF41" s="12"/>
      <c r="AH41" t="s">
        <v>27</v>
      </c>
      <c r="AI41" t="s">
        <v>58</v>
      </c>
      <c r="AJ41" t="s">
        <v>77</v>
      </c>
      <c r="AK41" s="10">
        <f>100*(AD54-Y54)/Y54</f>
        <v>-24.986399931470196</v>
      </c>
      <c r="AL41" s="10">
        <f t="shared" si="13"/>
        <v>-0.99945599725880785</v>
      </c>
      <c r="AN41" s="12"/>
    </row>
    <row r="42" spans="2:40" ht="16.5" thickBot="1" x14ac:dyDescent="0.35">
      <c r="B42" s="7" t="s">
        <v>10</v>
      </c>
      <c r="C42" s="9">
        <f t="shared" si="14"/>
        <v>0.21746145086621313</v>
      </c>
      <c r="D42" s="9">
        <f t="shared" si="14"/>
        <v>0.45499626642776897</v>
      </c>
      <c r="E42" s="9">
        <f t="shared" si="14"/>
        <v>2.7500509632619563</v>
      </c>
      <c r="F42" s="9">
        <f t="shared" si="14"/>
        <v>16.563871434440326</v>
      </c>
      <c r="G42" s="9">
        <f t="shared" si="14"/>
        <v>43.652877090805369</v>
      </c>
      <c r="H42" s="9">
        <f t="shared" si="14"/>
        <v>72.782674824530261</v>
      </c>
      <c r="J42" s="12"/>
      <c r="L42" s="14" t="s">
        <v>30</v>
      </c>
      <c r="M42" s="13" t="s">
        <v>20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U42" s="12"/>
      <c r="W42" s="29" t="s">
        <v>85</v>
      </c>
      <c r="X42" t="s">
        <v>58</v>
      </c>
      <c r="Y42" s="8">
        <v>15311.0124</v>
      </c>
      <c r="Z42" s="8">
        <v>15873.714399999999</v>
      </c>
      <c r="AA42" s="8">
        <v>16238.3303</v>
      </c>
      <c r="AB42" s="8">
        <v>16229.606600000001</v>
      </c>
      <c r="AC42" s="8">
        <v>15853.604799999999</v>
      </c>
      <c r="AD42" s="8">
        <v>15526.122299999999</v>
      </c>
      <c r="AF42" s="12"/>
      <c r="AH42" t="s">
        <v>91</v>
      </c>
      <c r="AI42" t="s">
        <v>58</v>
      </c>
      <c r="AJ42" t="s">
        <v>77</v>
      </c>
      <c r="AK42" s="10">
        <f>100*(AD55-Y55)/Y55</f>
        <v>-5.4686762024199567</v>
      </c>
      <c r="AL42" s="10">
        <f t="shared" si="13"/>
        <v>-0.21874704809679826</v>
      </c>
      <c r="AN42" s="12"/>
    </row>
    <row r="43" spans="2:40" ht="15.75" x14ac:dyDescent="0.3">
      <c r="B43" t="s">
        <v>5</v>
      </c>
      <c r="C43" s="8">
        <f>SUM(C40:C42)</f>
        <v>63.37495790397962</v>
      </c>
      <c r="D43" s="8">
        <f t="shared" ref="D43" si="15">SUM(D40:D42)</f>
        <v>332.1372378099237</v>
      </c>
      <c r="E43" s="8">
        <f t="shared" ref="E43" si="16">SUM(E40:E42)</f>
        <v>1246.2481559887892</v>
      </c>
      <c r="F43" s="8">
        <f t="shared" ref="F43" si="17">SUM(F40:F42)</f>
        <v>2475.4607164727981</v>
      </c>
      <c r="G43" s="8">
        <f t="shared" ref="G43" si="18">SUM(G40:G42)</f>
        <v>3771.1796797532593</v>
      </c>
      <c r="H43" s="8">
        <f t="shared" ref="H43" si="19">SUM(H40:H42)</f>
        <v>4953.9290920891162</v>
      </c>
      <c r="J43" s="12"/>
      <c r="L43" s="14" t="s">
        <v>27</v>
      </c>
      <c r="M43" s="13" t="s">
        <v>20</v>
      </c>
      <c r="N43" s="8">
        <v>19.163900000000002</v>
      </c>
      <c r="O43" s="8">
        <v>20.0139</v>
      </c>
      <c r="P43" s="8">
        <v>20.6599</v>
      </c>
      <c r="Q43" s="8">
        <v>20.124099999999999</v>
      </c>
      <c r="R43" s="8">
        <v>18.024000000000001</v>
      </c>
      <c r="S43" s="8">
        <v>15.4351</v>
      </c>
      <c r="U43" s="12"/>
      <c r="W43" s="31" t="s">
        <v>86</v>
      </c>
      <c r="X43" t="s">
        <v>58</v>
      </c>
      <c r="Y43" s="8">
        <v>3892.9764999999998</v>
      </c>
      <c r="Z43" s="8">
        <v>3852.4919</v>
      </c>
      <c r="AA43" s="8">
        <v>3758.7701000000002</v>
      </c>
      <c r="AB43" s="8">
        <v>3600.7495999999996</v>
      </c>
      <c r="AC43" s="8">
        <v>3404.4825000000001</v>
      </c>
      <c r="AD43" s="8">
        <v>3233.5605999999993</v>
      </c>
      <c r="AF43" s="12"/>
      <c r="AN43" s="12"/>
    </row>
    <row r="44" spans="2:40" ht="16.5" thickBot="1" x14ac:dyDescent="0.35">
      <c r="J44" s="12"/>
      <c r="U44" s="12"/>
      <c r="W44" s="32" t="s">
        <v>87</v>
      </c>
      <c r="X44" t="s">
        <v>58</v>
      </c>
      <c r="Y44" s="8">
        <v>19360.9362</v>
      </c>
      <c r="Z44" s="8">
        <v>19498.900900000001</v>
      </c>
      <c r="AA44" s="8">
        <v>18485.0762</v>
      </c>
      <c r="AB44" s="8">
        <v>17036.846199999996</v>
      </c>
      <c r="AC44" s="8">
        <v>15697.707499999999</v>
      </c>
      <c r="AD44" s="8">
        <v>14773.839199999999</v>
      </c>
      <c r="AF44" s="12"/>
      <c r="AN44" s="12"/>
    </row>
    <row r="45" spans="2:40" ht="40.5" thickBot="1" x14ac:dyDescent="0.35">
      <c r="J45" s="12"/>
      <c r="L45" s="1" t="s">
        <v>56</v>
      </c>
      <c r="U45" s="12"/>
      <c r="W45" s="33" t="s">
        <v>88</v>
      </c>
      <c r="X45" t="s">
        <v>58</v>
      </c>
      <c r="Y45" s="8">
        <v>35822.469499999999</v>
      </c>
      <c r="Z45" s="8">
        <v>37085.621599999999</v>
      </c>
      <c r="AA45" s="8">
        <v>36690.021199999996</v>
      </c>
      <c r="AB45" s="8">
        <v>36051.676400000004</v>
      </c>
      <c r="AC45" s="8">
        <v>35895.901899999997</v>
      </c>
      <c r="AD45" s="8">
        <v>36785.854099999997</v>
      </c>
      <c r="AF45" s="12"/>
      <c r="AN45" s="12"/>
    </row>
    <row r="46" spans="2:40" ht="13.5" thickBot="1" x14ac:dyDescent="0.25">
      <c r="B46" s="20" t="s">
        <v>84</v>
      </c>
      <c r="C46" s="2">
        <v>2020</v>
      </c>
      <c r="D46" s="2">
        <v>2025</v>
      </c>
      <c r="E46" s="2">
        <v>2030</v>
      </c>
      <c r="F46" s="2">
        <v>2035</v>
      </c>
      <c r="G46" s="2">
        <v>2040</v>
      </c>
      <c r="H46" s="2">
        <v>2045</v>
      </c>
      <c r="J46" s="12"/>
      <c r="L46" s="1" t="s">
        <v>54</v>
      </c>
      <c r="M46" s="1" t="s">
        <v>16</v>
      </c>
      <c r="N46" s="2">
        <v>2020</v>
      </c>
      <c r="O46" s="2">
        <v>2025</v>
      </c>
      <c r="P46" s="2">
        <v>2030</v>
      </c>
      <c r="Q46" s="2">
        <v>2035</v>
      </c>
      <c r="R46" s="2">
        <v>2040</v>
      </c>
      <c r="S46" s="2">
        <v>2045</v>
      </c>
      <c r="U46" s="12"/>
      <c r="W46" s="7"/>
      <c r="X46" s="7"/>
      <c r="Y46" s="9"/>
      <c r="Z46" s="9"/>
      <c r="AA46" s="9"/>
      <c r="AB46" s="9"/>
      <c r="AC46" s="9"/>
      <c r="AD46" s="9"/>
      <c r="AF46" s="12"/>
      <c r="AN46" s="12"/>
    </row>
    <row r="47" spans="2:40" ht="15.75" x14ac:dyDescent="0.3">
      <c r="B47" s="28"/>
      <c r="C47" s="28"/>
      <c r="D47" s="28"/>
      <c r="E47" s="28"/>
      <c r="F47" s="28"/>
      <c r="G47" s="28"/>
      <c r="H47" s="28"/>
      <c r="J47" s="12"/>
      <c r="L47" s="14" t="s">
        <v>26</v>
      </c>
      <c r="M47" s="13" t="s">
        <v>11</v>
      </c>
      <c r="N47" s="8">
        <f>C33</f>
        <v>553.25966892927352</v>
      </c>
      <c r="O47" s="8">
        <f t="shared" ref="O47:S47" si="20">D33</f>
        <v>2898.6492644940522</v>
      </c>
      <c r="P47" s="8">
        <f t="shared" si="20"/>
        <v>10789.442757494488</v>
      </c>
      <c r="Q47" s="8">
        <f t="shared" si="20"/>
        <v>20733.727006005905</v>
      </c>
      <c r="R47" s="8">
        <f t="shared" si="20"/>
        <v>29615.599120903855</v>
      </c>
      <c r="S47" s="8">
        <f t="shared" si="20"/>
        <v>36984.696705089271</v>
      </c>
      <c r="U47" s="12"/>
      <c r="W47" t="s">
        <v>94</v>
      </c>
      <c r="X47" t="s">
        <v>58</v>
      </c>
      <c r="Y47" s="8">
        <f>SUM(Y42:Y45)</f>
        <v>74387.3946</v>
      </c>
      <c r="Z47" s="8">
        <f t="shared" ref="Z47:AD47" si="21">SUM(Z42:Z45)</f>
        <v>76310.728799999997</v>
      </c>
      <c r="AA47" s="8">
        <f t="shared" si="21"/>
        <v>75172.197799999994</v>
      </c>
      <c r="AB47" s="8">
        <f t="shared" si="21"/>
        <v>72918.878800000006</v>
      </c>
      <c r="AC47" s="8">
        <f t="shared" si="21"/>
        <v>70851.6967</v>
      </c>
      <c r="AD47" s="8">
        <f t="shared" si="21"/>
        <v>70319.376199999999</v>
      </c>
      <c r="AF47" s="12"/>
      <c r="AN47" s="12"/>
    </row>
    <row r="48" spans="2:40" x14ac:dyDescent="0.2">
      <c r="B48" s="29" t="s">
        <v>85</v>
      </c>
      <c r="C48" s="30">
        <v>944.00000000000011</v>
      </c>
      <c r="D48" s="30">
        <v>5645.6</v>
      </c>
      <c r="E48" s="30">
        <v>26702.799999999999</v>
      </c>
      <c r="F48" s="30">
        <v>69230.600000000006</v>
      </c>
      <c r="G48" s="30">
        <v>95660.1</v>
      </c>
      <c r="H48" s="30">
        <v>104733.49999999999</v>
      </c>
      <c r="J48" s="12"/>
      <c r="L48" s="14" t="s">
        <v>28</v>
      </c>
      <c r="M48" s="13" t="s">
        <v>11</v>
      </c>
      <c r="N48" s="8">
        <v>0</v>
      </c>
      <c r="O48" s="8">
        <v>6.8871714269720981</v>
      </c>
      <c r="P48" s="8">
        <v>103.60064252913347</v>
      </c>
      <c r="Q48" s="8">
        <v>806.20935653010827</v>
      </c>
      <c r="R48" s="8">
        <v>3037.5356704192468</v>
      </c>
      <c r="S48" s="8">
        <v>5774.145910148497</v>
      </c>
      <c r="U48" s="12"/>
      <c r="AF48" s="12"/>
      <c r="AN48" s="12"/>
    </row>
    <row r="49" spans="2:40" x14ac:dyDescent="0.2">
      <c r="B49" s="31" t="s">
        <v>86</v>
      </c>
      <c r="C49" s="30">
        <v>439.00000000000006</v>
      </c>
      <c r="D49" s="30">
        <v>2469.7999999999997</v>
      </c>
      <c r="E49" s="30">
        <v>9972.6999999999989</v>
      </c>
      <c r="F49" s="30">
        <v>20545.3</v>
      </c>
      <c r="G49" s="30">
        <v>24711.100000000002</v>
      </c>
      <c r="H49" s="30">
        <v>25233.399999999998</v>
      </c>
      <c r="J49" s="12"/>
      <c r="L49" s="14" t="s">
        <v>29</v>
      </c>
      <c r="M49" s="13" t="s">
        <v>11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U49" s="12"/>
      <c r="Y49" s="8">
        <f t="shared" ref="Y49:AC49" si="22">Y47-Y19</f>
        <v>4.4999999954598024E-3</v>
      </c>
      <c r="Z49" s="8">
        <f t="shared" si="22"/>
        <v>-8.7000000203261152E-3</v>
      </c>
      <c r="AA49" s="8">
        <f t="shared" si="22"/>
        <v>-2.0999999978812411E-3</v>
      </c>
      <c r="AB49" s="8">
        <f t="shared" si="22"/>
        <v>1.1900000012246892E-2</v>
      </c>
      <c r="AC49" s="8">
        <f t="shared" si="22"/>
        <v>-6.4999999885912985E-3</v>
      </c>
      <c r="AD49" s="8">
        <f>AD47-AD19</f>
        <v>-8.4000000060768798E-3</v>
      </c>
      <c r="AF49" s="12"/>
      <c r="AN49" s="12"/>
    </row>
    <row r="50" spans="2:40" ht="13.5" thickBot="1" x14ac:dyDescent="0.25">
      <c r="B50" s="32" t="s">
        <v>87</v>
      </c>
      <c r="C50" s="30">
        <v>8906.7000000000007</v>
      </c>
      <c r="D50" s="30">
        <v>59190</v>
      </c>
      <c r="E50" s="30">
        <v>145597.5</v>
      </c>
      <c r="F50" s="30">
        <v>169445.7</v>
      </c>
      <c r="G50" s="30">
        <v>169240.5</v>
      </c>
      <c r="H50" s="30">
        <v>168601.1</v>
      </c>
      <c r="J50" s="12"/>
      <c r="L50" s="14" t="s">
        <v>30</v>
      </c>
      <c r="M50" s="13" t="s">
        <v>11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U50" s="12"/>
      <c r="AF50" s="12"/>
      <c r="AN50" s="12"/>
    </row>
    <row r="51" spans="2:40" ht="13.5" thickBot="1" x14ac:dyDescent="0.25">
      <c r="B51" s="33" t="s">
        <v>88</v>
      </c>
      <c r="C51" s="30">
        <v>17303.7</v>
      </c>
      <c r="D51" s="30">
        <v>117078</v>
      </c>
      <c r="E51" s="30">
        <v>323142.70000000007</v>
      </c>
      <c r="F51" s="30">
        <v>322607.49999999994</v>
      </c>
      <c r="G51" s="30">
        <v>326446.5</v>
      </c>
      <c r="H51" s="30">
        <v>330196.3</v>
      </c>
      <c r="J51" s="12"/>
      <c r="L51" s="14" t="s">
        <v>27</v>
      </c>
      <c r="M51" s="13" t="s">
        <v>11</v>
      </c>
      <c r="N51" s="8">
        <f>C35</f>
        <v>1.904962309588027</v>
      </c>
      <c r="O51" s="8">
        <f t="shared" ref="O51:S51" si="23">D35</f>
        <v>3.9857672939072564</v>
      </c>
      <c r="P51" s="8">
        <f t="shared" si="23"/>
        <v>24.090446438174737</v>
      </c>
      <c r="Q51" s="8">
        <f t="shared" si="23"/>
        <v>145.09951376569725</v>
      </c>
      <c r="R51" s="8">
        <f t="shared" si="23"/>
        <v>382.399203315455</v>
      </c>
      <c r="S51" s="8">
        <f t="shared" si="23"/>
        <v>637.57623146288506</v>
      </c>
      <c r="U51" s="12"/>
      <c r="W51" s="1" t="s">
        <v>54</v>
      </c>
      <c r="X51" s="1" t="s">
        <v>16</v>
      </c>
      <c r="Y51" s="2">
        <v>2020</v>
      </c>
      <c r="Z51" s="2">
        <v>2025</v>
      </c>
      <c r="AA51" s="2">
        <v>2030</v>
      </c>
      <c r="AB51" s="2">
        <v>2035</v>
      </c>
      <c r="AC51" s="2">
        <v>2040</v>
      </c>
      <c r="AD51" s="2">
        <v>2045</v>
      </c>
      <c r="AF51" s="12"/>
      <c r="AN51" s="12"/>
    </row>
    <row r="52" spans="2:40" ht="16.5" thickBot="1" x14ac:dyDescent="0.35">
      <c r="B52" t="s">
        <v>94</v>
      </c>
      <c r="C52" s="8">
        <f>SUM(C48:C51)</f>
        <v>27593.4</v>
      </c>
      <c r="D52" s="8">
        <f t="shared" ref="D52:H52" si="24">SUM(D48:D51)</f>
        <v>184383.4</v>
      </c>
      <c r="E52" s="8">
        <f t="shared" si="24"/>
        <v>505415.70000000007</v>
      </c>
      <c r="F52" s="8">
        <f t="shared" si="24"/>
        <v>581829.1</v>
      </c>
      <c r="G52" s="8">
        <f t="shared" si="24"/>
        <v>616058.19999999995</v>
      </c>
      <c r="H52" s="8">
        <f t="shared" si="24"/>
        <v>628764.30000000005</v>
      </c>
      <c r="J52" s="12"/>
      <c r="U52" s="12"/>
      <c r="W52" t="s">
        <v>26</v>
      </c>
      <c r="X52" t="s">
        <v>58</v>
      </c>
      <c r="Y52" s="8">
        <f>Y14</f>
        <v>43075.928300000007</v>
      </c>
      <c r="Z52" s="8">
        <f t="shared" ref="Z52:AD52" si="25">Z14</f>
        <v>42083.792300000008</v>
      </c>
      <c r="AA52" s="8">
        <f t="shared" si="25"/>
        <v>37611.539799999999</v>
      </c>
      <c r="AB52" s="8">
        <f t="shared" si="25"/>
        <v>31777.893799999998</v>
      </c>
      <c r="AC52" s="8">
        <f t="shared" si="25"/>
        <v>26369.455700000002</v>
      </c>
      <c r="AD52" s="8">
        <f t="shared" si="25"/>
        <v>21749.945400000001</v>
      </c>
      <c r="AF52" s="12"/>
      <c r="AN52" s="12"/>
    </row>
    <row r="53" spans="2:40" ht="27.75" thickBot="1" x14ac:dyDescent="0.35">
      <c r="J53" s="12"/>
      <c r="L53" s="1" t="s">
        <v>57</v>
      </c>
      <c r="U53" s="12"/>
      <c r="W53" t="s">
        <v>113</v>
      </c>
      <c r="X53" t="s">
        <v>58</v>
      </c>
      <c r="Y53" s="8">
        <f>Y15+Y16+Y17</f>
        <v>29413.309600000001</v>
      </c>
      <c r="Z53" s="8">
        <f t="shared" ref="Z53:AD53" si="26">Z15+Z16+Z17</f>
        <v>32253.124</v>
      </c>
      <c r="AA53" s="8">
        <f t="shared" si="26"/>
        <v>35542.436799999996</v>
      </c>
      <c r="AB53" s="8">
        <f t="shared" si="26"/>
        <v>39208.303</v>
      </c>
      <c r="AC53" s="8">
        <f t="shared" si="26"/>
        <v>42784.673999999999</v>
      </c>
      <c r="AD53" s="8">
        <f t="shared" si="26"/>
        <v>47145.566899999998</v>
      </c>
      <c r="AF53" s="12"/>
      <c r="AN53" s="12"/>
    </row>
    <row r="54" spans="2:40" ht="16.5" thickBot="1" x14ac:dyDescent="0.35">
      <c r="B54" s="20" t="s">
        <v>89</v>
      </c>
      <c r="C54" s="2">
        <v>2020</v>
      </c>
      <c r="D54" s="2">
        <v>2025</v>
      </c>
      <c r="E54" s="2">
        <v>2030</v>
      </c>
      <c r="F54" s="2">
        <v>2035</v>
      </c>
      <c r="G54" s="2">
        <v>2040</v>
      </c>
      <c r="H54" s="2">
        <v>2045</v>
      </c>
      <c r="J54" s="12"/>
      <c r="L54" s="1" t="s">
        <v>54</v>
      </c>
      <c r="M54" s="1" t="s">
        <v>16</v>
      </c>
      <c r="N54" s="2">
        <v>2020</v>
      </c>
      <c r="O54" s="2">
        <v>2025</v>
      </c>
      <c r="P54" s="2">
        <v>2030</v>
      </c>
      <c r="Q54" s="2">
        <v>2035</v>
      </c>
      <c r="R54" s="2">
        <v>2040</v>
      </c>
      <c r="S54" s="2">
        <v>2045</v>
      </c>
      <c r="U54" s="12"/>
      <c r="W54" t="s">
        <v>27</v>
      </c>
      <c r="X54" t="s">
        <v>58</v>
      </c>
      <c r="Y54" s="8">
        <f>Y18</f>
        <v>1898.1522</v>
      </c>
      <c r="Z54" s="8">
        <f t="shared" ref="Z54:AD54" si="27">Z18</f>
        <v>1973.8212000000001</v>
      </c>
      <c r="AA54" s="8">
        <f t="shared" si="27"/>
        <v>2018.2233000000001</v>
      </c>
      <c r="AB54" s="8">
        <f t="shared" si="27"/>
        <v>1932.6701</v>
      </c>
      <c r="AC54" s="8">
        <f t="shared" si="27"/>
        <v>1697.5735</v>
      </c>
      <c r="AD54" s="8">
        <f t="shared" si="27"/>
        <v>1423.8723</v>
      </c>
      <c r="AF54" s="12"/>
      <c r="AN54" s="12"/>
    </row>
    <row r="55" spans="2:40" ht="15.75" x14ac:dyDescent="0.3">
      <c r="B55" s="28"/>
      <c r="C55" s="28"/>
      <c r="D55" s="28"/>
      <c r="E55" s="28"/>
      <c r="F55" s="28"/>
      <c r="G55" s="28"/>
      <c r="H55" s="28"/>
      <c r="J55" s="12"/>
      <c r="L55" s="14" t="s">
        <v>26</v>
      </c>
      <c r="M55" s="13" t="s">
        <v>23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 s="12"/>
      <c r="W55" s="42" t="s">
        <v>5</v>
      </c>
      <c r="X55" s="42" t="s">
        <v>58</v>
      </c>
      <c r="Y55" s="43">
        <f>SUM(Y52:Y54)</f>
        <v>74387.390100000004</v>
      </c>
      <c r="Z55" s="43">
        <f t="shared" ref="Z55:AD55" si="28">SUM(Z52:Z54)</f>
        <v>76310.737500000017</v>
      </c>
      <c r="AA55" s="43">
        <f t="shared" si="28"/>
        <v>75172.199899999992</v>
      </c>
      <c r="AB55" s="43">
        <f t="shared" si="28"/>
        <v>72918.866900000008</v>
      </c>
      <c r="AC55" s="43">
        <f t="shared" si="28"/>
        <v>70851.703200000004</v>
      </c>
      <c r="AD55" s="43">
        <f t="shared" si="28"/>
        <v>70319.384600000005</v>
      </c>
    </row>
    <row r="56" spans="2:40" ht="13.5" thickBot="1" x14ac:dyDescent="0.25">
      <c r="B56" s="29" t="s">
        <v>85</v>
      </c>
      <c r="C56" s="30">
        <v>2958.2999999999997</v>
      </c>
      <c r="D56" s="30">
        <v>17703.800000000003</v>
      </c>
      <c r="E56" s="30">
        <v>91706.4</v>
      </c>
      <c r="F56" s="30">
        <v>320878.69999999995</v>
      </c>
      <c r="G56" s="30">
        <v>673493.6</v>
      </c>
      <c r="H56" s="30">
        <v>1031861.5</v>
      </c>
      <c r="J56" s="12"/>
      <c r="L56" s="14" t="s">
        <v>28</v>
      </c>
      <c r="M56" s="13" t="s">
        <v>23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 s="12"/>
    </row>
    <row r="57" spans="2:40" ht="13.5" thickBot="1" x14ac:dyDescent="0.25">
      <c r="B57" s="31" t="s">
        <v>86</v>
      </c>
      <c r="C57" s="30">
        <v>1347.5000000000002</v>
      </c>
      <c r="D57" s="30">
        <v>7930.4000000000005</v>
      </c>
      <c r="E57" s="30">
        <v>36800.9</v>
      </c>
      <c r="F57" s="30">
        <v>108585.09999999998</v>
      </c>
      <c r="G57" s="30">
        <v>199616.69999999998</v>
      </c>
      <c r="H57" s="30">
        <v>282418.89999999997</v>
      </c>
      <c r="J57" s="12"/>
      <c r="L57" s="14" t="s">
        <v>29</v>
      </c>
      <c r="M57" s="13" t="s">
        <v>23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 s="12"/>
      <c r="W57" s="1" t="s">
        <v>63</v>
      </c>
      <c r="X57" s="1" t="s">
        <v>16</v>
      </c>
      <c r="Y57" s="2">
        <v>2020</v>
      </c>
      <c r="Z57" s="2">
        <v>2025</v>
      </c>
      <c r="AA57" s="2">
        <v>2030</v>
      </c>
      <c r="AB57" s="2">
        <v>2035</v>
      </c>
      <c r="AC57" s="2">
        <v>2040</v>
      </c>
      <c r="AD57" s="2">
        <v>2045</v>
      </c>
    </row>
    <row r="58" spans="2:40" x14ac:dyDescent="0.2">
      <c r="B58" s="32" t="s">
        <v>87</v>
      </c>
      <c r="C58" s="30">
        <v>33201.4</v>
      </c>
      <c r="D58" s="30">
        <v>186585.90000000002</v>
      </c>
      <c r="E58" s="30">
        <v>691049.4</v>
      </c>
      <c r="F58" s="30">
        <v>1331857.2000000002</v>
      </c>
      <c r="G58" s="30">
        <v>1895232.8</v>
      </c>
      <c r="H58" s="30">
        <v>2366283.4</v>
      </c>
      <c r="J58" s="12"/>
      <c r="L58" s="14" t="s">
        <v>30</v>
      </c>
      <c r="M58" s="13" t="s">
        <v>23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 s="12"/>
      <c r="W58" t="s">
        <v>26</v>
      </c>
      <c r="X58" t="s">
        <v>60</v>
      </c>
      <c r="Y58" s="8">
        <f>Y22</f>
        <v>143598.35690000001</v>
      </c>
      <c r="Z58" s="8">
        <f t="shared" ref="Z58:AD58" si="29">Z22</f>
        <v>152710.3493</v>
      </c>
      <c r="AA58" s="8">
        <f t="shared" si="29"/>
        <v>161621.1531</v>
      </c>
      <c r="AB58" s="8">
        <f t="shared" si="29"/>
        <v>170610.22960000002</v>
      </c>
      <c r="AC58" s="8">
        <f t="shared" si="29"/>
        <v>179290.19320000004</v>
      </c>
      <c r="AD58" s="8">
        <f t="shared" si="29"/>
        <v>187896.25150000001</v>
      </c>
    </row>
    <row r="59" spans="2:40" x14ac:dyDescent="0.2">
      <c r="B59" s="33" t="s">
        <v>88</v>
      </c>
      <c r="C59" s="30">
        <v>64495.6</v>
      </c>
      <c r="D59" s="30">
        <v>368909</v>
      </c>
      <c r="E59" s="30">
        <v>1444275.7999999998</v>
      </c>
      <c r="F59" s="30">
        <v>2699423.8</v>
      </c>
      <c r="G59" s="30">
        <v>3756165.5999999996</v>
      </c>
      <c r="H59" s="30">
        <v>4662686.5</v>
      </c>
      <c r="L59" s="14" t="s">
        <v>27</v>
      </c>
      <c r="M59" s="13" t="s">
        <v>23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W59" t="s">
        <v>113</v>
      </c>
      <c r="X59" t="s">
        <v>61</v>
      </c>
      <c r="Y59" s="8">
        <f>SUM(Y25:Y27)</f>
        <v>252585.03600000002</v>
      </c>
      <c r="Z59" s="8">
        <f t="shared" ref="Z59:AD59" si="30">SUM(Z25:Z27)</f>
        <v>281010.94930000004</v>
      </c>
      <c r="AA59" s="8">
        <f t="shared" si="30"/>
        <v>313540.16310000001</v>
      </c>
      <c r="AB59" s="8">
        <f t="shared" si="30"/>
        <v>352165.61810000002</v>
      </c>
      <c r="AC59" s="8">
        <f t="shared" si="30"/>
        <v>398408.13199999998</v>
      </c>
      <c r="AD59" s="8">
        <f t="shared" si="30"/>
        <v>454770.72800000006</v>
      </c>
    </row>
    <row r="60" spans="2:40" x14ac:dyDescent="0.2">
      <c r="B60" t="s">
        <v>94</v>
      </c>
      <c r="C60" s="8">
        <f>SUM(C56:C59)</f>
        <v>102002.8</v>
      </c>
      <c r="D60" s="8">
        <f t="shared" ref="D60:H60" si="31">SUM(D56:D59)</f>
        <v>581129.10000000009</v>
      </c>
      <c r="E60" s="8">
        <f t="shared" si="31"/>
        <v>2263832.5</v>
      </c>
      <c r="F60" s="8">
        <f t="shared" si="31"/>
        <v>4460744.8</v>
      </c>
      <c r="G60" s="8">
        <f t="shared" si="31"/>
        <v>6524508.6999999993</v>
      </c>
      <c r="H60" s="8">
        <f t="shared" si="31"/>
        <v>8343250.2999999998</v>
      </c>
      <c r="W60" t="s">
        <v>27</v>
      </c>
      <c r="X60" s="17" t="s">
        <v>60</v>
      </c>
      <c r="Y60" s="8">
        <f>Y29</f>
        <v>700.75519999999995</v>
      </c>
      <c r="Z60" s="8">
        <f t="shared" ref="Z60:AD60" si="32">Z29</f>
        <v>750.68719999999996</v>
      </c>
      <c r="AA60" s="8">
        <f t="shared" si="32"/>
        <v>801.03160000000003</v>
      </c>
      <c r="AB60" s="8">
        <f t="shared" si="32"/>
        <v>851.33890000000008</v>
      </c>
      <c r="AC60" s="8">
        <f t="shared" si="32"/>
        <v>897.94470000000001</v>
      </c>
      <c r="AD60" s="8">
        <f t="shared" si="32"/>
        <v>939.9751</v>
      </c>
    </row>
    <row r="61" spans="2:40" ht="13.5" thickBot="1" x14ac:dyDescent="0.25"/>
    <row r="62" spans="2:40" ht="13.5" thickBot="1" x14ac:dyDescent="0.25">
      <c r="B62" s="11" t="s">
        <v>90</v>
      </c>
      <c r="C62" s="2">
        <v>2020</v>
      </c>
      <c r="D62" s="2">
        <v>2025</v>
      </c>
      <c r="E62" s="2">
        <v>2030</v>
      </c>
      <c r="F62" s="2">
        <v>2035</v>
      </c>
      <c r="G62" s="2">
        <v>2040</v>
      </c>
      <c r="H62" s="2">
        <v>2045</v>
      </c>
    </row>
    <row r="64" spans="2:40" x14ac:dyDescent="0.2">
      <c r="B64" s="29" t="s">
        <v>85</v>
      </c>
      <c r="C64" s="30">
        <v>16.998125224016242</v>
      </c>
      <c r="D64" s="30">
        <v>92.170868671605305</v>
      </c>
      <c r="E64" s="30">
        <v>449.07288415103596</v>
      </c>
      <c r="F64" s="30">
        <v>1518.9876385530376</v>
      </c>
      <c r="G64" s="30">
        <v>3114.8478330760654</v>
      </c>
      <c r="H64" s="30">
        <v>4674.5430508293766</v>
      </c>
    </row>
    <row r="65" spans="2:8" x14ac:dyDescent="0.2">
      <c r="B65" s="31" t="s">
        <v>86</v>
      </c>
      <c r="C65" s="30">
        <v>6.4475647401440908</v>
      </c>
      <c r="D65" s="30">
        <v>34.611699809591691</v>
      </c>
      <c r="E65" s="30">
        <v>151.40054294356531</v>
      </c>
      <c r="F65" s="30">
        <v>432.95397230067573</v>
      </c>
      <c r="G65" s="30">
        <v>778.39690681012314</v>
      </c>
      <c r="H65" s="30">
        <v>1078.325895676644</v>
      </c>
    </row>
    <row r="66" spans="2:8" x14ac:dyDescent="0.2">
      <c r="B66" s="32" t="s">
        <v>87</v>
      </c>
      <c r="C66" s="30">
        <v>185.33817916668741</v>
      </c>
      <c r="D66" s="30">
        <v>959.80793290781367</v>
      </c>
      <c r="E66" s="30">
        <v>3398.8044456545031</v>
      </c>
      <c r="F66" s="30">
        <v>6385.6388115262525</v>
      </c>
      <c r="G66" s="30">
        <v>8871.4094757514413</v>
      </c>
      <c r="H66" s="30">
        <v>10811.188634936247</v>
      </c>
    </row>
    <row r="67" spans="2:8" x14ac:dyDescent="0.2">
      <c r="B67" s="33" t="s">
        <v>88</v>
      </c>
      <c r="C67" s="30">
        <v>344.5051069108809</v>
      </c>
      <c r="D67" s="30">
        <v>1812.088070217497</v>
      </c>
      <c r="E67" s="30">
        <v>6790.1941918578405</v>
      </c>
      <c r="F67" s="30">
        <v>12396.146583625939</v>
      </c>
      <c r="G67" s="30">
        <v>16851.003519491136</v>
      </c>
      <c r="H67" s="30">
        <v>20420.697737871917</v>
      </c>
    </row>
    <row r="68" spans="2:8" x14ac:dyDescent="0.2">
      <c r="B68" t="s">
        <v>94</v>
      </c>
      <c r="C68" s="36">
        <f>SUM(C64:C67)</f>
        <v>553.28897604172857</v>
      </c>
      <c r="D68" s="36">
        <f t="shared" ref="D68:H68" si="33">SUM(D64:D67)</f>
        <v>2898.6785716065078</v>
      </c>
      <c r="E68" s="36">
        <f t="shared" si="33"/>
        <v>10789.472064606944</v>
      </c>
      <c r="F68" s="36">
        <f t="shared" si="33"/>
        <v>20733.727006005905</v>
      </c>
      <c r="G68" s="36">
        <f t="shared" si="33"/>
        <v>29615.657735128767</v>
      </c>
      <c r="H68" s="36">
        <f t="shared" si="33"/>
        <v>36984.755319314179</v>
      </c>
    </row>
    <row r="69" spans="2:8" ht="13.5" thickBot="1" x14ac:dyDescent="0.25">
      <c r="C69" s="34"/>
      <c r="D69" s="34"/>
      <c r="E69" s="34"/>
      <c r="F69" s="34"/>
      <c r="G69" s="34"/>
      <c r="H69" s="34"/>
    </row>
    <row r="70" spans="2:8" ht="13.5" thickBot="1" x14ac:dyDescent="0.25">
      <c r="B70" s="20" t="s">
        <v>95</v>
      </c>
      <c r="C70" s="2">
        <v>2020</v>
      </c>
      <c r="D70" s="2">
        <v>2025</v>
      </c>
      <c r="E70" s="2">
        <v>2030</v>
      </c>
      <c r="F70" s="2">
        <v>2035</v>
      </c>
      <c r="G70" s="2">
        <v>2040</v>
      </c>
      <c r="H70" s="2">
        <v>2045</v>
      </c>
    </row>
    <row r="71" spans="2:8" x14ac:dyDescent="0.2">
      <c r="B71" s="28"/>
      <c r="C71" s="28"/>
      <c r="D71" s="28"/>
      <c r="E71" s="28"/>
      <c r="F71" s="28"/>
      <c r="G71" s="28"/>
      <c r="H71" s="28"/>
    </row>
    <row r="72" spans="2:8" x14ac:dyDescent="0.2">
      <c r="B72" s="29" t="s">
        <v>85</v>
      </c>
      <c r="C72" s="30">
        <v>73509.200000000012</v>
      </c>
      <c r="D72" s="30">
        <v>81801.2</v>
      </c>
      <c r="E72" s="30">
        <v>88989</v>
      </c>
      <c r="F72" s="30">
        <v>96393.7</v>
      </c>
      <c r="G72" s="30">
        <v>101785.79999999999</v>
      </c>
      <c r="H72" s="30">
        <v>105084.5</v>
      </c>
    </row>
    <row r="73" spans="2:8" x14ac:dyDescent="0.2">
      <c r="B73" s="31" t="s">
        <v>86</v>
      </c>
      <c r="C73" s="30">
        <v>21780.100000000002</v>
      </c>
      <c r="D73" s="30">
        <v>23401.399999999998</v>
      </c>
      <c r="E73" s="30">
        <v>24497.5</v>
      </c>
      <c r="F73" s="30">
        <v>25545.4</v>
      </c>
      <c r="G73" s="30">
        <v>25734.7</v>
      </c>
      <c r="H73" s="30">
        <v>25354.399999999998</v>
      </c>
    </row>
    <row r="74" spans="2:8" x14ac:dyDescent="0.2">
      <c r="B74" s="32" t="s">
        <v>87</v>
      </c>
      <c r="C74" s="30">
        <v>153010.5</v>
      </c>
      <c r="D74" s="30">
        <v>158547.5</v>
      </c>
      <c r="E74" s="30">
        <v>168876.79999999999</v>
      </c>
      <c r="F74" s="30">
        <v>170037.6</v>
      </c>
      <c r="G74" s="30">
        <v>169893.30000000002</v>
      </c>
      <c r="H74" s="30">
        <v>169288.09999999998</v>
      </c>
    </row>
    <row r="75" spans="2:8" x14ac:dyDescent="0.2">
      <c r="B75" s="33" t="s">
        <v>88</v>
      </c>
      <c r="C75" s="30">
        <v>271886.59999999998</v>
      </c>
      <c r="D75" s="30">
        <v>295642.90000000002</v>
      </c>
      <c r="E75" s="30">
        <v>323973.8</v>
      </c>
      <c r="F75" s="30">
        <v>323613</v>
      </c>
      <c r="G75" s="30">
        <v>327561</v>
      </c>
      <c r="H75" s="30">
        <v>331372.79999999999</v>
      </c>
    </row>
    <row r="76" spans="2:8" x14ac:dyDescent="0.2">
      <c r="B76" t="s">
        <v>94</v>
      </c>
      <c r="C76" s="8">
        <f>SUM(C72:C75)</f>
        <v>520186.4</v>
      </c>
      <c r="D76" s="8">
        <f t="shared" ref="D76:H76" si="34">SUM(D72:D75)</f>
        <v>559393</v>
      </c>
      <c r="E76" s="8">
        <f t="shared" si="34"/>
        <v>606337.1</v>
      </c>
      <c r="F76" s="8">
        <f t="shared" si="34"/>
        <v>615589.69999999995</v>
      </c>
      <c r="G76" s="8">
        <f t="shared" si="34"/>
        <v>624974.80000000005</v>
      </c>
      <c r="H76" s="8">
        <f t="shared" si="34"/>
        <v>631099.80000000005</v>
      </c>
    </row>
    <row r="77" spans="2:8" ht="13.5" thickBot="1" x14ac:dyDescent="0.25"/>
    <row r="78" spans="2:8" ht="13.5" thickBot="1" x14ac:dyDescent="0.25">
      <c r="B78" s="20" t="s">
        <v>96</v>
      </c>
      <c r="C78" s="2">
        <v>2020</v>
      </c>
      <c r="D78" s="2">
        <v>2025</v>
      </c>
      <c r="E78" s="2">
        <v>2030</v>
      </c>
      <c r="F78" s="2">
        <v>2035</v>
      </c>
      <c r="G78" s="2">
        <v>2040</v>
      </c>
      <c r="H78" s="2">
        <v>2045</v>
      </c>
    </row>
    <row r="79" spans="2:8" x14ac:dyDescent="0.2">
      <c r="B79" s="28"/>
      <c r="C79" s="28"/>
      <c r="D79" s="28"/>
      <c r="E79" s="28"/>
      <c r="F79" s="28"/>
      <c r="G79" s="28"/>
      <c r="H79" s="28"/>
    </row>
    <row r="80" spans="2:8" x14ac:dyDescent="0.2">
      <c r="B80" s="29" t="s">
        <v>85</v>
      </c>
      <c r="C80" s="30">
        <v>1833734</v>
      </c>
      <c r="D80" s="30">
        <v>1942459</v>
      </c>
      <c r="E80" s="30">
        <v>2050360.9999999998</v>
      </c>
      <c r="F80" s="30">
        <v>2154843</v>
      </c>
      <c r="G80" s="30">
        <v>2259069</v>
      </c>
      <c r="H80" s="30">
        <v>2363944</v>
      </c>
    </row>
    <row r="81" spans="2:8" x14ac:dyDescent="0.2">
      <c r="B81" s="31" t="s">
        <v>86</v>
      </c>
      <c r="C81" s="30">
        <v>621581.4</v>
      </c>
      <c r="D81" s="30">
        <v>639899.6</v>
      </c>
      <c r="E81" s="30">
        <v>653659.1</v>
      </c>
      <c r="F81" s="30">
        <v>663570.6</v>
      </c>
      <c r="G81" s="30">
        <v>671453.4</v>
      </c>
      <c r="H81" s="30">
        <v>677618.5</v>
      </c>
    </row>
    <row r="82" spans="2:8" x14ac:dyDescent="0.2">
      <c r="B82" s="32" t="s">
        <v>87</v>
      </c>
      <c r="C82" s="30">
        <v>3743022</v>
      </c>
      <c r="D82" s="30">
        <v>3908198</v>
      </c>
      <c r="E82" s="30">
        <v>4041031</v>
      </c>
      <c r="F82" s="30">
        <v>4156481</v>
      </c>
      <c r="G82" s="30">
        <v>4256021</v>
      </c>
      <c r="H82" s="30">
        <v>4343019</v>
      </c>
    </row>
    <row r="83" spans="2:8" x14ac:dyDescent="0.2">
      <c r="B83" s="33" t="s">
        <v>88</v>
      </c>
      <c r="C83" s="30">
        <v>6841102</v>
      </c>
      <c r="D83" s="30">
        <v>7167144</v>
      </c>
      <c r="E83" s="30">
        <v>7450931</v>
      </c>
      <c r="F83" s="30">
        <v>7703208</v>
      </c>
      <c r="G83" s="30">
        <v>7936843</v>
      </c>
      <c r="H83" s="30">
        <v>8162755</v>
      </c>
    </row>
    <row r="84" spans="2:8" x14ac:dyDescent="0.2">
      <c r="B84" t="s">
        <v>94</v>
      </c>
      <c r="C84" s="8">
        <f>SUM(C80:C83)</f>
        <v>13039439.4</v>
      </c>
      <c r="D84" s="8">
        <f t="shared" ref="D84:H84" si="35">SUM(D80:D83)</f>
        <v>13657700.6</v>
      </c>
      <c r="E84" s="8">
        <f t="shared" si="35"/>
        <v>14195982.1</v>
      </c>
      <c r="F84" s="8">
        <f t="shared" si="35"/>
        <v>14678102.6</v>
      </c>
      <c r="G84" s="8">
        <f t="shared" si="35"/>
        <v>15123386.4</v>
      </c>
      <c r="H84" s="8">
        <f t="shared" si="35"/>
        <v>15547336.5</v>
      </c>
    </row>
    <row r="85" spans="2:8" ht="13.5" thickBot="1" x14ac:dyDescent="0.25"/>
    <row r="86" spans="2:8" ht="26.25" thickBot="1" x14ac:dyDescent="0.25">
      <c r="B86" s="20" t="s">
        <v>97</v>
      </c>
      <c r="C86" s="2">
        <v>2020</v>
      </c>
      <c r="D86" s="2">
        <v>2025</v>
      </c>
      <c r="E86" s="2">
        <v>2030</v>
      </c>
      <c r="F86" s="2">
        <v>2035</v>
      </c>
      <c r="G86" s="2">
        <v>2040</v>
      </c>
      <c r="H86" s="2">
        <v>2045</v>
      </c>
    </row>
    <row r="87" spans="2:8" x14ac:dyDescent="0.2">
      <c r="B87" s="28"/>
      <c r="C87" s="28"/>
      <c r="D87" s="28"/>
      <c r="E87" s="28"/>
      <c r="F87" s="28"/>
      <c r="G87" s="28"/>
      <c r="H87" s="28"/>
    </row>
    <row r="88" spans="2:8" x14ac:dyDescent="0.2">
      <c r="B88" s="29" t="s">
        <v>85</v>
      </c>
      <c r="C88" s="35">
        <f>100*(C48/C72)</f>
        <v>1.2841929989715573</v>
      </c>
      <c r="D88" s="35">
        <f t="shared" ref="D88:H88" si="36">100*(D48/D72)</f>
        <v>6.9016102453264754</v>
      </c>
      <c r="E88" s="35">
        <f t="shared" si="36"/>
        <v>30.006854779804243</v>
      </c>
      <c r="F88" s="35">
        <f t="shared" si="36"/>
        <v>71.820668778146299</v>
      </c>
      <c r="G88" s="35">
        <f t="shared" si="36"/>
        <v>93.981773489032875</v>
      </c>
      <c r="H88" s="35">
        <f t="shared" si="36"/>
        <v>99.665983089799141</v>
      </c>
    </row>
    <row r="89" spans="2:8" x14ac:dyDescent="0.2">
      <c r="B89" s="31" t="s">
        <v>86</v>
      </c>
      <c r="C89" s="35">
        <f t="shared" ref="C89:H92" si="37">100*(C49/C73)</f>
        <v>2.0156013976060714</v>
      </c>
      <c r="D89" s="35">
        <f t="shared" si="37"/>
        <v>10.554069414650405</v>
      </c>
      <c r="E89" s="35">
        <f t="shared" si="37"/>
        <v>40.709051944075917</v>
      </c>
      <c r="F89" s="35">
        <f t="shared" si="37"/>
        <v>80.426613010561582</v>
      </c>
      <c r="G89" s="35">
        <f t="shared" si="37"/>
        <v>96.022491033507293</v>
      </c>
      <c r="H89" s="35">
        <f t="shared" si="37"/>
        <v>99.522765279399238</v>
      </c>
    </row>
    <row r="90" spans="2:8" x14ac:dyDescent="0.2">
      <c r="B90" s="32" t="s">
        <v>87</v>
      </c>
      <c r="C90" s="35">
        <f t="shared" si="37"/>
        <v>5.8209730704755565</v>
      </c>
      <c r="D90" s="35">
        <f t="shared" si="37"/>
        <v>37.332660559138432</v>
      </c>
      <c r="E90" s="35">
        <f t="shared" si="37"/>
        <v>86.215217247129274</v>
      </c>
      <c r="F90" s="35">
        <f t="shared" si="37"/>
        <v>99.65190052082599</v>
      </c>
      <c r="G90" s="35">
        <f t="shared" si="37"/>
        <v>99.61575883216112</v>
      </c>
      <c r="H90" s="35">
        <f t="shared" si="37"/>
        <v>99.594182934299596</v>
      </c>
    </row>
    <row r="91" spans="2:8" x14ac:dyDescent="0.2">
      <c r="B91" s="33" t="s">
        <v>88</v>
      </c>
      <c r="C91" s="35">
        <f t="shared" si="37"/>
        <v>6.3643077665467898</v>
      </c>
      <c r="D91" s="35">
        <f t="shared" si="37"/>
        <v>39.60115395972641</v>
      </c>
      <c r="E91" s="35">
        <f t="shared" si="37"/>
        <v>99.743466909978551</v>
      </c>
      <c r="F91" s="35">
        <f t="shared" si="37"/>
        <v>99.689289367238004</v>
      </c>
      <c r="G91" s="35">
        <f t="shared" si="37"/>
        <v>99.659758029802077</v>
      </c>
      <c r="H91" s="35">
        <f t="shared" si="37"/>
        <v>99.644961807366201</v>
      </c>
    </row>
    <row r="92" spans="2:8" x14ac:dyDescent="0.2">
      <c r="B92" t="s">
        <v>94</v>
      </c>
      <c r="C92" s="35">
        <f t="shared" si="37"/>
        <v>5.3045216099459731</v>
      </c>
      <c r="D92" s="35">
        <f t="shared" si="37"/>
        <v>32.9613348754811</v>
      </c>
      <c r="E92" s="35">
        <f t="shared" si="37"/>
        <v>83.355562442080497</v>
      </c>
      <c r="F92" s="35">
        <f t="shared" si="37"/>
        <v>94.515730201463739</v>
      </c>
      <c r="G92" s="35">
        <f t="shared" si="37"/>
        <v>98.573286474910645</v>
      </c>
      <c r="H92" s="35">
        <f t="shared" si="37"/>
        <v>99.629931747720406</v>
      </c>
    </row>
    <row r="93" spans="2:8" ht="13.5" thickBot="1" x14ac:dyDescent="0.25"/>
    <row r="94" spans="2:8" ht="26.25" thickBot="1" x14ac:dyDescent="0.25">
      <c r="B94" s="20" t="s">
        <v>98</v>
      </c>
      <c r="C94" s="2">
        <v>2020</v>
      </c>
      <c r="D94" s="2">
        <v>2025</v>
      </c>
      <c r="E94" s="2">
        <v>2030</v>
      </c>
      <c r="F94" s="2">
        <v>2035</v>
      </c>
      <c r="G94" s="2">
        <v>2040</v>
      </c>
      <c r="H94" s="2">
        <v>2045</v>
      </c>
    </row>
    <row r="95" spans="2:8" x14ac:dyDescent="0.2">
      <c r="B95" s="28"/>
      <c r="C95" s="28"/>
      <c r="D95" s="28"/>
      <c r="E95" s="28"/>
      <c r="F95" s="28"/>
      <c r="G95" s="28"/>
      <c r="H95" s="28"/>
    </row>
    <row r="96" spans="2:8" x14ac:dyDescent="0.2">
      <c r="B96" s="29" t="s">
        <v>85</v>
      </c>
      <c r="C96" s="35">
        <f>100*(C56/C80)</f>
        <v>0.16132656099521522</v>
      </c>
      <c r="D96" s="35">
        <f t="shared" ref="D96:H96" si="38">100*(D56/D80)</f>
        <v>0.91141177239777016</v>
      </c>
      <c r="E96" s="35">
        <f t="shared" si="38"/>
        <v>4.4726952960966386</v>
      </c>
      <c r="F96" s="35">
        <f t="shared" si="38"/>
        <v>14.891047746866009</v>
      </c>
      <c r="G96" s="35">
        <f t="shared" si="38"/>
        <v>29.812883094761599</v>
      </c>
      <c r="H96" s="35">
        <f t="shared" si="38"/>
        <v>43.649997631077554</v>
      </c>
    </row>
    <row r="97" spans="2:8" x14ac:dyDescent="0.2">
      <c r="B97" s="31" t="s">
        <v>86</v>
      </c>
      <c r="C97" s="35">
        <f t="shared" ref="C97:H100" si="39">100*(C57/C81)</f>
        <v>0.21678576611204908</v>
      </c>
      <c r="D97" s="35">
        <f t="shared" si="39"/>
        <v>1.2393194182337355</v>
      </c>
      <c r="E97" s="35">
        <f t="shared" si="39"/>
        <v>5.629983580126094</v>
      </c>
      <c r="F97" s="35">
        <f t="shared" si="39"/>
        <v>16.36375993752586</v>
      </c>
      <c r="G97" s="35">
        <f t="shared" si="39"/>
        <v>29.729047466287305</v>
      </c>
      <c r="H97" s="35">
        <f t="shared" si="39"/>
        <v>41.678156661897511</v>
      </c>
    </row>
    <row r="98" spans="2:8" x14ac:dyDescent="0.2">
      <c r="B98" s="32" t="s">
        <v>87</v>
      </c>
      <c r="C98" s="35">
        <f t="shared" si="39"/>
        <v>0.88702123578221026</v>
      </c>
      <c r="D98" s="35">
        <f t="shared" si="39"/>
        <v>4.7742181946769335</v>
      </c>
      <c r="E98" s="35">
        <f t="shared" si="39"/>
        <v>17.100819073152369</v>
      </c>
      <c r="F98" s="35">
        <f t="shared" si="39"/>
        <v>32.042903600425461</v>
      </c>
      <c r="G98" s="35">
        <f t="shared" si="39"/>
        <v>44.530626141177407</v>
      </c>
      <c r="H98" s="35">
        <f t="shared" si="39"/>
        <v>54.484758183190074</v>
      </c>
    </row>
    <row r="99" spans="2:8" x14ac:dyDescent="0.2">
      <c r="B99" s="33" t="s">
        <v>88</v>
      </c>
      <c r="C99" s="35">
        <f t="shared" si="39"/>
        <v>0.94276623853876174</v>
      </c>
      <c r="D99" s="35">
        <f t="shared" si="39"/>
        <v>5.1472246127606756</v>
      </c>
      <c r="E99" s="35">
        <f t="shared" si="39"/>
        <v>19.383830020704792</v>
      </c>
      <c r="F99" s="35">
        <f t="shared" si="39"/>
        <v>35.042852276609949</v>
      </c>
      <c r="G99" s="35">
        <f t="shared" si="39"/>
        <v>47.325688564080195</v>
      </c>
      <c r="H99" s="35">
        <f t="shared" si="39"/>
        <v>57.121480431545478</v>
      </c>
    </row>
    <row r="100" spans="2:8" x14ac:dyDescent="0.2">
      <c r="B100" t="s">
        <v>94</v>
      </c>
      <c r="C100" s="35">
        <f t="shared" si="39"/>
        <v>0.78226369148968167</v>
      </c>
      <c r="D100" s="35">
        <f t="shared" si="39"/>
        <v>4.2549556255465149</v>
      </c>
      <c r="E100" s="35">
        <f t="shared" si="39"/>
        <v>15.946994607720729</v>
      </c>
      <c r="F100" s="35">
        <f t="shared" si="39"/>
        <v>30.390472948458608</v>
      </c>
      <c r="G100" s="35">
        <f t="shared" si="39"/>
        <v>43.141850161283976</v>
      </c>
      <c r="H100" s="35">
        <f t="shared" si="39"/>
        <v>53.663534586776329</v>
      </c>
    </row>
    <row r="101" spans="2:8" ht="13.5" thickBot="1" x14ac:dyDescent="0.25"/>
    <row r="102" spans="2:8" ht="13.5" thickBot="1" x14ac:dyDescent="0.25">
      <c r="B102" s="11" t="s">
        <v>99</v>
      </c>
      <c r="C102" s="2">
        <v>2020</v>
      </c>
      <c r="D102" s="2">
        <v>2025</v>
      </c>
      <c r="E102" s="2">
        <v>2030</v>
      </c>
      <c r="F102" s="2">
        <v>2035</v>
      </c>
      <c r="G102" s="2">
        <v>2040</v>
      </c>
      <c r="H102" s="2">
        <v>2045</v>
      </c>
    </row>
    <row r="104" spans="2:8" x14ac:dyDescent="0.2">
      <c r="B104" s="29" t="s">
        <v>85</v>
      </c>
      <c r="C104" s="30">
        <v>17.173967898747446</v>
      </c>
      <c r="D104" s="30">
        <v>93.57761006945492</v>
      </c>
      <c r="E104" s="30">
        <v>466.21754493732823</v>
      </c>
      <c r="F104" s="30">
        <v>1613.8547615705211</v>
      </c>
      <c r="G104" s="30">
        <v>3495.0196958449255</v>
      </c>
      <c r="H104" s="30">
        <v>5592.4125058137988</v>
      </c>
    </row>
    <row r="105" spans="2:8" x14ac:dyDescent="0.2">
      <c r="B105" s="31" t="s">
        <v>86</v>
      </c>
      <c r="C105" s="30">
        <v>6.8578643145168972</v>
      </c>
      <c r="D105" s="30">
        <v>35.315070508516506</v>
      </c>
      <c r="E105" s="30">
        <v>155.47423157483817</v>
      </c>
      <c r="F105" s="30">
        <v>453.23449411967442</v>
      </c>
      <c r="G105" s="30">
        <v>856.20729037868023</v>
      </c>
      <c r="H105" s="30">
        <v>1261.2901987344603</v>
      </c>
    </row>
    <row r="106" spans="2:8" x14ac:dyDescent="0.2">
      <c r="B106" s="32" t="s">
        <v>87</v>
      </c>
      <c r="C106" s="30">
        <v>186.04154986561224</v>
      </c>
      <c r="D106" s="30">
        <v>962.26973035405058</v>
      </c>
      <c r="E106" s="30">
        <v>3431.6870258292379</v>
      </c>
      <c r="F106" s="30">
        <v>6631.2031067883772</v>
      </c>
      <c r="G106" s="30">
        <v>9680.0220155028765</v>
      </c>
      <c r="H106" s="30">
        <v>12187.831628294376</v>
      </c>
    </row>
    <row r="107" spans="2:8" x14ac:dyDescent="0.2">
      <c r="B107" s="33" t="s">
        <v>88</v>
      </c>
      <c r="C107" s="30">
        <v>345.12055627244013</v>
      </c>
      <c r="D107" s="30">
        <v>1818.3597922829099</v>
      </c>
      <c r="E107" s="30">
        <v>6863.8136583453042</v>
      </c>
      <c r="F107" s="30">
        <v>12986.743513823136</v>
      </c>
      <c r="G107" s="30">
        <v>19004.314300024533</v>
      </c>
      <c r="H107" s="30">
        <v>24354.94312808293</v>
      </c>
    </row>
    <row r="108" spans="2:8" x14ac:dyDescent="0.2">
      <c r="B108" t="s">
        <v>94</v>
      </c>
      <c r="C108" s="36">
        <f>SUM(C104:C107)</f>
        <v>555.19393835131677</v>
      </c>
      <c r="D108" s="36">
        <f t="shared" ref="D108:H108" si="40">SUM(D104:D107)</f>
        <v>2909.5222032149318</v>
      </c>
      <c r="E108" s="36">
        <f t="shared" si="40"/>
        <v>10917.192460686709</v>
      </c>
      <c r="F108" s="36">
        <f t="shared" si="40"/>
        <v>21685.035876301707</v>
      </c>
      <c r="G108" s="36">
        <f t="shared" si="40"/>
        <v>33035.563301751012</v>
      </c>
      <c r="H108" s="36">
        <f t="shared" si="40"/>
        <v>43396.477460925569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41A82-FD7D-4BF3-AFD5-459EAFA35056}">
  <dimension ref="B7:BH60"/>
  <sheetViews>
    <sheetView topLeftCell="A13" workbookViewId="0">
      <selection activeCell="M4" sqref="M4"/>
    </sheetView>
  </sheetViews>
  <sheetFormatPr defaultRowHeight="12.75" x14ac:dyDescent="0.2"/>
  <cols>
    <col min="2" max="2" width="29" bestFit="1" customWidth="1"/>
    <col min="3" max="8" width="10.140625" bestFit="1" customWidth="1"/>
    <col min="9" max="9" width="2.28515625" customWidth="1"/>
    <col min="10" max="10" width="2.5703125" customWidth="1"/>
    <col min="11" max="11" width="3.42578125" customWidth="1"/>
    <col min="12" max="12" width="14.5703125" bestFit="1" customWidth="1"/>
    <col min="13" max="13" width="12.42578125" bestFit="1" customWidth="1"/>
    <col min="14" max="15" width="5.5703125" bestFit="1" customWidth="1"/>
    <col min="16" max="19" width="6.5703125" bestFit="1" customWidth="1"/>
    <col min="20" max="20" width="2.5703125" customWidth="1"/>
    <col min="21" max="22" width="3" customWidth="1"/>
    <col min="23" max="23" width="19.42578125" bestFit="1" customWidth="1"/>
    <col min="24" max="24" width="26" bestFit="1" customWidth="1"/>
    <col min="25" max="30" width="10.140625" bestFit="1" customWidth="1"/>
    <col min="31" max="31" width="3.42578125" customWidth="1"/>
    <col min="32" max="32" width="3.7109375" customWidth="1"/>
    <col min="33" max="33" width="4" customWidth="1"/>
    <col min="34" max="34" width="16.7109375" bestFit="1" customWidth="1"/>
    <col min="35" max="35" width="22" bestFit="1" customWidth="1"/>
    <col min="36" max="36" width="11.5703125" bestFit="1" customWidth="1"/>
    <col min="37" max="37" width="9.85546875" bestFit="1" customWidth="1"/>
    <col min="38" max="38" width="10.7109375" bestFit="1" customWidth="1"/>
    <col min="39" max="40" width="3.7109375" customWidth="1"/>
    <col min="41" max="41" width="4" customWidth="1"/>
    <col min="42" max="42" width="20" bestFit="1" customWidth="1"/>
    <col min="43" max="43" width="14.28515625" bestFit="1" customWidth="1"/>
    <col min="44" max="48" width="7" bestFit="1" customWidth="1"/>
    <col min="49" max="49" width="7.5703125" bestFit="1" customWidth="1"/>
    <col min="50" max="50" width="3.140625" customWidth="1"/>
    <col min="51" max="51" width="3.42578125" customWidth="1"/>
    <col min="52" max="52" width="2.85546875" customWidth="1"/>
    <col min="53" max="53" width="8.85546875" bestFit="1" customWidth="1"/>
    <col min="54" max="54" width="24.85546875" bestFit="1" customWidth="1"/>
  </cols>
  <sheetData>
    <row r="7" spans="2:60" x14ac:dyDescent="0.2">
      <c r="B7" s="3"/>
      <c r="C7" s="3"/>
      <c r="D7" s="3"/>
      <c r="E7" s="3"/>
      <c r="F7" s="3"/>
      <c r="G7" s="3"/>
      <c r="H7" s="3"/>
    </row>
    <row r="9" spans="2:60" ht="38.25" x14ac:dyDescent="0.2">
      <c r="B9" s="4" t="s">
        <v>0</v>
      </c>
      <c r="J9" s="12"/>
      <c r="L9" s="4" t="s">
        <v>24</v>
      </c>
      <c r="U9" s="12"/>
      <c r="W9" s="4" t="s">
        <v>59</v>
      </c>
      <c r="AF9" s="12"/>
      <c r="AH9" s="21" t="s">
        <v>74</v>
      </c>
      <c r="AN9" s="12"/>
      <c r="AP9" s="21" t="s">
        <v>82</v>
      </c>
      <c r="AY9" s="12"/>
      <c r="BA9" s="21" t="s">
        <v>102</v>
      </c>
    </row>
    <row r="10" spans="2:60" x14ac:dyDescent="0.2">
      <c r="J10" s="12"/>
      <c r="U10" s="12"/>
      <c r="AF10" s="12"/>
      <c r="AN10" s="12"/>
      <c r="AY10" s="12"/>
    </row>
    <row r="11" spans="2:60" x14ac:dyDescent="0.2">
      <c r="J11" s="12"/>
      <c r="U11" s="12"/>
      <c r="AF11" s="12"/>
      <c r="AN11" s="12"/>
      <c r="AY11" s="12"/>
    </row>
    <row r="12" spans="2:60" ht="13.5" thickBot="1" x14ac:dyDescent="0.25">
      <c r="J12" s="12"/>
      <c r="U12" s="12"/>
      <c r="AF12" s="12"/>
      <c r="AN12" s="12"/>
      <c r="AY12" s="12"/>
    </row>
    <row r="13" spans="2:60" ht="39" thickBot="1" x14ac:dyDescent="0.25">
      <c r="B13" s="1" t="s">
        <v>1</v>
      </c>
      <c r="C13" s="2">
        <v>2020</v>
      </c>
      <c r="D13" s="2">
        <v>2025</v>
      </c>
      <c r="E13" s="2">
        <v>2030</v>
      </c>
      <c r="F13" s="2">
        <v>2035</v>
      </c>
      <c r="G13" s="2">
        <v>2040</v>
      </c>
      <c r="H13" s="2">
        <v>2045</v>
      </c>
      <c r="J13" s="12"/>
      <c r="L13" s="20" t="s">
        <v>15</v>
      </c>
      <c r="M13" s="20" t="s">
        <v>16</v>
      </c>
      <c r="N13" s="2">
        <v>2020</v>
      </c>
      <c r="O13" s="2">
        <v>2025</v>
      </c>
      <c r="P13" s="2">
        <v>2030</v>
      </c>
      <c r="Q13" s="2">
        <v>2035</v>
      </c>
      <c r="R13" s="2">
        <v>2040</v>
      </c>
      <c r="S13" s="2">
        <v>2045</v>
      </c>
      <c r="U13" s="12"/>
      <c r="W13" s="20" t="s">
        <v>54</v>
      </c>
      <c r="X13" s="20" t="s">
        <v>16</v>
      </c>
      <c r="Y13" s="2">
        <v>2020</v>
      </c>
      <c r="Z13" s="2">
        <v>2025</v>
      </c>
      <c r="AA13" s="2">
        <v>2030</v>
      </c>
      <c r="AB13" s="2">
        <v>2035</v>
      </c>
      <c r="AC13" s="2">
        <v>2040</v>
      </c>
      <c r="AD13" s="2">
        <v>2045</v>
      </c>
      <c r="AF13" s="12"/>
      <c r="AH13" s="1" t="s">
        <v>54</v>
      </c>
      <c r="AI13" s="1" t="s">
        <v>76</v>
      </c>
      <c r="AJ13" s="1" t="s">
        <v>78</v>
      </c>
      <c r="AK13" s="25" t="s">
        <v>79</v>
      </c>
      <c r="AL13" s="26" t="s">
        <v>80</v>
      </c>
      <c r="AM13" s="24"/>
      <c r="AN13" s="12"/>
      <c r="AP13" s="20" t="s">
        <v>69</v>
      </c>
      <c r="AQ13" s="20" t="s">
        <v>16</v>
      </c>
      <c r="AR13" s="2">
        <v>2020</v>
      </c>
      <c r="AS13" s="2">
        <v>2025</v>
      </c>
      <c r="AT13" s="2">
        <v>2030</v>
      </c>
      <c r="AU13" s="2">
        <v>2035</v>
      </c>
      <c r="AV13" s="2">
        <v>2040</v>
      </c>
      <c r="AW13" s="2">
        <v>2045</v>
      </c>
      <c r="AY13" s="12"/>
      <c r="BA13" s="1" t="s">
        <v>28</v>
      </c>
      <c r="BB13" s="1" t="s">
        <v>76</v>
      </c>
      <c r="BC13" s="2">
        <v>2020</v>
      </c>
      <c r="BD13" s="2">
        <v>2025</v>
      </c>
      <c r="BE13" s="2">
        <v>2030</v>
      </c>
      <c r="BF13" s="2">
        <v>2035</v>
      </c>
      <c r="BG13" s="2">
        <v>2040</v>
      </c>
      <c r="BH13" s="2">
        <v>2045</v>
      </c>
    </row>
    <row r="14" spans="2:60" ht="15.75" x14ac:dyDescent="0.3">
      <c r="J14" s="12"/>
      <c r="L14" s="13" t="s">
        <v>2</v>
      </c>
      <c r="M14" s="13" t="s">
        <v>17</v>
      </c>
      <c r="N14" s="8">
        <v>5435.5685615948669</v>
      </c>
      <c r="O14" s="8">
        <v>5398.8701927073816</v>
      </c>
      <c r="P14" s="8">
        <v>4969.5716874781783</v>
      </c>
      <c r="Q14" s="8">
        <v>4356.9708860549026</v>
      </c>
      <c r="R14" s="8">
        <v>3671.7689506675761</v>
      </c>
      <c r="S14" s="8">
        <v>2955.2641205127779</v>
      </c>
      <c r="U14" s="12"/>
      <c r="W14" t="s">
        <v>26</v>
      </c>
      <c r="X14" t="s">
        <v>58</v>
      </c>
      <c r="Y14" s="8">
        <v>43075.928300000007</v>
      </c>
      <c r="Z14" s="8">
        <v>42083.792300000008</v>
      </c>
      <c r="AA14" s="8">
        <v>37611.539799999999</v>
      </c>
      <c r="AB14" s="8">
        <v>31777.893799999998</v>
      </c>
      <c r="AC14" s="8">
        <v>26369.455700000002</v>
      </c>
      <c r="AD14" s="8">
        <v>21749.945400000001</v>
      </c>
      <c r="AF14" s="12"/>
      <c r="AH14" t="s">
        <v>75</v>
      </c>
      <c r="AI14" t="s">
        <v>60</v>
      </c>
      <c r="AJ14" t="s">
        <v>77</v>
      </c>
      <c r="AK14" s="10">
        <f>100*(AD22-Y22)/Y22</f>
        <v>30.848468991082164</v>
      </c>
      <c r="AL14" s="10">
        <f>AK14/25</f>
        <v>1.2339387596432865</v>
      </c>
      <c r="AM14" s="10"/>
      <c r="AN14" s="12"/>
      <c r="AP14" t="s">
        <v>70</v>
      </c>
      <c r="AQ14" t="s">
        <v>68</v>
      </c>
      <c r="AR14">
        <v>62.375</v>
      </c>
      <c r="AS14">
        <v>59.204999999999998</v>
      </c>
      <c r="AT14">
        <v>56.835000000000001</v>
      </c>
      <c r="AU14">
        <v>54.265000000000001</v>
      </c>
      <c r="AV14">
        <v>51.695</v>
      </c>
      <c r="AW14">
        <v>48.024999999999999</v>
      </c>
      <c r="AY14" s="12"/>
    </row>
    <row r="15" spans="2:60" ht="15.75" x14ac:dyDescent="0.3">
      <c r="B15" s="5" t="s">
        <v>2</v>
      </c>
      <c r="C15" s="8">
        <v>474636.30000000005</v>
      </c>
      <c r="D15" s="8">
        <v>360609.4</v>
      </c>
      <c r="E15" s="8">
        <v>95789.89999999998</v>
      </c>
      <c r="F15" s="8">
        <v>31894.899999999998</v>
      </c>
      <c r="G15" s="8">
        <v>8445.2000000000007</v>
      </c>
      <c r="H15" s="8">
        <v>2247.1</v>
      </c>
      <c r="J15" s="12"/>
      <c r="L15" s="13" t="s">
        <v>18</v>
      </c>
      <c r="M15" s="13" t="s">
        <v>17</v>
      </c>
      <c r="N15" s="8">
        <v>2578.325969384412</v>
      </c>
      <c r="O15" s="8">
        <v>2792.9779227112917</v>
      </c>
      <c r="P15" s="8">
        <v>3013.1794061769815</v>
      </c>
      <c r="Q15" s="8">
        <v>3178.0966800358124</v>
      </c>
      <c r="R15" s="8">
        <v>3006.4768781709254</v>
      </c>
      <c r="S15" s="8">
        <v>2255.1517313165573</v>
      </c>
      <c r="U15" s="12"/>
      <c r="W15" t="s">
        <v>28</v>
      </c>
      <c r="X15" t="s">
        <v>58</v>
      </c>
      <c r="Y15" s="8">
        <v>3382.806</v>
      </c>
      <c r="Z15" s="8">
        <v>3663.3789999999999</v>
      </c>
      <c r="AA15" s="8">
        <v>3911.4270000000001</v>
      </c>
      <c r="AB15" s="8">
        <v>3839.38</v>
      </c>
      <c r="AC15" s="8">
        <v>2861.3410999999996</v>
      </c>
      <c r="AD15" s="8">
        <v>1632.1949</v>
      </c>
      <c r="AF15" s="12"/>
      <c r="AH15" t="s">
        <v>28</v>
      </c>
      <c r="AI15" t="s">
        <v>61</v>
      </c>
      <c r="AJ15" t="s">
        <v>77</v>
      </c>
      <c r="AK15" s="10">
        <f>100*(AD25-Y25)/Y25</f>
        <v>69.145831001567117</v>
      </c>
      <c r="AL15" s="10">
        <f t="shared" ref="AL15:AL18" si="0">AK15/25</f>
        <v>2.7658332400626846</v>
      </c>
      <c r="AM15" s="10"/>
      <c r="AN15" s="12"/>
      <c r="AP15" t="s">
        <v>70</v>
      </c>
      <c r="AQ15" t="s">
        <v>72</v>
      </c>
      <c r="AR15">
        <f>AR14</f>
        <v>62.375</v>
      </c>
      <c r="AS15">
        <f t="shared" ref="AS15:AW15" si="1">AS14</f>
        <v>59.204999999999998</v>
      </c>
      <c r="AT15">
        <f t="shared" si="1"/>
        <v>56.835000000000001</v>
      </c>
      <c r="AU15">
        <f t="shared" si="1"/>
        <v>54.265000000000001</v>
      </c>
      <c r="AV15">
        <f t="shared" si="1"/>
        <v>51.695</v>
      </c>
      <c r="AW15">
        <f t="shared" si="1"/>
        <v>48.024999999999999</v>
      </c>
      <c r="AY15" s="12"/>
      <c r="BA15" t="s">
        <v>2</v>
      </c>
      <c r="BB15" t="s">
        <v>101</v>
      </c>
      <c r="BC15" s="8">
        <v>58.171165748955545</v>
      </c>
      <c r="BD15" s="8">
        <v>59.379829266184778</v>
      </c>
      <c r="BE15" s="8">
        <v>59.803531351746329</v>
      </c>
      <c r="BF15" s="8">
        <v>54.332508299043681</v>
      </c>
      <c r="BG15" s="8">
        <v>36.387982207781903</v>
      </c>
      <c r="BH15" s="8">
        <v>18.373829958125722</v>
      </c>
    </row>
    <row r="16" spans="2:60" ht="16.5" thickBot="1" x14ac:dyDescent="0.35">
      <c r="B16" s="5" t="s">
        <v>3</v>
      </c>
      <c r="C16" s="8">
        <v>27593.4</v>
      </c>
      <c r="D16" s="8">
        <v>184383.4</v>
      </c>
      <c r="E16" s="8">
        <v>505415.70000000007</v>
      </c>
      <c r="F16" s="8">
        <v>581829.1</v>
      </c>
      <c r="G16" s="8">
        <v>616058.19999999995</v>
      </c>
      <c r="H16" s="8">
        <v>628764.30000000005</v>
      </c>
      <c r="J16" s="12"/>
      <c r="L16" s="13" t="s">
        <v>19</v>
      </c>
      <c r="M16" s="13" t="s">
        <v>20</v>
      </c>
      <c r="N16" s="8">
        <v>35.182000000000002</v>
      </c>
      <c r="O16" s="8">
        <v>35.776600000000002</v>
      </c>
      <c r="P16" s="8">
        <v>35.0047</v>
      </c>
      <c r="Q16" s="8">
        <v>32.429499999999997</v>
      </c>
      <c r="R16" s="8">
        <v>28.283000000000001</v>
      </c>
      <c r="S16" s="8">
        <v>23.9008</v>
      </c>
      <c r="U16" s="12"/>
      <c r="W16" t="s">
        <v>29</v>
      </c>
      <c r="X16" t="s">
        <v>58</v>
      </c>
      <c r="Y16" s="8">
        <v>6869.0505999999996</v>
      </c>
      <c r="Z16" s="8">
        <v>7959.0069999999996</v>
      </c>
      <c r="AA16" s="8">
        <v>9186.7382999999991</v>
      </c>
      <c r="AB16" s="8">
        <v>10305.489699999998</v>
      </c>
      <c r="AC16" s="8">
        <v>10267.513000000001</v>
      </c>
      <c r="AD16" s="8">
        <v>7938.5119000000004</v>
      </c>
      <c r="AF16" s="12"/>
      <c r="AH16" t="s">
        <v>29</v>
      </c>
      <c r="AI16" t="s">
        <v>61</v>
      </c>
      <c r="AJ16" t="s">
        <v>77</v>
      </c>
      <c r="AK16" s="10">
        <f>100*(AD26-Y26)/Y26</f>
        <v>145.09418108151453</v>
      </c>
      <c r="AL16" s="10">
        <f t="shared" si="0"/>
        <v>5.8037672432605811</v>
      </c>
      <c r="AM16" s="10"/>
      <c r="AN16" s="12"/>
      <c r="AY16" s="12"/>
      <c r="BA16" t="s">
        <v>18</v>
      </c>
      <c r="BB16" t="s">
        <v>101</v>
      </c>
      <c r="BC16" s="8">
        <v>41.828834251044448</v>
      </c>
      <c r="BD16" s="8">
        <v>40.497308285853585</v>
      </c>
      <c r="BE16" s="8">
        <v>38.489963858693116</v>
      </c>
      <c r="BF16" s="8">
        <v>33.520628342546431</v>
      </c>
      <c r="BG16" s="8">
        <v>22.32259797010699</v>
      </c>
      <c r="BH16" s="8">
        <v>11.389785720388691</v>
      </c>
    </row>
    <row r="17" spans="2:60" ht="51.75" thickBot="1" x14ac:dyDescent="0.35">
      <c r="B17" s="6" t="s">
        <v>4</v>
      </c>
      <c r="C17" s="9">
        <v>17956.699999999953</v>
      </c>
      <c r="D17" s="9">
        <v>14400.199999999953</v>
      </c>
      <c r="E17" s="9">
        <v>5131.4999999999272</v>
      </c>
      <c r="F17" s="9">
        <v>1865.6999999999789</v>
      </c>
      <c r="G17" s="9">
        <v>471.4000000000924</v>
      </c>
      <c r="H17" s="9">
        <v>88.400000000000091</v>
      </c>
      <c r="J17" s="12"/>
      <c r="L17" s="13" t="s">
        <v>21</v>
      </c>
      <c r="M17" s="13" t="s">
        <v>11</v>
      </c>
      <c r="N17" s="8">
        <v>555.16463123886149</v>
      </c>
      <c r="O17" s="8">
        <v>2909.5222032149313</v>
      </c>
      <c r="P17" s="8">
        <v>10917.133846461795</v>
      </c>
      <c r="Q17" s="8">
        <v>21685.03587630171</v>
      </c>
      <c r="R17" s="8">
        <v>33035.533994638557</v>
      </c>
      <c r="S17" s="8">
        <v>43396.418846700653</v>
      </c>
      <c r="U17" s="12"/>
      <c r="W17" t="s">
        <v>30</v>
      </c>
      <c r="X17" t="s">
        <v>58</v>
      </c>
      <c r="Y17" s="8">
        <v>19161.453000000001</v>
      </c>
      <c r="Z17" s="8">
        <v>20630.738000000001</v>
      </c>
      <c r="AA17" s="8">
        <v>22160.343999999997</v>
      </c>
      <c r="AB17" s="8">
        <v>23372.202999999998</v>
      </c>
      <c r="AC17" s="8">
        <v>22225.411</v>
      </c>
      <c r="AD17" s="8">
        <v>16666.317999999999</v>
      </c>
      <c r="AF17" s="12"/>
      <c r="AH17" t="s">
        <v>30</v>
      </c>
      <c r="AI17" t="s">
        <v>61</v>
      </c>
      <c r="AJ17" t="s">
        <v>77</v>
      </c>
      <c r="AK17" s="10">
        <f>100*(AD27-Y27)/Y27</f>
        <v>74.636744319897304</v>
      </c>
      <c r="AL17" s="10">
        <f t="shared" si="0"/>
        <v>2.9854697727958923</v>
      </c>
      <c r="AM17" s="10"/>
      <c r="AN17" s="12"/>
      <c r="AP17" s="20" t="s">
        <v>71</v>
      </c>
      <c r="AQ17" s="20" t="s">
        <v>16</v>
      </c>
      <c r="AR17" s="2">
        <v>2020</v>
      </c>
      <c r="AS17" s="2">
        <v>2025</v>
      </c>
      <c r="AT17" s="2">
        <v>2030</v>
      </c>
      <c r="AU17" s="2">
        <v>2035</v>
      </c>
      <c r="AV17" s="2">
        <v>2040</v>
      </c>
      <c r="AW17" s="2">
        <v>2045</v>
      </c>
      <c r="AY17" s="12"/>
      <c r="BA17" t="s">
        <v>3</v>
      </c>
      <c r="BB17" t="s">
        <v>101</v>
      </c>
      <c r="BC17" s="8">
        <v>0</v>
      </c>
      <c r="BD17" s="8">
        <v>0.12286244796162625</v>
      </c>
      <c r="BE17" s="8">
        <v>1.7065047895605465</v>
      </c>
      <c r="BF17" s="8">
        <v>12.146863358409876</v>
      </c>
      <c r="BG17" s="8">
        <v>41.289419822111107</v>
      </c>
      <c r="BH17" s="8">
        <v>70.236384321485588</v>
      </c>
    </row>
    <row r="18" spans="2:60" ht="16.5" thickBot="1" x14ac:dyDescent="0.35">
      <c r="B18" s="5" t="s">
        <v>5</v>
      </c>
      <c r="C18" s="8">
        <v>520186.4</v>
      </c>
      <c r="D18" s="8">
        <v>559393</v>
      </c>
      <c r="E18" s="8">
        <v>606337.1</v>
      </c>
      <c r="F18" s="8">
        <v>615589.69999999995</v>
      </c>
      <c r="G18" s="8">
        <v>624974.80000000005</v>
      </c>
      <c r="H18" s="8">
        <v>631099.80000000005</v>
      </c>
      <c r="J18" s="12"/>
      <c r="L18" s="13"/>
      <c r="M18" s="13" t="s">
        <v>12</v>
      </c>
      <c r="N18" s="8">
        <f>N17*1000/8760</f>
        <v>63.37495790397962</v>
      </c>
      <c r="O18" s="8">
        <f t="shared" ref="O18:S18" si="2">O17*1000/8760</f>
        <v>332.13723780992365</v>
      </c>
      <c r="P18" s="8">
        <f t="shared" si="2"/>
        <v>1246.2481559887894</v>
      </c>
      <c r="Q18" s="8">
        <f t="shared" si="2"/>
        <v>2475.4607164727977</v>
      </c>
      <c r="R18" s="8">
        <f t="shared" si="2"/>
        <v>3771.1796797532602</v>
      </c>
      <c r="S18" s="8">
        <f t="shared" si="2"/>
        <v>4953.9290920891153</v>
      </c>
      <c r="U18" s="12"/>
      <c r="W18" s="7" t="s">
        <v>27</v>
      </c>
      <c r="X18" s="7" t="s">
        <v>58</v>
      </c>
      <c r="Y18" s="9">
        <v>1898.1522</v>
      </c>
      <c r="Z18" s="9">
        <v>1973.8212000000001</v>
      </c>
      <c r="AA18" s="9">
        <v>2018.2233000000001</v>
      </c>
      <c r="AB18" s="9">
        <v>1932.6701</v>
      </c>
      <c r="AC18" s="9">
        <v>1697.5735</v>
      </c>
      <c r="AD18" s="9">
        <v>1423.8723</v>
      </c>
      <c r="AF18" s="12"/>
      <c r="AH18" s="17" t="s">
        <v>27</v>
      </c>
      <c r="AI18" s="17" t="s">
        <v>60</v>
      </c>
      <c r="AJ18" t="s">
        <v>77</v>
      </c>
      <c r="AK18" s="10">
        <f>100*(AD29-Y29)/Y29</f>
        <v>32.134534355121446</v>
      </c>
      <c r="AL18" s="10">
        <f t="shared" si="0"/>
        <v>1.2853813742048579</v>
      </c>
      <c r="AM18" s="10"/>
      <c r="AN18" s="12"/>
      <c r="AP18" s="14" t="s">
        <v>26</v>
      </c>
      <c r="AQ18" s="13" t="s">
        <v>11</v>
      </c>
      <c r="AR18" s="8">
        <f t="shared" ref="AR18:AW22" si="3">N55*AR$15</f>
        <v>0</v>
      </c>
      <c r="AS18" s="8">
        <f t="shared" si="3"/>
        <v>0</v>
      </c>
      <c r="AT18" s="8">
        <f t="shared" si="3"/>
        <v>0</v>
      </c>
      <c r="AU18" s="8">
        <f t="shared" si="3"/>
        <v>0</v>
      </c>
      <c r="AV18" s="8">
        <f t="shared" si="3"/>
        <v>0</v>
      </c>
      <c r="AW18" s="8">
        <f t="shared" si="3"/>
        <v>0</v>
      </c>
      <c r="AY18" s="12"/>
      <c r="BA18" t="s">
        <v>22</v>
      </c>
      <c r="BB18" t="s">
        <v>101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</row>
    <row r="19" spans="2:60" ht="16.5" thickBot="1" x14ac:dyDescent="0.35">
      <c r="J19" s="12"/>
      <c r="L19" s="13" t="s">
        <v>22</v>
      </c>
      <c r="M19" s="13" t="s">
        <v>23</v>
      </c>
      <c r="N19" s="8">
        <v>0</v>
      </c>
      <c r="O19" s="8">
        <v>0</v>
      </c>
      <c r="P19" s="8">
        <v>29.220712897251406</v>
      </c>
      <c r="Q19" s="8">
        <v>176.65874321865832</v>
      </c>
      <c r="R19" s="8">
        <v>778.7734452133152</v>
      </c>
      <c r="S19" s="8">
        <v>2185.248395010899</v>
      </c>
      <c r="U19" s="12"/>
      <c r="W19" t="s">
        <v>5</v>
      </c>
      <c r="X19" t="s">
        <v>58</v>
      </c>
      <c r="Y19" s="8">
        <f>SUM(Y14:Y18)</f>
        <v>74387.390100000004</v>
      </c>
      <c r="Z19" s="8">
        <f t="shared" ref="Z19:AD19" si="4">SUM(Z14:Z18)</f>
        <v>76310.737500000017</v>
      </c>
      <c r="AA19" s="8">
        <f t="shared" si="4"/>
        <v>74888.272400000002</v>
      </c>
      <c r="AB19" s="8">
        <f t="shared" si="4"/>
        <v>71227.636599999998</v>
      </c>
      <c r="AC19" s="8">
        <f t="shared" si="4"/>
        <v>63421.294300000001</v>
      </c>
      <c r="AD19" s="8">
        <f t="shared" si="4"/>
        <v>49410.842499999999</v>
      </c>
      <c r="AF19" s="12"/>
      <c r="AK19" s="10"/>
      <c r="AL19" s="10"/>
      <c r="AM19" s="10"/>
      <c r="AN19" s="12"/>
      <c r="AP19" s="14" t="s">
        <v>28</v>
      </c>
      <c r="AQ19" s="13" t="s">
        <v>11</v>
      </c>
      <c r="AR19" s="8">
        <f t="shared" si="3"/>
        <v>0</v>
      </c>
      <c r="AS19" s="8">
        <f t="shared" si="3"/>
        <v>0</v>
      </c>
      <c r="AT19" s="8">
        <f t="shared" si="3"/>
        <v>0</v>
      </c>
      <c r="AU19" s="8">
        <f t="shared" si="3"/>
        <v>0</v>
      </c>
      <c r="AV19" s="8">
        <f t="shared" si="3"/>
        <v>0</v>
      </c>
      <c r="AW19" s="8">
        <f t="shared" si="3"/>
        <v>0</v>
      </c>
      <c r="AY19" s="12"/>
    </row>
    <row r="20" spans="2:60" ht="26.25" thickBot="1" x14ac:dyDescent="0.25">
      <c r="B20" s="5" t="s">
        <v>6</v>
      </c>
      <c r="C20" s="10">
        <f>100*(C16/C18)</f>
        <v>5.3045216099459731</v>
      </c>
      <c r="D20" s="10">
        <f t="shared" ref="D20:H20" si="5">100*(D16/D18)</f>
        <v>32.9613348754811</v>
      </c>
      <c r="E20" s="10">
        <f t="shared" si="5"/>
        <v>83.355562442080497</v>
      </c>
      <c r="F20" s="10">
        <f t="shared" si="5"/>
        <v>94.515730201463739</v>
      </c>
      <c r="G20" s="10">
        <f t="shared" si="5"/>
        <v>98.573286474910645</v>
      </c>
      <c r="H20" s="10">
        <f t="shared" si="5"/>
        <v>99.629931747720406</v>
      </c>
      <c r="J20" s="12"/>
      <c r="U20" s="12"/>
      <c r="AD20" s="8"/>
      <c r="AF20" s="12"/>
      <c r="AK20" s="10"/>
      <c r="AL20" s="10"/>
      <c r="AM20" s="10"/>
      <c r="AN20" s="12"/>
      <c r="AP20" s="14" t="s">
        <v>29</v>
      </c>
      <c r="AQ20" s="13" t="s">
        <v>11</v>
      </c>
      <c r="AR20" s="8">
        <f t="shared" si="3"/>
        <v>0</v>
      </c>
      <c r="AS20" s="8">
        <f t="shared" si="3"/>
        <v>0</v>
      </c>
      <c r="AT20" s="8">
        <f t="shared" si="3"/>
        <v>429.58755793099829</v>
      </c>
      <c r="AU20" s="8">
        <f t="shared" si="3"/>
        <v>2576.3931146582531</v>
      </c>
      <c r="AV20" s="8">
        <f t="shared" si="3"/>
        <v>11171.568891763065</v>
      </c>
      <c r="AW20" s="8">
        <f t="shared" si="3"/>
        <v>29837.172437882422</v>
      </c>
      <c r="AY20" s="12"/>
      <c r="BA20" s="1" t="s">
        <v>29</v>
      </c>
      <c r="BB20" s="1" t="s">
        <v>76</v>
      </c>
      <c r="BC20" s="2">
        <v>2020</v>
      </c>
      <c r="BD20" s="2">
        <v>2025</v>
      </c>
      <c r="BE20" s="2">
        <v>2030</v>
      </c>
      <c r="BF20" s="2">
        <v>2035</v>
      </c>
      <c r="BG20" s="2">
        <v>2040</v>
      </c>
      <c r="BH20" s="2">
        <v>2045</v>
      </c>
    </row>
    <row r="21" spans="2:60" ht="39" thickBot="1" x14ac:dyDescent="0.25">
      <c r="J21" s="12"/>
      <c r="L21" s="1" t="s">
        <v>25</v>
      </c>
      <c r="U21" s="12"/>
      <c r="W21" s="1" t="s">
        <v>63</v>
      </c>
      <c r="X21" s="1" t="s">
        <v>16</v>
      </c>
      <c r="Y21" s="2">
        <v>2020</v>
      </c>
      <c r="Z21" s="2">
        <v>2025</v>
      </c>
      <c r="AA21" s="2">
        <v>2030</v>
      </c>
      <c r="AB21" s="2">
        <v>2035</v>
      </c>
      <c r="AC21" s="2">
        <v>2040</v>
      </c>
      <c r="AD21" s="2">
        <v>2045</v>
      </c>
      <c r="AF21" s="12"/>
      <c r="AH21" s="1" t="s">
        <v>54</v>
      </c>
      <c r="AI21" s="1" t="s">
        <v>76</v>
      </c>
      <c r="AJ21" s="1" t="s">
        <v>78</v>
      </c>
      <c r="AK21" s="25" t="s">
        <v>79</v>
      </c>
      <c r="AL21" s="26" t="s">
        <v>80</v>
      </c>
      <c r="AM21" s="24"/>
      <c r="AN21" s="12"/>
      <c r="AP21" s="14" t="s">
        <v>30</v>
      </c>
      <c r="AQ21" s="13" t="s">
        <v>11</v>
      </c>
      <c r="AR21" s="8">
        <f t="shared" si="3"/>
        <v>0</v>
      </c>
      <c r="AS21" s="8">
        <f t="shared" si="3"/>
        <v>0</v>
      </c>
      <c r="AT21" s="8">
        <f t="shared" si="3"/>
        <v>1231.1716595842856</v>
      </c>
      <c r="AU21" s="8">
        <f t="shared" si="3"/>
        <v>7009.9935861022395</v>
      </c>
      <c r="AV21" s="8">
        <f t="shared" si="3"/>
        <v>29087.124358539266</v>
      </c>
      <c r="AW21" s="8">
        <f t="shared" si="3"/>
        <v>75109.381732516005</v>
      </c>
      <c r="AY21" s="12"/>
    </row>
    <row r="22" spans="2:60" ht="27.75" thickBot="1" x14ac:dyDescent="0.35">
      <c r="B22" s="1" t="s">
        <v>7</v>
      </c>
      <c r="C22" s="2">
        <v>2020</v>
      </c>
      <c r="D22" s="2">
        <v>2025</v>
      </c>
      <c r="E22" s="2">
        <v>2030</v>
      </c>
      <c r="F22" s="2">
        <v>2035</v>
      </c>
      <c r="G22" s="2">
        <v>2040</v>
      </c>
      <c r="H22" s="2">
        <v>2045</v>
      </c>
      <c r="J22" s="12"/>
      <c r="L22" s="1" t="s">
        <v>54</v>
      </c>
      <c r="M22" s="1" t="s">
        <v>16</v>
      </c>
      <c r="N22" s="2">
        <v>2020</v>
      </c>
      <c r="O22" s="2">
        <v>2025</v>
      </c>
      <c r="P22" s="2">
        <v>2030</v>
      </c>
      <c r="Q22" s="2">
        <v>2035</v>
      </c>
      <c r="R22" s="2">
        <v>2040</v>
      </c>
      <c r="S22" s="2">
        <v>2045</v>
      </c>
      <c r="U22" s="12"/>
      <c r="W22" t="s">
        <v>26</v>
      </c>
      <c r="X22" t="s">
        <v>60</v>
      </c>
      <c r="Y22" s="8">
        <v>143598.35690000001</v>
      </c>
      <c r="Z22" s="8">
        <v>152710.3493</v>
      </c>
      <c r="AA22" s="8">
        <v>161621.1531</v>
      </c>
      <c r="AB22" s="8">
        <v>170610.22960000002</v>
      </c>
      <c r="AC22" s="8">
        <v>179290.19320000004</v>
      </c>
      <c r="AD22" s="8">
        <v>187896.25150000001</v>
      </c>
      <c r="AF22" s="12"/>
      <c r="AH22" t="s">
        <v>75</v>
      </c>
      <c r="AI22" t="s">
        <v>58</v>
      </c>
      <c r="AJ22" t="s">
        <v>77</v>
      </c>
      <c r="AK22" s="10">
        <f>100*(AD14-Y14)/Y14</f>
        <v>-49.507889305313014</v>
      </c>
      <c r="AL22" s="10">
        <f>AK22/25</f>
        <v>-1.9803155722125205</v>
      </c>
      <c r="AM22" s="10"/>
      <c r="AN22" s="12"/>
      <c r="AP22" s="22" t="s">
        <v>27</v>
      </c>
      <c r="AQ22" s="23" t="s">
        <v>11</v>
      </c>
      <c r="AR22" s="9">
        <f t="shared" si="3"/>
        <v>0</v>
      </c>
      <c r="AS22" s="9">
        <f t="shared" si="3"/>
        <v>0</v>
      </c>
      <c r="AT22" s="9">
        <f t="shared" si="3"/>
        <v>0</v>
      </c>
      <c r="AU22" s="9">
        <f t="shared" si="3"/>
        <v>0</v>
      </c>
      <c r="AV22" s="9">
        <f t="shared" si="3"/>
        <v>0</v>
      </c>
      <c r="AW22" s="9">
        <f t="shared" si="3"/>
        <v>0</v>
      </c>
      <c r="AY22" s="12"/>
      <c r="BA22" t="s">
        <v>2</v>
      </c>
      <c r="BB22" t="s">
        <v>101</v>
      </c>
      <c r="BC22" s="37">
        <v>6.839386839819146</v>
      </c>
      <c r="BD22" s="37">
        <v>7.4181915603767887</v>
      </c>
      <c r="BE22" s="37">
        <v>7.9351158060572553</v>
      </c>
      <c r="BF22" s="37">
        <v>8.0972143136044394</v>
      </c>
      <c r="BG22" s="37">
        <v>7.1963664309653979</v>
      </c>
      <c r="BH22" s="37">
        <v>4.866086967005093</v>
      </c>
    </row>
    <row r="23" spans="2:60" ht="15.75" x14ac:dyDescent="0.3">
      <c r="J23" s="12"/>
      <c r="L23" s="14" t="s">
        <v>26</v>
      </c>
      <c r="M23" s="13" t="s">
        <v>17</v>
      </c>
      <c r="N23" s="8">
        <v>4941.0737741715584</v>
      </c>
      <c r="O23" s="8">
        <v>4825.2356882762761</v>
      </c>
      <c r="P23" s="8">
        <v>4307.3350182066088</v>
      </c>
      <c r="Q23" s="8">
        <v>3634.5418419433681</v>
      </c>
      <c r="R23" s="8">
        <v>3012.9857173735932</v>
      </c>
      <c r="S23" s="8">
        <v>2483.3712984054669</v>
      </c>
      <c r="U23" s="12"/>
      <c r="W23" t="s">
        <v>26</v>
      </c>
      <c r="X23" t="s">
        <v>62</v>
      </c>
      <c r="Y23" s="8">
        <f>C27</f>
        <v>13039439.4</v>
      </c>
      <c r="Z23" s="8">
        <f t="shared" ref="Z23:AD23" si="6">D27</f>
        <v>13657700.6</v>
      </c>
      <c r="AA23" s="8">
        <f t="shared" si="6"/>
        <v>14195982.1</v>
      </c>
      <c r="AB23" s="8">
        <f t="shared" si="6"/>
        <v>14678102.600000001</v>
      </c>
      <c r="AC23" s="8">
        <f t="shared" si="6"/>
        <v>15123386.4</v>
      </c>
      <c r="AD23" s="8">
        <f t="shared" si="6"/>
        <v>15547336.5</v>
      </c>
      <c r="AF23" s="12"/>
      <c r="AH23" t="s">
        <v>28</v>
      </c>
      <c r="AI23" t="s">
        <v>58</v>
      </c>
      <c r="AJ23" t="s">
        <v>77</v>
      </c>
      <c r="AK23" s="10">
        <f t="shared" ref="AK23:AK27" si="7">100*(AD15-Y15)/Y15</f>
        <v>-51.750265903513238</v>
      </c>
      <c r="AL23" s="10">
        <f t="shared" ref="AL23:AL27" si="8">AK23/25</f>
        <v>-2.0700106361405295</v>
      </c>
      <c r="AM23" s="10"/>
      <c r="AN23" s="12"/>
      <c r="AP23" s="14" t="s">
        <v>5</v>
      </c>
      <c r="AQ23" s="14" t="s">
        <v>11</v>
      </c>
      <c r="AR23" s="8">
        <f>SUM(AR18:AR22)</f>
        <v>0</v>
      </c>
      <c r="AS23" s="8">
        <f t="shared" ref="AS23:AW23" si="9">SUM(AS18:AS22)</f>
        <v>0</v>
      </c>
      <c r="AT23" s="8">
        <f t="shared" si="9"/>
        <v>1660.759217515284</v>
      </c>
      <c r="AU23" s="8">
        <f t="shared" si="9"/>
        <v>9586.3867007604931</v>
      </c>
      <c r="AV23" s="8">
        <f t="shared" si="9"/>
        <v>40258.693250302327</v>
      </c>
      <c r="AW23" s="8">
        <f t="shared" si="9"/>
        <v>104946.55417039842</v>
      </c>
      <c r="AY23" s="12"/>
      <c r="BA23" t="s">
        <v>18</v>
      </c>
      <c r="BB23" t="s">
        <v>101</v>
      </c>
      <c r="BC23" s="37">
        <v>93.160613160180844</v>
      </c>
      <c r="BD23" s="37">
        <v>92.581808439623217</v>
      </c>
      <c r="BE23" s="37">
        <v>91.091511114230386</v>
      </c>
      <c r="BF23" s="37">
        <v>86.787447553985402</v>
      </c>
      <c r="BG23" s="37">
        <v>73.253032500880508</v>
      </c>
      <c r="BH23" s="37">
        <v>47.86313418764523</v>
      </c>
    </row>
    <row r="24" spans="2:60" ht="16.5" thickBot="1" x14ac:dyDescent="0.35">
      <c r="B24" s="5" t="s">
        <v>2</v>
      </c>
      <c r="C24" s="8">
        <v>12469927.5</v>
      </c>
      <c r="D24" s="8">
        <v>12601114.300000001</v>
      </c>
      <c r="E24" s="8">
        <v>11491918.799999999</v>
      </c>
      <c r="F24" s="8">
        <v>9835742</v>
      </c>
      <c r="G24" s="8">
        <v>8276440.5</v>
      </c>
      <c r="H24" s="8">
        <v>6933787.9000000004</v>
      </c>
      <c r="J24" s="12"/>
      <c r="L24" s="14" t="s">
        <v>28</v>
      </c>
      <c r="M24" s="13" t="s">
        <v>17</v>
      </c>
      <c r="N24" s="8">
        <v>251.35676637347657</v>
      </c>
      <c r="O24" s="8">
        <v>276.99150358312687</v>
      </c>
      <c r="P24" s="8">
        <v>301.4274312887618</v>
      </c>
      <c r="Q24" s="8">
        <v>299.92434697304759</v>
      </c>
      <c r="R24" s="8">
        <v>223.84816188085065</v>
      </c>
      <c r="S24" s="8">
        <v>127.21014914453886</v>
      </c>
      <c r="U24" s="12"/>
      <c r="Y24" s="8"/>
      <c r="Z24" s="8"/>
      <c r="AA24" s="8"/>
      <c r="AB24" s="8"/>
      <c r="AC24" s="8"/>
      <c r="AD24" s="8"/>
      <c r="AF24" s="12"/>
      <c r="AH24" t="s">
        <v>29</v>
      </c>
      <c r="AI24" t="s">
        <v>58</v>
      </c>
      <c r="AJ24" t="s">
        <v>77</v>
      </c>
      <c r="AK24" s="10">
        <f t="shared" si="7"/>
        <v>15.569273867337664</v>
      </c>
      <c r="AL24" s="10">
        <f t="shared" si="8"/>
        <v>0.62277095469350652</v>
      </c>
      <c r="AM24" s="10"/>
      <c r="AN24" s="12"/>
      <c r="AY24" s="12"/>
      <c r="BA24" t="s">
        <v>3</v>
      </c>
      <c r="BB24" t="s">
        <v>101</v>
      </c>
      <c r="BC24" s="37">
        <v>0</v>
      </c>
      <c r="BD24" s="37">
        <v>0</v>
      </c>
      <c r="BE24" s="37">
        <v>0</v>
      </c>
      <c r="BF24" s="37">
        <v>0</v>
      </c>
      <c r="BG24" s="37">
        <v>0</v>
      </c>
      <c r="BH24" s="37">
        <v>0</v>
      </c>
    </row>
    <row r="25" spans="2:60" ht="51.75" thickBot="1" x14ac:dyDescent="0.35">
      <c r="B25" s="5" t="s">
        <v>3</v>
      </c>
      <c r="C25" s="8">
        <v>102002.8</v>
      </c>
      <c r="D25" s="8">
        <v>581129.10000000009</v>
      </c>
      <c r="E25" s="8">
        <v>2263832.5</v>
      </c>
      <c r="F25" s="8">
        <v>4460744.8</v>
      </c>
      <c r="G25" s="8">
        <v>6524508.6999999993</v>
      </c>
      <c r="H25" s="8">
        <v>8343250.2999999998</v>
      </c>
      <c r="J25" s="12"/>
      <c r="L25" s="14" t="s">
        <v>29</v>
      </c>
      <c r="M25" s="13" t="s">
        <v>17</v>
      </c>
      <c r="N25" s="8">
        <v>62.929185441364751</v>
      </c>
      <c r="O25" s="8">
        <v>78.862045458324332</v>
      </c>
      <c r="P25" s="8">
        <v>98.084565119797816</v>
      </c>
      <c r="Q25" s="8">
        <v>117.01860565651863</v>
      </c>
      <c r="R25" s="8">
        <v>122.13723957900338</v>
      </c>
      <c r="S25" s="8">
        <v>97.421977620005663</v>
      </c>
      <c r="U25" s="12"/>
      <c r="W25" t="s">
        <v>28</v>
      </c>
      <c r="X25" t="s">
        <v>61</v>
      </c>
      <c r="Y25" s="8">
        <v>6012.9670000000006</v>
      </c>
      <c r="Z25" s="8">
        <v>6617.4003000000002</v>
      </c>
      <c r="AA25" s="8">
        <v>7263.6831000000011</v>
      </c>
      <c r="AB25" s="8">
        <v>8040.5951000000005</v>
      </c>
      <c r="AC25" s="8">
        <v>9011.8050000000003</v>
      </c>
      <c r="AD25" s="8">
        <v>10170.683000000001</v>
      </c>
      <c r="AF25" s="12"/>
      <c r="AH25" t="s">
        <v>30</v>
      </c>
      <c r="AI25" t="s">
        <v>58</v>
      </c>
      <c r="AJ25" t="s">
        <v>77</v>
      </c>
      <c r="AK25" s="10">
        <f t="shared" si="7"/>
        <v>-13.021637764109025</v>
      </c>
      <c r="AL25" s="10">
        <f t="shared" si="8"/>
        <v>-0.52086551056436103</v>
      </c>
      <c r="AM25" s="10"/>
      <c r="AN25" s="12"/>
      <c r="AP25" s="20" t="s">
        <v>71</v>
      </c>
      <c r="AQ25" s="20" t="s">
        <v>16</v>
      </c>
      <c r="AR25" s="2">
        <v>2020</v>
      </c>
      <c r="AS25" s="2">
        <v>2025</v>
      </c>
      <c r="AT25" s="2">
        <v>2030</v>
      </c>
      <c r="AU25" s="2">
        <v>2035</v>
      </c>
      <c r="AV25" s="2">
        <v>2040</v>
      </c>
      <c r="AW25" s="2">
        <v>2045</v>
      </c>
      <c r="AY25" s="12"/>
      <c r="BA25" t="s">
        <v>22</v>
      </c>
      <c r="BB25" t="s">
        <v>101</v>
      </c>
      <c r="BC25" s="37">
        <v>0</v>
      </c>
      <c r="BD25" s="37">
        <v>0</v>
      </c>
      <c r="BE25" s="37">
        <v>0.97337307971236897</v>
      </c>
      <c r="BF25" s="37">
        <v>5.1153381324101508</v>
      </c>
      <c r="BG25" s="37">
        <v>19.550601068154077</v>
      </c>
      <c r="BH25" s="37">
        <v>47.270778845349668</v>
      </c>
    </row>
    <row r="26" spans="2:60" ht="16.5" thickBot="1" x14ac:dyDescent="0.35">
      <c r="B26" s="6" t="s">
        <v>4</v>
      </c>
      <c r="C26" s="9">
        <v>467509.09999999963</v>
      </c>
      <c r="D26" s="9">
        <v>475457.19999999925</v>
      </c>
      <c r="E26" s="9">
        <v>440230.80000000075</v>
      </c>
      <c r="F26" s="9">
        <v>381615.80000000075</v>
      </c>
      <c r="G26" s="9">
        <v>322437.20000000112</v>
      </c>
      <c r="H26" s="9">
        <v>270298.29999999981</v>
      </c>
      <c r="J26" s="12"/>
      <c r="L26" s="14" t="s">
        <v>30</v>
      </c>
      <c r="M26" s="13" t="s">
        <v>17</v>
      </c>
      <c r="N26" s="8">
        <v>172.72916216351032</v>
      </c>
      <c r="O26" s="8">
        <v>209.95876494355122</v>
      </c>
      <c r="P26" s="8">
        <v>254.68965631910615</v>
      </c>
      <c r="Q26" s="8">
        <v>297.77280814059827</v>
      </c>
      <c r="R26" s="8">
        <v>306.03977187702645</v>
      </c>
      <c r="S26" s="8">
        <v>241.55263289160834</v>
      </c>
      <c r="U26" s="12"/>
      <c r="W26" t="s">
        <v>29</v>
      </c>
      <c r="X26" t="s">
        <v>61</v>
      </c>
      <c r="Y26" s="8">
        <v>27480.519</v>
      </c>
      <c r="Z26" s="8">
        <v>33123.019</v>
      </c>
      <c r="AA26" s="8">
        <v>39792.840799999998</v>
      </c>
      <c r="AB26" s="8">
        <v>47564.148000000001</v>
      </c>
      <c r="AC26" s="8">
        <v>56645.573000000004</v>
      </c>
      <c r="AD26" s="8">
        <v>67353.153000000006</v>
      </c>
      <c r="AF26" s="12"/>
      <c r="AH26" s="17" t="s">
        <v>27</v>
      </c>
      <c r="AI26" t="s">
        <v>58</v>
      </c>
      <c r="AJ26" t="s">
        <v>77</v>
      </c>
      <c r="AK26" s="10">
        <f t="shared" si="7"/>
        <v>-24.986399931470196</v>
      </c>
      <c r="AL26" s="10">
        <f t="shared" si="8"/>
        <v>-0.99945599725880785</v>
      </c>
      <c r="AM26" s="10"/>
      <c r="AN26" s="12"/>
      <c r="AP26" s="14" t="s">
        <v>26</v>
      </c>
      <c r="AQ26" s="13" t="s">
        <v>12</v>
      </c>
      <c r="AR26" s="8">
        <f>AR18*1000/8760</f>
        <v>0</v>
      </c>
      <c r="AS26" s="8">
        <f t="shared" ref="AS26:AW26" si="10">AS18*1000/8760</f>
        <v>0</v>
      </c>
      <c r="AT26" s="8">
        <f t="shared" si="10"/>
        <v>0</v>
      </c>
      <c r="AU26" s="8">
        <f t="shared" si="10"/>
        <v>0</v>
      </c>
      <c r="AV26" s="8">
        <f t="shared" si="10"/>
        <v>0</v>
      </c>
      <c r="AW26" s="8">
        <f t="shared" si="10"/>
        <v>0</v>
      </c>
      <c r="AY26" s="12"/>
    </row>
    <row r="27" spans="2:60" ht="27.75" thickBot="1" x14ac:dyDescent="0.35">
      <c r="B27" s="5" t="s">
        <v>5</v>
      </c>
      <c r="C27" s="8">
        <v>13039439.4</v>
      </c>
      <c r="D27" s="8">
        <v>13657700.6</v>
      </c>
      <c r="E27" s="8">
        <v>14195982.1</v>
      </c>
      <c r="F27" s="8">
        <v>14678102.600000001</v>
      </c>
      <c r="G27" s="8">
        <v>15123386.4</v>
      </c>
      <c r="H27" s="8">
        <v>15547336.5</v>
      </c>
      <c r="J27" s="12"/>
      <c r="L27" s="14" t="s">
        <v>27</v>
      </c>
      <c r="M27" s="13" t="s">
        <v>17</v>
      </c>
      <c r="N27" s="8">
        <v>7.4796734449561884</v>
      </c>
      <c r="O27" s="8">
        <v>7.8221904461034537</v>
      </c>
      <c r="P27" s="8">
        <v>8.0350165439036978</v>
      </c>
      <c r="Q27" s="8">
        <v>7.7132833413697357</v>
      </c>
      <c r="R27" s="8">
        <v>6.7580599571022395</v>
      </c>
      <c r="S27" s="8">
        <v>5.7080624511580735</v>
      </c>
      <c r="U27" s="12"/>
      <c r="W27" t="s">
        <v>30</v>
      </c>
      <c r="X27" t="s">
        <v>61</v>
      </c>
      <c r="Y27" s="8">
        <v>219091.55000000002</v>
      </c>
      <c r="Z27" s="8">
        <v>241270.53000000003</v>
      </c>
      <c r="AA27" s="8">
        <v>266558.88099999999</v>
      </c>
      <c r="AB27" s="8">
        <v>297150.73</v>
      </c>
      <c r="AC27" s="8">
        <v>335190.68</v>
      </c>
      <c r="AD27" s="8">
        <v>382614.35</v>
      </c>
      <c r="AF27" s="12"/>
      <c r="AH27" s="27" t="s">
        <v>81</v>
      </c>
      <c r="AI27" t="s">
        <v>58</v>
      </c>
      <c r="AJ27" t="s">
        <v>77</v>
      </c>
      <c r="AK27" s="10">
        <f t="shared" si="7"/>
        <v>-33.576319274575553</v>
      </c>
      <c r="AL27" s="10">
        <f t="shared" si="8"/>
        <v>-1.3430527709830222</v>
      </c>
      <c r="AM27" s="10"/>
      <c r="AN27" s="12"/>
      <c r="AP27" s="14" t="s">
        <v>28</v>
      </c>
      <c r="AQ27" s="13" t="s">
        <v>12</v>
      </c>
      <c r="AR27" s="8">
        <f t="shared" ref="AR27:AW30" si="11">AR19*1000/8760</f>
        <v>0</v>
      </c>
      <c r="AS27" s="8">
        <f t="shared" si="11"/>
        <v>0</v>
      </c>
      <c r="AT27" s="8">
        <f t="shared" si="11"/>
        <v>0</v>
      </c>
      <c r="AU27" s="8">
        <f t="shared" si="11"/>
        <v>0</v>
      </c>
      <c r="AV27" s="8">
        <f t="shared" si="11"/>
        <v>0</v>
      </c>
      <c r="AW27" s="8">
        <f t="shared" si="11"/>
        <v>0</v>
      </c>
      <c r="AY27" s="12"/>
      <c r="BA27" s="1" t="s">
        <v>30</v>
      </c>
      <c r="BB27" s="1" t="s">
        <v>76</v>
      </c>
      <c r="BC27" s="2">
        <v>2020</v>
      </c>
      <c r="BD27" s="2">
        <v>2025</v>
      </c>
      <c r="BE27" s="2">
        <v>2030</v>
      </c>
      <c r="BF27" s="2">
        <v>2035</v>
      </c>
      <c r="BG27" s="2">
        <v>2040</v>
      </c>
      <c r="BH27" s="2">
        <v>2045</v>
      </c>
    </row>
    <row r="28" spans="2:60" ht="13.5" thickBot="1" x14ac:dyDescent="0.25">
      <c r="J28" s="12"/>
      <c r="U28" s="12"/>
      <c r="Y28" s="8"/>
      <c r="Z28" s="8"/>
      <c r="AA28" s="8"/>
      <c r="AB28" s="8"/>
      <c r="AC28" s="8"/>
      <c r="AD28" s="8"/>
      <c r="AF28" s="12"/>
      <c r="AN28" s="12"/>
      <c r="AP28" s="14" t="s">
        <v>29</v>
      </c>
      <c r="AQ28" s="13" t="s">
        <v>12</v>
      </c>
      <c r="AR28" s="8">
        <f t="shared" si="11"/>
        <v>0</v>
      </c>
      <c r="AS28" s="8">
        <f t="shared" si="11"/>
        <v>0</v>
      </c>
      <c r="AT28" s="8">
        <f t="shared" si="11"/>
        <v>49.039675562899347</v>
      </c>
      <c r="AU28" s="8">
        <f t="shared" si="11"/>
        <v>294.10880304317959</v>
      </c>
      <c r="AV28" s="8">
        <f t="shared" si="11"/>
        <v>1275.2932524843682</v>
      </c>
      <c r="AW28" s="8">
        <f t="shared" si="11"/>
        <v>3406.0699130002768</v>
      </c>
      <c r="AY28" s="12"/>
    </row>
    <row r="29" spans="2:60" ht="39" thickBot="1" x14ac:dyDescent="0.25">
      <c r="B29" s="5" t="s">
        <v>8</v>
      </c>
      <c r="C29" s="10">
        <v>0.78226369148968167</v>
      </c>
      <c r="D29" s="10">
        <v>4.2549556255465149</v>
      </c>
      <c r="E29" s="10">
        <v>15.946994607720729</v>
      </c>
      <c r="F29" s="10">
        <v>30.390472948458608</v>
      </c>
      <c r="G29" s="10">
        <v>43.141850161283976</v>
      </c>
      <c r="H29" s="10">
        <v>53.663534586776329</v>
      </c>
      <c r="J29" s="12"/>
      <c r="L29" s="1" t="s">
        <v>31</v>
      </c>
      <c r="U29" s="12"/>
      <c r="W29" s="17" t="s">
        <v>27</v>
      </c>
      <c r="X29" s="17" t="s">
        <v>60</v>
      </c>
      <c r="Y29" s="19">
        <v>700.31479999999999</v>
      </c>
      <c r="Z29" s="19">
        <v>745.61950000000002</v>
      </c>
      <c r="AA29" s="19">
        <v>789.55580000000009</v>
      </c>
      <c r="AB29" s="19">
        <v>834.89919999999995</v>
      </c>
      <c r="AC29" s="19">
        <v>880.75750000000005</v>
      </c>
      <c r="AD29" s="19">
        <v>925.35770000000002</v>
      </c>
      <c r="AF29" s="12"/>
      <c r="AH29" s="1" t="s">
        <v>54</v>
      </c>
      <c r="AI29" s="1" t="s">
        <v>76</v>
      </c>
      <c r="AJ29" s="1" t="s">
        <v>78</v>
      </c>
      <c r="AK29" s="25" t="s">
        <v>79</v>
      </c>
      <c r="AL29" s="26" t="s">
        <v>80</v>
      </c>
      <c r="AN29" s="12"/>
      <c r="AP29" s="14" t="s">
        <v>30</v>
      </c>
      <c r="AQ29" s="13" t="s">
        <v>12</v>
      </c>
      <c r="AR29" s="8">
        <f t="shared" si="11"/>
        <v>0</v>
      </c>
      <c r="AS29" s="8">
        <f t="shared" si="11"/>
        <v>0</v>
      </c>
      <c r="AT29" s="8">
        <f t="shared" si="11"/>
        <v>140.54470999820612</v>
      </c>
      <c r="AU29" s="8">
        <f t="shared" si="11"/>
        <v>800.22757832217349</v>
      </c>
      <c r="AV29" s="8">
        <f t="shared" si="11"/>
        <v>3320.4479861346194</v>
      </c>
      <c r="AW29" s="8">
        <f t="shared" si="11"/>
        <v>8574.1303347621015</v>
      </c>
      <c r="AY29" s="12"/>
      <c r="BA29" t="s">
        <v>2</v>
      </c>
      <c r="BB29" t="s">
        <v>101</v>
      </c>
      <c r="BC29" s="37">
        <v>7.9012403718901973</v>
      </c>
      <c r="BD29" s="37">
        <v>9.0652720827529158</v>
      </c>
      <c r="BE29" s="37">
        <v>10.258063770908461</v>
      </c>
      <c r="BF29" s="37">
        <v>10.9823152714449</v>
      </c>
      <c r="BG29" s="37">
        <v>10.137951926348311</v>
      </c>
      <c r="BH29" s="37">
        <v>7.0621893820762356</v>
      </c>
    </row>
    <row r="30" spans="2:60" ht="13.5" thickBot="1" x14ac:dyDescent="0.25">
      <c r="J30" s="12"/>
      <c r="L30" s="1" t="s">
        <v>54</v>
      </c>
      <c r="M30" s="1" t="s">
        <v>16</v>
      </c>
      <c r="N30" s="2">
        <v>2020</v>
      </c>
      <c r="O30" s="2">
        <v>2025</v>
      </c>
      <c r="P30" s="2">
        <v>2030</v>
      </c>
      <c r="Q30" s="2">
        <v>2035</v>
      </c>
      <c r="R30" s="2">
        <v>2040</v>
      </c>
      <c r="S30" s="2">
        <v>2045</v>
      </c>
      <c r="U30" s="12"/>
      <c r="AF30" s="12"/>
      <c r="AH30" s="13" t="s">
        <v>2</v>
      </c>
      <c r="AI30" s="13" t="s">
        <v>17</v>
      </c>
      <c r="AJ30" t="s">
        <v>77</v>
      </c>
      <c r="AK30" s="10">
        <f>100*(S14-N14)/N14</f>
        <v>-45.631002773228481</v>
      </c>
      <c r="AL30" s="10">
        <f>AK30/25</f>
        <v>-1.8252401109291392</v>
      </c>
      <c r="AN30" s="12"/>
      <c r="AP30" s="22" t="s">
        <v>27</v>
      </c>
      <c r="AQ30" s="23" t="s">
        <v>12</v>
      </c>
      <c r="AR30" s="9">
        <f t="shared" si="11"/>
        <v>0</v>
      </c>
      <c r="AS30" s="9">
        <f t="shared" si="11"/>
        <v>0</v>
      </c>
      <c r="AT30" s="9">
        <f t="shared" si="11"/>
        <v>0</v>
      </c>
      <c r="AU30" s="9">
        <f t="shared" si="11"/>
        <v>0</v>
      </c>
      <c r="AV30" s="9">
        <f t="shared" si="11"/>
        <v>0</v>
      </c>
      <c r="AW30" s="9">
        <f t="shared" si="11"/>
        <v>0</v>
      </c>
      <c r="AY30" s="12"/>
      <c r="BA30" t="s">
        <v>18</v>
      </c>
      <c r="BB30" t="s">
        <v>101</v>
      </c>
      <c r="BC30" s="37">
        <v>92.098759628109789</v>
      </c>
      <c r="BD30" s="37">
        <v>90.934727917247088</v>
      </c>
      <c r="BE30" s="37">
        <v>88.815611437084328</v>
      </c>
      <c r="BF30" s="37">
        <v>84.062253523657844</v>
      </c>
      <c r="BG30" s="37">
        <v>70.727384186219027</v>
      </c>
      <c r="BH30" s="37">
        <v>46.344262832797568</v>
      </c>
    </row>
    <row r="31" spans="2:60" ht="13.5" thickBot="1" x14ac:dyDescent="0.25">
      <c r="B31" s="11" t="s">
        <v>11</v>
      </c>
      <c r="C31" s="2">
        <v>2020</v>
      </c>
      <c r="D31" s="2">
        <v>2025</v>
      </c>
      <c r="E31" s="2">
        <v>2030</v>
      </c>
      <c r="F31" s="2">
        <v>2035</v>
      </c>
      <c r="G31" s="2">
        <v>2040</v>
      </c>
      <c r="H31" s="2">
        <v>2045</v>
      </c>
      <c r="J31" s="12"/>
      <c r="L31" s="14" t="s">
        <v>26</v>
      </c>
      <c r="M31" s="13" t="s">
        <v>17</v>
      </c>
      <c r="N31" s="8">
        <v>21.012367066770508</v>
      </c>
      <c r="O31" s="8">
        <v>20.446786673557476</v>
      </c>
      <c r="P31" s="8">
        <v>18.374447703830953</v>
      </c>
      <c r="Q31" s="8">
        <v>15.626615034102239</v>
      </c>
      <c r="R31" s="8">
        <v>12.989423573856644</v>
      </c>
      <c r="S31" s="8">
        <v>10.710360239043244</v>
      </c>
      <c r="U31" s="12"/>
      <c r="W31" s="1" t="s">
        <v>64</v>
      </c>
      <c r="X31" s="1" t="s">
        <v>16</v>
      </c>
      <c r="Y31" s="2">
        <v>2020</v>
      </c>
      <c r="Z31" s="2">
        <v>2025</v>
      </c>
      <c r="AA31" s="2">
        <v>2030</v>
      </c>
      <c r="AB31" s="2">
        <v>2035</v>
      </c>
      <c r="AC31" s="2">
        <v>2040</v>
      </c>
      <c r="AD31" s="2">
        <v>2045</v>
      </c>
      <c r="AF31" s="12"/>
      <c r="AH31" s="13" t="s">
        <v>18</v>
      </c>
      <c r="AI31" s="13" t="s">
        <v>17</v>
      </c>
      <c r="AJ31" t="s">
        <v>77</v>
      </c>
      <c r="AK31" s="10">
        <f>100*(S15-N15)/N15</f>
        <v>-12.534266105422434</v>
      </c>
      <c r="AL31" s="10">
        <f t="shared" ref="AL31:AL36" si="12">AK31/25</f>
        <v>-0.50137064421689737</v>
      </c>
      <c r="AN31" s="12"/>
      <c r="AP31" s="14" t="s">
        <v>5</v>
      </c>
      <c r="AQ31" s="14" t="s">
        <v>12</v>
      </c>
      <c r="AR31" s="8">
        <f>SUM(AR26:AR30)</f>
        <v>0</v>
      </c>
      <c r="AS31" s="8">
        <f t="shared" ref="AS31" si="13">SUM(AS26:AS30)</f>
        <v>0</v>
      </c>
      <c r="AT31" s="8">
        <f t="shared" ref="AT31" si="14">SUM(AT26:AT30)</f>
        <v>189.58438556110548</v>
      </c>
      <c r="AU31" s="8">
        <f t="shared" ref="AU31" si="15">SUM(AU26:AU30)</f>
        <v>1094.3363813653532</v>
      </c>
      <c r="AV31" s="8">
        <f t="shared" ref="AV31" si="16">SUM(AV26:AV30)</f>
        <v>4595.7412386189881</v>
      </c>
      <c r="AW31" s="8">
        <f t="shared" ref="AW31" si="17">SUM(AW26:AW30)</f>
        <v>11980.200247762379</v>
      </c>
      <c r="AY31" s="12"/>
      <c r="BA31" t="s">
        <v>3</v>
      </c>
      <c r="BB31" t="s">
        <v>101</v>
      </c>
      <c r="BC31" s="37">
        <v>0</v>
      </c>
      <c r="BD31" s="37">
        <v>0</v>
      </c>
      <c r="BE31" s="37">
        <v>0</v>
      </c>
      <c r="BF31" s="37">
        <v>0</v>
      </c>
      <c r="BG31" s="37">
        <v>0</v>
      </c>
      <c r="BH31" s="37">
        <v>0</v>
      </c>
    </row>
    <row r="32" spans="2:60" ht="15.75" x14ac:dyDescent="0.3">
      <c r="J32" s="12"/>
      <c r="L32" s="14" t="s">
        <v>28</v>
      </c>
      <c r="M32" s="13" t="s">
        <v>17</v>
      </c>
      <c r="N32" s="8">
        <v>122.49656065977099</v>
      </c>
      <c r="O32" s="8">
        <v>128.7128496662566</v>
      </c>
      <c r="P32" s="8">
        <v>132.74907010430846</v>
      </c>
      <c r="Q32" s="8">
        <v>126.9687948115096</v>
      </c>
      <c r="R32" s="8">
        <v>94.355842510973119</v>
      </c>
      <c r="S32" s="8">
        <v>54.218560062890788</v>
      </c>
      <c r="U32" s="12"/>
      <c r="W32" t="s">
        <v>26</v>
      </c>
      <c r="X32" t="s">
        <v>65</v>
      </c>
      <c r="Y32" s="18">
        <f>((Y14*1000)*1000)/(Y22*1000000)</f>
        <v>0.29997507791817923</v>
      </c>
      <c r="Z32" s="18">
        <f t="shared" ref="Z32:AD32" si="18">((Z14*1000)*1000)/(Z22*1000000)</f>
        <v>0.27557917647956043</v>
      </c>
      <c r="AA32" s="18">
        <f t="shared" si="18"/>
        <v>0.23271421517905258</v>
      </c>
      <c r="AB32" s="18">
        <f t="shared" si="18"/>
        <v>0.18626019010996039</v>
      </c>
      <c r="AC32" s="18">
        <f t="shared" si="18"/>
        <v>0.14707695512706936</v>
      </c>
      <c r="AD32" s="18">
        <f t="shared" si="18"/>
        <v>0.11575507880741305</v>
      </c>
      <c r="AF32" s="12"/>
      <c r="AH32" s="13" t="s">
        <v>19</v>
      </c>
      <c r="AI32" s="13" t="s">
        <v>20</v>
      </c>
      <c r="AJ32" t="s">
        <v>77</v>
      </c>
      <c r="AK32" s="10">
        <f>100*(S16-N16)/N16</f>
        <v>-32.065260644647836</v>
      </c>
      <c r="AL32" s="10">
        <f t="shared" si="12"/>
        <v>-1.2826104257859134</v>
      </c>
      <c r="AN32" s="12"/>
      <c r="AY32" s="12"/>
      <c r="BA32" t="s">
        <v>22</v>
      </c>
      <c r="BB32" t="s">
        <v>101</v>
      </c>
      <c r="BC32" s="37">
        <v>0</v>
      </c>
      <c r="BD32" s="37">
        <v>0</v>
      </c>
      <c r="BE32" s="37">
        <v>0.92632479200721141</v>
      </c>
      <c r="BF32" s="37">
        <v>4.9554312048972591</v>
      </c>
      <c r="BG32" s="37">
        <v>19.134663887432669</v>
      </c>
      <c r="BH32" s="37">
        <v>46.593547785126205</v>
      </c>
    </row>
    <row r="33" spans="2:51" ht="15.75" x14ac:dyDescent="0.3">
      <c r="B33" t="s">
        <v>9</v>
      </c>
      <c r="C33" s="8">
        <v>553.25966892927352</v>
      </c>
      <c r="D33" s="8">
        <v>2898.6492644940522</v>
      </c>
      <c r="E33" s="8">
        <v>10789.442757494488</v>
      </c>
      <c r="F33" s="8">
        <v>20733.727006005905</v>
      </c>
      <c r="G33" s="8">
        <v>29615.599120903855</v>
      </c>
      <c r="H33" s="8">
        <v>36984.696705089271</v>
      </c>
      <c r="J33" s="12"/>
      <c r="L33" s="14" t="s">
        <v>29</v>
      </c>
      <c r="M33" s="13" t="s">
        <v>17</v>
      </c>
      <c r="N33" s="8">
        <v>623.37004389253241</v>
      </c>
      <c r="O33" s="8">
        <v>717.03146723346015</v>
      </c>
      <c r="P33" s="8">
        <v>821.14630116246053</v>
      </c>
      <c r="Q33" s="8">
        <v>914.98751646879828</v>
      </c>
      <c r="R33" s="8">
        <v>907.13417430357902</v>
      </c>
      <c r="S33" s="8">
        <v>699.31358775958824</v>
      </c>
      <c r="U33" s="12"/>
      <c r="W33" t="s">
        <v>26</v>
      </c>
      <c r="X33" t="s">
        <v>66</v>
      </c>
      <c r="Y33" s="18">
        <f>(Y14*1000)/(Y23)</f>
        <v>3.3035107552246457</v>
      </c>
      <c r="Z33" s="18">
        <f t="shared" ref="Z33:AD33" si="19">(Z14*1000)/(Z23)</f>
        <v>3.0813233890923053</v>
      </c>
      <c r="AA33" s="18">
        <f t="shared" si="19"/>
        <v>2.6494496495596453</v>
      </c>
      <c r="AB33" s="18">
        <f t="shared" si="19"/>
        <v>2.1649864881037142</v>
      </c>
      <c r="AC33" s="18">
        <f t="shared" si="19"/>
        <v>1.743621104595992</v>
      </c>
      <c r="AD33" s="18">
        <f t="shared" si="19"/>
        <v>1.3989499358941644</v>
      </c>
      <c r="AF33" s="12"/>
      <c r="AH33" s="13" t="s">
        <v>21</v>
      </c>
      <c r="AI33" s="13" t="s">
        <v>11</v>
      </c>
      <c r="AJ33" t="s">
        <v>77</v>
      </c>
      <c r="AK33" s="10">
        <f>100*(S17-N17)/N17</f>
        <v>7716.8558306498444</v>
      </c>
      <c r="AL33" s="10">
        <f t="shared" si="12"/>
        <v>308.67423322599376</v>
      </c>
      <c r="AN33" s="12"/>
      <c r="AY33" s="12"/>
    </row>
    <row r="34" spans="2:51" x14ac:dyDescent="0.2">
      <c r="B34" t="s">
        <v>13</v>
      </c>
      <c r="C34" s="8">
        <v>0</v>
      </c>
      <c r="D34" s="8">
        <v>6.8871714269720981</v>
      </c>
      <c r="E34" s="8">
        <v>103.60064252913347</v>
      </c>
      <c r="F34" s="8">
        <v>806.20935653010827</v>
      </c>
      <c r="G34" s="8">
        <v>3037.5356704192468</v>
      </c>
      <c r="H34" s="8">
        <v>5774.145910148497</v>
      </c>
      <c r="J34" s="12"/>
      <c r="L34" s="14" t="s">
        <v>30</v>
      </c>
      <c r="M34" s="13" t="s">
        <v>17</v>
      </c>
      <c r="N34" s="8">
        <v>1731.6586718687442</v>
      </c>
      <c r="O34" s="8">
        <v>1843.7833470421672</v>
      </c>
      <c r="P34" s="8">
        <v>1955.930587199103</v>
      </c>
      <c r="Q34" s="8">
        <v>2038.6974909194137</v>
      </c>
      <c r="R34" s="8">
        <v>1919.6264403374553</v>
      </c>
      <c r="S34" s="8">
        <v>1429.4058130309138</v>
      </c>
      <c r="U34" s="12"/>
      <c r="AF34" s="12"/>
      <c r="AH34" s="13" t="s">
        <v>22</v>
      </c>
      <c r="AI34" s="13" t="s">
        <v>23</v>
      </c>
      <c r="AJ34" t="s">
        <v>77</v>
      </c>
      <c r="AK34" s="10" t="e">
        <f>100*(S19-N19)/N19</f>
        <v>#DIV/0!</v>
      </c>
      <c r="AL34" s="10" t="e">
        <f t="shared" ref="AL34" si="20">AK34/25</f>
        <v>#DIV/0!</v>
      </c>
      <c r="AN34" s="12"/>
      <c r="AY34" s="12"/>
    </row>
    <row r="35" spans="2:51" ht="16.5" thickBot="1" x14ac:dyDescent="0.35">
      <c r="B35" s="7" t="s">
        <v>10</v>
      </c>
      <c r="C35" s="9">
        <v>1.904962309588027</v>
      </c>
      <c r="D35" s="9">
        <v>3.9857672939072564</v>
      </c>
      <c r="E35" s="9">
        <v>24.090446438174737</v>
      </c>
      <c r="F35" s="9">
        <v>145.09951376569725</v>
      </c>
      <c r="G35" s="9">
        <v>382.399203315455</v>
      </c>
      <c r="H35" s="9">
        <v>637.57623146288506</v>
      </c>
      <c r="J35" s="12"/>
      <c r="L35" s="14" t="s">
        <v>27</v>
      </c>
      <c r="M35" s="13" t="s">
        <v>17</v>
      </c>
      <c r="N35" s="8">
        <v>79.788325896594131</v>
      </c>
      <c r="O35" s="8">
        <v>83.003472095850213</v>
      </c>
      <c r="P35" s="8">
        <v>84.979000007279012</v>
      </c>
      <c r="Q35" s="8">
        <v>81.816262801988628</v>
      </c>
      <c r="R35" s="8">
        <v>72.370997445061533</v>
      </c>
      <c r="S35" s="8">
        <v>61.503410224121239</v>
      </c>
      <c r="U35" s="12"/>
      <c r="W35" t="s">
        <v>28</v>
      </c>
      <c r="X35" t="s">
        <v>67</v>
      </c>
      <c r="Y35" s="18">
        <f>(Y15*1000*1000)/(Y25*1000000)</f>
        <v>0.56258515970568268</v>
      </c>
      <c r="Z35" s="18">
        <f t="shared" ref="Z35:AD37" si="21">(Z15*1000*1000)/(Z25*1000000)</f>
        <v>0.55359791367011602</v>
      </c>
      <c r="AA35" s="18">
        <f t="shared" si="21"/>
        <v>0.53849086560508119</v>
      </c>
      <c r="AB35" s="18">
        <f t="shared" si="21"/>
        <v>0.47749948259426717</v>
      </c>
      <c r="AC35" s="18">
        <f t="shared" si="21"/>
        <v>0.31751032118426881</v>
      </c>
      <c r="AD35" s="18">
        <f t="shared" si="21"/>
        <v>0.16048036301986798</v>
      </c>
      <c r="AF35" s="12"/>
      <c r="AH35" s="13"/>
      <c r="AK35" s="10"/>
      <c r="AL35" s="10"/>
      <c r="AN35" s="12"/>
      <c r="AY35" s="12"/>
    </row>
    <row r="36" spans="2:51" ht="16.5" thickBot="1" x14ac:dyDescent="0.35">
      <c r="B36" t="s">
        <v>5</v>
      </c>
      <c r="C36" s="8">
        <f>SUM(C33:C35)</f>
        <v>555.16463123886149</v>
      </c>
      <c r="D36" s="8">
        <f t="shared" ref="D36:H36" si="22">SUM(D33:D35)</f>
        <v>2909.5222032149318</v>
      </c>
      <c r="E36" s="8">
        <f t="shared" si="22"/>
        <v>10917.133846461797</v>
      </c>
      <c r="F36" s="8">
        <f t="shared" si="22"/>
        <v>21685.03587630171</v>
      </c>
      <c r="G36" s="8">
        <f t="shared" si="22"/>
        <v>33035.533994638557</v>
      </c>
      <c r="H36" s="8">
        <f t="shared" si="22"/>
        <v>43396.418846700653</v>
      </c>
      <c r="J36" s="12"/>
      <c r="U36" s="12"/>
      <c r="W36" t="s">
        <v>29</v>
      </c>
      <c r="X36" t="s">
        <v>67</v>
      </c>
      <c r="Y36" s="18">
        <f>(Y16*1000*1000)/(Y26*1000000)</f>
        <v>0.24996073036320748</v>
      </c>
      <c r="Z36" s="18">
        <f t="shared" si="21"/>
        <v>0.24028627946021466</v>
      </c>
      <c r="AA36" s="18">
        <f t="shared" si="21"/>
        <v>0.23086409804650082</v>
      </c>
      <c r="AB36" s="18">
        <f t="shared" si="21"/>
        <v>0.21666507513179881</v>
      </c>
      <c r="AC36" s="18">
        <f t="shared" si="21"/>
        <v>0.18125887790030826</v>
      </c>
      <c r="AD36" s="18">
        <f t="shared" si="21"/>
        <v>0.11786399814125999</v>
      </c>
      <c r="AF36" s="12"/>
      <c r="AH36" s="13" t="s">
        <v>92</v>
      </c>
      <c r="AI36" s="13" t="s">
        <v>17</v>
      </c>
      <c r="AJ36" t="s">
        <v>77</v>
      </c>
      <c r="AK36" s="10">
        <f>100*((S14+S15) - (N14+N15))/(N14+N15)</f>
        <v>-34.982724919981763</v>
      </c>
      <c r="AL36" s="10">
        <f t="shared" si="12"/>
        <v>-1.3993089967992705</v>
      </c>
      <c r="AN36" s="12"/>
      <c r="AY36" s="12"/>
    </row>
    <row r="37" spans="2:51" ht="27.75" thickBot="1" x14ac:dyDescent="0.35">
      <c r="J37" s="12"/>
      <c r="L37" s="1" t="s">
        <v>55</v>
      </c>
      <c r="U37" s="12"/>
      <c r="W37" t="s">
        <v>30</v>
      </c>
      <c r="X37" t="s">
        <v>67</v>
      </c>
      <c r="Y37" s="18">
        <f>(Y17*1000*1000)/(Y27*1000000)</f>
        <v>8.7458658264090952E-2</v>
      </c>
      <c r="Z37" s="18">
        <f t="shared" si="21"/>
        <v>8.5508735774733849E-2</v>
      </c>
      <c r="AA37" s="18">
        <f t="shared" si="21"/>
        <v>8.3134892811918715E-2</v>
      </c>
      <c r="AB37" s="18">
        <f t="shared" si="21"/>
        <v>7.8654368441228445E-2</v>
      </c>
      <c r="AC37" s="18">
        <f t="shared" si="21"/>
        <v>6.630676903069023E-2</v>
      </c>
      <c r="AD37" s="18">
        <f t="shared" si="21"/>
        <v>4.3559051039251402E-2</v>
      </c>
      <c r="AF37" s="12"/>
      <c r="AN37" s="12"/>
      <c r="AY37" s="12"/>
    </row>
    <row r="38" spans="2:51" ht="39" thickBot="1" x14ac:dyDescent="0.25">
      <c r="B38" s="11" t="s">
        <v>12</v>
      </c>
      <c r="C38" s="2">
        <v>2020</v>
      </c>
      <c r="D38" s="2">
        <v>2025</v>
      </c>
      <c r="E38" s="2">
        <v>2030</v>
      </c>
      <c r="F38" s="2">
        <v>2035</v>
      </c>
      <c r="G38" s="2">
        <v>2040</v>
      </c>
      <c r="H38" s="2">
        <v>2045</v>
      </c>
      <c r="J38" s="12"/>
      <c r="L38" s="1" t="s">
        <v>54</v>
      </c>
      <c r="M38" s="1" t="s">
        <v>16</v>
      </c>
      <c r="N38" s="2">
        <v>2020</v>
      </c>
      <c r="O38" s="2">
        <v>2025</v>
      </c>
      <c r="P38" s="2">
        <v>2030</v>
      </c>
      <c r="Q38" s="2">
        <v>2035</v>
      </c>
      <c r="R38" s="2">
        <v>2040</v>
      </c>
      <c r="S38" s="2">
        <v>2045</v>
      </c>
      <c r="U38" s="12"/>
      <c r="AF38" s="12"/>
      <c r="AH38" s="1" t="s">
        <v>54</v>
      </c>
      <c r="AI38" s="1" t="s">
        <v>76</v>
      </c>
      <c r="AJ38" s="1" t="s">
        <v>78</v>
      </c>
      <c r="AK38" s="25" t="s">
        <v>79</v>
      </c>
      <c r="AL38" s="26" t="s">
        <v>80</v>
      </c>
      <c r="AN38" s="12"/>
      <c r="AY38" s="12"/>
    </row>
    <row r="39" spans="2:51" ht="15.75" x14ac:dyDescent="0.3">
      <c r="J39" s="12"/>
      <c r="L39" s="14" t="s">
        <v>26</v>
      </c>
      <c r="M39" s="13" t="s">
        <v>20</v>
      </c>
      <c r="N39" s="8">
        <v>16.0181</v>
      </c>
      <c r="O39" s="8">
        <v>15.762700000000001</v>
      </c>
      <c r="P39" s="8">
        <v>14.344799999999999</v>
      </c>
      <c r="Q39" s="8">
        <v>12.305400000000001</v>
      </c>
      <c r="R39" s="8">
        <v>10.259</v>
      </c>
      <c r="S39" s="8">
        <v>8.4657</v>
      </c>
      <c r="U39" s="12"/>
      <c r="W39" s="17" t="s">
        <v>27</v>
      </c>
      <c r="X39" t="s">
        <v>65</v>
      </c>
      <c r="Y39" s="18">
        <f>((Y18*1000)*1000)/(Y29*1000000)</f>
        <v>2.7104270822207384</v>
      </c>
      <c r="Z39" s="18">
        <f t="shared" ref="Z39:AD39" si="23">((Z18*1000)*1000)/(Z29*1000000)</f>
        <v>2.647223147999751</v>
      </c>
      <c r="AA39" s="18">
        <f t="shared" si="23"/>
        <v>2.5561503062861419</v>
      </c>
      <c r="AB39" s="18">
        <f t="shared" si="23"/>
        <v>2.314854415958238</v>
      </c>
      <c r="AC39" s="18">
        <f t="shared" si="23"/>
        <v>1.9274016968348269</v>
      </c>
      <c r="AD39" s="18">
        <f t="shared" si="23"/>
        <v>1.5387263757571801</v>
      </c>
      <c r="AF39" s="12"/>
      <c r="AH39" t="s">
        <v>75</v>
      </c>
      <c r="AI39" t="s">
        <v>58</v>
      </c>
      <c r="AJ39" t="s">
        <v>77</v>
      </c>
      <c r="AK39" s="10">
        <f>100*(AD52-Y52)/Y52</f>
        <v>-49.507889305313014</v>
      </c>
      <c r="AL39" s="10">
        <f>AK39/25</f>
        <v>-1.9803155722125205</v>
      </c>
      <c r="AN39" s="12"/>
      <c r="AY39" s="12"/>
    </row>
    <row r="40" spans="2:51" ht="16.5" thickBot="1" x14ac:dyDescent="0.35">
      <c r="B40" t="s">
        <v>9</v>
      </c>
      <c r="C40" s="8">
        <f>1000*C33/8760</f>
        <v>63.15749645311341</v>
      </c>
      <c r="D40" s="8">
        <f t="shared" ref="D40:H40" si="24">1000*D33/8760</f>
        <v>330.89603475959501</v>
      </c>
      <c r="E40" s="8">
        <f t="shared" si="24"/>
        <v>1231.671547659188</v>
      </c>
      <c r="F40" s="8">
        <f t="shared" si="24"/>
        <v>2366.8638134709936</v>
      </c>
      <c r="G40" s="8">
        <f t="shared" si="24"/>
        <v>3380.776155354321</v>
      </c>
      <c r="H40" s="8">
        <f t="shared" si="24"/>
        <v>4221.9973407636153</v>
      </c>
      <c r="J40" s="12"/>
      <c r="L40" s="14" t="s">
        <v>28</v>
      </c>
      <c r="M40" s="13" t="s">
        <v>20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U40" s="12"/>
      <c r="AF40" s="12"/>
      <c r="AH40" t="s">
        <v>113</v>
      </c>
      <c r="AI40" t="s">
        <v>58</v>
      </c>
      <c r="AJ40" t="s">
        <v>77</v>
      </c>
      <c r="AK40" s="10">
        <f>100*(AD53-Y53)/Y53</f>
        <v>-10.798801097854017</v>
      </c>
      <c r="AL40" s="10">
        <f t="shared" ref="AL40:AL42" si="25">AK40/25</f>
        <v>-0.4319520439141607</v>
      </c>
      <c r="AN40" s="12"/>
      <c r="AY40" s="12"/>
    </row>
    <row r="41" spans="2:51" ht="16.5" thickBot="1" x14ac:dyDescent="0.35">
      <c r="B41" t="s">
        <v>13</v>
      </c>
      <c r="C41" s="8">
        <f t="shared" ref="C41:H42" si="26">1000*C34/8760</f>
        <v>0</v>
      </c>
      <c r="D41" s="8">
        <f t="shared" si="26"/>
        <v>0.78620678390092436</v>
      </c>
      <c r="E41" s="8">
        <f t="shared" si="26"/>
        <v>11.826557366339436</v>
      </c>
      <c r="F41" s="8">
        <f t="shared" si="26"/>
        <v>92.033031567363963</v>
      </c>
      <c r="G41" s="8">
        <f t="shared" si="26"/>
        <v>346.75064730813318</v>
      </c>
      <c r="H41" s="8">
        <f t="shared" si="26"/>
        <v>659.14907650096995</v>
      </c>
      <c r="J41" s="12"/>
      <c r="L41" s="14" t="s">
        <v>29</v>
      </c>
      <c r="M41" s="13" t="s">
        <v>20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U41" s="12"/>
      <c r="W41" s="1" t="s">
        <v>54</v>
      </c>
      <c r="X41" s="1" t="s">
        <v>16</v>
      </c>
      <c r="Y41" s="2">
        <v>2020</v>
      </c>
      <c r="Z41" s="2">
        <v>2025</v>
      </c>
      <c r="AA41" s="2">
        <v>2030</v>
      </c>
      <c r="AB41" s="2">
        <v>2035</v>
      </c>
      <c r="AC41" s="2">
        <v>2040</v>
      </c>
      <c r="AD41" s="2">
        <v>2045</v>
      </c>
      <c r="AF41" s="12"/>
      <c r="AH41" t="s">
        <v>27</v>
      </c>
      <c r="AI41" t="s">
        <v>58</v>
      </c>
      <c r="AJ41" t="s">
        <v>77</v>
      </c>
      <c r="AK41" s="10">
        <f>100*(AD54-Y54)/Y54</f>
        <v>-24.986399931470196</v>
      </c>
      <c r="AL41" s="10">
        <f t="shared" si="25"/>
        <v>-0.99945599725880785</v>
      </c>
      <c r="AN41" s="12"/>
      <c r="AY41" s="12"/>
    </row>
    <row r="42" spans="2:51" ht="16.5" thickBot="1" x14ac:dyDescent="0.35">
      <c r="B42" s="7" t="s">
        <v>10</v>
      </c>
      <c r="C42" s="9">
        <f t="shared" si="26"/>
        <v>0.21746145086621313</v>
      </c>
      <c r="D42" s="9">
        <f t="shared" si="26"/>
        <v>0.45499626642776897</v>
      </c>
      <c r="E42" s="9">
        <f t="shared" si="26"/>
        <v>2.7500509632619563</v>
      </c>
      <c r="F42" s="9">
        <f t="shared" si="26"/>
        <v>16.563871434440326</v>
      </c>
      <c r="G42" s="9">
        <f t="shared" si="26"/>
        <v>43.652877090805369</v>
      </c>
      <c r="H42" s="9">
        <f t="shared" si="26"/>
        <v>72.782674824530261</v>
      </c>
      <c r="J42" s="12"/>
      <c r="L42" s="14" t="s">
        <v>30</v>
      </c>
      <c r="M42" s="13" t="s">
        <v>20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U42" s="12"/>
      <c r="W42" s="29" t="s">
        <v>85</v>
      </c>
      <c r="X42" t="s">
        <v>58</v>
      </c>
      <c r="Y42" s="8">
        <v>15311.0124</v>
      </c>
      <c r="Z42" s="8">
        <v>15873.714399999999</v>
      </c>
      <c r="AA42" s="8">
        <v>16164.706800000002</v>
      </c>
      <c r="AB42" s="8">
        <v>15812.485500000001</v>
      </c>
      <c r="AC42" s="8">
        <v>14112.830199999999</v>
      </c>
      <c r="AD42" s="8">
        <v>10825.923999999999</v>
      </c>
      <c r="AF42" s="12"/>
      <c r="AH42" t="s">
        <v>91</v>
      </c>
      <c r="AI42" t="s">
        <v>58</v>
      </c>
      <c r="AJ42" t="s">
        <v>77</v>
      </c>
      <c r="AK42" s="10">
        <f>100*(AD55-Y55)/Y55</f>
        <v>-33.576319274575553</v>
      </c>
      <c r="AL42" s="10">
        <f t="shared" si="25"/>
        <v>-1.3430527709830222</v>
      </c>
      <c r="AN42" s="12"/>
      <c r="AY42" s="12"/>
    </row>
    <row r="43" spans="2:51" ht="15.75" x14ac:dyDescent="0.3">
      <c r="B43" t="s">
        <v>5</v>
      </c>
      <c r="C43" s="8">
        <f>SUM(C40:C42)</f>
        <v>63.37495790397962</v>
      </c>
      <c r="D43" s="8">
        <f t="shared" ref="D43:H43" si="27">SUM(D40:D42)</f>
        <v>332.1372378099237</v>
      </c>
      <c r="E43" s="8">
        <f t="shared" si="27"/>
        <v>1246.2481559887892</v>
      </c>
      <c r="F43" s="8">
        <f t="shared" si="27"/>
        <v>2475.4607164727981</v>
      </c>
      <c r="G43" s="8">
        <f t="shared" si="27"/>
        <v>3771.1796797532593</v>
      </c>
      <c r="H43" s="8">
        <f t="shared" si="27"/>
        <v>4953.9290920891162</v>
      </c>
      <c r="J43" s="12"/>
      <c r="L43" s="14" t="s">
        <v>27</v>
      </c>
      <c r="M43" s="13" t="s">
        <v>20</v>
      </c>
      <c r="N43" s="8">
        <v>19.163900000000002</v>
      </c>
      <c r="O43" s="8">
        <v>20.0139</v>
      </c>
      <c r="P43" s="8">
        <v>20.6599</v>
      </c>
      <c r="Q43" s="8">
        <v>20.124099999999999</v>
      </c>
      <c r="R43" s="8">
        <v>18.024000000000001</v>
      </c>
      <c r="S43" s="8">
        <v>15.4351</v>
      </c>
      <c r="U43" s="12"/>
      <c r="W43" s="31" t="s">
        <v>86</v>
      </c>
      <c r="X43" t="s">
        <v>58</v>
      </c>
      <c r="Y43" s="8">
        <v>3892.9764999999998</v>
      </c>
      <c r="Z43" s="8">
        <v>3852.4919</v>
      </c>
      <c r="AA43" s="8">
        <v>3743.8995000000004</v>
      </c>
      <c r="AB43" s="8">
        <v>3517.4984999999997</v>
      </c>
      <c r="AC43" s="8">
        <v>3064.5688000000005</v>
      </c>
      <c r="AD43" s="8">
        <v>2338.4851999999996</v>
      </c>
      <c r="AF43" s="12"/>
      <c r="AN43" s="12"/>
      <c r="AY43" s="12"/>
    </row>
    <row r="44" spans="2:51" ht="16.5" thickBot="1" x14ac:dyDescent="0.35">
      <c r="J44" s="12"/>
      <c r="U44" s="12"/>
      <c r="W44" s="32" t="s">
        <v>87</v>
      </c>
      <c r="X44" t="s">
        <v>58</v>
      </c>
      <c r="Y44" s="8">
        <v>19360.9362</v>
      </c>
      <c r="Z44" s="8">
        <v>19498.900900000001</v>
      </c>
      <c r="AA44" s="8">
        <v>18431.745099999996</v>
      </c>
      <c r="AB44" s="8">
        <v>16727.420299999998</v>
      </c>
      <c r="AC44" s="8">
        <v>14378.6924</v>
      </c>
      <c r="AD44" s="8">
        <v>11171.8421</v>
      </c>
      <c r="AF44" s="12"/>
      <c r="AN44" s="12"/>
      <c r="AY44" s="12"/>
    </row>
    <row r="45" spans="2:51" ht="40.5" thickBot="1" x14ac:dyDescent="0.35">
      <c r="J45" s="12"/>
      <c r="L45" s="1" t="s">
        <v>56</v>
      </c>
      <c r="U45" s="12"/>
      <c r="W45" s="33" t="s">
        <v>88</v>
      </c>
      <c r="X45" t="s">
        <v>58</v>
      </c>
      <c r="Y45" s="8">
        <v>35822.469499999999</v>
      </c>
      <c r="Z45" s="8">
        <v>37085.621599999999</v>
      </c>
      <c r="AA45" s="8">
        <v>36547.914499999992</v>
      </c>
      <c r="AB45" s="8">
        <v>35170.2431</v>
      </c>
      <c r="AC45" s="8">
        <v>31865.202599999997</v>
      </c>
      <c r="AD45" s="8">
        <v>25074.5959</v>
      </c>
      <c r="AF45" s="12"/>
      <c r="AN45" s="12"/>
      <c r="AY45" s="12"/>
    </row>
    <row r="46" spans="2:51" ht="13.5" thickBot="1" x14ac:dyDescent="0.25">
      <c r="J46" s="12"/>
      <c r="L46" s="1" t="s">
        <v>54</v>
      </c>
      <c r="M46" s="1" t="s">
        <v>16</v>
      </c>
      <c r="N46" s="2">
        <v>2020</v>
      </c>
      <c r="O46" s="2">
        <v>2025</v>
      </c>
      <c r="P46" s="2">
        <v>2030</v>
      </c>
      <c r="Q46" s="2">
        <v>2035</v>
      </c>
      <c r="R46" s="2">
        <v>2040</v>
      </c>
      <c r="S46" s="2">
        <v>2045</v>
      </c>
      <c r="U46" s="12"/>
      <c r="W46" s="7"/>
      <c r="X46" s="7"/>
      <c r="Y46" s="9"/>
      <c r="Z46" s="9"/>
      <c r="AA46" s="9"/>
      <c r="AB46" s="9"/>
      <c r="AC46" s="9"/>
      <c r="AD46" s="9"/>
      <c r="AF46" s="12"/>
      <c r="AN46" s="12"/>
      <c r="AY46" s="12"/>
    </row>
    <row r="47" spans="2:51" ht="15.75" x14ac:dyDescent="0.3">
      <c r="J47" s="12"/>
      <c r="L47" s="14" t="s">
        <v>26</v>
      </c>
      <c r="M47" s="13" t="s">
        <v>11</v>
      </c>
      <c r="N47" s="8">
        <f>C33</f>
        <v>553.25966892927352</v>
      </c>
      <c r="O47" s="8">
        <f t="shared" ref="O47:S47" si="28">D33</f>
        <v>2898.6492644940522</v>
      </c>
      <c r="P47" s="8">
        <f t="shared" si="28"/>
        <v>10789.442757494488</v>
      </c>
      <c r="Q47" s="8">
        <f t="shared" si="28"/>
        <v>20733.727006005905</v>
      </c>
      <c r="R47" s="8">
        <f t="shared" si="28"/>
        <v>29615.599120903855</v>
      </c>
      <c r="S47" s="8">
        <f t="shared" si="28"/>
        <v>36984.696705089271</v>
      </c>
      <c r="U47" s="12"/>
      <c r="W47" t="s">
        <v>94</v>
      </c>
      <c r="X47" t="s">
        <v>58</v>
      </c>
      <c r="Y47" s="8">
        <f>SUM(Y42:Y45)</f>
        <v>74387.3946</v>
      </c>
      <c r="Z47" s="8">
        <f t="shared" ref="Z47:AD47" si="29">SUM(Z42:Z45)</f>
        <v>76310.728799999997</v>
      </c>
      <c r="AA47" s="8">
        <f t="shared" si="29"/>
        <v>74888.265899999999</v>
      </c>
      <c r="AB47" s="8">
        <f t="shared" si="29"/>
        <v>71227.647399999987</v>
      </c>
      <c r="AC47" s="8">
        <f t="shared" si="29"/>
        <v>63421.293999999994</v>
      </c>
      <c r="AD47" s="8">
        <f t="shared" si="29"/>
        <v>49410.847199999997</v>
      </c>
      <c r="AF47" s="12"/>
      <c r="AN47" s="12"/>
      <c r="AY47" s="12"/>
    </row>
    <row r="48" spans="2:51" x14ac:dyDescent="0.2">
      <c r="J48" s="12"/>
      <c r="L48" s="14" t="s">
        <v>28</v>
      </c>
      <c r="M48" s="13" t="s">
        <v>11</v>
      </c>
      <c r="N48" s="8">
        <v>0</v>
      </c>
      <c r="O48" s="8">
        <v>6.8871714269720981</v>
      </c>
      <c r="P48" s="8">
        <v>103.60064252913347</v>
      </c>
      <c r="Q48" s="8">
        <v>806.20935653010827</v>
      </c>
      <c r="R48" s="8">
        <v>3037.5356704192468</v>
      </c>
      <c r="S48" s="8">
        <v>5774.145910148497</v>
      </c>
      <c r="U48" s="12"/>
      <c r="AF48" s="12"/>
      <c r="AN48" s="12"/>
      <c r="AY48" s="12"/>
    </row>
    <row r="49" spans="10:51" x14ac:dyDescent="0.2">
      <c r="J49" s="12"/>
      <c r="L49" s="14" t="s">
        <v>29</v>
      </c>
      <c r="M49" s="13" t="s">
        <v>11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U49" s="12"/>
      <c r="Y49" s="8">
        <f t="shared" ref="Y49:AC49" si="30">Y47-Y19</f>
        <v>4.4999999954598024E-3</v>
      </c>
      <c r="Z49" s="8">
        <f t="shared" si="30"/>
        <v>-8.7000000203261152E-3</v>
      </c>
      <c r="AA49" s="8">
        <f t="shared" si="30"/>
        <v>-6.5000000031432137E-3</v>
      </c>
      <c r="AB49" s="8">
        <f t="shared" si="30"/>
        <v>1.0799999989103526E-2</v>
      </c>
      <c r="AC49" s="8">
        <f t="shared" si="30"/>
        <v>-3.0000000697327778E-4</v>
      </c>
      <c r="AD49" s="8">
        <f>AD47-AD19</f>
        <v>4.6999999976833351E-3</v>
      </c>
      <c r="AF49" s="12"/>
      <c r="AN49" s="12"/>
      <c r="AY49" s="12"/>
    </row>
    <row r="50" spans="10:51" ht="13.5" thickBot="1" x14ac:dyDescent="0.25">
      <c r="J50" s="12"/>
      <c r="L50" s="14" t="s">
        <v>30</v>
      </c>
      <c r="M50" s="13" t="s">
        <v>11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U50" s="12"/>
      <c r="AF50" s="12"/>
      <c r="AN50" s="12"/>
      <c r="AY50" s="12"/>
    </row>
    <row r="51" spans="10:51" ht="13.5" thickBot="1" x14ac:dyDescent="0.25">
      <c r="J51" s="12"/>
      <c r="L51" s="14" t="s">
        <v>27</v>
      </c>
      <c r="M51" s="13" t="s">
        <v>11</v>
      </c>
      <c r="N51" s="8">
        <f>C35</f>
        <v>1.904962309588027</v>
      </c>
      <c r="O51" s="8">
        <f t="shared" ref="O51:S51" si="31">D35</f>
        <v>3.9857672939072564</v>
      </c>
      <c r="P51" s="8">
        <f t="shared" si="31"/>
        <v>24.090446438174737</v>
      </c>
      <c r="Q51" s="8">
        <f t="shared" si="31"/>
        <v>145.09951376569725</v>
      </c>
      <c r="R51" s="8">
        <f t="shared" si="31"/>
        <v>382.399203315455</v>
      </c>
      <c r="S51" s="8">
        <f t="shared" si="31"/>
        <v>637.57623146288506</v>
      </c>
      <c r="U51" s="12"/>
      <c r="W51" s="1" t="s">
        <v>54</v>
      </c>
      <c r="X51" s="1" t="s">
        <v>16</v>
      </c>
      <c r="Y51" s="2">
        <v>2020</v>
      </c>
      <c r="Z51" s="2">
        <v>2025</v>
      </c>
      <c r="AA51" s="2">
        <v>2030</v>
      </c>
      <c r="AB51" s="2">
        <v>2035</v>
      </c>
      <c r="AC51" s="2">
        <v>2040</v>
      </c>
      <c r="AD51" s="2">
        <v>2045</v>
      </c>
      <c r="AF51" s="12"/>
      <c r="AN51" s="12"/>
      <c r="AY51" s="12"/>
    </row>
    <row r="52" spans="10:51" ht="16.5" thickBot="1" x14ac:dyDescent="0.35">
      <c r="J52" s="12"/>
      <c r="U52" s="12"/>
      <c r="W52" t="s">
        <v>26</v>
      </c>
      <c r="X52" t="s">
        <v>58</v>
      </c>
      <c r="Y52" s="8">
        <f>Y14</f>
        <v>43075.928300000007</v>
      </c>
      <c r="Z52" s="8">
        <f t="shared" ref="Z52:AD52" si="32">Z14</f>
        <v>42083.792300000008</v>
      </c>
      <c r="AA52" s="8">
        <f t="shared" si="32"/>
        <v>37611.539799999999</v>
      </c>
      <c r="AB52" s="8">
        <f t="shared" si="32"/>
        <v>31777.893799999998</v>
      </c>
      <c r="AC52" s="8">
        <f t="shared" si="32"/>
        <v>26369.455700000002</v>
      </c>
      <c r="AD52" s="8">
        <f t="shared" si="32"/>
        <v>21749.945400000001</v>
      </c>
      <c r="AF52" s="12"/>
      <c r="AN52" s="12"/>
      <c r="AY52" s="12"/>
    </row>
    <row r="53" spans="10:51" ht="27.75" thickBot="1" x14ac:dyDescent="0.35">
      <c r="J53" s="12"/>
      <c r="L53" s="1" t="s">
        <v>57</v>
      </c>
      <c r="U53" s="12"/>
      <c r="W53" t="s">
        <v>113</v>
      </c>
      <c r="X53" t="s">
        <v>58</v>
      </c>
      <c r="Y53" s="8">
        <f>Y15+Y16+Y17</f>
        <v>29413.309600000001</v>
      </c>
      <c r="Z53" s="8">
        <f t="shared" ref="Z53:AD53" si="33">Z15+Z16+Z17</f>
        <v>32253.124</v>
      </c>
      <c r="AA53" s="8">
        <f t="shared" si="33"/>
        <v>35258.509299999998</v>
      </c>
      <c r="AB53" s="8">
        <f t="shared" si="33"/>
        <v>37517.072699999997</v>
      </c>
      <c r="AC53" s="8">
        <f t="shared" si="33"/>
        <v>35354.265100000004</v>
      </c>
      <c r="AD53" s="8">
        <f t="shared" si="33"/>
        <v>26237.024799999999</v>
      </c>
      <c r="AF53" s="12"/>
      <c r="AN53" s="12"/>
      <c r="AY53" s="12"/>
    </row>
    <row r="54" spans="10:51" ht="16.5" thickBot="1" x14ac:dyDescent="0.35">
      <c r="J54" s="12"/>
      <c r="L54" s="1" t="s">
        <v>54</v>
      </c>
      <c r="M54" s="1" t="s">
        <v>16</v>
      </c>
      <c r="N54" s="2">
        <v>2020</v>
      </c>
      <c r="O54" s="2">
        <v>2025</v>
      </c>
      <c r="P54" s="2">
        <v>2030</v>
      </c>
      <c r="Q54" s="2">
        <v>2035</v>
      </c>
      <c r="R54" s="2">
        <v>2040</v>
      </c>
      <c r="S54" s="2">
        <v>2045</v>
      </c>
      <c r="U54" s="12"/>
      <c r="W54" t="s">
        <v>27</v>
      </c>
      <c r="X54" t="s">
        <v>58</v>
      </c>
      <c r="Y54" s="8">
        <f>Y18</f>
        <v>1898.1522</v>
      </c>
      <c r="Z54" s="8">
        <f t="shared" ref="Z54:AD54" si="34">Z18</f>
        <v>1973.8212000000001</v>
      </c>
      <c r="AA54" s="8">
        <f t="shared" si="34"/>
        <v>2018.2233000000001</v>
      </c>
      <c r="AB54" s="8">
        <f t="shared" si="34"/>
        <v>1932.6701</v>
      </c>
      <c r="AC54" s="8">
        <f t="shared" si="34"/>
        <v>1697.5735</v>
      </c>
      <c r="AD54" s="8">
        <f t="shared" si="34"/>
        <v>1423.8723</v>
      </c>
      <c r="AF54" s="12"/>
      <c r="AN54" s="12"/>
      <c r="AY54" s="12"/>
    </row>
    <row r="55" spans="10:51" ht="15.75" x14ac:dyDescent="0.3">
      <c r="J55" s="12"/>
      <c r="L55" s="14" t="s">
        <v>26</v>
      </c>
      <c r="M55" s="13" t="s">
        <v>23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U55" s="12"/>
      <c r="W55" s="42" t="s">
        <v>5</v>
      </c>
      <c r="X55" s="42" t="s">
        <v>58</v>
      </c>
      <c r="Y55" s="43">
        <f>SUM(Y52:Y54)</f>
        <v>74387.390100000004</v>
      </c>
      <c r="Z55" s="43">
        <f t="shared" ref="Z55:AD55" si="35">SUM(Z52:Z54)</f>
        <v>76310.737500000017</v>
      </c>
      <c r="AA55" s="43">
        <f t="shared" si="35"/>
        <v>74888.272400000002</v>
      </c>
      <c r="AB55" s="43">
        <f t="shared" si="35"/>
        <v>71227.636599999998</v>
      </c>
      <c r="AC55" s="43">
        <f t="shared" si="35"/>
        <v>63421.294300000009</v>
      </c>
      <c r="AD55" s="43">
        <f t="shared" si="35"/>
        <v>49410.842499999999</v>
      </c>
      <c r="AF55" s="12"/>
      <c r="AN55" s="12"/>
      <c r="AY55" s="12"/>
    </row>
    <row r="56" spans="10:51" ht="13.5" thickBot="1" x14ac:dyDescent="0.25">
      <c r="J56" s="12"/>
      <c r="L56" s="14" t="s">
        <v>28</v>
      </c>
      <c r="M56" s="13" t="s">
        <v>23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U56" s="12"/>
      <c r="AF56" s="12"/>
      <c r="AN56" s="12"/>
      <c r="AY56" s="12"/>
    </row>
    <row r="57" spans="10:51" ht="13.5" thickBot="1" x14ac:dyDescent="0.25">
      <c r="J57" s="12"/>
      <c r="L57" s="14" t="s">
        <v>29</v>
      </c>
      <c r="M57" s="13" t="s">
        <v>23</v>
      </c>
      <c r="N57" s="8">
        <v>0</v>
      </c>
      <c r="O57" s="8">
        <v>0</v>
      </c>
      <c r="P57" s="8">
        <v>7.5585037024896327</v>
      </c>
      <c r="Q57" s="8">
        <v>47.477989766115414</v>
      </c>
      <c r="R57" s="8">
        <v>216.1054046186878</v>
      </c>
      <c r="S57" s="8">
        <v>621.28417361545905</v>
      </c>
      <c r="U57" s="12"/>
      <c r="W57" s="1" t="s">
        <v>63</v>
      </c>
      <c r="X57" s="1" t="s">
        <v>16</v>
      </c>
      <c r="Y57" s="2">
        <v>2020</v>
      </c>
      <c r="Z57" s="2">
        <v>2025</v>
      </c>
      <c r="AA57" s="2">
        <v>2030</v>
      </c>
      <c r="AB57" s="2">
        <v>2035</v>
      </c>
      <c r="AC57" s="2">
        <v>2040</v>
      </c>
      <c r="AD57" s="2">
        <v>2045</v>
      </c>
      <c r="AF57" s="12"/>
      <c r="AN57" s="12"/>
      <c r="AY57" s="12"/>
    </row>
    <row r="58" spans="10:51" x14ac:dyDescent="0.2">
      <c r="J58" s="12"/>
      <c r="L58" s="14" t="s">
        <v>30</v>
      </c>
      <c r="M58" s="13" t="s">
        <v>23</v>
      </c>
      <c r="N58" s="8">
        <v>0</v>
      </c>
      <c r="O58" s="8">
        <v>0</v>
      </c>
      <c r="P58" s="8">
        <v>21.662209194761775</v>
      </c>
      <c r="Q58" s="8">
        <v>129.18075345254289</v>
      </c>
      <c r="R58" s="8">
        <v>562.66804059462743</v>
      </c>
      <c r="S58" s="8">
        <v>1563.9642213954401</v>
      </c>
      <c r="U58" s="12"/>
      <c r="W58" t="s">
        <v>26</v>
      </c>
      <c r="X58" t="s">
        <v>60</v>
      </c>
      <c r="Y58" s="8">
        <f>Y22</f>
        <v>143598.35690000001</v>
      </c>
      <c r="Z58" s="8">
        <f t="shared" ref="Z58:AD58" si="36">Z22</f>
        <v>152710.3493</v>
      </c>
      <c r="AA58" s="8">
        <f t="shared" si="36"/>
        <v>161621.1531</v>
      </c>
      <c r="AB58" s="8">
        <f t="shared" si="36"/>
        <v>170610.22960000002</v>
      </c>
      <c r="AC58" s="8">
        <f t="shared" si="36"/>
        <v>179290.19320000004</v>
      </c>
      <c r="AD58" s="8">
        <f t="shared" si="36"/>
        <v>187896.25150000001</v>
      </c>
      <c r="AF58" s="12"/>
      <c r="AN58" s="12"/>
      <c r="AY58" s="12"/>
    </row>
    <row r="59" spans="10:51" x14ac:dyDescent="0.2">
      <c r="L59" s="14" t="s">
        <v>27</v>
      </c>
      <c r="M59" s="13" t="s">
        <v>23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W59" t="s">
        <v>113</v>
      </c>
      <c r="X59" t="s">
        <v>61</v>
      </c>
      <c r="Y59" s="8">
        <f>SUM(Y25:Y27)</f>
        <v>252585.03600000002</v>
      </c>
      <c r="Z59" s="8">
        <f t="shared" ref="Z59:AD59" si="37">SUM(Z25:Z27)</f>
        <v>281010.94930000004</v>
      </c>
      <c r="AA59" s="8">
        <f t="shared" si="37"/>
        <v>313615.40489999996</v>
      </c>
      <c r="AB59" s="8">
        <f t="shared" si="37"/>
        <v>352755.4731</v>
      </c>
      <c r="AC59" s="8">
        <f t="shared" si="37"/>
        <v>400848.05799999996</v>
      </c>
      <c r="AD59" s="8">
        <f t="shared" si="37"/>
        <v>460138.18599999999</v>
      </c>
    </row>
    <row r="60" spans="10:51" x14ac:dyDescent="0.2">
      <c r="L60" s="14" t="s">
        <v>5</v>
      </c>
      <c r="M60" s="13" t="s">
        <v>23</v>
      </c>
      <c r="N60" s="8">
        <f>SUM(N55:N59)</f>
        <v>0</v>
      </c>
      <c r="O60" s="8">
        <f t="shared" ref="O60:S60" si="38">SUM(O55:O59)</f>
        <v>0</v>
      </c>
      <c r="P60" s="8">
        <f t="shared" si="38"/>
        <v>29.22071289725141</v>
      </c>
      <c r="Q60" s="8">
        <f t="shared" si="38"/>
        <v>176.65874321865829</v>
      </c>
      <c r="R60" s="8">
        <f t="shared" si="38"/>
        <v>778.7734452133152</v>
      </c>
      <c r="S60" s="8">
        <f t="shared" si="38"/>
        <v>2185.248395010899</v>
      </c>
      <c r="W60" t="s">
        <v>27</v>
      </c>
      <c r="X60" s="17" t="s">
        <v>60</v>
      </c>
      <c r="Y60" s="8">
        <f>Y29</f>
        <v>700.31479999999999</v>
      </c>
      <c r="Z60" s="8">
        <f t="shared" ref="Z60:AD60" si="39">Z29</f>
        <v>745.61950000000002</v>
      </c>
      <c r="AA60" s="8">
        <f t="shared" si="39"/>
        <v>789.55580000000009</v>
      </c>
      <c r="AB60" s="8">
        <f t="shared" si="39"/>
        <v>834.89919999999995</v>
      </c>
      <c r="AC60" s="8">
        <f t="shared" si="39"/>
        <v>880.75750000000005</v>
      </c>
      <c r="AD60" s="8">
        <f t="shared" si="39"/>
        <v>925.35770000000002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1D098-3A4F-4680-A9C8-4FD082C966EE}">
  <dimension ref="E4:L51"/>
  <sheetViews>
    <sheetView tabSelected="1" topLeftCell="A25" zoomScale="90" zoomScaleNormal="90" workbookViewId="0">
      <selection activeCell="F61" sqref="F61"/>
    </sheetView>
  </sheetViews>
  <sheetFormatPr defaultRowHeight="12.75" x14ac:dyDescent="0.2"/>
  <cols>
    <col min="5" max="5" width="31.42578125" bestFit="1" customWidth="1"/>
    <col min="6" max="6" width="30.7109375" bestFit="1" customWidth="1"/>
    <col min="7" max="12" width="7.140625" bestFit="1" customWidth="1"/>
  </cols>
  <sheetData>
    <row r="4" spans="5:12" ht="13.5" thickBot="1" x14ac:dyDescent="0.25"/>
    <row r="5" spans="5:12" ht="13.5" thickBot="1" x14ac:dyDescent="0.25">
      <c r="E5" s="1" t="s">
        <v>103</v>
      </c>
      <c r="F5" s="1" t="s">
        <v>17</v>
      </c>
      <c r="G5" s="2">
        <v>2020</v>
      </c>
      <c r="H5" s="2">
        <v>2025</v>
      </c>
      <c r="I5" s="2">
        <v>2030</v>
      </c>
      <c r="J5" s="2">
        <v>2035</v>
      </c>
      <c r="K5" s="2">
        <v>2040</v>
      </c>
      <c r="L5" s="2">
        <v>2045</v>
      </c>
    </row>
    <row r="7" spans="5:12" x14ac:dyDescent="0.2">
      <c r="F7" s="38" t="s">
        <v>104</v>
      </c>
      <c r="G7" s="8">
        <f>Reference!N14+Reference!N15</f>
        <v>8017.9178157103324</v>
      </c>
      <c r="H7" s="8">
        <f>Reference!O14+Reference!O15</f>
        <v>8308.4071991350484</v>
      </c>
      <c r="I7" s="8">
        <f>Reference!P14+Reference!P15</f>
        <v>8589.8053895185549</v>
      </c>
      <c r="J7" s="8">
        <f>Reference!Q14+Reference!Q15</f>
        <v>8896.4402482442492</v>
      </c>
      <c r="K7" s="8">
        <f>Reference!R14+Reference!R15</f>
        <v>9212.6400512368637</v>
      </c>
      <c r="L7" s="8">
        <f>Reference!S14+Reference!S15</f>
        <v>9549.2888766473952</v>
      </c>
    </row>
    <row r="8" spans="5:12" x14ac:dyDescent="0.2">
      <c r="F8" s="39" t="s">
        <v>105</v>
      </c>
      <c r="G8" s="8">
        <f>'High Electric'!N14+'High Electric'!N15</f>
        <v>8013.8945309792789</v>
      </c>
      <c r="H8" s="8">
        <f>'High Electric'!O14+'High Electric'!O15</f>
        <v>8191.8481154186738</v>
      </c>
      <c r="I8" s="8">
        <f>'High Electric'!P14+'High Electric'!P15</f>
        <v>8011.1424872019061</v>
      </c>
      <c r="J8" s="8">
        <f>'High Electric'!Q14+'High Electric'!Q15</f>
        <v>7704.4256251115639</v>
      </c>
      <c r="K8" s="8">
        <f>'High Electric'!R14+'High Electric'!R15</f>
        <v>7423.3587772857882</v>
      </c>
      <c r="L8" s="8">
        <f>'High Electric'!S14+'High Electric'!S15</f>
        <v>7309.7034258210115</v>
      </c>
    </row>
    <row r="9" spans="5:12" x14ac:dyDescent="0.2">
      <c r="F9" s="40" t="s">
        <v>106</v>
      </c>
      <c r="G9" s="8">
        <f>H2E!N14+H2E!N15</f>
        <v>8013.8945309792789</v>
      </c>
      <c r="H9" s="8">
        <f>H2E!O14+H2E!O15</f>
        <v>8191.8481154186738</v>
      </c>
      <c r="I9" s="8">
        <f>H2E!P14+H2E!P15</f>
        <v>7982.7510936551598</v>
      </c>
      <c r="J9" s="8">
        <f>H2E!Q14+H2E!Q15</f>
        <v>7535.0675660907145</v>
      </c>
      <c r="K9" s="8">
        <f>H2E!R14+H2E!R15</f>
        <v>6678.2458288385014</v>
      </c>
      <c r="L9" s="8">
        <f>H2E!S14+H2E!S15</f>
        <v>5210.4158518293352</v>
      </c>
    </row>
    <row r="10" spans="5:12" ht="13.5" thickBot="1" x14ac:dyDescent="0.25"/>
    <row r="11" spans="5:12" ht="13.5" thickBot="1" x14ac:dyDescent="0.25">
      <c r="E11" s="1" t="s">
        <v>107</v>
      </c>
      <c r="F11" s="1" t="s">
        <v>12</v>
      </c>
      <c r="G11" s="2">
        <v>2020</v>
      </c>
      <c r="H11" s="2">
        <v>2025</v>
      </c>
      <c r="I11" s="2">
        <v>2030</v>
      </c>
      <c r="J11" s="2">
        <v>2035</v>
      </c>
      <c r="K11" s="2">
        <v>2040</v>
      </c>
      <c r="L11" s="2">
        <v>2045</v>
      </c>
    </row>
    <row r="13" spans="5:12" x14ac:dyDescent="0.2">
      <c r="F13" s="38" t="s">
        <v>104</v>
      </c>
      <c r="G13" s="8">
        <f>Reference!C43</f>
        <v>60.049470486117833</v>
      </c>
      <c r="H13" s="8">
        <f>Reference!D43</f>
        <v>161.48687341324987</v>
      </c>
      <c r="I13" s="8">
        <f>Reference!E43</f>
        <v>336.00136051377717</v>
      </c>
      <c r="J13" s="8">
        <f>Reference!F43</f>
        <v>602.97711096183571</v>
      </c>
      <c r="K13" s="8">
        <f>Reference!G43</f>
        <v>992.90891129043371</v>
      </c>
      <c r="L13" s="8">
        <f>Reference!H43</f>
        <v>1523.7691140234681</v>
      </c>
    </row>
    <row r="14" spans="5:12" x14ac:dyDescent="0.2">
      <c r="F14" s="39" t="s">
        <v>105</v>
      </c>
      <c r="G14" s="8">
        <f>'High Electric'!C43</f>
        <v>63.37495790397962</v>
      </c>
      <c r="H14" s="8">
        <f>'High Electric'!D43</f>
        <v>332.1372378099237</v>
      </c>
      <c r="I14" s="8">
        <f>'High Electric'!E43</f>
        <v>1246.2481559887892</v>
      </c>
      <c r="J14" s="8">
        <f>'High Electric'!F43</f>
        <v>2475.4607164727981</v>
      </c>
      <c r="K14" s="8">
        <f>'High Electric'!G43</f>
        <v>3771.1796797532593</v>
      </c>
      <c r="L14" s="8">
        <f>'High Electric'!H43</f>
        <v>4953.9290920891162</v>
      </c>
    </row>
    <row r="15" spans="5:12" x14ac:dyDescent="0.2">
      <c r="F15" s="40" t="s">
        <v>106</v>
      </c>
      <c r="G15" s="8">
        <f>H2E!C43</f>
        <v>63.37495790397962</v>
      </c>
      <c r="H15" s="8">
        <f>H2E!D43</f>
        <v>332.1372378099237</v>
      </c>
      <c r="I15" s="8">
        <f>H2E!E43</f>
        <v>1246.2481559887892</v>
      </c>
      <c r="J15" s="8">
        <f>H2E!F43</f>
        <v>2475.4607164727981</v>
      </c>
      <c r="K15" s="8">
        <f>H2E!G43</f>
        <v>3771.1796797532593</v>
      </c>
      <c r="L15" s="8">
        <f>H2E!H43</f>
        <v>4953.9290920891162</v>
      </c>
    </row>
    <row r="16" spans="5:12" ht="13.5" thickBot="1" x14ac:dyDescent="0.25"/>
    <row r="17" spans="5:12" ht="13.5" thickBot="1" x14ac:dyDescent="0.25">
      <c r="E17" s="1" t="s">
        <v>108</v>
      </c>
      <c r="F17" s="1" t="s">
        <v>12</v>
      </c>
      <c r="G17" s="2">
        <v>2020</v>
      </c>
      <c r="H17" s="2">
        <v>2025</v>
      </c>
      <c r="I17" s="2">
        <v>2030</v>
      </c>
      <c r="J17" s="2">
        <v>2035</v>
      </c>
      <c r="K17" s="2">
        <v>2040</v>
      </c>
      <c r="L17" s="2">
        <v>2045</v>
      </c>
    </row>
    <row r="19" spans="5:12" x14ac:dyDescent="0.2">
      <c r="E19" s="40" t="s">
        <v>106</v>
      </c>
      <c r="F19" t="s">
        <v>21</v>
      </c>
      <c r="G19" s="8">
        <f>H2E!C43</f>
        <v>63.37495790397962</v>
      </c>
      <c r="H19" s="8">
        <f>H2E!D43</f>
        <v>332.1372378099237</v>
      </c>
      <c r="I19" s="8">
        <f>H2E!E43</f>
        <v>1246.2481559887892</v>
      </c>
      <c r="J19" s="8">
        <f>H2E!F43</f>
        <v>2475.4607164727981</v>
      </c>
      <c r="K19" s="8">
        <f>H2E!G43</f>
        <v>3771.1796797532593</v>
      </c>
      <c r="L19" s="8">
        <f>H2E!H43</f>
        <v>4953.9290920891162</v>
      </c>
    </row>
    <row r="20" spans="5:12" x14ac:dyDescent="0.2">
      <c r="E20" s="40" t="s">
        <v>106</v>
      </c>
      <c r="F20" t="s">
        <v>112</v>
      </c>
      <c r="G20" s="8">
        <f>H2E!AR31</f>
        <v>0</v>
      </c>
      <c r="H20" s="8">
        <f>H2E!AS31</f>
        <v>0</v>
      </c>
      <c r="I20" s="8">
        <f>H2E!AT31</f>
        <v>189.58438556110548</v>
      </c>
      <c r="J20" s="8">
        <f>H2E!AU31</f>
        <v>1094.3363813653532</v>
      </c>
      <c r="K20" s="8">
        <f>H2E!AV31</f>
        <v>4595.7412386189881</v>
      </c>
      <c r="L20" s="8">
        <f>H2E!AW31</f>
        <v>11980.200247762379</v>
      </c>
    </row>
    <row r="21" spans="5:12" x14ac:dyDescent="0.2">
      <c r="E21" s="40" t="s">
        <v>106</v>
      </c>
      <c r="F21" t="s">
        <v>109</v>
      </c>
      <c r="G21" s="8">
        <f>G19+G20</f>
        <v>63.37495790397962</v>
      </c>
      <c r="H21" s="8">
        <f t="shared" ref="H21:L21" si="0">H19+H20</f>
        <v>332.1372378099237</v>
      </c>
      <c r="I21" s="8">
        <f t="shared" si="0"/>
        <v>1435.8325415498948</v>
      </c>
      <c r="J21" s="8">
        <f t="shared" si="0"/>
        <v>3569.7970978381513</v>
      </c>
      <c r="K21" s="8">
        <f t="shared" si="0"/>
        <v>8366.9209183722469</v>
      </c>
      <c r="L21" s="8">
        <f t="shared" si="0"/>
        <v>16934.129339851497</v>
      </c>
    </row>
    <row r="22" spans="5:12" ht="13.5" thickBot="1" x14ac:dyDescent="0.25"/>
    <row r="23" spans="5:12" ht="13.5" thickBot="1" x14ac:dyDescent="0.25">
      <c r="E23" s="1" t="s">
        <v>108</v>
      </c>
      <c r="F23" s="1" t="s">
        <v>12</v>
      </c>
      <c r="G23" s="2">
        <v>2020</v>
      </c>
      <c r="H23" s="2">
        <v>2025</v>
      </c>
      <c r="I23" s="2">
        <v>2030</v>
      </c>
      <c r="J23" s="2">
        <v>2035</v>
      </c>
      <c r="K23" s="2">
        <v>2040</v>
      </c>
      <c r="L23" s="2">
        <v>2045</v>
      </c>
    </row>
    <row r="25" spans="5:12" x14ac:dyDescent="0.2">
      <c r="F25" s="38" t="s">
        <v>104</v>
      </c>
      <c r="G25" s="8">
        <f>G13</f>
        <v>60.049470486117833</v>
      </c>
      <c r="H25" s="8">
        <f t="shared" ref="H25:L25" si="1">H13</f>
        <v>161.48687341324987</v>
      </c>
      <c r="I25" s="8">
        <f t="shared" si="1"/>
        <v>336.00136051377717</v>
      </c>
      <c r="J25" s="8">
        <f t="shared" si="1"/>
        <v>602.97711096183571</v>
      </c>
      <c r="K25" s="8">
        <f t="shared" si="1"/>
        <v>992.90891129043371</v>
      </c>
      <c r="L25" s="8">
        <f t="shared" si="1"/>
        <v>1523.7691140234681</v>
      </c>
    </row>
    <row r="26" spans="5:12" x14ac:dyDescent="0.2">
      <c r="F26" s="39" t="s">
        <v>105</v>
      </c>
      <c r="G26" s="8">
        <f>G14</f>
        <v>63.37495790397962</v>
      </c>
      <c r="H26" s="8">
        <f t="shared" ref="H26:L26" si="2">H14</f>
        <v>332.1372378099237</v>
      </c>
      <c r="I26" s="8">
        <f t="shared" si="2"/>
        <v>1246.2481559887892</v>
      </c>
      <c r="J26" s="8">
        <f t="shared" si="2"/>
        <v>2475.4607164727981</v>
      </c>
      <c r="K26" s="8">
        <f t="shared" si="2"/>
        <v>3771.1796797532593</v>
      </c>
      <c r="L26" s="8">
        <f t="shared" si="2"/>
        <v>4953.9290920891162</v>
      </c>
    </row>
    <row r="27" spans="5:12" x14ac:dyDescent="0.2">
      <c r="F27" s="40" t="s">
        <v>106</v>
      </c>
      <c r="G27" s="8">
        <f>G21</f>
        <v>63.37495790397962</v>
      </c>
      <c r="H27" s="8">
        <f t="shared" ref="H27:L27" si="3">H21</f>
        <v>332.1372378099237</v>
      </c>
      <c r="I27" s="8">
        <f t="shared" si="3"/>
        <v>1435.8325415498948</v>
      </c>
      <c r="J27" s="8">
        <f t="shared" si="3"/>
        <v>3569.7970978381513</v>
      </c>
      <c r="K27" s="8">
        <f t="shared" si="3"/>
        <v>8366.9209183722469</v>
      </c>
      <c r="L27" s="8">
        <f t="shared" si="3"/>
        <v>16934.129339851497</v>
      </c>
    </row>
    <row r="28" spans="5:12" ht="13.5" thickBot="1" x14ac:dyDescent="0.25"/>
    <row r="29" spans="5:12" ht="15" thickBot="1" x14ac:dyDescent="0.3">
      <c r="E29" s="1" t="s">
        <v>110</v>
      </c>
      <c r="F29" s="1" t="s">
        <v>111</v>
      </c>
      <c r="G29" s="2">
        <v>2020</v>
      </c>
      <c r="H29" s="2">
        <v>2025</v>
      </c>
      <c r="I29" s="2">
        <v>2030</v>
      </c>
      <c r="J29" s="2">
        <v>2035</v>
      </c>
      <c r="K29" s="2">
        <v>2040</v>
      </c>
      <c r="L29" s="2">
        <v>2045</v>
      </c>
    </row>
    <row r="31" spans="5:12" x14ac:dyDescent="0.2">
      <c r="F31" s="38" t="s">
        <v>104</v>
      </c>
      <c r="G31" s="8">
        <f>Reference!Y19</f>
        <v>74408.709199999983</v>
      </c>
      <c r="H31" s="8">
        <f>Reference!Z19</f>
        <v>77219.678199999995</v>
      </c>
      <c r="I31" s="8">
        <f>Reference!AA19</f>
        <v>79994.379499999995</v>
      </c>
      <c r="J31" s="8">
        <f>Reference!AB19</f>
        <v>83070.353399999993</v>
      </c>
      <c r="K31" s="8">
        <f>Reference!AC19</f>
        <v>86350.413099999991</v>
      </c>
      <c r="L31" s="8">
        <f>Reference!AD19</f>
        <v>89962.118699999992</v>
      </c>
    </row>
    <row r="32" spans="5:12" x14ac:dyDescent="0.2">
      <c r="F32" s="39" t="s">
        <v>105</v>
      </c>
      <c r="G32" s="8">
        <f>'High Electric'!Y19</f>
        <v>74387.390100000004</v>
      </c>
      <c r="H32" s="8">
        <f>'High Electric'!Z19</f>
        <v>76310.737500000017</v>
      </c>
      <c r="I32" s="8">
        <f>'High Electric'!AA19</f>
        <v>75172.199899999992</v>
      </c>
      <c r="J32" s="8">
        <f>'High Electric'!AB19</f>
        <v>72918.866899999994</v>
      </c>
      <c r="K32" s="8">
        <f>'High Electric'!AC19</f>
        <v>70851.703199999989</v>
      </c>
      <c r="L32" s="8">
        <f>'High Electric'!AD19</f>
        <v>70319.384600000005</v>
      </c>
    </row>
    <row r="33" spans="5:12" x14ac:dyDescent="0.2">
      <c r="F33" s="40" t="s">
        <v>106</v>
      </c>
      <c r="G33" s="8">
        <f>H2E!Y19</f>
        <v>74387.390100000004</v>
      </c>
      <c r="H33" s="8">
        <f>H2E!Z19</f>
        <v>76310.737500000017</v>
      </c>
      <c r="I33" s="8">
        <f>H2E!AA19</f>
        <v>74888.272400000002</v>
      </c>
      <c r="J33" s="8">
        <f>H2E!AB19</f>
        <v>71227.636599999998</v>
      </c>
      <c r="K33" s="8">
        <f>H2E!AC19</f>
        <v>63421.294300000001</v>
      </c>
      <c r="L33" s="8">
        <f>H2E!AD19</f>
        <v>49410.842499999999</v>
      </c>
    </row>
    <row r="34" spans="5:12" ht="13.5" thickBot="1" x14ac:dyDescent="0.25"/>
    <row r="35" spans="5:12" ht="13.5" thickBot="1" x14ac:dyDescent="0.25">
      <c r="E35" s="41" t="s">
        <v>108</v>
      </c>
      <c r="F35" s="1" t="s">
        <v>12</v>
      </c>
      <c r="G35" s="2">
        <v>2020</v>
      </c>
      <c r="H35" s="2">
        <v>2025</v>
      </c>
      <c r="I35" s="2">
        <v>2030</v>
      </c>
      <c r="J35" s="2">
        <v>2035</v>
      </c>
      <c r="K35" s="2">
        <v>2040</v>
      </c>
      <c r="L35" s="2">
        <v>2045</v>
      </c>
    </row>
    <row r="37" spans="5:12" x14ac:dyDescent="0.2">
      <c r="E37" s="44" t="s">
        <v>117</v>
      </c>
      <c r="F37" t="s">
        <v>21</v>
      </c>
      <c r="G37" s="8">
        <f>G13</f>
        <v>60.049470486117833</v>
      </c>
      <c r="H37" s="8">
        <f t="shared" ref="H37:L37" si="4">H13</f>
        <v>161.48687341324987</v>
      </c>
      <c r="I37" s="8">
        <f t="shared" si="4"/>
        <v>336.00136051377717</v>
      </c>
      <c r="J37" s="8">
        <f t="shared" si="4"/>
        <v>602.97711096183571</v>
      </c>
      <c r="K37" s="8">
        <f t="shared" si="4"/>
        <v>992.90891129043371</v>
      </c>
      <c r="L37" s="8">
        <f t="shared" si="4"/>
        <v>1523.7691140234681</v>
      </c>
    </row>
    <row r="38" spans="5:12" ht="25.5" x14ac:dyDescent="0.2">
      <c r="E38" s="45" t="s">
        <v>118</v>
      </c>
      <c r="F38" t="s">
        <v>21</v>
      </c>
      <c r="G38" s="8">
        <f>G14-G13</f>
        <v>3.3254874178617868</v>
      </c>
      <c r="H38" s="8">
        <f t="shared" ref="H38:L38" si="5">H14-H13</f>
        <v>170.65036439667384</v>
      </c>
      <c r="I38" s="8">
        <f t="shared" si="5"/>
        <v>910.24679547501205</v>
      </c>
      <c r="J38" s="8">
        <f t="shared" si="5"/>
        <v>1872.4836055109624</v>
      </c>
      <c r="K38" s="8">
        <f t="shared" si="5"/>
        <v>2778.2707684628258</v>
      </c>
      <c r="L38" s="8">
        <f t="shared" si="5"/>
        <v>3430.1599780656479</v>
      </c>
    </row>
    <row r="39" spans="5:12" ht="38.25" x14ac:dyDescent="0.2">
      <c r="E39" s="46" t="s">
        <v>119</v>
      </c>
      <c r="F39" t="s">
        <v>109</v>
      </c>
      <c r="G39" s="8">
        <f>G20</f>
        <v>0</v>
      </c>
      <c r="H39" s="8">
        <f t="shared" ref="H39:L39" si="6">H20</f>
        <v>0</v>
      </c>
      <c r="I39" s="8">
        <f t="shared" si="6"/>
        <v>189.58438556110548</v>
      </c>
      <c r="J39" s="8">
        <f t="shared" si="6"/>
        <v>1094.3363813653532</v>
      </c>
      <c r="K39" s="8">
        <f t="shared" si="6"/>
        <v>4595.7412386189881</v>
      </c>
      <c r="L39" s="8">
        <f t="shared" si="6"/>
        <v>11980.200247762379</v>
      </c>
    </row>
    <row r="40" spans="5:12" ht="13.5" thickBot="1" x14ac:dyDescent="0.25"/>
    <row r="41" spans="5:12" ht="26.25" thickBot="1" x14ac:dyDescent="0.25">
      <c r="E41" s="1" t="s">
        <v>115</v>
      </c>
      <c r="F41" s="1" t="s">
        <v>116</v>
      </c>
      <c r="G41" s="2">
        <v>2020</v>
      </c>
      <c r="H41" s="2">
        <v>2025</v>
      </c>
      <c r="I41" s="2">
        <v>2030</v>
      </c>
      <c r="J41" s="2">
        <v>2035</v>
      </c>
      <c r="K41" s="2">
        <v>2040</v>
      </c>
      <c r="L41" s="2">
        <v>2045</v>
      </c>
    </row>
    <row r="43" spans="5:12" x14ac:dyDescent="0.2">
      <c r="F43" s="38" t="s">
        <v>104</v>
      </c>
      <c r="G43" s="8">
        <f>Reference!C92</f>
        <v>4.2332051278352125</v>
      </c>
      <c r="H43" s="8">
        <f>Reference!D92</f>
        <v>10.395877963801285</v>
      </c>
      <c r="I43" s="8">
        <f>Reference!E92</f>
        <v>17.262407801412238</v>
      </c>
      <c r="J43" s="8">
        <f>Reference!F92</f>
        <v>27.277311850071271</v>
      </c>
      <c r="K43" s="8">
        <f>Reference!G92</f>
        <v>40.270316160252243</v>
      </c>
      <c r="L43" s="8">
        <f>Reference!H92</f>
        <v>55.244508926268196</v>
      </c>
    </row>
    <row r="44" spans="5:12" x14ac:dyDescent="0.2">
      <c r="F44" s="39" t="s">
        <v>105</v>
      </c>
      <c r="G44" s="8">
        <f>'High Electric'!C92</f>
        <v>5.3045216099459731</v>
      </c>
      <c r="H44" s="8">
        <f>'High Electric'!D92</f>
        <v>32.9613348754811</v>
      </c>
      <c r="I44" s="8">
        <f>'High Electric'!E92</f>
        <v>83.355562442080497</v>
      </c>
      <c r="J44" s="8">
        <f>'High Electric'!F92</f>
        <v>94.515730201463739</v>
      </c>
      <c r="K44" s="8">
        <f>'High Electric'!G92</f>
        <v>98.573286474910645</v>
      </c>
      <c r="L44" s="8">
        <f>'High Electric'!H92</f>
        <v>99.629931747720406</v>
      </c>
    </row>
    <row r="45" spans="5:12" x14ac:dyDescent="0.2">
      <c r="F45" s="40" t="s">
        <v>106</v>
      </c>
      <c r="G45" s="8">
        <f>'High Electric'!C92</f>
        <v>5.3045216099459731</v>
      </c>
      <c r="H45" s="8">
        <f>'High Electric'!D92</f>
        <v>32.9613348754811</v>
      </c>
      <c r="I45" s="8">
        <f>'High Electric'!E92</f>
        <v>83.355562442080497</v>
      </c>
      <c r="J45" s="8">
        <f>'High Electric'!F92</f>
        <v>94.515730201463739</v>
      </c>
      <c r="K45" s="8">
        <f>'High Electric'!G92</f>
        <v>98.573286474910645</v>
      </c>
      <c r="L45" s="8">
        <f>'High Electric'!H92</f>
        <v>99.629931747720406</v>
      </c>
    </row>
    <row r="46" spans="5:12" ht="13.5" thickBot="1" x14ac:dyDescent="0.25"/>
    <row r="47" spans="5:12" ht="13.5" thickBot="1" x14ac:dyDescent="0.25">
      <c r="E47" s="1" t="s">
        <v>120</v>
      </c>
      <c r="F47" s="1" t="s">
        <v>116</v>
      </c>
      <c r="G47" s="2">
        <v>2020</v>
      </c>
      <c r="H47" s="2">
        <v>2025</v>
      </c>
      <c r="I47" s="2">
        <v>2030</v>
      </c>
      <c r="J47" s="2">
        <v>2035</v>
      </c>
      <c r="K47" s="2">
        <v>2040</v>
      </c>
      <c r="L47" s="2">
        <v>2045</v>
      </c>
    </row>
    <row r="49" spans="6:12" x14ac:dyDescent="0.2">
      <c r="F49" s="38" t="s">
        <v>104</v>
      </c>
      <c r="G49" s="8">
        <f>Reference!C29</f>
        <v>0.73943830717411863</v>
      </c>
      <c r="H49" s="8">
        <f>Reference!D29</f>
        <v>2.0369885875439429</v>
      </c>
      <c r="I49" s="8">
        <f>Reference!E29</f>
        <v>4.3213043453055429</v>
      </c>
      <c r="J49" s="8">
        <f>Reference!F29</f>
        <v>7.8162995001416284</v>
      </c>
      <c r="K49" s="8">
        <f>Reference!G29</f>
        <v>12.908321112381094</v>
      </c>
      <c r="L49" s="8">
        <f>Reference!H29</f>
        <v>19.788260977416147</v>
      </c>
    </row>
    <row r="50" spans="6:12" x14ac:dyDescent="0.2">
      <c r="F50" s="39" t="s">
        <v>105</v>
      </c>
      <c r="G50" s="8">
        <f>'High Electric'!C29</f>
        <v>0.78226369148968167</v>
      </c>
      <c r="H50" s="8">
        <f>'High Electric'!D29</f>
        <v>4.2549556255465149</v>
      </c>
      <c r="I50" s="8">
        <f>'High Electric'!E29</f>
        <v>15.946994607720729</v>
      </c>
      <c r="J50" s="8">
        <f>'High Electric'!F29</f>
        <v>30.390472948458608</v>
      </c>
      <c r="K50" s="8">
        <f>'High Electric'!G29</f>
        <v>43.141850161283976</v>
      </c>
      <c r="L50" s="8">
        <f>'High Electric'!H29</f>
        <v>53.663534586776329</v>
      </c>
    </row>
    <row r="51" spans="6:12" x14ac:dyDescent="0.2">
      <c r="F51" s="40" t="s">
        <v>106</v>
      </c>
      <c r="G51" s="8">
        <f>H2E!C29</f>
        <v>0.78226369148968167</v>
      </c>
      <c r="H51" s="8">
        <f>H2E!D29</f>
        <v>4.2549556255465149</v>
      </c>
      <c r="I51" s="8">
        <f>H2E!E29</f>
        <v>15.946994607720729</v>
      </c>
      <c r="J51" s="8">
        <f>H2E!F29</f>
        <v>30.390472948458608</v>
      </c>
      <c r="K51" s="8">
        <f>H2E!G29</f>
        <v>43.141850161283976</v>
      </c>
      <c r="L51" s="8">
        <f>H2E!H29</f>
        <v>53.663534586776329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2C0C5-6D35-4D16-B14C-4DFDCA7B6616}">
  <dimension ref="A1"/>
  <sheetViews>
    <sheetView workbookViewId="0">
      <selection activeCell="AC118" sqref="AC118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FCFB-E559-4B96-BFEC-8DA4ECBE22DB}">
  <dimension ref="B7:E19"/>
  <sheetViews>
    <sheetView topLeftCell="A7" workbookViewId="0">
      <selection activeCell="I13" sqref="I13"/>
    </sheetView>
  </sheetViews>
  <sheetFormatPr defaultRowHeight="12.75" x14ac:dyDescent="0.2"/>
  <cols>
    <col min="2" max="2" width="20.85546875" bestFit="1" customWidth="1"/>
    <col min="3" max="3" width="9.85546875" bestFit="1" customWidth="1"/>
    <col min="4" max="4" width="10.42578125" bestFit="1" customWidth="1"/>
    <col min="5" max="5" width="8.7109375" bestFit="1" customWidth="1"/>
  </cols>
  <sheetData>
    <row r="7" spans="2:5" ht="38.25" x14ac:dyDescent="0.2">
      <c r="B7" s="15" t="s">
        <v>50</v>
      </c>
    </row>
    <row r="8" spans="2:5" x14ac:dyDescent="0.2">
      <c r="B8" s="15"/>
    </row>
    <row r="9" spans="2:5" x14ac:dyDescent="0.2">
      <c r="B9" s="16" t="s">
        <v>33</v>
      </c>
      <c r="C9" s="16" t="s">
        <v>36</v>
      </c>
      <c r="D9" s="16" t="s">
        <v>49</v>
      </c>
      <c r="E9" s="16" t="s">
        <v>51</v>
      </c>
    </row>
    <row r="11" spans="2:5" x14ac:dyDescent="0.2">
      <c r="B11" t="s">
        <v>34</v>
      </c>
      <c r="C11" t="s">
        <v>35</v>
      </c>
      <c r="D11" t="s">
        <v>47</v>
      </c>
      <c r="E11" t="s">
        <v>32</v>
      </c>
    </row>
    <row r="13" spans="2:5" x14ac:dyDescent="0.2">
      <c r="B13" t="s">
        <v>37</v>
      </c>
      <c r="C13" t="s">
        <v>48</v>
      </c>
      <c r="D13" t="s">
        <v>38</v>
      </c>
      <c r="E13" t="s">
        <v>52</v>
      </c>
    </row>
    <row r="15" spans="2:5" x14ac:dyDescent="0.2">
      <c r="B15" t="s">
        <v>39</v>
      </c>
      <c r="C15" t="s">
        <v>45</v>
      </c>
      <c r="D15" t="s">
        <v>42</v>
      </c>
      <c r="E15" t="s">
        <v>52</v>
      </c>
    </row>
    <row r="16" spans="2:5" x14ac:dyDescent="0.2">
      <c r="C16" t="s">
        <v>46</v>
      </c>
    </row>
    <row r="18" spans="2:5" x14ac:dyDescent="0.2">
      <c r="B18" t="s">
        <v>40</v>
      </c>
      <c r="C18" t="s">
        <v>43</v>
      </c>
      <c r="D18" t="s">
        <v>41</v>
      </c>
      <c r="E18" t="s">
        <v>53</v>
      </c>
    </row>
    <row r="19" spans="2:5" x14ac:dyDescent="0.2">
      <c r="C19" t="s">
        <v>44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Reference</vt:lpstr>
      <vt:lpstr>High Electric</vt:lpstr>
      <vt:lpstr>H2E</vt:lpstr>
      <vt:lpstr>Charts_Comparisons</vt:lpstr>
      <vt:lpstr>ChartsByCase</vt:lpstr>
      <vt:lpstr>Classifications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Simmons</dc:creator>
  <cp:lastModifiedBy>Steven Simmons</cp:lastModifiedBy>
  <dcterms:created xsi:type="dcterms:W3CDTF">2021-07-12T22:00:27Z</dcterms:created>
  <dcterms:modified xsi:type="dcterms:W3CDTF">2021-10-08T17:11:27Z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{6FE96EBB-085F-4339-8A59-AEC6D5BFE68A}</vt:lpwstr>
  </property>
</Properties>
</file>