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theme/themeOverride7.xml" ContentType="application/vnd.openxmlformats-officedocument.themeOverride+xml"/>
  <Override PartName="/xl/drawings/drawing13.xml" ContentType="application/vnd.openxmlformats-officedocument.drawing+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4.xml" ContentType="application/vnd.openxmlformats-officedocument.drawingml.chartshapes+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P:\Projects\GovernorsReports\2016\Links\"/>
    </mc:Choice>
  </mc:AlternateContent>
  <bookViews>
    <workbookView xWindow="-15" yWindow="5745" windowWidth="19170" windowHeight="5805" tabRatio="712" firstSheet="1" activeTab="12"/>
  </bookViews>
  <sheets>
    <sheet name="1_CostsByArea" sheetId="36" r:id="rId1"/>
    <sheet name="2_SpeciesType" sheetId="15" r:id="rId2"/>
    <sheet name="3_FCRPS" sheetId="16" r:id="rId3"/>
    <sheet name="4_ESASpecies" sheetId="17" r:id="rId4"/>
    <sheet name="5_Fund" sheetId="23" r:id="rId5"/>
    <sheet name="6a_Category" sheetId="24" r:id="rId6"/>
    <sheet name="6b_ArtProd" sheetId="34" r:id="rId7"/>
    <sheet name="7_RME" sheetId="33" r:id="rId8"/>
    <sheet name="8_Province" sheetId="19" r:id="rId9"/>
    <sheet name="9_Location" sheetId="27" r:id="rId10"/>
    <sheet name="10_Contractor" sheetId="28" r:id="rId11"/>
    <sheet name="11_LandPurchases" sheetId="20" r:id="rId12"/>
    <sheet name="12_Cumulative" sheetId="21" r:id="rId13"/>
  </sheets>
  <externalReferences>
    <externalReference r:id="rId14"/>
    <externalReference r:id="rId15"/>
    <externalReference r:id="rId16"/>
  </externalReferences>
  <definedNames>
    <definedName name="_xlnm._FilterDatabase" localSheetId="10" hidden="1">'10_Contractor'!$A$2:$E$2</definedName>
    <definedName name="_xlcn.WorksheetConnection_4_CostsByLocationA3E91" hidden="1">'9_Location'!$A$4:$G$10</definedName>
    <definedName name="ASD">[1]nVision!$E$3</definedName>
    <definedName name="CreditPercent">[1]nVision!$E$9</definedName>
    <definedName name="dsa" localSheetId="0">[2]IS!#REF!</definedName>
    <definedName name="dsa" localSheetId="6">[2]IS!#REF!</definedName>
    <definedName name="dsa">[2]IS!#REF!</definedName>
    <definedName name="dsb">[2]IS!#REF!</definedName>
    <definedName name="dsc">[2]IS!#REF!</definedName>
    <definedName name="f" localSheetId="0">#REF!</definedName>
    <definedName name="f" localSheetId="6">#REF!</definedName>
    <definedName name="f">#REF!</definedName>
    <definedName name="FY">[1]nVision!$E$8</definedName>
    <definedName name="g">#REF!</definedName>
    <definedName name="h">#REF!</definedName>
    <definedName name="layout">[3]Layout!$E$4</definedName>
    <definedName name="NvsASD">"V2014-09-30"</definedName>
    <definedName name="NvsAutoDrillOk">"VN"</definedName>
    <definedName name="NvsElapsedTime">0.000127314815472346</definedName>
    <definedName name="NvsEndTime">41127.4998842593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"VCORPT"</definedName>
    <definedName name="NvsPanelEffdt">"V2013-10-01"</definedName>
    <definedName name="NvsPanelSetid">"VFCRPS"</definedName>
    <definedName name="NvsReqBU">"VCORPT"</definedName>
    <definedName name="NvsReqBUOnly">"VN"</definedName>
    <definedName name="NvsTransLed">"VN"</definedName>
    <definedName name="NvsTreeASD">"V2013-10-01"</definedName>
    <definedName name="NvsValTbl.ACCOUNT">"GL_ACCOUNT_TBL"</definedName>
    <definedName name="NvsValTbl.ANALYSIS_TYPE">"GL_ACCOUNT_TBL"</definedName>
    <definedName name="NvsValTbl.BUSINESS_UNIT">"BUS_UNIT_TBL_GL"</definedName>
    <definedName name="NvsValTbl.PROJECT_ID">"PROJECT_VW"</definedName>
    <definedName name="NvsValTbl.SCENARIO">"BD_SCENARIO_TBL"</definedName>
    <definedName name="_xlnm.Print_Titles" localSheetId="10">'10_Contractor'!$2:$2</definedName>
    <definedName name="RID">[1]nVision!$E$7</definedName>
    <definedName name="StartOfYear">[1]nVision!$E$10</definedName>
    <definedName name="subtitle">'2_SpeciesType'!$D$34</definedName>
  </definedNames>
  <calcPr calcId="152511"/>
  <extLst>
    <ext xmlns:x15="http://schemas.microsoft.com/office/spreadsheetml/2010/11/main" uri="{FCE2AD5D-F65C-4FA6-A056-5C36A1767C68}">
      <x15:dataModel>
        <x15:modelTables>
          <x15:modelTable id="Range-5170fc5c-6da7-4755-86ea-689762ede593" name="Range" connection="WorksheetConnection_4_CostsByLocation!$A$3:$E$9"/>
        </x15:modelTables>
      </x15:dataModel>
    </ext>
  </extLst>
</workbook>
</file>

<file path=xl/calcChain.xml><?xml version="1.0" encoding="utf-8"?>
<calcChain xmlns="http://schemas.openxmlformats.org/spreadsheetml/2006/main">
  <c r="AL12" i="21" l="1"/>
  <c r="AK12" i="21"/>
  <c r="AJ12" i="21"/>
  <c r="AI12" i="21"/>
  <c r="B14" i="36" l="1"/>
  <c r="D34" i="15" l="1"/>
  <c r="F6" i="34"/>
  <c r="F7" i="34" s="1"/>
  <c r="E6" i="34"/>
  <c r="E7" i="34" s="1"/>
  <c r="H7" i="34"/>
  <c r="G7" i="34"/>
  <c r="D7" i="34"/>
  <c r="C7" i="34"/>
  <c r="B7" i="34"/>
  <c r="I6" i="34"/>
  <c r="I5" i="34"/>
  <c r="I4" i="34"/>
  <c r="I3" i="34"/>
  <c r="AL9" i="21" l="1"/>
  <c r="AK9" i="21"/>
  <c r="H59" i="28" l="1"/>
  <c r="D59" i="28"/>
  <c r="C59" i="28"/>
  <c r="H57" i="28"/>
  <c r="D57" i="28"/>
  <c r="C57" i="28"/>
  <c r="F34" i="28"/>
  <c r="E34" i="28"/>
  <c r="I28" i="28"/>
  <c r="H28" i="28"/>
  <c r="G28" i="28"/>
  <c r="F28" i="28"/>
  <c r="E28" i="28"/>
  <c r="D28" i="28"/>
  <c r="C28" i="28"/>
  <c r="I25" i="28"/>
  <c r="H25" i="28"/>
  <c r="G25" i="28"/>
  <c r="F25" i="28"/>
  <c r="E25" i="28"/>
  <c r="D25" i="28"/>
  <c r="C25" i="28"/>
  <c r="I21" i="28"/>
  <c r="H21" i="28"/>
  <c r="G21" i="28"/>
  <c r="F21" i="28"/>
  <c r="E21" i="28"/>
  <c r="D21" i="28"/>
  <c r="C21" i="28"/>
  <c r="I16" i="28"/>
  <c r="H16" i="28"/>
  <c r="G16" i="28"/>
  <c r="F16" i="28"/>
  <c r="E16" i="28"/>
  <c r="D16" i="28"/>
  <c r="C16" i="28"/>
  <c r="C11" i="27" l="1"/>
  <c r="B11" i="27"/>
  <c r="B8" i="19" l="1"/>
  <c r="B6" i="19"/>
  <c r="B14" i="33" l="1"/>
  <c r="B12" i="24" l="1"/>
  <c r="C12" i="24"/>
  <c r="D12" i="24"/>
  <c r="E12" i="24"/>
  <c r="F12" i="24"/>
  <c r="G12" i="24"/>
  <c r="H12" i="24"/>
  <c r="A29" i="17" l="1"/>
  <c r="G19" i="17"/>
  <c r="D19" i="17"/>
  <c r="H19" i="17" s="1"/>
  <c r="H18" i="17"/>
  <c r="G18" i="17"/>
  <c r="D18" i="17"/>
  <c r="D17" i="17"/>
  <c r="H17" i="17" s="1"/>
  <c r="D16" i="17"/>
  <c r="H16" i="17" s="1"/>
  <c r="G15" i="17"/>
  <c r="H15" i="17" s="1"/>
  <c r="D15" i="17"/>
  <c r="G14" i="17"/>
  <c r="D14" i="17"/>
  <c r="H14" i="17" s="1"/>
  <c r="G13" i="17"/>
  <c r="D13" i="17"/>
  <c r="H13" i="17" s="1"/>
  <c r="H12" i="17"/>
  <c r="G12" i="17"/>
  <c r="D12" i="17"/>
  <c r="G11" i="17"/>
  <c r="H11" i="17" s="1"/>
  <c r="D11" i="17"/>
  <c r="G10" i="17"/>
  <c r="D10" i="17"/>
  <c r="H10" i="17" s="1"/>
  <c r="G9" i="17"/>
  <c r="D9" i="17"/>
  <c r="H9" i="17" s="1"/>
  <c r="H8" i="17"/>
  <c r="G8" i="17"/>
  <c r="D8" i="17"/>
  <c r="G7" i="17"/>
  <c r="H7" i="17" s="1"/>
  <c r="D7" i="17"/>
  <c r="G6" i="17"/>
  <c r="D6" i="17"/>
  <c r="H6" i="17" s="1"/>
  <c r="G5" i="17"/>
  <c r="D5" i="17"/>
  <c r="H5" i="17" s="1"/>
  <c r="H4" i="17"/>
  <c r="G4" i="17"/>
  <c r="D4" i="17"/>
  <c r="G3" i="17"/>
  <c r="H3" i="17" s="1"/>
  <c r="D3" i="17"/>
  <c r="H8" i="16" l="1"/>
  <c r="H5" i="16"/>
  <c r="AH12" i="21" l="1"/>
  <c r="AG12" i="21"/>
  <c r="AF12" i="21"/>
  <c r="AE12" i="21"/>
  <c r="AD12" i="21"/>
  <c r="AC12" i="21"/>
  <c r="AB12" i="21"/>
  <c r="AA12" i="21"/>
  <c r="Z12" i="21"/>
  <c r="Y12" i="21"/>
  <c r="X12" i="21"/>
  <c r="W12" i="21"/>
  <c r="V12" i="21"/>
  <c r="U12" i="21"/>
  <c r="T12" i="21"/>
  <c r="S12" i="21"/>
  <c r="R12" i="21"/>
  <c r="Q12" i="21"/>
  <c r="P12" i="21"/>
  <c r="O12" i="21"/>
  <c r="N12" i="21"/>
  <c r="M12" i="21"/>
  <c r="L12" i="21"/>
  <c r="K12" i="21"/>
  <c r="J12" i="21"/>
  <c r="I12" i="21"/>
  <c r="H12" i="21"/>
  <c r="G12" i="21"/>
  <c r="F12" i="21"/>
  <c r="E12" i="21"/>
  <c r="D12" i="21"/>
  <c r="C12" i="21"/>
  <c r="I13" i="15" l="1"/>
  <c r="I4" i="24"/>
  <c r="A19" i="23" l="1"/>
  <c r="A1" i="23"/>
  <c r="A1" i="20" l="1"/>
  <c r="E12" i="27" l="1"/>
  <c r="E36" i="19" l="1"/>
  <c r="E35" i="19"/>
  <c r="E34" i="19"/>
  <c r="E33" i="19"/>
  <c r="E32" i="19"/>
  <c r="E31" i="19"/>
  <c r="E30" i="19"/>
  <c r="E29" i="19"/>
  <c r="E28" i="19"/>
  <c r="E27" i="19"/>
  <c r="E26" i="19"/>
  <c r="F37" i="19" l="1"/>
  <c r="A1" i="19"/>
  <c r="F26" i="19"/>
  <c r="C8" i="33" l="1"/>
  <c r="C7" i="33"/>
  <c r="C6" i="33"/>
  <c r="C5" i="33"/>
  <c r="C4" i="33"/>
  <c r="C3" i="33"/>
  <c r="B9" i="33"/>
  <c r="I3" i="24" l="1"/>
  <c r="I5" i="24"/>
  <c r="I6" i="24"/>
  <c r="I7" i="24"/>
  <c r="I8" i="24"/>
  <c r="I9" i="24"/>
  <c r="I10" i="24"/>
  <c r="I11" i="24"/>
  <c r="H17" i="15" l="1"/>
  <c r="B31" i="15" s="1"/>
  <c r="G17" i="15"/>
  <c r="F17" i="15"/>
  <c r="E17" i="15"/>
  <c r="D17" i="15"/>
  <c r="C17" i="15"/>
  <c r="B17" i="15"/>
  <c r="H14" i="15"/>
  <c r="G14" i="15"/>
  <c r="F14" i="15"/>
  <c r="E14" i="15"/>
  <c r="D14" i="15"/>
  <c r="C14" i="15"/>
  <c r="B14" i="15"/>
  <c r="F38" i="19" l="1"/>
  <c r="F36" i="19"/>
  <c r="F35" i="19"/>
  <c r="F34" i="19"/>
  <c r="F33" i="19"/>
  <c r="F32" i="19"/>
  <c r="F31" i="19"/>
  <c r="F30" i="19"/>
  <c r="F29" i="19"/>
  <c r="F28" i="19"/>
  <c r="F27" i="19"/>
  <c r="AI9" i="21" l="1"/>
  <c r="AJ9" i="21"/>
  <c r="H37" i="20" l="1"/>
  <c r="G37" i="20"/>
  <c r="F37" i="20"/>
  <c r="D37" i="20"/>
  <c r="C37" i="20"/>
  <c r="B37" i="20"/>
  <c r="E37" i="20" l="1"/>
  <c r="C12" i="28"/>
  <c r="D12" i="28"/>
  <c r="E12" i="28"/>
  <c r="F12" i="28"/>
  <c r="G12" i="28"/>
  <c r="H12" i="28"/>
  <c r="I12" i="28"/>
  <c r="C29" i="28"/>
  <c r="G29" i="28"/>
  <c r="D29" i="28"/>
  <c r="E29" i="28"/>
  <c r="H29" i="28"/>
  <c r="I29" i="28"/>
  <c r="F29" i="28"/>
  <c r="C51" i="28"/>
  <c r="D51" i="28"/>
  <c r="E51" i="28"/>
  <c r="F51" i="28"/>
  <c r="G51" i="28"/>
  <c r="H51" i="28"/>
  <c r="I51" i="28"/>
  <c r="C64" i="28"/>
  <c r="D64" i="28"/>
  <c r="G64" i="28"/>
  <c r="H64" i="28"/>
  <c r="I64" i="28"/>
  <c r="F64" i="28" l="1"/>
  <c r="F66" i="28" s="1"/>
  <c r="E64" i="28"/>
  <c r="E66" i="28" s="1"/>
  <c r="I66" i="28"/>
  <c r="H66" i="28"/>
  <c r="D66" i="28"/>
  <c r="G66" i="28"/>
  <c r="C66" i="28"/>
  <c r="H16" i="19" l="1"/>
  <c r="G16" i="19"/>
  <c r="F16" i="19"/>
  <c r="E16" i="19"/>
  <c r="C16" i="19"/>
  <c r="B16" i="19"/>
  <c r="D16" i="19"/>
  <c r="H11" i="27" l="1"/>
  <c r="H10" i="27"/>
  <c r="H9" i="27"/>
  <c r="H8" i="27"/>
  <c r="H7" i="27"/>
  <c r="H6" i="27"/>
  <c r="H5" i="27"/>
  <c r="H4" i="27"/>
  <c r="B12" i="27" l="1"/>
  <c r="C12" i="27"/>
  <c r="D12" i="27"/>
  <c r="G12" i="27"/>
  <c r="B24" i="23" l="1"/>
  <c r="B23" i="23"/>
  <c r="B22" i="23"/>
  <c r="B21" i="23"/>
  <c r="B20" i="23"/>
  <c r="B11" i="23"/>
  <c r="C11" i="23"/>
  <c r="D11" i="23"/>
  <c r="E11" i="23"/>
  <c r="F11" i="23"/>
  <c r="G11" i="23"/>
  <c r="H11" i="23"/>
  <c r="I8" i="16" l="1"/>
  <c r="G8" i="16"/>
  <c r="F8" i="16"/>
  <c r="E8" i="16"/>
  <c r="D8" i="16"/>
  <c r="C8" i="16"/>
  <c r="B8" i="16"/>
  <c r="I5" i="16"/>
  <c r="H23" i="15" l="1"/>
  <c r="G23" i="15"/>
  <c r="F23" i="15"/>
  <c r="E23" i="15"/>
  <c r="D23" i="15"/>
  <c r="C23" i="15"/>
  <c r="B23" i="15"/>
  <c r="H22" i="15"/>
  <c r="G22" i="15"/>
  <c r="F22" i="15"/>
  <c r="E22" i="15"/>
  <c r="D22" i="15"/>
  <c r="C22" i="15"/>
  <c r="B22" i="15"/>
  <c r="H21" i="15"/>
  <c r="B35" i="15" s="1"/>
  <c r="G21" i="15"/>
  <c r="F21" i="15"/>
  <c r="E21" i="15"/>
  <c r="D21" i="15"/>
  <c r="C21" i="15"/>
  <c r="B21" i="15"/>
  <c r="H20" i="15"/>
  <c r="B34" i="15" s="1"/>
  <c r="G20" i="15"/>
  <c r="F20" i="15"/>
  <c r="E20" i="15"/>
  <c r="D20" i="15"/>
  <c r="C20" i="15"/>
  <c r="B20" i="15"/>
  <c r="H19" i="15"/>
  <c r="B33" i="15" s="1"/>
  <c r="G19" i="15"/>
  <c r="F19" i="15"/>
  <c r="E19" i="15"/>
  <c r="D19" i="15"/>
  <c r="C19" i="15"/>
  <c r="B19" i="15"/>
  <c r="H18" i="15"/>
  <c r="B32" i="15" s="1"/>
  <c r="G18" i="15"/>
  <c r="F18" i="15"/>
  <c r="E18" i="15"/>
  <c r="D18" i="15"/>
  <c r="C18" i="15"/>
  <c r="B18" i="15"/>
  <c r="A27" i="23" l="1"/>
  <c r="A24" i="19"/>
  <c r="B21" i="24"/>
  <c r="B9" i="21"/>
  <c r="AH9" i="21"/>
  <c r="B20" i="17" l="1"/>
  <c r="C20" i="17"/>
  <c r="E20" i="17"/>
  <c r="F20" i="17"/>
  <c r="D20" i="17" l="1"/>
  <c r="H20" i="17" s="1"/>
  <c r="G20" i="17"/>
  <c r="G5" i="16"/>
  <c r="B5" i="16"/>
  <c r="C5" i="16"/>
  <c r="D5" i="16"/>
  <c r="E5" i="16"/>
  <c r="F5" i="16"/>
</calcChain>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4_CostsByLocation!$A$3:$E$9" type="102" refreshedVersion="5" minRefreshableVersion="5">
    <extLst>
      <ext xmlns:x15="http://schemas.microsoft.com/office/spreadsheetml/2010/11/main" uri="{DE250136-89BD-433C-8126-D09CA5730AF9}">
        <x15:connection id="Range-5170fc5c-6da7-4755-86ea-689762ede593">
          <x15:rangePr sourceName="_xlcn.WorksheetConnection_4_CostsByLocationA3E91"/>
        </x15:connection>
      </ext>
    </extLst>
  </connection>
</connections>
</file>

<file path=xl/sharedStrings.xml><?xml version="1.0" encoding="utf-8"?>
<sst xmlns="http://schemas.openxmlformats.org/spreadsheetml/2006/main" count="400" uniqueCount="313">
  <si>
    <t>2) Program Support includes includes contracts that contain only administrative work elements or program level spending that could not be mapped to a specific project, as well as BPA internal overhead such as personnel costs.</t>
  </si>
  <si>
    <t xml:space="preserve">1) Starting in 2008, Spending can be tracked back to a work element where the contractor explicitly identified the "Primary Focal Species" benefiting from the work.  </t>
  </si>
  <si>
    <t>Notes:</t>
  </si>
  <si>
    <t>TOTAL</t>
  </si>
  <si>
    <t>CJH Cost Share</t>
  </si>
  <si>
    <t>Program Support</t>
  </si>
  <si>
    <t>Wildlife</t>
  </si>
  <si>
    <t>Resident Fish</t>
  </si>
  <si>
    <t>Anadromous Fish</t>
  </si>
  <si>
    <t>Capital Expenditures</t>
  </si>
  <si>
    <t>Expense Expenditures</t>
  </si>
  <si>
    <t>Species type</t>
  </si>
  <si>
    <t>Capital</t>
  </si>
  <si>
    <t>Expense</t>
  </si>
  <si>
    <t>Category</t>
  </si>
  <si>
    <t>2) Contract Administration spending can be tracked back to a work element that did not require the contractor to identify the "Primary Focal Species" benefiting from the work.</t>
  </si>
  <si>
    <t>Trout, Bull (threatened)</t>
  </si>
  <si>
    <t>Sturgeon, White - Kootenai River DPS (endangered)</t>
  </si>
  <si>
    <t>Cutthroat Trout, Lahontan (threatened)</t>
  </si>
  <si>
    <t>Chub, Oregon (endangered)</t>
  </si>
  <si>
    <t>Steelhead - Upper Willamette River DPS (threatened)</t>
  </si>
  <si>
    <t>Steelhead - Snake River DPS (threatened)</t>
  </si>
  <si>
    <t>Steelhead - Middle Columbia River DPS (threatened)</t>
  </si>
  <si>
    <t>Steelhead - Lower Columbia River DPS (threatened)</t>
  </si>
  <si>
    <t>Sockeye - Snake River ESU (endangered)</t>
  </si>
  <si>
    <t>Coho - Lower Columbia River ESU (threatened)</t>
  </si>
  <si>
    <t>Chum - Columbia River ESU (threatened)</t>
  </si>
  <si>
    <t>Chinook - Upper Willamette River ESU (threatened)</t>
  </si>
  <si>
    <t>Chinook - Upper Columbia River Spring ESU (endangered)</t>
  </si>
  <si>
    <t>Chinook - Snake River Spring/Summer ESU (threatened)</t>
  </si>
  <si>
    <t>Chinook - Snake River Fall ESU (threatened)</t>
  </si>
  <si>
    <t>Chinook - Lower Columbia River ESU (threatened)</t>
  </si>
  <si>
    <t>Total Spending</t>
  </si>
  <si>
    <t>Capital Total Spending</t>
  </si>
  <si>
    <t>Capital "Contract Administration" Spending</t>
  </si>
  <si>
    <t>Capital "Direct" Spending</t>
  </si>
  <si>
    <t>Expense Total Spending</t>
  </si>
  <si>
    <t>Expense "Contract Administration" Spending</t>
  </si>
  <si>
    <t>Expense "Direct" Spending</t>
  </si>
  <si>
    <t>ESA Listed Focal Species Name</t>
  </si>
  <si>
    <t>Total</t>
  </si>
  <si>
    <t>Predator Removal</t>
  </si>
  <si>
    <t>Law Enforcement</t>
  </si>
  <si>
    <t>Harvest Augmentation</t>
  </si>
  <si>
    <t>Data Management</t>
  </si>
  <si>
    <t>Programmatic</t>
  </si>
  <si>
    <t>Predation</t>
  </si>
  <si>
    <t>Hydrosystem</t>
  </si>
  <si>
    <t>Harvest</t>
  </si>
  <si>
    <t>Habitat</t>
  </si>
  <si>
    <t>Artificial Production</t>
  </si>
  <si>
    <t>3) Program Support/Admin/Other includes spending that cannot be traced back to a contract that has at least one work element requiring location; contracts without any work elements at all; program level spending not mapped to a specific project; and BPA Overhead.</t>
  </si>
  <si>
    <t>2) Other includes "Undetermined" locations such as Ocean, Canada; and provinces not recognized by NPCC.</t>
  </si>
  <si>
    <t>1) Starting in 2008, spending by province is tracked in Pisces based on where the contractor explicitly identified work location.</t>
  </si>
  <si>
    <t>Province</t>
  </si>
  <si>
    <t>Other</t>
  </si>
  <si>
    <t>Project Proponent(s)</t>
  </si>
  <si>
    <t>City of Eugene</t>
  </si>
  <si>
    <t>Columbia Land Trust</t>
  </si>
  <si>
    <t>Colville Confederated Tribes</t>
  </si>
  <si>
    <t>Confederated Tribes of the Grande Ronde</t>
  </si>
  <si>
    <t>Greenbelt Land Trust</t>
  </si>
  <si>
    <t>Idaho Department of Fish and Game (IDFG)</t>
  </si>
  <si>
    <t>Idaho Office of Species Conservation</t>
  </si>
  <si>
    <t>Kittitas Conservation Trust</t>
  </si>
  <si>
    <t>Lower Columbia River Estuary Partnership (LCREP)</t>
  </si>
  <si>
    <t>Methow Salmon Recovery Foundation</t>
  </si>
  <si>
    <t>National Fish and Wildlife Foundation</t>
  </si>
  <si>
    <t>Nature Conservancy</t>
  </si>
  <si>
    <t>Nez Perce Tribe</t>
  </si>
  <si>
    <t>Oregon Watershed Enhancement Board</t>
  </si>
  <si>
    <t>S Central Washington Resource Conservation and Development</t>
  </si>
  <si>
    <t>Salish and Kootenai Confederated Tribes</t>
  </si>
  <si>
    <t>Shoshone-Bannock Tribes</t>
  </si>
  <si>
    <t>Shoshone-Paiute Tribes</t>
  </si>
  <si>
    <t>Umatilla Confederated Tribes (CTUIR)</t>
  </si>
  <si>
    <t>US Fish and Wildlife Service (USFWS)</t>
  </si>
  <si>
    <t>Willamalane Parks and Recreation District</t>
  </si>
  <si>
    <t>Yakama Confederated Tribes</t>
  </si>
  <si>
    <t>Yamhill Soil and Water Conservation District</t>
  </si>
  <si>
    <t>Ducks Unlimited</t>
  </si>
  <si>
    <t>City of Salem</t>
  </si>
  <si>
    <t>McKenzie River Trust</t>
  </si>
  <si>
    <t>Fixed Expenses</t>
  </si>
  <si>
    <t>Direct Program</t>
  </si>
  <si>
    <t>Reimbursable Expenses</t>
  </si>
  <si>
    <t>Forgone Revenues</t>
  </si>
  <si>
    <t>Power Purchases</t>
  </si>
  <si>
    <t>1978-80</t>
  </si>
  <si>
    <r>
      <t>Program Support</t>
    </r>
    <r>
      <rPr>
        <vertAlign val="superscript"/>
        <sz val="12"/>
        <rFont val="Century Gothic"/>
        <family val="2"/>
      </rPr>
      <t xml:space="preserve"> 2</t>
    </r>
  </si>
  <si>
    <t>COPY THIS TABLE TO INDESIGN (sums above rows)</t>
  </si>
  <si>
    <t>(Use this in InDesign footnote, total capital expense for final year)</t>
  </si>
  <si>
    <t>(remove footnote marks from graph X-axis labels)</t>
  </si>
  <si>
    <t>3) Negative values for Capital Spending are a result of overaccruing costs in the previous year.</t>
  </si>
  <si>
    <t>2)  Spending is estimated based on the % of funding towards a project.  For example, if a project budget is 70% BiOp and 30% General, the project expenditures will be prorated 70% towards BiOp and 30% General.</t>
  </si>
  <si>
    <t>1)  BiOp tracking at fund level began in 2009, Accords began in 2008.</t>
  </si>
  <si>
    <t>TOTAL PROGRAM</t>
  </si>
  <si>
    <t>Total BPA Overhead</t>
  </si>
  <si>
    <t>Total General</t>
  </si>
  <si>
    <t>Total Accords - BiOp</t>
  </si>
  <si>
    <r>
      <t>Total Accords</t>
    </r>
    <r>
      <rPr>
        <vertAlign val="superscript"/>
        <sz val="12"/>
        <rFont val="Century Gothic"/>
        <family val="2"/>
      </rPr>
      <t>1</t>
    </r>
  </si>
  <si>
    <t>Total BiOp (non Accord)</t>
  </si>
  <si>
    <t>FUND</t>
  </si>
  <si>
    <t>Accords - BiOp</t>
  </si>
  <si>
    <t>Accords - non-BiOp</t>
  </si>
  <si>
    <t>Figure subtitle (range named "subtitle" because it's used on many figures)</t>
  </si>
  <si>
    <t>Figure subtitle:</t>
  </si>
  <si>
    <t>Subtitle:</t>
  </si>
  <si>
    <r>
      <t xml:space="preserve">2) Estimated spending is based at the </t>
    </r>
    <r>
      <rPr>
        <u/>
        <sz val="12"/>
        <rFont val="Century Gothic"/>
        <family val="2"/>
      </rPr>
      <t>project level</t>
    </r>
    <r>
      <rPr>
        <sz val="12"/>
        <rFont val="Century Gothic"/>
        <family val="2"/>
      </rPr>
      <t>.  Therefore if a project is assigned an emphasis of Habitat, but also does RME, all expenditures for the project are included under Habitat.</t>
    </r>
  </si>
  <si>
    <t>Research, Monitoring and Evaluation</t>
  </si>
  <si>
    <t>Production (Supplementation)</t>
  </si>
  <si>
    <t>for graph</t>
  </si>
  <si>
    <t>Grand Total</t>
  </si>
  <si>
    <t>Ocean</t>
  </si>
  <si>
    <t>1) Starting in 2008, spending by state is tracked in Pisces based on where the contractor explicitly identified work location.</t>
  </si>
  <si>
    <r>
      <t xml:space="preserve">Program Support/Admin/Overhead/Other </t>
    </r>
    <r>
      <rPr>
        <vertAlign val="superscript"/>
        <sz val="12"/>
        <color theme="1"/>
        <rFont val="Century Gothic"/>
        <family val="2"/>
      </rPr>
      <t>2</t>
    </r>
  </si>
  <si>
    <t>Nevada</t>
  </si>
  <si>
    <t>British Columbia</t>
  </si>
  <si>
    <t>Montana</t>
  </si>
  <si>
    <t>Oregon</t>
  </si>
  <si>
    <t>Idaho</t>
  </si>
  <si>
    <t>Washington</t>
  </si>
  <si>
    <t>STATE</t>
  </si>
  <si>
    <t>Format for pie, and remove Systemwide</t>
  </si>
  <si>
    <t>2)  Starting in FY13, land acquisition values may include stewardship costs for long-term operations and maintenance (O&amp;M).</t>
  </si>
  <si>
    <t>1)  Values above include accruals.</t>
  </si>
  <si>
    <t>NOTES:</t>
  </si>
  <si>
    <t>GRAND TOTAL</t>
  </si>
  <si>
    <t>OTHER TOTAL</t>
  </si>
  <si>
    <t>CHIEF JOSEPH HATCHERY COST SHARE (GRANT PUD)</t>
  </si>
  <si>
    <t>NATIONAL FISH &amp; WILDLIFE FOUNDATION</t>
  </si>
  <si>
    <t>UTILITY</t>
  </si>
  <si>
    <r>
      <t>LAND ACQUISITIONS</t>
    </r>
    <r>
      <rPr>
        <vertAlign val="superscript"/>
        <sz val="11"/>
        <rFont val="Century Gothic"/>
        <family val="2"/>
      </rPr>
      <t>2</t>
    </r>
  </si>
  <si>
    <t>COLUMBIA BASIN FISH &amp; WILDLIFE AUTHORITY</t>
  </si>
  <si>
    <t>LOCAL/SEMI GOVERNMENT</t>
  </si>
  <si>
    <t>PRIVATE/NON-PROFIT/OTHER</t>
  </si>
  <si>
    <t>OTHER</t>
  </si>
  <si>
    <t>UNIVERSITY</t>
  </si>
  <si>
    <t>PACIFIC STATES MARINE FISHERIES COMMISSION (PSMFC)</t>
  </si>
  <si>
    <t>INTERSTATE COMPACT</t>
  </si>
  <si>
    <t>TRIBE TOTAL</t>
  </si>
  <si>
    <t>YAKAMA CONFEDERATED TRIBES</t>
  </si>
  <si>
    <t>UPPER SNAKE RIVER TRIBES FOUNDATION</t>
  </si>
  <si>
    <t>UPPER COLUMBIA UNITED TRIBES (UCUT)</t>
  </si>
  <si>
    <t>UMATILLA CONFEDERATED TRIBES</t>
  </si>
  <si>
    <t>SPOKANE TRIBE OF INDIANS</t>
  </si>
  <si>
    <t>SHOSHONE-PAUITE TRIBES</t>
  </si>
  <si>
    <t>SHOSHONE-BANNOCK TRIBES</t>
  </si>
  <si>
    <t>SALISH AND KOOTENAI TRIBES CONFEDERATED TRIBES</t>
  </si>
  <si>
    <t>NEZ PERCE TRIBE</t>
  </si>
  <si>
    <t>KOOTENAI TRIBE</t>
  </si>
  <si>
    <t>KALISPEL TRIBE OF INDIANS</t>
  </si>
  <si>
    <t>COWLITZ INDIAN TRIBE</t>
  </si>
  <si>
    <t>CONFEDERATED TRIBES OF WARM SPRINGS</t>
  </si>
  <si>
    <t>CONFEDERATED TRIBES OF SILETZ INDIANS</t>
  </si>
  <si>
    <t>CONFEDERATED TRIBES OF GRAND RONDE</t>
  </si>
  <si>
    <t>COLVILLE CONFEDERATED TRIBES</t>
  </si>
  <si>
    <t>COLUMBIA RIVER INTERTRIBAL FISH COMMISSION</t>
  </si>
  <si>
    <t>COEUR D'ALENE TRIBE OF IDAHO</t>
  </si>
  <si>
    <t>BURNS PAIUTE TRIBE</t>
  </si>
  <si>
    <t>TRIBE</t>
  </si>
  <si>
    <t>STATE TOTAL</t>
  </si>
  <si>
    <t>MONTANA Subtotal</t>
  </si>
  <si>
    <t>MONTANA FISH, WILDLIFE AND PARKS (MFWP)</t>
  </si>
  <si>
    <t>WASHINGTON Subtotal</t>
  </si>
  <si>
    <t>WASHINGTON DEPARTMENT OF ECOLOGY</t>
  </si>
  <si>
    <t>WASHINGTON DEPARTMENT OF FISH &amp; WILDLIFE</t>
  </si>
  <si>
    <t>IDAHO Subtotal</t>
  </si>
  <si>
    <t>IDAHO STATE OFFICE OF SPECIES CONSERVATION</t>
  </si>
  <si>
    <t>IDAHO SOIL &amp; WATER CONSERVATION COMMISSION</t>
  </si>
  <si>
    <t>IDAHO DEPARTMENT OF FISH &amp; WILDLIFE</t>
  </si>
  <si>
    <t>OREGON Subtotal</t>
  </si>
  <si>
    <t>OREGON WATERSHED ENHANCEMENT BOARD</t>
  </si>
  <si>
    <t>OREGON DEPARTMENT OF FISH &amp; WILDLIFE</t>
  </si>
  <si>
    <t>FEDERAL TOTAL</t>
  </si>
  <si>
    <t>US GEOLOGICAL SURVEY (USGS)</t>
  </si>
  <si>
    <t>US FOREST SERVICE (USFS)</t>
  </si>
  <si>
    <t>US ARMY CORP OF ENGINEERS (COE)</t>
  </si>
  <si>
    <t>US BUREAU OF RECLAMATION (BOR)</t>
  </si>
  <si>
    <t>US FISH &amp; WILDLIFE SERVICE (USFWS)</t>
  </si>
  <si>
    <t>BPA OVERHEAD (&amp; NON-CONTRACTED PROJECT COSTS)</t>
  </si>
  <si>
    <t>NATIONAL MARINE FISHERIES (NOAA)</t>
  </si>
  <si>
    <t>FEDERAL</t>
  </si>
  <si>
    <t>Prime Contractor</t>
  </si>
  <si>
    <t>Contractor Type</t>
  </si>
  <si>
    <t>FOR CHART:</t>
  </si>
  <si>
    <t>Copy rows from above, then manually sort each section largest-to-smallest, sum all the smallest into "other"</t>
  </si>
  <si>
    <t>Federal</t>
  </si>
  <si>
    <t>State</t>
  </si>
  <si>
    <t>Tribe</t>
  </si>
  <si>
    <t>Interstate</t>
  </si>
  <si>
    <t>University</t>
  </si>
  <si>
    <t>Federal: BPA Overhead (&amp; Non-Contracted Project Costs)</t>
  </si>
  <si>
    <t>Federal: National Marine Fisheries</t>
  </si>
  <si>
    <t>Federal: US Fish &amp; Wildlife Service</t>
  </si>
  <si>
    <t>Federal: US Geological Survey</t>
  </si>
  <si>
    <t>Federal: Other</t>
  </si>
  <si>
    <t>State: Oregon Department of Fish &amp; Wildlife</t>
  </si>
  <si>
    <t>State: Idaho Department of Fish &amp; Wildlife</t>
  </si>
  <si>
    <t>State: Washington Department of Fish &amp; Wildlife</t>
  </si>
  <si>
    <t>State: Montana Fish, Wildlife And Parks</t>
  </si>
  <si>
    <t>State: Idaho State Office of Species Conservation</t>
  </si>
  <si>
    <t>Tribe: Yakama Confederated Tribes</t>
  </si>
  <si>
    <t>Tribe: Kootenai Tribe</t>
  </si>
  <si>
    <t>Tribe: Nez Perce Tribe</t>
  </si>
  <si>
    <t>Tribe: Colville Confederated Tribes</t>
  </si>
  <si>
    <t>Tribe: Umatilla Confederated Tribes</t>
  </si>
  <si>
    <t>Tribe: Columbia River Intertribal Fish Commission</t>
  </si>
  <si>
    <t>Tribe: Confederated Tribes of Warm Springs</t>
  </si>
  <si>
    <t>Tribe: Shoshone-Bannock Tribes</t>
  </si>
  <si>
    <t>Tribe: Spokane Tribe of Indians</t>
  </si>
  <si>
    <t>Tribe: Kalispel Tribe of Indians</t>
  </si>
  <si>
    <t>Tribe: Coeur D'Alene Tribe of Idaho</t>
  </si>
  <si>
    <t>Tribe: Other</t>
  </si>
  <si>
    <t>Interstate: Pacific States Marine Fisheries Commission</t>
  </si>
  <si>
    <t>Other: Private/Non-Profit/Other</t>
  </si>
  <si>
    <t>Other: Land Acquisitions</t>
  </si>
  <si>
    <t>Other: Local/Semi Government</t>
  </si>
  <si>
    <t>Other: National Fish &amp; Wildlife Foundation</t>
  </si>
  <si>
    <t>Montana Fish, Wildlife and Parks (MFWP)</t>
  </si>
  <si>
    <t>Oregon Department Of Fish and Wildlife (ODFW)</t>
  </si>
  <si>
    <t>Washington Department of Fish and Wildlife (WDFW)</t>
  </si>
  <si>
    <t>1) Values above include bank fees, permits, etc.</t>
  </si>
  <si>
    <t>2) Starting in FY13, land acquisition values may include stewardship costs for long-term operations and maintenance (O&amp;M).</t>
  </si>
  <si>
    <t>Notes</t>
  </si>
  <si>
    <t>For chart, copy from above, sort largest to smallest</t>
  </si>
  <si>
    <t>Direct F&amp;W Program</t>
  </si>
  <si>
    <t>Lower Snake Comp Plan</t>
  </si>
  <si>
    <t>Corps of Engineers O&amp;M (est.)</t>
  </si>
  <si>
    <t>Bureau of Reclamation O&amp;M (est.)</t>
  </si>
  <si>
    <t>NW Power &amp; Conservation Council</t>
  </si>
  <si>
    <t>Interest Expense (est.)</t>
  </si>
  <si>
    <t>Amoritization/Depreciation (est.)</t>
  </si>
  <si>
    <t>Power Purchases for Fish Enhancement (est.)</t>
  </si>
  <si>
    <t>Program Support 2</t>
  </si>
  <si>
    <t>Table 3: Direct Program Expenditures of FCRPS BiOp Projects</t>
  </si>
  <si>
    <t>1) Estimated spending is based at the project level.  Therefore, if a project partially supports the FCRPS BiOp, all expenditures for the project are included.</t>
  </si>
  <si>
    <t>Table 2: Direct Program Expenditures by Types of Species</t>
  </si>
  <si>
    <t xml:space="preserve">FIGURE 2. </t>
  </si>
  <si>
    <t>2014 2</t>
  </si>
  <si>
    <t>1) Direct spending can be tracked back to a work element where the contractor explicitely identified the "Primary Focal Species" benefiting from the work.</t>
  </si>
  <si>
    <t>4) Revised on March 17, 2016</t>
  </si>
  <si>
    <t>Total BiOp (non-Accord)</t>
  </si>
  <si>
    <t>Total Accords - Non-BiOp</t>
  </si>
  <si>
    <t>Coordination (Local/Regional)</t>
  </si>
  <si>
    <t>Coordination (BPA Overhead) 3</t>
  </si>
  <si>
    <t>Habitat (Restoration/Protection)</t>
  </si>
  <si>
    <t xml:space="preserve">1) BPA’s database identifies projects by their “Purpose” (general goal) and “Emphasis” (primary type of work, e.g., habitat restoration.) BPA does not track its project management overhead against individual projects or contracts, so there is no easy or accurate way to allocate BPA overhead to specific purposes or emphases.  Thus, in the above  report, BPA includes its staffing to manage the 600-plus contracts in its fish and wildlife program in the category identified as Coordination (BPA Overhead), and its direct technical services contracts for Data Management and RM&amp;E in those respective categories.  </t>
  </si>
  <si>
    <t>3) Starting in Fiscal Year 2015 (and revised for FY2014), Costs by Category will now separate Coordination costs between Regional/Local Coordination and BPA Overhead.</t>
  </si>
  <si>
    <t>Estimated spending is based at the project level.  Therefore if a project is labeled Artificial Production, but also supports Habitat, the expenditures are counted as Artificial Production.</t>
  </si>
  <si>
    <t>Table/Figure 7: Direct Program Expenditures for Research, Monitoring and Evaluation (RM&amp;E), FY2015</t>
  </si>
  <si>
    <t>BLUE MOUNTAIN</t>
  </si>
  <si>
    <t>COLUMBIA CASCADE</t>
  </si>
  <si>
    <t>COLUMBIA GORGE</t>
  </si>
  <si>
    <t>COLUMBIA PLATEAU</t>
  </si>
  <si>
    <t>COLUMBIA ESTUARY</t>
  </si>
  <si>
    <t>INTERMOUNTAIN</t>
  </si>
  <si>
    <t>LOWER COLUMBIA</t>
  </si>
  <si>
    <t>MIDDLE SNAKE</t>
  </si>
  <si>
    <t>MOUNTAIN COLUMBIA</t>
  </si>
  <si>
    <t>MOUNTAIN SNAKE</t>
  </si>
  <si>
    <t>UPPER SNAKE</t>
  </si>
  <si>
    <r>
      <t>OTHER</t>
    </r>
    <r>
      <rPr>
        <vertAlign val="superscript"/>
        <sz val="11"/>
        <rFont val="Century Gothic"/>
        <family val="2"/>
      </rPr>
      <t xml:space="preserve"> 2</t>
    </r>
  </si>
  <si>
    <r>
      <t>PROGRAM SUPPORT/ADMIN/ OVERHEAD/OTHER</t>
    </r>
    <r>
      <rPr>
        <vertAlign val="superscript"/>
        <sz val="11"/>
        <rFont val="Century Gothic"/>
        <family val="2"/>
      </rPr>
      <t xml:space="preserve"> 3</t>
    </r>
  </si>
  <si>
    <t>Compiles program spending by work element location</t>
  </si>
  <si>
    <t>Table/Figure 9: Direct Program Expenditures by State, FY2015</t>
  </si>
  <si>
    <t>2) Program Support/Admin/Other includes spending that cannot be traced back to a contract that has at least one work element requiring location; contracts without any work elements; program level spending not mapped to a specific project or NPCC province; and BPA Overhead.</t>
  </si>
  <si>
    <t>Table/Figure 10: Direct Program Expenditures by Contractor Type, FY2015</t>
  </si>
  <si>
    <t>Friends of Buford Park</t>
  </si>
  <si>
    <t>Confederated Tribes of the Warm Springs</t>
  </si>
  <si>
    <t>Blue Mountain Land Trust</t>
  </si>
  <si>
    <t>Totals</t>
  </si>
  <si>
    <t>Tribe: Shoshone-Paiute Tribes</t>
  </si>
  <si>
    <t>Tribe: Burns-Paiute</t>
  </si>
  <si>
    <t>for graph (footnote marks removed)</t>
  </si>
  <si>
    <t>Coordination (BPA Overhead)</t>
  </si>
  <si>
    <t>Steelhead - Upper Columbia River DPS (threatened)</t>
  </si>
  <si>
    <t>Direct Program (non-cumulative)</t>
  </si>
  <si>
    <t>BPA Power Business Line Costs, FY 2016</t>
  </si>
  <si>
    <r>
      <t xml:space="preserve">2015 </t>
    </r>
    <r>
      <rPr>
        <b/>
        <vertAlign val="superscript"/>
        <sz val="12"/>
        <rFont val="Century Gothic"/>
        <family val="2"/>
      </rPr>
      <t>3</t>
    </r>
  </si>
  <si>
    <t>3) FY2015 revised as of March 9, 2017.</t>
  </si>
  <si>
    <t>3) FY2016 revised as of March 9, 2017.</t>
  </si>
  <si>
    <r>
      <t>2015</t>
    </r>
    <r>
      <rPr>
        <b/>
        <vertAlign val="superscript"/>
        <sz val="12"/>
        <rFont val="Century Gothic"/>
        <family val="2"/>
      </rPr>
      <t xml:space="preserve"> 3</t>
    </r>
  </si>
  <si>
    <r>
      <t>2016</t>
    </r>
    <r>
      <rPr>
        <b/>
        <vertAlign val="superscript"/>
        <sz val="12"/>
        <rFont val="Century Gothic"/>
        <family val="2"/>
      </rPr>
      <t xml:space="preserve"> 2</t>
    </r>
  </si>
  <si>
    <t>2) FY2015 reviewed as of March 9, 2017, no changes.</t>
  </si>
  <si>
    <t>3) Passage projects were moved from Capital to Expense funding starting with FY16 contracts.</t>
  </si>
  <si>
    <t>Table 4: Direct Program Expenditures on ESA Listed Fish, 2016</t>
  </si>
  <si>
    <r>
      <t>2015</t>
    </r>
    <r>
      <rPr>
        <b/>
        <vertAlign val="superscript"/>
        <sz val="12"/>
        <rFont val="Century Gothic"/>
        <family val="2"/>
      </rPr>
      <t xml:space="preserve"> 3 </t>
    </r>
  </si>
  <si>
    <t>3)  FY2015 revised as of March 9, 2017.</t>
  </si>
  <si>
    <r>
      <t xml:space="preserve">2015 </t>
    </r>
    <r>
      <rPr>
        <b/>
        <vertAlign val="superscript"/>
        <sz val="12"/>
        <rFont val="Century Gothic"/>
        <family val="2"/>
      </rPr>
      <t>4</t>
    </r>
  </si>
  <si>
    <t>4) FY2015 - Revised as of March 9, 2017.</t>
  </si>
  <si>
    <r>
      <t xml:space="preserve">2015 </t>
    </r>
    <r>
      <rPr>
        <b/>
        <vertAlign val="superscript"/>
        <sz val="11"/>
        <rFont val="Century Gothic"/>
        <family val="2"/>
      </rPr>
      <t>4</t>
    </r>
  </si>
  <si>
    <t>4) FY15 revised as of March 9, 2017.</t>
  </si>
  <si>
    <t>(Figure is a map, plus InDesign text boxes overlaid)</t>
  </si>
  <si>
    <r>
      <t xml:space="preserve">2015 </t>
    </r>
    <r>
      <rPr>
        <b/>
        <vertAlign val="superscript"/>
        <sz val="11"/>
        <rFont val="Century Gothic"/>
        <family val="2"/>
      </rPr>
      <t>3</t>
    </r>
  </si>
  <si>
    <t>PACIFIC NW NATIONAL LABORATORY/DEPT. OF ENERGY</t>
  </si>
  <si>
    <t>FORT McDERMITT TRIBE</t>
  </si>
  <si>
    <t>UNIVERSITIES</t>
  </si>
  <si>
    <t>3)  FY2015 reviewed as of March 10, 2017, no changes.</t>
  </si>
  <si>
    <t>Federal: US Army Corps of Engineers</t>
  </si>
  <si>
    <t>Federal: US Forest Service</t>
  </si>
  <si>
    <t>Other: Utility</t>
  </si>
  <si>
    <t>Coeur D'Alene Tribe, Idaho Department of Fish and Game, Kalispel Tribe, Kootenai Tribe</t>
  </si>
  <si>
    <t>3) FY2015 - No changes as of March 09, 2017.</t>
  </si>
  <si>
    <t>Table/Figure 12: Cumulative Costs 1978-2016, by Major Spending Area</t>
  </si>
  <si>
    <t>RM and E</t>
  </si>
  <si>
    <t>Supplementation</t>
  </si>
  <si>
    <t>1) Estimated spending is based at the project level.  Therefore if a project is assigned an emphasis of Habitat, but also does RME, all expenditures for the project are included under Habitat.</t>
  </si>
  <si>
    <t>2) FY2015 reviewed on 3/9/2017, no changes.</t>
  </si>
  <si>
    <t>Table 6A: Direct Program Expenditures by Category, FY2015</t>
  </si>
  <si>
    <t>Table 6B: Direct Program Expenditures for Artificial Production, FY2016</t>
  </si>
  <si>
    <t>Table/Figure 1A: Fish &amp; Wildlife Costs Comprise 22% of Total Power Services Costs</t>
  </si>
  <si>
    <t>Forgone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</si>
</sst>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quot;$&quot;#.00,,\ &quot;million&quot;"/>
    <numFmt numFmtId="167" formatCode="_(&quot;$&quot;* #,##0_);_(&quot;$&quot;* \(#,##0\);_(&quot;$&quot;* &quot;-&quot;??_);_(@_)"/>
    <numFmt numFmtId="168" formatCode="&quot;$&quot;#,,\ &quot;million&quot;"/>
    <numFmt numFmtId="169" formatCode="&quot;$&quot;#,##0.0"/>
    <numFmt numFmtId="170" formatCode="&quot;$&quot;#.0,,\ &quot;million&quot;"/>
    <numFmt numFmtId="171" formatCode="_(* #,##0.0_);_(* \(#,##0.0\);_(* &quot;-&quot;??_);_(@_)"/>
    <numFmt numFmtId="172" formatCode="_(* #,##0_);_(* \(#,##0\);_(* &quot;-&quot;??_);_(@_)"/>
  </numFmts>
  <fonts count="37" x14ac:knownFonts="1">
    <font>
      <sz val="10"/>
      <name val="Helv"/>
    </font>
    <font>
      <sz val="10"/>
      <name val="Helv"/>
    </font>
    <font>
      <sz val="10"/>
      <name val="Arial"/>
      <family val="2"/>
    </font>
    <font>
      <sz val="8"/>
      <name val="Arial"/>
      <family val="2"/>
    </font>
    <font>
      <sz val="12"/>
      <name val="Century Gothic"/>
      <family val="2"/>
    </font>
    <font>
      <sz val="12"/>
      <name val="Times New Roman"/>
      <family val="1"/>
    </font>
    <font>
      <b/>
      <sz val="10"/>
      <name val="Arial"/>
      <family val="2"/>
    </font>
    <font>
      <b/>
      <sz val="12"/>
      <name val="Century Gothic"/>
      <family val="2"/>
    </font>
    <font>
      <sz val="10"/>
      <name val="Arial"/>
      <family val="2"/>
    </font>
    <font>
      <b/>
      <i/>
      <sz val="12"/>
      <name val="Century Gothic"/>
      <family val="2"/>
    </font>
    <font>
      <b/>
      <vertAlign val="superscript"/>
      <sz val="12"/>
      <name val="Century Gothic"/>
      <family val="2"/>
    </font>
    <font>
      <sz val="10"/>
      <name val="Arial Unicode MS"/>
      <family val="2"/>
    </font>
    <font>
      <sz val="11"/>
      <color theme="1"/>
      <name val="Calibri"/>
      <family val="2"/>
      <scheme val="minor"/>
    </font>
    <font>
      <sz val="11"/>
      <color theme="1"/>
      <name val="Century Gothic"/>
      <family val="2"/>
    </font>
    <font>
      <b/>
      <sz val="11"/>
      <color theme="1"/>
      <name val="Century Gothic"/>
      <family val="2"/>
    </font>
    <font>
      <i/>
      <sz val="11"/>
      <color theme="1"/>
      <name val="Century Gothic"/>
      <family val="2"/>
    </font>
    <font>
      <b/>
      <i/>
      <sz val="11"/>
      <color theme="1"/>
      <name val="Century Gothic"/>
      <family val="2"/>
    </font>
    <font>
      <b/>
      <sz val="14"/>
      <color theme="1"/>
      <name val="Century Gothic"/>
      <family val="2"/>
    </font>
    <font>
      <sz val="11"/>
      <name val="Century Gothic"/>
      <family val="2"/>
    </font>
    <font>
      <b/>
      <sz val="11"/>
      <name val="Century Gothic"/>
      <family val="2"/>
    </font>
    <font>
      <b/>
      <i/>
      <sz val="11"/>
      <name val="Century Gothic"/>
      <family val="2"/>
    </font>
    <font>
      <vertAlign val="superscript"/>
      <sz val="12"/>
      <name val="Century Gothic"/>
      <family val="2"/>
    </font>
    <font>
      <b/>
      <sz val="12"/>
      <color rgb="FFFF0000"/>
      <name val="Century Gothic"/>
      <family val="2"/>
    </font>
    <font>
      <sz val="10"/>
      <color rgb="FFFF0000"/>
      <name val="Arial"/>
      <family val="2"/>
    </font>
    <font>
      <sz val="12"/>
      <color rgb="FFFF0000"/>
      <name val="Century Gothic"/>
      <family val="2"/>
    </font>
    <font>
      <sz val="9"/>
      <name val="Arial"/>
      <family val="2"/>
    </font>
    <font>
      <u/>
      <sz val="12"/>
      <name val="Century Gothic"/>
      <family val="2"/>
    </font>
    <font>
      <b/>
      <sz val="8"/>
      <name val="Arial"/>
      <family val="2"/>
    </font>
    <font>
      <b/>
      <sz val="12"/>
      <color theme="1"/>
      <name val="Century Gothic"/>
      <family val="2"/>
    </font>
    <font>
      <sz val="12"/>
      <color theme="1"/>
      <name val="Century Gothic"/>
      <family val="2"/>
    </font>
    <font>
      <vertAlign val="superscript"/>
      <sz val="12"/>
      <color theme="1"/>
      <name val="Century Gothic"/>
      <family val="2"/>
    </font>
    <font>
      <b/>
      <vertAlign val="superscript"/>
      <sz val="11"/>
      <name val="Century Gothic"/>
      <family val="2"/>
    </font>
    <font>
      <vertAlign val="superscript"/>
      <sz val="11"/>
      <name val="Century Gothic"/>
      <family val="2"/>
    </font>
    <font>
      <b/>
      <sz val="14"/>
      <name val="Century Gothic"/>
      <family val="2"/>
    </font>
    <font>
      <sz val="10"/>
      <name val="Arial"/>
      <family val="2"/>
    </font>
    <font>
      <sz val="10"/>
      <name val="Century Gothic"/>
      <family val="2"/>
    </font>
    <font>
      <b/>
      <sz val="10"/>
      <name val="Century Gothic"/>
      <family val="2"/>
    </font>
  </fonts>
  <fills count="10">
    <fill>
      <patternFill patternType="none"/>
    </fill>
    <fill>
      <patternFill patternType="gray125"/>
    </fill>
    <fill>
      <patternFill patternType="solid">
        <fgColor rgb="FFFFFFCC"/>
      </patternFill>
    </fill>
    <fill>
      <patternFill patternType="solid">
        <fgColor theme="6"/>
        <bgColor indexed="64"/>
      </patternFill>
    </fill>
    <fill>
      <patternFill patternType="solid">
        <fgColor theme="6" tint="0.39997558519241921"/>
        <bgColor indexed="64"/>
      </patternFill>
    </fill>
    <fill>
      <patternFill patternType="solid">
        <fgColor rgb="FF4BACC6"/>
        <bgColor indexed="64"/>
      </patternFill>
    </fill>
    <fill>
      <patternFill patternType="solid">
        <fgColor rgb="FFC0504D"/>
        <bgColor indexed="64"/>
      </patternFill>
    </fill>
    <fill>
      <patternFill patternType="solid">
        <fgColor rgb="FF9BBB59"/>
        <bgColor indexed="64"/>
      </patternFill>
    </fill>
    <fill>
      <patternFill patternType="solid">
        <fgColor rgb="FF4F81BD"/>
        <bgColor indexed="64"/>
      </patternFill>
    </fill>
    <fill>
      <patternFill patternType="solid">
        <fgColor rgb="FF8064A2"/>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s>
  <cellStyleXfs count="18">
    <xf numFmtId="0" fontId="0" fillId="0" borderId="0"/>
    <xf numFmtId="9" fontId="1" fillId="0" borderId="0" applyFont="0" applyFill="0" applyBorder="0" applyAlignment="0" applyProtection="0"/>
    <xf numFmtId="0" fontId="2" fillId="0" borderId="0"/>
    <xf numFmtId="0" fontId="5" fillId="0" borderId="0"/>
    <xf numFmtId="0" fontId="2" fillId="0" borderId="0"/>
    <xf numFmtId="44" fontId="2" fillId="0" borderId="0" applyFont="0" applyFill="0" applyBorder="0" applyAlignment="0" applyProtection="0"/>
    <xf numFmtId="0" fontId="8" fillId="0" borderId="0"/>
    <xf numFmtId="0" fontId="11" fillId="0" borderId="0"/>
    <xf numFmtId="0" fontId="12" fillId="0" borderId="0"/>
    <xf numFmtId="0" fontId="12" fillId="2" borderId="4" applyNumberFormat="0" applyFont="0" applyAlignment="0" applyProtection="0"/>
    <xf numFmtId="0" fontId="8" fillId="0" borderId="0"/>
    <xf numFmtId="44" fontId="8"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1" fillId="0" borderId="0"/>
    <xf numFmtId="43" fontId="12" fillId="0" borderId="0" applyFont="0" applyFill="0" applyBorder="0" applyAlignment="0" applyProtection="0"/>
    <xf numFmtId="0" fontId="34" fillId="0" borderId="0"/>
  </cellStyleXfs>
  <cellXfs count="225">
    <xf numFmtId="0" fontId="0" fillId="0" borderId="0" xfId="0"/>
    <xf numFmtId="0" fontId="3" fillId="0" borderId="0" xfId="2" applyFont="1" applyFill="1"/>
    <xf numFmtId="0" fontId="3" fillId="0" borderId="0" xfId="2" applyFont="1" applyFill="1" applyAlignment="1">
      <alignment horizontal="left"/>
    </xf>
    <xf numFmtId="0" fontId="4" fillId="0" borderId="0" xfId="2" applyFont="1" applyFill="1" applyBorder="1"/>
    <xf numFmtId="0" fontId="4" fillId="0" borderId="0" xfId="2" applyFont="1" applyFill="1" applyBorder="1" applyAlignment="1">
      <alignment horizontal="left"/>
    </xf>
    <xf numFmtId="0" fontId="7" fillId="0" borderId="1" xfId="4" applyFont="1" applyFill="1" applyBorder="1" applyAlignment="1">
      <alignment horizontal="left" wrapText="1"/>
    </xf>
    <xf numFmtId="164" fontId="8" fillId="0" borderId="0" xfId="5" applyNumberFormat="1" applyFont="1" applyBorder="1"/>
    <xf numFmtId="164" fontId="4" fillId="0" borderId="0" xfId="2" applyNumberFormat="1" applyFont="1" applyFill="1" applyBorder="1"/>
    <xf numFmtId="0" fontId="4" fillId="0" borderId="0" xfId="4" applyFont="1" applyFill="1" applyBorder="1" applyAlignment="1">
      <alignment horizontal="right" wrapText="1"/>
    </xf>
    <xf numFmtId="0" fontId="9" fillId="0" borderId="0" xfId="4" applyFont="1" applyFill="1" applyBorder="1" applyAlignment="1">
      <alignment horizontal="left"/>
    </xf>
    <xf numFmtId="0" fontId="4" fillId="0" borderId="0" xfId="4" applyFont="1" applyFill="1" applyBorder="1" applyAlignment="1">
      <alignment horizontal="left" wrapText="1" indent="1"/>
    </xf>
    <xf numFmtId="0" fontId="8" fillId="0" borderId="0" xfId="4" applyFont="1" applyFill="1" applyBorder="1" applyAlignment="1">
      <alignment horizontal="center" wrapText="1"/>
    </xf>
    <xf numFmtId="0" fontId="8" fillId="0" borderId="0" xfId="2" applyFont="1" applyFill="1" applyBorder="1" applyAlignment="1" applyProtection="1">
      <alignment horizontal="center"/>
      <protection locked="0"/>
    </xf>
    <xf numFmtId="0" fontId="7" fillId="3" borderId="0" xfId="4" applyFont="1" applyFill="1" applyBorder="1" applyAlignment="1">
      <alignment horizontal="left" wrapText="1"/>
    </xf>
    <xf numFmtId="0" fontId="8" fillId="0" borderId="0" xfId="6"/>
    <xf numFmtId="0" fontId="4" fillId="0" borderId="0" xfId="6" applyFont="1" applyBorder="1"/>
    <xf numFmtId="0" fontId="7" fillId="0" borderId="0" xfId="6" applyFont="1" applyBorder="1"/>
    <xf numFmtId="0" fontId="6" fillId="0" borderId="0" xfId="6" applyFont="1"/>
    <xf numFmtId="164" fontId="7" fillId="0" borderId="3" xfId="6" applyNumberFormat="1" applyFont="1" applyBorder="1"/>
    <xf numFmtId="164" fontId="7" fillId="0" borderId="2" xfId="6" applyNumberFormat="1" applyFont="1" applyBorder="1"/>
    <xf numFmtId="0" fontId="7" fillId="0" borderId="1" xfId="6" applyFont="1" applyBorder="1"/>
    <xf numFmtId="0" fontId="7" fillId="0" borderId="0" xfId="6" applyFont="1" applyBorder="1" applyAlignment="1">
      <alignment vertical="top"/>
    </xf>
    <xf numFmtId="0" fontId="13" fillId="0" borderId="0" xfId="8" applyFont="1"/>
    <xf numFmtId="0" fontId="14" fillId="0" borderId="0" xfId="8" applyFont="1" applyAlignment="1">
      <alignment horizontal="center"/>
    </xf>
    <xf numFmtId="0" fontId="15" fillId="0" borderId="0" xfId="8" applyFont="1" applyAlignment="1">
      <alignment horizontal="center"/>
    </xf>
    <xf numFmtId="0" fontId="13" fillId="0" borderId="0" xfId="8" applyFont="1" applyAlignment="1">
      <alignment horizontal="center"/>
    </xf>
    <xf numFmtId="0" fontId="14" fillId="0" borderId="0" xfId="8" applyFont="1"/>
    <xf numFmtId="6" fontId="14" fillId="0" borderId="0" xfId="8" applyNumberFormat="1" applyFont="1" applyAlignment="1"/>
    <xf numFmtId="0" fontId="13" fillId="0" borderId="0" xfId="8" applyFont="1" applyAlignment="1">
      <alignment wrapText="1"/>
    </xf>
    <xf numFmtId="0" fontId="14" fillId="3" borderId="0" xfId="8" applyFont="1" applyFill="1" applyAlignment="1">
      <alignment horizontal="center" wrapText="1"/>
    </xf>
    <xf numFmtId="0" fontId="16" fillId="3" borderId="0" xfId="8" applyFont="1" applyFill="1" applyAlignment="1">
      <alignment horizontal="center" wrapText="1"/>
    </xf>
    <xf numFmtId="0" fontId="14" fillId="3" borderId="0" xfId="8" applyFont="1" applyFill="1" applyAlignment="1">
      <alignment wrapText="1"/>
    </xf>
    <xf numFmtId="0" fontId="18" fillId="0" borderId="0" xfId="10" applyFont="1" applyFill="1" applyBorder="1"/>
    <xf numFmtId="164" fontId="18" fillId="0" borderId="0" xfId="10" applyNumberFormat="1" applyFont="1" applyFill="1" applyBorder="1" applyAlignment="1">
      <alignment horizontal="center"/>
    </xf>
    <xf numFmtId="0" fontId="18" fillId="0" borderId="0" xfId="10" applyFont="1" applyFill="1" applyBorder="1" applyAlignment="1">
      <alignment horizontal="center"/>
    </xf>
    <xf numFmtId="0" fontId="18" fillId="0" borderId="0" xfId="3" applyFont="1" applyFill="1" applyBorder="1" applyAlignment="1">
      <alignment horizontal="left"/>
    </xf>
    <xf numFmtId="0" fontId="18" fillId="0" borderId="0" xfId="3" applyFont="1" applyFill="1" applyBorder="1"/>
    <xf numFmtId="164" fontId="18" fillId="0" borderId="0" xfId="10" applyNumberFormat="1" applyFont="1" applyFill="1" applyBorder="1"/>
    <xf numFmtId="0" fontId="19" fillId="0" borderId="0" xfId="3" applyFont="1" applyFill="1" applyBorder="1"/>
    <xf numFmtId="0" fontId="19" fillId="0" borderId="1" xfId="3" applyFont="1" applyFill="1" applyBorder="1" applyAlignment="1">
      <alignment horizontal="left"/>
    </xf>
    <xf numFmtId="0" fontId="19" fillId="4" borderId="0" xfId="3" applyFont="1" applyFill="1" applyBorder="1"/>
    <xf numFmtId="164" fontId="20" fillId="0" borderId="0" xfId="10" applyNumberFormat="1" applyFont="1" applyFill="1" applyBorder="1" applyAlignment="1">
      <alignment horizontal="center"/>
    </xf>
    <xf numFmtId="0" fontId="19" fillId="0" borderId="0" xfId="3" applyFont="1" applyFill="1" applyBorder="1" applyAlignment="1">
      <alignment vertical="top"/>
    </xf>
    <xf numFmtId="165" fontId="18" fillId="0" borderId="0" xfId="1" applyNumberFormat="1" applyFont="1" applyFill="1" applyBorder="1" applyAlignment="1">
      <alignment horizontal="center"/>
    </xf>
    <xf numFmtId="0" fontId="2" fillId="0" borderId="0" xfId="2"/>
    <xf numFmtId="0" fontId="7" fillId="3" borderId="0" xfId="0" applyFont="1" applyFill="1" applyBorder="1" applyAlignment="1" applyProtection="1">
      <alignment horizontal="center"/>
      <protection locked="0"/>
    </xf>
    <xf numFmtId="164" fontId="4" fillId="0" borderId="0" xfId="11" applyNumberFormat="1" applyFont="1" applyBorder="1"/>
    <xf numFmtId="164" fontId="4" fillId="0" borderId="0" xfId="0" applyNumberFormat="1" applyFont="1" applyBorder="1"/>
    <xf numFmtId="164" fontId="7" fillId="0" borderId="2" xfId="0" applyNumberFormat="1" applyFont="1" applyFill="1" applyBorder="1"/>
    <xf numFmtId="0" fontId="4" fillId="0" borderId="0" xfId="0" applyFont="1" applyFill="1" applyBorder="1" applyAlignment="1">
      <alignment horizontal="left"/>
    </xf>
    <xf numFmtId="0" fontId="4" fillId="0" borderId="0" xfId="0" applyFont="1" applyFill="1" applyBorder="1"/>
    <xf numFmtId="0" fontId="3" fillId="0" borderId="0" xfId="0" applyFont="1" applyFill="1"/>
    <xf numFmtId="0" fontId="4" fillId="0" borderId="0" xfId="2" applyFont="1" applyFill="1"/>
    <xf numFmtId="0" fontId="7" fillId="0" borderId="0" xfId="2" applyFont="1" applyFill="1" applyAlignment="1">
      <alignment horizontal="right"/>
    </xf>
    <xf numFmtId="164" fontId="4" fillId="0" borderId="0" xfId="2" applyNumberFormat="1" applyFont="1" applyFill="1"/>
    <xf numFmtId="0" fontId="22" fillId="0" borderId="0" xfId="2" applyFont="1" applyFill="1" applyBorder="1" applyAlignment="1">
      <alignment horizontal="left"/>
    </xf>
    <xf numFmtId="0" fontId="22" fillId="0" borderId="0" xfId="2" applyFont="1" applyFill="1"/>
    <xf numFmtId="164" fontId="23" fillId="0" borderId="0" xfId="5" applyNumberFormat="1" applyFont="1" applyBorder="1"/>
    <xf numFmtId="0" fontId="4" fillId="3" borderId="0" xfId="0" applyFont="1" applyFill="1" applyBorder="1"/>
    <xf numFmtId="0" fontId="4" fillId="3" borderId="0" xfId="0" applyFont="1" applyFill="1" applyBorder="1" applyAlignment="1">
      <alignment horizontal="center"/>
    </xf>
    <xf numFmtId="0" fontId="4" fillId="0" borderId="0" xfId="0" applyFont="1" applyBorder="1"/>
    <xf numFmtId="164" fontId="7" fillId="0" borderId="0" xfId="6" applyNumberFormat="1" applyFont="1" applyBorder="1"/>
    <xf numFmtId="0" fontId="13" fillId="0" borderId="0" xfId="0" applyFont="1" applyFill="1"/>
    <xf numFmtId="6" fontId="13" fillId="0" borderId="0" xfId="0" applyNumberFormat="1" applyFont="1" applyAlignment="1"/>
    <xf numFmtId="6" fontId="15" fillId="0" borderId="0" xfId="0" applyNumberFormat="1" applyFont="1" applyAlignment="1"/>
    <xf numFmtId="6" fontId="14" fillId="0" borderId="0" xfId="0" applyNumberFormat="1" applyFont="1" applyAlignment="1"/>
    <xf numFmtId="6" fontId="14" fillId="0" borderId="0" xfId="0" applyNumberFormat="1" applyFont="1" applyFill="1" applyAlignment="1"/>
    <xf numFmtId="6" fontId="13" fillId="0" borderId="0" xfId="0" applyNumberFormat="1" applyFont="1" applyFill="1" applyAlignment="1"/>
    <xf numFmtId="0" fontId="4" fillId="0" borderId="0" xfId="2" applyFont="1"/>
    <xf numFmtId="0" fontId="4" fillId="0" borderId="0" xfId="2" applyFont="1" applyBorder="1"/>
    <xf numFmtId="0" fontId="7" fillId="0" borderId="0" xfId="2" applyFont="1" applyBorder="1"/>
    <xf numFmtId="167" fontId="7" fillId="0" borderId="2" xfId="5" applyNumberFormat="1" applyFont="1" applyFill="1" applyBorder="1"/>
    <xf numFmtId="0" fontId="7" fillId="0" borderId="1" xfId="2" applyFont="1" applyFill="1" applyBorder="1"/>
    <xf numFmtId="167" fontId="4" fillId="0" borderId="0" xfId="5" applyNumberFormat="1" applyFont="1" applyFill="1" applyBorder="1"/>
    <xf numFmtId="0" fontId="4" fillId="0" borderId="0" xfId="2" applyFont="1" applyFill="1" applyBorder="1" applyAlignment="1">
      <alignment horizontal="left" indent="1"/>
    </xf>
    <xf numFmtId="0" fontId="24" fillId="0" borderId="0" xfId="2" applyFont="1"/>
    <xf numFmtId="0" fontId="7" fillId="3" borderId="0" xfId="2" applyFont="1" applyFill="1" applyBorder="1"/>
    <xf numFmtId="168" fontId="4" fillId="0" borderId="0" xfId="2" applyNumberFormat="1" applyFont="1"/>
    <xf numFmtId="164" fontId="19" fillId="0" borderId="2" xfId="0" applyNumberFormat="1" applyFont="1" applyBorder="1" applyAlignment="1"/>
    <xf numFmtId="164" fontId="25" fillId="0" borderId="0" xfId="2" applyNumberFormat="1" applyFont="1" applyFill="1"/>
    <xf numFmtId="164" fontId="2" fillId="0" borderId="0" xfId="2" applyNumberFormat="1" applyFont="1" applyFill="1"/>
    <xf numFmtId="169" fontId="3" fillId="0" borderId="0" xfId="2" applyNumberFormat="1" applyFont="1" applyFill="1"/>
    <xf numFmtId="0" fontId="3" fillId="0" borderId="0" xfId="3" applyFont="1" applyFill="1"/>
    <xf numFmtId="0" fontId="4" fillId="0" borderId="0" xfId="3" applyFont="1" applyFill="1"/>
    <xf numFmtId="164" fontId="4" fillId="0" borderId="0" xfId="3" applyNumberFormat="1" applyFont="1" applyFill="1"/>
    <xf numFmtId="0" fontId="27" fillId="0" borderId="0" xfId="3" applyFont="1" applyFill="1"/>
    <xf numFmtId="164" fontId="7" fillId="0" borderId="3" xfId="3" applyNumberFormat="1" applyFont="1" applyFill="1" applyBorder="1"/>
    <xf numFmtId="164" fontId="7" fillId="0" borderId="2" xfId="3" applyNumberFormat="1" applyFont="1" applyFill="1" applyBorder="1"/>
    <xf numFmtId="0" fontId="7" fillId="0" borderId="1" xfId="3" applyFont="1" applyFill="1" applyBorder="1" applyAlignment="1">
      <alignment horizontal="left"/>
    </xf>
    <xf numFmtId="0" fontId="4" fillId="0" borderId="5" xfId="3" applyFont="1" applyFill="1" applyBorder="1"/>
    <xf numFmtId="0" fontId="4" fillId="0" borderId="0" xfId="3" applyFont="1" applyFill="1" applyBorder="1"/>
    <xf numFmtId="0" fontId="3" fillId="0" borderId="0" xfId="3" applyFont="1" applyFill="1" applyAlignment="1">
      <alignment horizontal="center"/>
    </xf>
    <xf numFmtId="0" fontId="4" fillId="3" borderId="0" xfId="3" applyFont="1" applyFill="1" applyBorder="1" applyAlignment="1">
      <alignment horizontal="center"/>
    </xf>
    <xf numFmtId="0" fontId="4" fillId="0" borderId="0" xfId="2" applyFont="1" applyFill="1" applyAlignment="1">
      <alignment wrapText="1"/>
    </xf>
    <xf numFmtId="0" fontId="4" fillId="0" borderId="0" xfId="2" applyFont="1" applyFill="1" applyAlignment="1">
      <alignment horizontal="left" vertical="top"/>
    </xf>
    <xf numFmtId="0" fontId="4" fillId="0" borderId="0" xfId="3" applyFont="1" applyFill="1" applyAlignment="1">
      <alignment horizontal="left"/>
    </xf>
    <xf numFmtId="0" fontId="12" fillId="0" borderId="0" xfId="8"/>
    <xf numFmtId="0" fontId="18" fillId="0" borderId="0" xfId="3" applyFont="1" applyFill="1" applyBorder="1" applyAlignment="1">
      <alignment horizontal="left" vertical="top" wrapText="1"/>
    </xf>
    <xf numFmtId="0" fontId="28" fillId="0" borderId="0" xfId="8" applyFont="1"/>
    <xf numFmtId="164" fontId="29" fillId="0" borderId="0" xfId="8" applyNumberFormat="1" applyFont="1" applyBorder="1"/>
    <xf numFmtId="0" fontId="29" fillId="0" borderId="0" xfId="8" applyFont="1"/>
    <xf numFmtId="164" fontId="29" fillId="0" borderId="6" xfId="8" applyNumberFormat="1" applyFont="1" applyBorder="1"/>
    <xf numFmtId="0" fontId="29" fillId="0" borderId="0" xfId="8" applyFont="1" applyAlignment="1"/>
    <xf numFmtId="0" fontId="7" fillId="3" borderId="0" xfId="12" applyFont="1" applyFill="1" applyBorder="1" applyAlignment="1">
      <alignment horizontal="center"/>
    </xf>
    <xf numFmtId="0" fontId="7" fillId="3" borderId="0" xfId="12" applyFont="1" applyFill="1" applyBorder="1"/>
    <xf numFmtId="0" fontId="28" fillId="0" borderId="0" xfId="8" applyFont="1"/>
    <xf numFmtId="165" fontId="12" fillId="0" borderId="0" xfId="1" applyNumberFormat="1" applyFont="1"/>
    <xf numFmtId="0" fontId="19" fillId="4" borderId="0" xfId="5" applyNumberFormat="1" applyFont="1" applyFill="1" applyBorder="1" applyAlignment="1">
      <alignment horizontal="center"/>
    </xf>
    <xf numFmtId="164" fontId="18" fillId="0" borderId="0" xfId="0" applyNumberFormat="1" applyFont="1" applyFill="1" applyBorder="1" applyAlignment="1">
      <alignment horizontal="center"/>
    </xf>
    <xf numFmtId="164" fontId="18" fillId="0" borderId="0" xfId="0" applyNumberFormat="1" applyFont="1" applyFill="1" applyBorder="1" applyAlignment="1"/>
    <xf numFmtId="6" fontId="19" fillId="0" borderId="2" xfId="0" applyNumberFormat="1" applyFont="1" applyFill="1" applyBorder="1" applyAlignment="1">
      <alignment horizontal="center"/>
    </xf>
    <xf numFmtId="6" fontId="19" fillId="0" borderId="2" xfId="0" applyNumberFormat="1" applyFont="1" applyFill="1" applyBorder="1" applyAlignment="1"/>
    <xf numFmtId="0" fontId="18" fillId="0" borderId="0" xfId="0" applyFont="1" applyFill="1" applyBorder="1"/>
    <xf numFmtId="0" fontId="18" fillId="0" borderId="0" xfId="0" applyFont="1" applyFill="1" applyBorder="1" applyAlignment="1">
      <alignment horizontal="center"/>
    </xf>
    <xf numFmtId="166" fontId="18" fillId="0" borderId="0" xfId="10" applyNumberFormat="1" applyFont="1" applyFill="1" applyBorder="1" applyAlignment="1">
      <alignment horizontal="left"/>
    </xf>
    <xf numFmtId="164" fontId="19" fillId="0" borderId="0" xfId="10" applyNumberFormat="1" applyFont="1" applyFill="1" applyBorder="1" applyAlignment="1">
      <alignment horizontal="left"/>
    </xf>
    <xf numFmtId="170" fontId="18" fillId="0" borderId="0" xfId="10" applyNumberFormat="1" applyFont="1" applyFill="1" applyBorder="1" applyAlignment="1">
      <alignment horizontal="center"/>
    </xf>
    <xf numFmtId="0" fontId="18" fillId="0" borderId="0" xfId="13" applyFont="1" applyBorder="1"/>
    <xf numFmtId="164" fontId="18" fillId="0" borderId="0" xfId="13" applyNumberFormat="1" applyFont="1" applyFill="1" applyBorder="1"/>
    <xf numFmtId="0" fontId="18" fillId="0" borderId="0" xfId="13" applyFont="1" applyFill="1" applyBorder="1" applyAlignment="1">
      <alignment wrapText="1"/>
    </xf>
    <xf numFmtId="0" fontId="19" fillId="0" borderId="0" xfId="13" applyFont="1" applyBorder="1" applyAlignment="1">
      <alignment wrapText="1"/>
    </xf>
    <xf numFmtId="0" fontId="18" fillId="0" borderId="0" xfId="13" applyFont="1" applyBorder="1" applyAlignment="1"/>
    <xf numFmtId="164" fontId="19" fillId="0" borderId="3" xfId="13" applyNumberFormat="1" applyFont="1" applyFill="1" applyBorder="1"/>
    <xf numFmtId="164" fontId="19" fillId="0" borderId="2" xfId="13" applyNumberFormat="1" applyFont="1" applyFill="1" applyBorder="1"/>
    <xf numFmtId="0" fontId="19" fillId="0" borderId="5" xfId="13" applyFont="1" applyBorder="1" applyAlignment="1">
      <alignment wrapText="1"/>
    </xf>
    <xf numFmtId="164" fontId="18" fillId="0" borderId="0" xfId="5" applyNumberFormat="1" applyFont="1" applyFill="1" applyBorder="1"/>
    <xf numFmtId="0" fontId="18" fillId="0" borderId="2" xfId="13" applyFont="1" applyFill="1" applyBorder="1" applyAlignment="1">
      <alignment wrapText="1"/>
    </xf>
    <xf numFmtId="0" fontId="19" fillId="0" borderId="1" xfId="13" applyFont="1" applyBorder="1" applyAlignment="1">
      <alignment wrapText="1"/>
    </xf>
    <xf numFmtId="164" fontId="18" fillId="0" borderId="0" xfId="13" applyNumberFormat="1" applyFont="1" applyFill="1" applyBorder="1" applyAlignment="1">
      <alignment wrapText="1"/>
    </xf>
    <xf numFmtId="0" fontId="19" fillId="0" borderId="0" xfId="13" applyFont="1" applyFill="1" applyBorder="1" applyAlignment="1">
      <alignment wrapText="1"/>
    </xf>
    <xf numFmtId="164" fontId="20" fillId="0" borderId="0" xfId="13" applyNumberFormat="1" applyFont="1" applyFill="1" applyBorder="1"/>
    <xf numFmtId="0" fontId="20" fillId="0" borderId="0" xfId="13" applyFont="1" applyFill="1" applyBorder="1" applyAlignment="1">
      <alignment horizontal="right" wrapText="1"/>
    </xf>
    <xf numFmtId="0" fontId="18" fillId="0" borderId="0" xfId="13" applyFont="1" applyBorder="1" applyAlignment="1">
      <alignment horizontal="center"/>
    </xf>
    <xf numFmtId="0" fontId="19" fillId="4" borderId="0" xfId="13" applyNumberFormat="1" applyFont="1" applyFill="1" applyBorder="1" applyAlignment="1">
      <alignment horizontal="center"/>
    </xf>
    <xf numFmtId="0" fontId="19" fillId="4" borderId="0" xfId="13" applyFont="1" applyFill="1" applyBorder="1" applyAlignment="1">
      <alignment horizontal="center" wrapText="1"/>
    </xf>
    <xf numFmtId="9" fontId="18" fillId="0" borderId="0" xfId="1" applyFont="1" applyFill="1" applyBorder="1"/>
    <xf numFmtId="0" fontId="19" fillId="4" borderId="0" xfId="0" applyFont="1" applyFill="1" applyBorder="1" applyAlignment="1">
      <alignment wrapText="1"/>
    </xf>
    <xf numFmtId="0" fontId="19" fillId="4" borderId="0" xfId="0" applyFont="1" applyFill="1" applyBorder="1" applyAlignment="1">
      <alignment horizontal="center"/>
    </xf>
    <xf numFmtId="0" fontId="18" fillId="0" borderId="0" xfId="0" applyFont="1" applyBorder="1" applyAlignment="1">
      <alignment wrapText="1"/>
    </xf>
    <xf numFmtId="164" fontId="18" fillId="0" borderId="0" xfId="0" applyNumberFormat="1" applyFont="1" applyBorder="1" applyAlignment="1"/>
    <xf numFmtId="0" fontId="19" fillId="0" borderId="1" xfId="0" applyFont="1" applyBorder="1" applyAlignment="1">
      <alignment wrapText="1"/>
    </xf>
    <xf numFmtId="0" fontId="33" fillId="0" borderId="0" xfId="0" applyFont="1" applyBorder="1" applyAlignment="1"/>
    <xf numFmtId="0" fontId="19" fillId="0" borderId="0" xfId="0" applyFont="1" applyFill="1" applyBorder="1" applyAlignment="1">
      <alignment wrapText="1"/>
    </xf>
    <xf numFmtId="0" fontId="28" fillId="0" borderId="0" xfId="8" applyFont="1"/>
    <xf numFmtId="0" fontId="13" fillId="0" borderId="0" xfId="0" applyFont="1" applyAlignment="1">
      <alignment horizontal="left"/>
    </xf>
    <xf numFmtId="0" fontId="4" fillId="0" borderId="0" xfId="0" applyFont="1" applyFill="1" applyAlignment="1">
      <alignment wrapText="1"/>
    </xf>
    <xf numFmtId="0" fontId="18" fillId="0" borderId="0" xfId="2" applyFont="1"/>
    <xf numFmtId="0" fontId="18" fillId="0" borderId="0" xfId="2" applyFont="1" applyAlignment="1">
      <alignment horizontal="center"/>
    </xf>
    <xf numFmtId="0" fontId="19" fillId="0" borderId="0" xfId="2" applyFont="1"/>
    <xf numFmtId="6" fontId="19" fillId="0" borderId="7" xfId="2" applyNumberFormat="1" applyFont="1" applyBorder="1" applyAlignment="1"/>
    <xf numFmtId="0" fontId="18" fillId="0" borderId="0" xfId="2" applyFont="1" applyFill="1" applyAlignment="1">
      <alignment horizontal="left"/>
    </xf>
    <xf numFmtId="0" fontId="18" fillId="0" borderId="0" xfId="2" applyFont="1" applyFill="1" applyAlignment="1">
      <alignment horizontal="left" wrapText="1"/>
    </xf>
    <xf numFmtId="0" fontId="19" fillId="0" borderId="0" xfId="0" applyFont="1" applyFill="1" applyBorder="1"/>
    <xf numFmtId="0" fontId="7" fillId="0" borderId="0" xfId="2" applyFont="1"/>
    <xf numFmtId="0" fontId="18" fillId="0" borderId="0" xfId="17" applyFont="1" applyFill="1" applyBorder="1" applyAlignment="1"/>
    <xf numFmtId="0" fontId="35" fillId="0" borderId="0" xfId="2" applyFont="1"/>
    <xf numFmtId="171" fontId="35" fillId="0" borderId="0" xfId="14" applyNumberFormat="1" applyFont="1"/>
    <xf numFmtId="0" fontId="36" fillId="0" borderId="0" xfId="2" applyFont="1"/>
    <xf numFmtId="0" fontId="36" fillId="0" borderId="0" xfId="2" applyFont="1" applyAlignment="1">
      <alignment horizontal="right"/>
    </xf>
    <xf numFmtId="172" fontId="35" fillId="0" borderId="0" xfId="16" applyNumberFormat="1" applyFont="1"/>
    <xf numFmtId="0" fontId="4" fillId="0" borderId="0" xfId="0" applyFont="1" applyBorder="1"/>
    <xf numFmtId="0" fontId="28" fillId="0" borderId="0" xfId="8" applyFont="1"/>
    <xf numFmtId="43" fontId="35" fillId="0" borderId="0" xfId="2" applyNumberFormat="1" applyFont="1"/>
    <xf numFmtId="171" fontId="35" fillId="0" borderId="0" xfId="2" applyNumberFormat="1" applyFont="1"/>
    <xf numFmtId="0" fontId="4" fillId="0" borderId="0" xfId="0" applyFont="1" applyBorder="1"/>
    <xf numFmtId="0" fontId="4" fillId="0" borderId="0" xfId="0" applyFont="1" applyFill="1" applyAlignment="1">
      <alignment wrapText="1"/>
    </xf>
    <xf numFmtId="164" fontId="4" fillId="0" borderId="0" xfId="5" applyNumberFormat="1" applyFont="1" applyBorder="1"/>
    <xf numFmtId="164" fontId="4" fillId="0" borderId="0" xfId="5" applyNumberFormat="1" applyFont="1" applyFill="1" applyBorder="1"/>
    <xf numFmtId="0" fontId="7" fillId="3" borderId="0" xfId="0" applyFont="1" applyFill="1" applyBorder="1" applyAlignment="1">
      <alignment horizontal="center"/>
    </xf>
    <xf numFmtId="164" fontId="4" fillId="0" borderId="0" xfId="0" applyNumberFormat="1" applyFont="1" applyFill="1" applyBorder="1"/>
    <xf numFmtId="6" fontId="13" fillId="0" borderId="5" xfId="0" applyNumberFormat="1" applyFont="1" applyBorder="1" applyAlignment="1"/>
    <xf numFmtId="6" fontId="14" fillId="0" borderId="5" xfId="0" applyNumberFormat="1" applyFont="1" applyBorder="1" applyAlignment="1"/>
    <xf numFmtId="6" fontId="4" fillId="0" borderId="0" xfId="0" applyNumberFormat="1" applyFont="1" applyFill="1"/>
    <xf numFmtId="0" fontId="7" fillId="3" borderId="0" xfId="3" applyFont="1" applyFill="1" applyBorder="1" applyAlignment="1">
      <alignment horizontal="center"/>
    </xf>
    <xf numFmtId="164" fontId="4" fillId="0" borderId="0" xfId="0" applyNumberFormat="1" applyFont="1"/>
    <xf numFmtId="164" fontId="4" fillId="0" borderId="0" xfId="0" applyNumberFormat="1" applyFont="1" applyFill="1"/>
    <xf numFmtId="164" fontId="4" fillId="0" borderId="0" xfId="0" quotePrefix="1" applyNumberFormat="1" applyFont="1" applyFill="1" applyAlignment="1">
      <alignment horizontal="center"/>
    </xf>
    <xf numFmtId="6" fontId="18" fillId="0" borderId="0" xfId="0" applyNumberFormat="1" applyFont="1" applyAlignment="1"/>
    <xf numFmtId="0" fontId="18" fillId="0" borderId="0" xfId="2" applyFont="1" applyAlignment="1">
      <alignment horizontal="left"/>
    </xf>
    <xf numFmtId="6" fontId="29" fillId="0" borderId="0" xfId="0" applyNumberFormat="1" applyFont="1" applyAlignment="1"/>
    <xf numFmtId="164" fontId="29" fillId="0" borderId="0" xfId="0" applyNumberFormat="1" applyFont="1" applyAlignment="1"/>
    <xf numFmtId="6" fontId="29" fillId="0" borderId="0" xfId="0" applyNumberFormat="1" applyFont="1"/>
    <xf numFmtId="164" fontId="29" fillId="0" borderId="0" xfId="0" applyNumberFormat="1" applyFont="1"/>
    <xf numFmtId="0" fontId="7" fillId="0" borderId="0" xfId="0" applyFont="1" applyBorder="1" applyAlignment="1">
      <alignment vertical="top"/>
    </xf>
    <xf numFmtId="170" fontId="4" fillId="0" borderId="0" xfId="2" applyNumberFormat="1" applyFont="1"/>
    <xf numFmtId="172" fontId="35" fillId="5" borderId="0" xfId="16" applyNumberFormat="1" applyFont="1" applyFill="1"/>
    <xf numFmtId="172" fontId="35" fillId="6" borderId="0" xfId="16" applyNumberFormat="1" applyFont="1" applyFill="1"/>
    <xf numFmtId="172" fontId="35" fillId="7" borderId="0" xfId="16" applyNumberFormat="1" applyFont="1" applyFill="1"/>
    <xf numFmtId="172" fontId="35" fillId="8" borderId="0" xfId="16" applyNumberFormat="1" applyFont="1" applyFill="1"/>
    <xf numFmtId="172" fontId="35" fillId="9" borderId="0" xfId="16" applyNumberFormat="1" applyFont="1" applyFill="1"/>
    <xf numFmtId="0" fontId="13" fillId="0" borderId="0" xfId="8" applyFont="1" applyAlignment="1">
      <alignment horizontal="left" wrapText="1"/>
    </xf>
    <xf numFmtId="0" fontId="24" fillId="0" borderId="0" xfId="3" applyFont="1" applyFill="1" applyBorder="1" applyAlignment="1">
      <alignment horizontal="left" wrapText="1"/>
    </xf>
    <xf numFmtId="0" fontId="24" fillId="0" borderId="0" xfId="0" applyFont="1" applyBorder="1" applyAlignment="1">
      <alignment horizontal="left" wrapText="1"/>
    </xf>
    <xf numFmtId="0" fontId="4" fillId="0" borderId="0" xfId="3" applyFont="1" applyFill="1" applyBorder="1" applyAlignment="1">
      <alignment horizontal="left" wrapText="1"/>
    </xf>
    <xf numFmtId="0" fontId="4" fillId="0" borderId="0" xfId="0" applyFont="1" applyBorder="1" applyAlignment="1">
      <alignment horizontal="left" wrapText="1"/>
    </xf>
    <xf numFmtId="0" fontId="7" fillId="0" borderId="0" xfId="4" applyFont="1" applyFill="1" applyBorder="1" applyAlignment="1">
      <alignment horizontal="left" vertical="top"/>
    </xf>
    <xf numFmtId="0" fontId="4" fillId="0" borderId="0" xfId="2" applyFont="1" applyBorder="1" applyAlignment="1">
      <alignment horizontal="left" wrapText="1"/>
    </xf>
    <xf numFmtId="0" fontId="4" fillId="0" borderId="0" xfId="3" applyFont="1" applyFill="1" applyBorder="1" applyAlignment="1">
      <alignment wrapText="1"/>
    </xf>
    <xf numFmtId="0" fontId="4" fillId="0" borderId="0" xfId="0" applyFont="1" applyBorder="1" applyAlignment="1">
      <alignment wrapText="1"/>
    </xf>
    <xf numFmtId="0" fontId="4" fillId="0" borderId="0" xfId="0" applyFont="1" applyBorder="1"/>
    <xf numFmtId="0" fontId="17" fillId="0" borderId="0" xfId="8" applyFont="1" applyAlignment="1">
      <alignment vertical="top"/>
    </xf>
    <xf numFmtId="0" fontId="13" fillId="0" borderId="0" xfId="0" applyFont="1" applyAlignment="1">
      <alignment horizontal="left" wrapText="1"/>
    </xf>
    <xf numFmtId="0" fontId="13" fillId="0" borderId="0" xfId="0" applyFont="1" applyAlignment="1">
      <alignment horizontal="left"/>
    </xf>
    <xf numFmtId="0" fontId="7" fillId="0" borderId="0" xfId="2" applyFont="1"/>
    <xf numFmtId="0" fontId="4" fillId="0" borderId="0" xfId="0" applyFont="1"/>
    <xf numFmtId="0" fontId="7" fillId="0" borderId="0" xfId="3" applyFont="1" applyFill="1" applyBorder="1" applyAlignment="1">
      <alignment vertical="top"/>
    </xf>
    <xf numFmtId="0" fontId="4" fillId="0" borderId="0" xfId="3" applyFont="1" applyFill="1" applyAlignment="1">
      <alignment horizontal="left" wrapText="1"/>
    </xf>
    <xf numFmtId="0" fontId="4" fillId="0" borderId="0" xfId="0" applyFont="1" applyFill="1" applyAlignment="1">
      <alignment wrapText="1"/>
    </xf>
    <xf numFmtId="0" fontId="7" fillId="0" borderId="0" xfId="2" applyFont="1" applyAlignment="1">
      <alignment horizontal="left" vertical="top" wrapText="1"/>
    </xf>
    <xf numFmtId="0" fontId="18" fillId="0" borderId="0" xfId="2" applyFont="1" applyAlignment="1">
      <alignment wrapText="1"/>
    </xf>
    <xf numFmtId="0" fontId="18" fillId="0" borderId="0" xfId="0" applyFont="1" applyFill="1" applyBorder="1"/>
    <xf numFmtId="0" fontId="18" fillId="0" borderId="0" xfId="3" applyFont="1" applyFill="1" applyBorder="1" applyAlignment="1">
      <alignment horizontal="left" wrapText="1"/>
    </xf>
    <xf numFmtId="0" fontId="18" fillId="0" borderId="0" xfId="3" applyFont="1" applyFill="1" applyBorder="1" applyAlignment="1"/>
    <xf numFmtId="0" fontId="18" fillId="0" borderId="0" xfId="3" applyFont="1" applyFill="1" applyBorder="1" applyAlignment="1">
      <alignment horizontal="left" vertical="top" wrapText="1"/>
    </xf>
    <xf numFmtId="0" fontId="18" fillId="0" borderId="0" xfId="3" applyFont="1" applyFill="1" applyBorder="1" applyAlignment="1">
      <alignment horizontal="left" vertical="center" wrapText="1"/>
    </xf>
    <xf numFmtId="0" fontId="28" fillId="0" borderId="0" xfId="8" applyFont="1"/>
    <xf numFmtId="0" fontId="18" fillId="0" borderId="0" xfId="13" applyFont="1" applyBorder="1" applyAlignment="1"/>
    <xf numFmtId="0" fontId="19" fillId="0" borderId="0" xfId="13" applyFont="1" applyBorder="1" applyAlignment="1">
      <alignment vertical="top"/>
    </xf>
    <xf numFmtId="0" fontId="19" fillId="0" borderId="1" xfId="13" applyFont="1" applyFill="1" applyBorder="1" applyAlignment="1">
      <alignment horizontal="left" wrapText="1"/>
    </xf>
    <xf numFmtId="0" fontId="19" fillId="0" borderId="2" xfId="13" applyFont="1" applyFill="1" applyBorder="1" applyAlignment="1">
      <alignment horizontal="left" wrapText="1"/>
    </xf>
    <xf numFmtId="0" fontId="19" fillId="0" borderId="1" xfId="13" applyFont="1" applyFill="1" applyBorder="1" applyAlignment="1">
      <alignment wrapText="1"/>
    </xf>
    <xf numFmtId="0" fontId="19" fillId="0" borderId="2" xfId="13" applyFont="1" applyFill="1" applyBorder="1" applyAlignment="1">
      <alignment wrapText="1"/>
    </xf>
    <xf numFmtId="0" fontId="19" fillId="0" borderId="1" xfId="13" applyFont="1" applyBorder="1" applyAlignment="1">
      <alignment wrapText="1"/>
    </xf>
    <xf numFmtId="0" fontId="19" fillId="0" borderId="2" xfId="13" applyFont="1" applyBorder="1" applyAlignment="1">
      <alignment wrapText="1"/>
    </xf>
    <xf numFmtId="0" fontId="18" fillId="0" borderId="0" xfId="0" applyFont="1" applyFill="1" applyBorder="1" applyAlignment="1">
      <alignment wrapText="1"/>
    </xf>
  </cellXfs>
  <cellStyles count="18">
    <cellStyle name="Comma" xfId="14" builtinId="3"/>
    <cellStyle name="Comma 2" xfId="16"/>
    <cellStyle name="Currency 2" xfId="5"/>
    <cellStyle name="Currency 3" xfId="11"/>
    <cellStyle name="Normal" xfId="0" builtinId="0"/>
    <cellStyle name="Normal 2" xfId="2"/>
    <cellStyle name="Normal 2 2" xfId="10"/>
    <cellStyle name="Normal 2 3" xfId="15"/>
    <cellStyle name="Normal 3" xfId="6"/>
    <cellStyle name="Normal 4" xfId="7"/>
    <cellStyle name="Normal 5" xfId="8"/>
    <cellStyle name="Normal 5 2" xfId="12"/>
    <cellStyle name="Normal 6" xfId="17"/>
    <cellStyle name="Normal_78 - 04 FW spending report Spring 05Revised" xfId="13"/>
    <cellStyle name="Normal_Gov Report File" xfId="3"/>
    <cellStyle name="Normal_Sheet1" xfId="4"/>
    <cellStyle name="Note 2" xfId="9"/>
    <cellStyle name="Percent" xfId="1" builtinId="5"/>
  </cellStyles>
  <dxfs count="0"/>
  <tableStyles count="0" defaultTableStyle="TableStyleMedium9" defaultPivotStyle="PivotStyleLight16"/>
  <colors>
    <mruColors>
      <color rgb="FFFFFFFF"/>
      <color rgb="FF8064A2"/>
      <color rgb="FFF68B32"/>
      <color rgb="FF856BA5"/>
      <color rgb="FF9BBB59"/>
      <color rgb="FFC0504D"/>
      <color rgb="FF4F81BD"/>
      <color rgb="FF4BACC6"/>
      <color rgb="FFECB314"/>
      <color rgb="FF9AB9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powerPivotData" Target="model/item.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3.xml"/><Relationship Id="rId1" Type="http://schemas.microsoft.com/office/2011/relationships/chartStyle" Target="style3.xml"/></Relationships>
</file>

<file path=xl/charts/_rels/chart1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0052726358132"/>
          <c:y val="2.6451465647437679E-3"/>
          <c:w val="0.73793696685066634"/>
          <c:h val="0.99113884874045965"/>
        </c:manualLayout>
      </c:layout>
      <c:pieChart>
        <c:varyColors val="1"/>
        <c:ser>
          <c:idx val="0"/>
          <c:order val="0"/>
          <c:spPr>
            <a:ln>
              <a:noFill/>
            </a:ln>
          </c:spPr>
          <c:dPt>
            <c:idx val="0"/>
            <c:bubble3D val="0"/>
            <c:spPr>
              <a:solidFill>
                <a:schemeClr val="accent1"/>
              </a:solidFill>
              <a:ln w="19050">
                <a:noFill/>
              </a:ln>
              <a:effectLst/>
            </c:spPr>
          </c:dPt>
          <c:dPt>
            <c:idx val="1"/>
            <c:bubble3D val="0"/>
            <c:spPr>
              <a:solidFill>
                <a:schemeClr val="accent2">
                  <a:lumMod val="40000"/>
                  <a:lumOff val="60000"/>
                </a:schemeClr>
              </a:solidFill>
              <a:ln w="19050">
                <a:noFill/>
              </a:ln>
              <a:effectLst/>
            </c:spPr>
          </c:dPt>
          <c:dPt>
            <c:idx val="2"/>
            <c:bubble3D val="0"/>
            <c:spPr>
              <a:solidFill>
                <a:schemeClr val="accent3">
                  <a:lumMod val="75000"/>
                </a:schemeClr>
              </a:solidFill>
              <a:ln w="19050">
                <a:noFill/>
              </a:ln>
              <a:effectLst/>
            </c:spPr>
          </c:dPt>
          <c:dPt>
            <c:idx val="3"/>
            <c:bubble3D val="0"/>
            <c:spPr>
              <a:solidFill>
                <a:srgbClr val="9BBB59"/>
              </a:solidFill>
              <a:ln w="19050">
                <a:noFill/>
              </a:ln>
              <a:effectLst/>
            </c:spPr>
          </c:dPt>
          <c:dPt>
            <c:idx val="4"/>
            <c:bubble3D val="0"/>
            <c:spPr>
              <a:solidFill>
                <a:schemeClr val="accent3">
                  <a:lumMod val="60000"/>
                  <a:lumOff val="40000"/>
                </a:schemeClr>
              </a:solidFill>
              <a:ln w="19050">
                <a:noFill/>
              </a:ln>
              <a:effectLst/>
            </c:spPr>
          </c:dPt>
          <c:dPt>
            <c:idx val="5"/>
            <c:bubble3D val="0"/>
            <c:spPr>
              <a:solidFill>
                <a:schemeClr val="accent3">
                  <a:lumMod val="40000"/>
                  <a:lumOff val="60000"/>
                </a:schemeClr>
              </a:solidFill>
              <a:ln w="19050">
                <a:noFill/>
              </a:ln>
              <a:effectLst/>
            </c:spPr>
          </c:dPt>
          <c:dPt>
            <c:idx val="6"/>
            <c:bubble3D val="0"/>
            <c:spPr>
              <a:solidFill>
                <a:srgbClr val="856BA5"/>
              </a:solidFill>
              <a:ln w="19050">
                <a:noFill/>
              </a:ln>
              <a:effectLst/>
            </c:spPr>
          </c:dPt>
          <c:dPt>
            <c:idx val="7"/>
            <c:bubble3D val="0"/>
            <c:spPr>
              <a:solidFill>
                <a:schemeClr val="accent4">
                  <a:lumMod val="40000"/>
                  <a:lumOff val="60000"/>
                </a:schemeClr>
              </a:solidFill>
              <a:ln w="19050">
                <a:noFill/>
              </a:ln>
              <a:effectLst/>
            </c:spPr>
          </c:dPt>
          <c:dPt>
            <c:idx val="8"/>
            <c:bubble3D val="0"/>
            <c:spPr>
              <a:solidFill>
                <a:srgbClr val="F68B32"/>
              </a:solidFill>
              <a:ln w="19050">
                <a:noFill/>
              </a:ln>
              <a:effectLst/>
            </c:spPr>
          </c:dPt>
          <c:dPt>
            <c:idx val="9"/>
            <c:bubble3D val="0"/>
            <c:spPr>
              <a:solidFill>
                <a:schemeClr val="bg1">
                  <a:lumMod val="75000"/>
                </a:schemeClr>
              </a:solidFill>
              <a:ln w="19050">
                <a:noFill/>
              </a:ln>
              <a:effectLst/>
            </c:spPr>
          </c:dPt>
          <c:dPt>
            <c:idx val="10"/>
            <c:bubble3D val="0"/>
            <c:spPr>
              <a:solidFill>
                <a:schemeClr val="accent5">
                  <a:lumMod val="60000"/>
                </a:schemeClr>
              </a:solidFill>
              <a:ln w="19050">
                <a:noFill/>
              </a:ln>
              <a:effectLst/>
            </c:spPr>
          </c:dPt>
          <c:dPt>
            <c:idx val="11"/>
            <c:bubble3D val="0"/>
            <c:spPr>
              <a:solidFill>
                <a:schemeClr val="accent6">
                  <a:lumMod val="60000"/>
                </a:schemeClr>
              </a:solidFill>
              <a:ln w="19050">
                <a:noFill/>
              </a:ln>
              <a:effectLst/>
            </c:spPr>
          </c:dPt>
          <c:dLbls>
            <c:dLbl>
              <c:idx val="0"/>
              <c:layout>
                <c:manualLayout>
                  <c:x val="-0.11553955086926115"/>
                  <c:y val="6.9759071899922656E-2"/>
                </c:manualLayout>
              </c:layout>
              <c:showLegendKey val="0"/>
              <c:showVal val="1"/>
              <c:showCatName val="1"/>
              <c:showSerName val="0"/>
              <c:showPercent val="0"/>
              <c:showBubbleSize val="0"/>
              <c:extLst>
                <c:ext xmlns:c15="http://schemas.microsoft.com/office/drawing/2012/chart" uri="{CE6537A1-D6FC-4f65-9D91-7224C49458BB}">
                  <c15:layout>
                    <c:manualLayout>
                      <c:w val="0.16877614618960968"/>
                      <c:h val="5.7000763051284972E-2"/>
                    </c:manualLayout>
                  </c15:layout>
                </c:ext>
              </c:extLst>
            </c:dLbl>
            <c:dLbl>
              <c:idx val="1"/>
              <c:layout>
                <c:manualLayout>
                  <c:x val="-4.8325506923419498E-2"/>
                  <c:y val="-9.0161271876135568E-2"/>
                </c:manualLayout>
              </c:layout>
              <c:numFmt formatCode="&quot;$&quot;#0.0\ &quot;million&quot;" sourceLinked="0"/>
              <c:spPr>
                <a:solidFill>
                  <a:srgbClr val="FFFFFF">
                    <a:alpha val="85098"/>
                  </a:srgbClr>
                </a:solid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6716357483266159"/>
                      <c:h val="6.1384433133817529E-2"/>
                    </c:manualLayout>
                  </c15:layout>
                </c:ext>
              </c:extLst>
            </c:dLbl>
            <c:dLbl>
              <c:idx val="2"/>
              <c:layout>
                <c:manualLayout>
                  <c:x val="-0.14010641773007676"/>
                  <c:y val="-2.7084323448254524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sp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8456765440082346"/>
                      <c:h val="5.7000763051284972E-2"/>
                    </c:manualLayout>
                  </c15:layout>
                </c:ext>
              </c:extLst>
            </c:dLbl>
            <c:dLbl>
              <c:idx val="3"/>
              <c:layout>
                <c:manualLayout>
                  <c:x val="-7.4600670074533457E-2"/>
                  <c:y val="2.6428461535575043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sp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4401122965498539"/>
                      <c:h val="5.7000763051284972E-2"/>
                    </c:manualLayout>
                  </c15:layout>
                </c:ext>
              </c:extLst>
            </c:dLbl>
            <c:dLbl>
              <c:idx val="4"/>
              <c:layout>
                <c:manualLayout>
                  <c:x val="-1.752797846799066E-2"/>
                  <c:y val="2.6567791404586868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sp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ext>
              </c:extLst>
            </c:dLbl>
            <c:dLbl>
              <c:idx val="5"/>
              <c:layout>
                <c:manualLayout>
                  <c:x val="-1.4994207144097082E-2"/>
                  <c:y val="-3.4611317794626721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6023244631556063"/>
                      <c:h val="9.222478965513245E-2"/>
                    </c:manualLayout>
                  </c15:layout>
                </c:ext>
              </c:extLst>
            </c:dLbl>
            <c:dLbl>
              <c:idx val="6"/>
              <c:layout>
                <c:manualLayout>
                  <c:x val="-1.704203300680002E-2"/>
                  <c:y val="-0.10456519047159905"/>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1540056669604228"/>
                      <c:h val="9.222478965513245E-2"/>
                    </c:manualLayout>
                  </c15:layout>
                </c:ext>
              </c:extLst>
            </c:dLbl>
            <c:dLbl>
              <c:idx val="7"/>
              <c:layout>
                <c:manualLayout>
                  <c:x val="-2.2819637254635532E-2"/>
                  <c:y val="6.1334835616042777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t" anchorCtr="0">
                  <a:noAutofit/>
                </a:bodyPr>
                <a:lstStyle/>
                <a:p>
                  <a:pPr algn="l">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020817677278306"/>
                      <c:h val="5.9872850889794153E-2"/>
                    </c:manualLayout>
                  </c15:layout>
                </c:ext>
              </c:extLst>
            </c:dLbl>
            <c:dLbl>
              <c:idx val="8"/>
              <c:layout>
                <c:manualLayout>
                  <c:x val="9.1635049523510467E-2"/>
                  <c:y val="6.9815848005796377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noAutofit/>
                </a:bodyPr>
                <a:lstStyle/>
                <a:p>
                  <a:pPr algn="ct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17487314782514171"/>
                      <c:h val="9.6416106206558327E-2"/>
                    </c:manualLayout>
                  </c15:layout>
                </c:ext>
              </c:extLst>
            </c:dLbl>
            <c:dLbl>
              <c:idx val="9"/>
              <c:layout>
                <c:manualLayout>
                  <c:x val="0.20177349454630092"/>
                  <c:y val="-0.21521909189385488"/>
                </c:manualLayout>
              </c:layout>
              <c:showLegendKey val="0"/>
              <c:showVal val="1"/>
              <c:showCatName val="1"/>
              <c:showSerName val="0"/>
              <c:showPercent val="0"/>
              <c:showBubbleSize val="0"/>
              <c:extLst>
                <c:ext xmlns:c15="http://schemas.microsoft.com/office/drawing/2012/chart" uri="{CE6537A1-D6FC-4f65-9D91-7224C49458BB}"/>
              </c:extLst>
            </c:dLbl>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'1_CostsByArea'!$A$5:$A$13</c:f>
              <c:strCache>
                <c:ptCount val="9"/>
                <c:pt idx="0">
                  <c:v>Direct F&amp;W Program</c:v>
                </c:pt>
                <c:pt idx="1">
                  <c:v>Forgone Revenue</c:v>
                </c:pt>
                <c:pt idx="2">
                  <c:v>Corps of Engineers O&amp;M (est.)</c:v>
                </c:pt>
                <c:pt idx="3">
                  <c:v>Lower Snake Comp Plan</c:v>
                </c:pt>
                <c:pt idx="4">
                  <c:v>Bureau of Reclamation O&amp;M (est.)</c:v>
                </c:pt>
                <c:pt idx="5">
                  <c:v>NW Power &amp; Conservation Council</c:v>
                </c:pt>
                <c:pt idx="6">
                  <c:v>Interest Expense (est.)</c:v>
                </c:pt>
                <c:pt idx="7">
                  <c:v>Amoritization/Depreciation (est.)</c:v>
                </c:pt>
                <c:pt idx="8">
                  <c:v>Power Purchases for Fish Enhancement (est.)</c:v>
                </c:pt>
              </c:strCache>
            </c:strRef>
          </c:cat>
          <c:val>
            <c:numRef>
              <c:f>'1_CostsByArea'!$B$5:$B$13</c:f>
              <c:numCache>
                <c:formatCode>_(* #,##0_);_(* \(#,##0\);_(* "-"??_);_(@_)</c:formatCode>
                <c:ptCount val="9"/>
                <c:pt idx="0">
                  <c:v>258.10000000000002</c:v>
                </c:pt>
                <c:pt idx="1">
                  <c:v>76.599999999999994</c:v>
                </c:pt>
                <c:pt idx="2">
                  <c:v>48.2</c:v>
                </c:pt>
                <c:pt idx="3">
                  <c:v>28.6</c:v>
                </c:pt>
                <c:pt idx="4">
                  <c:v>6</c:v>
                </c:pt>
                <c:pt idx="5">
                  <c:v>5.36</c:v>
                </c:pt>
                <c:pt idx="6">
                  <c:v>85.6</c:v>
                </c:pt>
                <c:pt idx="7">
                  <c:v>62.6</c:v>
                </c:pt>
                <c:pt idx="8">
                  <c:v>50.3</c:v>
                </c:pt>
              </c:numCache>
            </c:numRef>
          </c:val>
        </c:ser>
        <c:ser>
          <c:idx val="1"/>
          <c:order val="1"/>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cat>
            <c:strRef>
              <c:f>'1_CostsByArea'!$A$5:$A$13</c:f>
              <c:strCache>
                <c:ptCount val="9"/>
                <c:pt idx="0">
                  <c:v>Direct F&amp;W Program</c:v>
                </c:pt>
                <c:pt idx="1">
                  <c:v>Forgone Revenue</c:v>
                </c:pt>
                <c:pt idx="2">
                  <c:v>Corps of Engineers O&amp;M (est.)</c:v>
                </c:pt>
                <c:pt idx="3">
                  <c:v>Lower Snake Comp Plan</c:v>
                </c:pt>
                <c:pt idx="4">
                  <c:v>Bureau of Reclamation O&amp;M (est.)</c:v>
                </c:pt>
                <c:pt idx="5">
                  <c:v>NW Power &amp; Conservation Council</c:v>
                </c:pt>
                <c:pt idx="6">
                  <c:v>Interest Expense (est.)</c:v>
                </c:pt>
                <c:pt idx="7">
                  <c:v>Amoritization/Depreciation (est.)</c:v>
                </c:pt>
                <c:pt idx="8">
                  <c:v>Power Purchases for Fish Enhancement (est.)</c:v>
                </c:pt>
              </c:strCache>
            </c:strRef>
          </c:cat>
          <c:val>
            <c:numRef>
              <c:f>'1_CostsByArea'!$B$5:$B$13</c:f>
              <c:numCache>
                <c:formatCode>_(* #,##0_);_(* \(#,##0\);_(* "-"??_);_(@_)</c:formatCode>
                <c:ptCount val="9"/>
                <c:pt idx="0">
                  <c:v>258.10000000000002</c:v>
                </c:pt>
                <c:pt idx="1">
                  <c:v>76.599999999999994</c:v>
                </c:pt>
                <c:pt idx="2">
                  <c:v>48.2</c:v>
                </c:pt>
                <c:pt idx="3">
                  <c:v>28.6</c:v>
                </c:pt>
                <c:pt idx="4">
                  <c:v>6</c:v>
                </c:pt>
                <c:pt idx="5">
                  <c:v>5.36</c:v>
                </c:pt>
                <c:pt idx="6">
                  <c:v>85.6</c:v>
                </c:pt>
                <c:pt idx="7">
                  <c:v>62.6</c:v>
                </c:pt>
                <c:pt idx="8">
                  <c:v>50.3</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'10_Contractor'!$B$76:$B$108</c:f>
              <c:strCache>
                <c:ptCount val="33"/>
                <c:pt idx="0">
                  <c:v>Federal: BPA Overhead (&amp; Non-Contracted Project Costs)</c:v>
                </c:pt>
                <c:pt idx="1">
                  <c:v>Federal: National Marine Fisheries</c:v>
                </c:pt>
                <c:pt idx="2">
                  <c:v>Federal: US Fish &amp; Wildlife Service</c:v>
                </c:pt>
                <c:pt idx="3">
                  <c:v>Federal: US Geological Survey</c:v>
                </c:pt>
                <c:pt idx="4">
                  <c:v>Federal: US Army Corps of Engineers</c:v>
                </c:pt>
                <c:pt idx="5">
                  <c:v>Federal: US Forest Service</c:v>
                </c:pt>
                <c:pt idx="6">
                  <c:v>Federal: Other</c:v>
                </c:pt>
                <c:pt idx="7">
                  <c:v>State: Oregon Department of Fish &amp; Wildlife</c:v>
                </c:pt>
                <c:pt idx="8">
                  <c:v>State: Washington Department of Fish &amp; Wildlife</c:v>
                </c:pt>
                <c:pt idx="9">
                  <c:v>State: Idaho Department of Fish &amp; Wildlife</c:v>
                </c:pt>
                <c:pt idx="10">
                  <c:v>State: Montana Fish, Wildlife And Parks</c:v>
                </c:pt>
                <c:pt idx="11">
                  <c:v>State: Idaho State Office of Species Conservation</c:v>
                </c:pt>
                <c:pt idx="12">
                  <c:v>Tribe: Yakama Confederated Tribes</c:v>
                </c:pt>
                <c:pt idx="13">
                  <c:v>Tribe: Nez Perce Tribe</c:v>
                </c:pt>
                <c:pt idx="14">
                  <c:v>Tribe: Kootenai Tribe</c:v>
                </c:pt>
                <c:pt idx="15">
                  <c:v>Tribe: Colville Confederated Tribes</c:v>
                </c:pt>
                <c:pt idx="16">
                  <c:v>Tribe: Umatilla Confederated Tribes</c:v>
                </c:pt>
                <c:pt idx="17">
                  <c:v>Tribe: Columbia River Intertribal Fish Commission</c:v>
                </c:pt>
                <c:pt idx="18">
                  <c:v>Tribe: Confederated Tribes of Warm Springs</c:v>
                </c:pt>
                <c:pt idx="19">
                  <c:v>Tribe: Shoshone-Bannock Tribes</c:v>
                </c:pt>
                <c:pt idx="20">
                  <c:v>Tribe: Spokane Tribe of Indians</c:v>
                </c:pt>
                <c:pt idx="21">
                  <c:v>Tribe: Kalispel Tribe of Indians</c:v>
                </c:pt>
                <c:pt idx="22">
                  <c:v>Tribe: Coeur D'Alene Tribe of Idaho</c:v>
                </c:pt>
                <c:pt idx="23">
                  <c:v>Tribe: Shoshone-Paiute Tribes</c:v>
                </c:pt>
                <c:pt idx="24">
                  <c:v>Tribe: Burns-Paiute</c:v>
                </c:pt>
                <c:pt idx="25">
                  <c:v>Tribe: Other</c:v>
                </c:pt>
                <c:pt idx="26">
                  <c:v>Interstate: Pacific States Marine Fisheries Commission</c:v>
                </c:pt>
                <c:pt idx="27">
                  <c:v>University</c:v>
                </c:pt>
                <c:pt idx="28">
                  <c:v>Other: Private/Non-Profit/Other</c:v>
                </c:pt>
                <c:pt idx="29">
                  <c:v>Other: Land Acquisitions</c:v>
                </c:pt>
                <c:pt idx="30">
                  <c:v>Other: Local/Semi Government</c:v>
                </c:pt>
                <c:pt idx="31">
                  <c:v>Other: National Fish &amp; Wildlife Foundation</c:v>
                </c:pt>
                <c:pt idx="32">
                  <c:v>Other: Utility</c:v>
                </c:pt>
              </c:strCache>
            </c:strRef>
          </c:cat>
          <c:val>
            <c:numRef>
              <c:f>'10_Contractor'!#REF!</c:f>
              <c:numCache>
                <c:formatCode>General</c:formatCode>
                <c:ptCount val="1"/>
                <c:pt idx="0">
                  <c:v>1</c:v>
                </c:pt>
              </c:numCache>
            </c:numRef>
          </c:val>
        </c:ser>
        <c:ser>
          <c:idx val="1"/>
          <c:order val="1"/>
          <c:spPr>
            <a:solidFill>
              <a:schemeClr val="accent2"/>
            </a:solidFill>
            <a:ln>
              <a:noFill/>
            </a:ln>
            <a:effectLst/>
          </c:spPr>
          <c:invertIfNegative val="0"/>
          <c:dPt>
            <c:idx val="6"/>
            <c:invertIfNegative val="0"/>
            <c:bubble3D val="0"/>
            <c:spPr>
              <a:solidFill>
                <a:srgbClr val="C0504D"/>
              </a:solidFill>
              <a:ln>
                <a:noFill/>
              </a:ln>
              <a:effectLst/>
            </c:spPr>
          </c:dPt>
          <c:dPt>
            <c:idx val="7"/>
            <c:invertIfNegative val="0"/>
            <c:bubble3D val="0"/>
            <c:spPr>
              <a:solidFill>
                <a:srgbClr val="9AB9D2"/>
              </a:solidFill>
              <a:ln>
                <a:noFill/>
              </a:ln>
              <a:effectLst/>
            </c:spPr>
          </c:dPt>
          <c:dPt>
            <c:idx val="8"/>
            <c:invertIfNegative val="0"/>
            <c:bubble3D val="0"/>
            <c:spPr>
              <a:solidFill>
                <a:srgbClr val="9AB9D2"/>
              </a:solidFill>
              <a:ln>
                <a:noFill/>
              </a:ln>
              <a:effectLst/>
            </c:spPr>
          </c:dPt>
          <c:dPt>
            <c:idx val="9"/>
            <c:invertIfNegative val="0"/>
            <c:bubble3D val="0"/>
            <c:spPr>
              <a:solidFill>
                <a:srgbClr val="9AB9D2"/>
              </a:solidFill>
              <a:ln>
                <a:noFill/>
              </a:ln>
              <a:effectLst/>
            </c:spPr>
          </c:dPt>
          <c:dPt>
            <c:idx val="10"/>
            <c:invertIfNegative val="0"/>
            <c:bubble3D val="0"/>
            <c:spPr>
              <a:solidFill>
                <a:srgbClr val="9AB9D2"/>
              </a:solidFill>
              <a:ln>
                <a:noFill/>
              </a:ln>
              <a:effectLst/>
            </c:spPr>
          </c:dPt>
          <c:dPt>
            <c:idx val="11"/>
            <c:invertIfNegative val="0"/>
            <c:bubble3D val="0"/>
            <c:spPr>
              <a:solidFill>
                <a:srgbClr val="9AB9D2"/>
              </a:solidFill>
              <a:ln>
                <a:noFill/>
              </a:ln>
              <a:effectLst/>
            </c:spPr>
          </c:dPt>
          <c:dPt>
            <c:idx val="12"/>
            <c:invertIfNegative val="0"/>
            <c:bubble3D val="0"/>
            <c:spPr>
              <a:solidFill>
                <a:schemeClr val="accent3">
                  <a:lumMod val="60000"/>
                  <a:lumOff val="40000"/>
                </a:schemeClr>
              </a:solidFill>
              <a:ln>
                <a:noFill/>
              </a:ln>
              <a:effectLst/>
            </c:spPr>
          </c:dPt>
          <c:dPt>
            <c:idx val="13"/>
            <c:invertIfNegative val="0"/>
            <c:bubble3D val="0"/>
            <c:spPr>
              <a:solidFill>
                <a:schemeClr val="accent3">
                  <a:lumMod val="60000"/>
                  <a:lumOff val="40000"/>
                </a:schemeClr>
              </a:solidFill>
              <a:ln>
                <a:noFill/>
              </a:ln>
              <a:effectLst/>
            </c:spPr>
          </c:dPt>
          <c:dPt>
            <c:idx val="14"/>
            <c:invertIfNegative val="0"/>
            <c:bubble3D val="0"/>
            <c:spPr>
              <a:solidFill>
                <a:schemeClr val="accent3">
                  <a:lumMod val="60000"/>
                  <a:lumOff val="40000"/>
                </a:schemeClr>
              </a:solidFill>
              <a:ln>
                <a:noFill/>
              </a:ln>
              <a:effectLst/>
            </c:spPr>
          </c:dPt>
          <c:dPt>
            <c:idx val="15"/>
            <c:invertIfNegative val="0"/>
            <c:bubble3D val="0"/>
            <c:spPr>
              <a:solidFill>
                <a:schemeClr val="accent3">
                  <a:lumMod val="60000"/>
                  <a:lumOff val="40000"/>
                </a:schemeClr>
              </a:solidFill>
              <a:ln>
                <a:noFill/>
              </a:ln>
              <a:effectLst/>
            </c:spPr>
          </c:dPt>
          <c:dPt>
            <c:idx val="16"/>
            <c:invertIfNegative val="0"/>
            <c:bubble3D val="0"/>
            <c:spPr>
              <a:solidFill>
                <a:schemeClr val="accent3">
                  <a:lumMod val="60000"/>
                  <a:lumOff val="40000"/>
                </a:schemeClr>
              </a:solidFill>
              <a:ln>
                <a:noFill/>
              </a:ln>
              <a:effectLst/>
            </c:spPr>
          </c:dPt>
          <c:dPt>
            <c:idx val="17"/>
            <c:invertIfNegative val="0"/>
            <c:bubble3D val="0"/>
            <c:spPr>
              <a:solidFill>
                <a:schemeClr val="accent3">
                  <a:lumMod val="60000"/>
                  <a:lumOff val="40000"/>
                </a:schemeClr>
              </a:solidFill>
              <a:ln>
                <a:noFill/>
              </a:ln>
              <a:effectLst/>
            </c:spPr>
          </c:dPt>
          <c:dPt>
            <c:idx val="18"/>
            <c:invertIfNegative val="0"/>
            <c:bubble3D val="0"/>
            <c:spPr>
              <a:solidFill>
                <a:schemeClr val="accent3">
                  <a:lumMod val="60000"/>
                  <a:lumOff val="40000"/>
                </a:schemeClr>
              </a:solidFill>
              <a:ln>
                <a:noFill/>
              </a:ln>
              <a:effectLst/>
            </c:spPr>
          </c:dPt>
          <c:dPt>
            <c:idx val="19"/>
            <c:invertIfNegative val="0"/>
            <c:bubble3D val="0"/>
            <c:spPr>
              <a:solidFill>
                <a:schemeClr val="accent3">
                  <a:lumMod val="60000"/>
                  <a:lumOff val="40000"/>
                </a:schemeClr>
              </a:solidFill>
              <a:ln>
                <a:noFill/>
              </a:ln>
              <a:effectLst/>
            </c:spPr>
          </c:dPt>
          <c:dPt>
            <c:idx val="20"/>
            <c:invertIfNegative val="0"/>
            <c:bubble3D val="0"/>
            <c:spPr>
              <a:solidFill>
                <a:schemeClr val="accent3">
                  <a:lumMod val="60000"/>
                  <a:lumOff val="40000"/>
                </a:schemeClr>
              </a:solidFill>
              <a:ln>
                <a:noFill/>
              </a:ln>
              <a:effectLst/>
            </c:spPr>
          </c:dPt>
          <c:dPt>
            <c:idx val="21"/>
            <c:invertIfNegative val="0"/>
            <c:bubble3D val="0"/>
            <c:spPr>
              <a:solidFill>
                <a:schemeClr val="accent3">
                  <a:lumMod val="60000"/>
                  <a:lumOff val="40000"/>
                </a:schemeClr>
              </a:solidFill>
              <a:ln>
                <a:noFill/>
              </a:ln>
              <a:effectLst/>
            </c:spPr>
          </c:dPt>
          <c:dPt>
            <c:idx val="22"/>
            <c:invertIfNegative val="0"/>
            <c:bubble3D val="0"/>
            <c:spPr>
              <a:solidFill>
                <a:schemeClr val="accent3">
                  <a:lumMod val="60000"/>
                  <a:lumOff val="40000"/>
                </a:schemeClr>
              </a:solidFill>
              <a:ln>
                <a:noFill/>
              </a:ln>
              <a:effectLst/>
            </c:spPr>
          </c:dPt>
          <c:dPt>
            <c:idx val="23"/>
            <c:invertIfNegative val="0"/>
            <c:bubble3D val="0"/>
            <c:spPr>
              <a:solidFill>
                <a:schemeClr val="accent3">
                  <a:lumMod val="60000"/>
                  <a:lumOff val="40000"/>
                </a:schemeClr>
              </a:solidFill>
              <a:ln>
                <a:noFill/>
              </a:ln>
              <a:effectLst/>
            </c:spPr>
          </c:dPt>
          <c:dPt>
            <c:idx val="24"/>
            <c:invertIfNegative val="0"/>
            <c:bubble3D val="0"/>
            <c:spPr>
              <a:solidFill>
                <a:schemeClr val="accent3">
                  <a:lumMod val="60000"/>
                  <a:lumOff val="40000"/>
                </a:schemeClr>
              </a:solidFill>
              <a:ln>
                <a:noFill/>
              </a:ln>
              <a:effectLst/>
            </c:spPr>
          </c:dPt>
          <c:dPt>
            <c:idx val="25"/>
            <c:invertIfNegative val="0"/>
            <c:bubble3D val="0"/>
            <c:spPr>
              <a:solidFill>
                <a:schemeClr val="accent3">
                  <a:lumMod val="60000"/>
                  <a:lumOff val="40000"/>
                </a:schemeClr>
              </a:solidFill>
              <a:ln>
                <a:noFill/>
              </a:ln>
              <a:effectLst/>
            </c:spPr>
          </c:dPt>
          <c:dPt>
            <c:idx val="26"/>
            <c:invertIfNegative val="0"/>
            <c:bubble3D val="0"/>
            <c:spPr>
              <a:solidFill>
                <a:schemeClr val="accent4">
                  <a:lumMod val="60000"/>
                  <a:lumOff val="40000"/>
                </a:schemeClr>
              </a:solidFill>
              <a:ln>
                <a:noFill/>
              </a:ln>
              <a:effectLst/>
            </c:spPr>
          </c:dPt>
          <c:dPt>
            <c:idx val="27"/>
            <c:invertIfNegative val="0"/>
            <c:bubble3D val="0"/>
            <c:spPr>
              <a:solidFill>
                <a:srgbClr val="ECB314"/>
              </a:solidFill>
              <a:ln>
                <a:noFill/>
              </a:ln>
              <a:effectLst/>
            </c:spPr>
          </c:dPt>
          <c:dPt>
            <c:idx val="28"/>
            <c:invertIfNegative val="0"/>
            <c:bubble3D val="0"/>
            <c:spPr>
              <a:solidFill>
                <a:schemeClr val="bg1">
                  <a:lumMod val="65000"/>
                </a:schemeClr>
              </a:solidFill>
              <a:ln>
                <a:noFill/>
              </a:ln>
              <a:effectLst/>
            </c:spPr>
          </c:dPt>
          <c:dPt>
            <c:idx val="29"/>
            <c:invertIfNegative val="0"/>
            <c:bubble3D val="0"/>
            <c:spPr>
              <a:solidFill>
                <a:schemeClr val="bg1">
                  <a:lumMod val="65000"/>
                </a:schemeClr>
              </a:solidFill>
              <a:ln>
                <a:noFill/>
              </a:ln>
              <a:effectLst/>
            </c:spPr>
          </c:dPt>
          <c:dPt>
            <c:idx val="30"/>
            <c:invertIfNegative val="0"/>
            <c:bubble3D val="0"/>
            <c:spPr>
              <a:solidFill>
                <a:schemeClr val="bg1">
                  <a:lumMod val="65000"/>
                </a:schemeClr>
              </a:solidFill>
              <a:ln>
                <a:noFill/>
              </a:ln>
              <a:effectLst/>
            </c:spPr>
          </c:dPt>
          <c:dPt>
            <c:idx val="31"/>
            <c:invertIfNegative val="0"/>
            <c:bubble3D val="0"/>
            <c:spPr>
              <a:solidFill>
                <a:schemeClr val="bg1">
                  <a:lumMod val="65000"/>
                </a:schemeClr>
              </a:solidFill>
              <a:ln>
                <a:noFill/>
              </a:ln>
              <a:effectLst/>
            </c:spPr>
          </c:dPt>
          <c:dPt>
            <c:idx val="32"/>
            <c:invertIfNegative val="0"/>
            <c:bubble3D val="0"/>
            <c:spPr>
              <a:solidFill>
                <a:schemeClr val="bg1">
                  <a:lumMod val="65000"/>
                </a:schemeClr>
              </a:solidFill>
              <a:ln>
                <a:noFill/>
              </a:ln>
              <a:effectLst/>
            </c:spPr>
          </c:dPt>
          <c:cat>
            <c:strRef>
              <c:f>'10_Contractor'!$B$76:$B$108</c:f>
              <c:strCache>
                <c:ptCount val="33"/>
                <c:pt idx="0">
                  <c:v>Federal: BPA Overhead (&amp; Non-Contracted Project Costs)</c:v>
                </c:pt>
                <c:pt idx="1">
                  <c:v>Federal: National Marine Fisheries</c:v>
                </c:pt>
                <c:pt idx="2">
                  <c:v>Federal: US Fish &amp; Wildlife Service</c:v>
                </c:pt>
                <c:pt idx="3">
                  <c:v>Federal: US Geological Survey</c:v>
                </c:pt>
                <c:pt idx="4">
                  <c:v>Federal: US Army Corps of Engineers</c:v>
                </c:pt>
                <c:pt idx="5">
                  <c:v>Federal: US Forest Service</c:v>
                </c:pt>
                <c:pt idx="6">
                  <c:v>Federal: Other</c:v>
                </c:pt>
                <c:pt idx="7">
                  <c:v>State: Oregon Department of Fish &amp; Wildlife</c:v>
                </c:pt>
                <c:pt idx="8">
                  <c:v>State: Washington Department of Fish &amp; Wildlife</c:v>
                </c:pt>
                <c:pt idx="9">
                  <c:v>State: Idaho Department of Fish &amp; Wildlife</c:v>
                </c:pt>
                <c:pt idx="10">
                  <c:v>State: Montana Fish, Wildlife And Parks</c:v>
                </c:pt>
                <c:pt idx="11">
                  <c:v>State: Idaho State Office of Species Conservation</c:v>
                </c:pt>
                <c:pt idx="12">
                  <c:v>Tribe: Yakama Confederated Tribes</c:v>
                </c:pt>
                <c:pt idx="13">
                  <c:v>Tribe: Nez Perce Tribe</c:v>
                </c:pt>
                <c:pt idx="14">
                  <c:v>Tribe: Kootenai Tribe</c:v>
                </c:pt>
                <c:pt idx="15">
                  <c:v>Tribe: Colville Confederated Tribes</c:v>
                </c:pt>
                <c:pt idx="16">
                  <c:v>Tribe: Umatilla Confederated Tribes</c:v>
                </c:pt>
                <c:pt idx="17">
                  <c:v>Tribe: Columbia River Intertribal Fish Commission</c:v>
                </c:pt>
                <c:pt idx="18">
                  <c:v>Tribe: Confederated Tribes of Warm Springs</c:v>
                </c:pt>
                <c:pt idx="19">
                  <c:v>Tribe: Shoshone-Bannock Tribes</c:v>
                </c:pt>
                <c:pt idx="20">
                  <c:v>Tribe: Spokane Tribe of Indians</c:v>
                </c:pt>
                <c:pt idx="21">
                  <c:v>Tribe: Kalispel Tribe of Indians</c:v>
                </c:pt>
                <c:pt idx="22">
                  <c:v>Tribe: Coeur D'Alene Tribe of Idaho</c:v>
                </c:pt>
                <c:pt idx="23">
                  <c:v>Tribe: Shoshone-Paiute Tribes</c:v>
                </c:pt>
                <c:pt idx="24">
                  <c:v>Tribe: Burns-Paiute</c:v>
                </c:pt>
                <c:pt idx="25">
                  <c:v>Tribe: Other</c:v>
                </c:pt>
                <c:pt idx="26">
                  <c:v>Interstate: Pacific States Marine Fisheries Commission</c:v>
                </c:pt>
                <c:pt idx="27">
                  <c:v>University</c:v>
                </c:pt>
                <c:pt idx="28">
                  <c:v>Other: Private/Non-Profit/Other</c:v>
                </c:pt>
                <c:pt idx="29">
                  <c:v>Other: Land Acquisitions</c:v>
                </c:pt>
                <c:pt idx="30">
                  <c:v>Other: Local/Semi Government</c:v>
                </c:pt>
                <c:pt idx="31">
                  <c:v>Other: National Fish &amp; Wildlife Foundation</c:v>
                </c:pt>
                <c:pt idx="32">
                  <c:v>Other: Utility</c:v>
                </c:pt>
              </c:strCache>
            </c:strRef>
          </c:cat>
          <c:val>
            <c:numRef>
              <c:f>'10_Contractor'!$C$76:$C$108</c:f>
              <c:numCache>
                <c:formatCode>"$"#,##0</c:formatCode>
                <c:ptCount val="33"/>
                <c:pt idx="0">
                  <c:v>20288062.460000001</c:v>
                </c:pt>
                <c:pt idx="1">
                  <c:v>6916949.9299999997</c:v>
                </c:pt>
                <c:pt idx="2">
                  <c:v>3027580.13</c:v>
                </c:pt>
                <c:pt idx="3">
                  <c:v>1809299.77</c:v>
                </c:pt>
                <c:pt idx="4">
                  <c:v>1278360.5900000001</c:v>
                </c:pt>
                <c:pt idx="5">
                  <c:v>962584.71</c:v>
                </c:pt>
                <c:pt idx="6">
                  <c:v>1057224</c:v>
                </c:pt>
                <c:pt idx="7">
                  <c:v>15246155.84</c:v>
                </c:pt>
                <c:pt idx="8">
                  <c:v>12793662.689999999</c:v>
                </c:pt>
                <c:pt idx="9">
                  <c:v>11875775.390000001</c:v>
                </c:pt>
                <c:pt idx="10">
                  <c:v>3810995.26</c:v>
                </c:pt>
                <c:pt idx="11">
                  <c:v>3352209.85</c:v>
                </c:pt>
                <c:pt idx="12">
                  <c:v>27344154.420000002</c:v>
                </c:pt>
                <c:pt idx="13">
                  <c:v>16526286.51</c:v>
                </c:pt>
                <c:pt idx="14">
                  <c:v>15188306.74</c:v>
                </c:pt>
                <c:pt idx="15">
                  <c:v>15137000.189999999</c:v>
                </c:pt>
                <c:pt idx="16">
                  <c:v>10584970.689999999</c:v>
                </c:pt>
                <c:pt idx="17">
                  <c:v>9140737.4800000004</c:v>
                </c:pt>
                <c:pt idx="18">
                  <c:v>6615139.9800000004</c:v>
                </c:pt>
                <c:pt idx="19">
                  <c:v>3422312.84</c:v>
                </c:pt>
                <c:pt idx="20">
                  <c:v>3403932.96</c:v>
                </c:pt>
                <c:pt idx="21">
                  <c:v>3359053.68</c:v>
                </c:pt>
                <c:pt idx="22">
                  <c:v>2722811.24</c:v>
                </c:pt>
                <c:pt idx="23">
                  <c:v>936944.3</c:v>
                </c:pt>
                <c:pt idx="24">
                  <c:v>797848.95</c:v>
                </c:pt>
                <c:pt idx="25">
                  <c:v>2433903</c:v>
                </c:pt>
                <c:pt idx="26">
                  <c:v>13908920.439999999</c:v>
                </c:pt>
                <c:pt idx="27">
                  <c:v>3036342.71</c:v>
                </c:pt>
                <c:pt idx="28">
                  <c:v>25183984.760000002</c:v>
                </c:pt>
                <c:pt idx="29">
                  <c:v>18204477.829999998</c:v>
                </c:pt>
                <c:pt idx="30">
                  <c:v>7743399.0499999998</c:v>
                </c:pt>
                <c:pt idx="31">
                  <c:v>4792260.0599999996</c:v>
                </c:pt>
                <c:pt idx="32">
                  <c:v>1214989.6599999999</c:v>
                </c:pt>
              </c:numCache>
            </c:numRef>
          </c:val>
        </c:ser>
        <c:dLbls>
          <c:showLegendKey val="0"/>
          <c:showVal val="0"/>
          <c:showCatName val="0"/>
          <c:showSerName val="0"/>
          <c:showPercent val="0"/>
          <c:showBubbleSize val="0"/>
        </c:dLbls>
        <c:gapWidth val="52"/>
        <c:axId val="483680552"/>
        <c:axId val="483680944"/>
      </c:barChart>
      <c:catAx>
        <c:axId val="483680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0944"/>
        <c:crosses val="autoZero"/>
        <c:auto val="1"/>
        <c:lblAlgn val="ctr"/>
        <c:lblOffset val="100"/>
        <c:noMultiLvlLbl val="0"/>
      </c:catAx>
      <c:valAx>
        <c:axId val="483680944"/>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quot;mil&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05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775091735066594"/>
          <c:y val="1.1144733600781059E-2"/>
          <c:w val="0.59880164245374745"/>
          <c:h val="0.94507048763721402"/>
        </c:manualLayout>
      </c:layout>
      <c:barChart>
        <c:barDir val="bar"/>
        <c:grouping val="stacked"/>
        <c:varyColors val="0"/>
        <c:ser>
          <c:idx val="0"/>
          <c:order val="0"/>
          <c:spPr>
            <a:effectLst>
              <a:outerShdw blurRad="50800" dist="38100" dir="5400000" algn="t" rotWithShape="0">
                <a:prstClr val="black">
                  <a:alpha val="40000"/>
                </a:prstClr>
              </a:outerShdw>
            </a:effectLst>
          </c:spPr>
          <c:invertIfNegative val="0"/>
          <c:cat>
            <c:strRef>
              <c:f>'11_LandPurchases'!$A$46:$A$52</c:f>
              <c:strCache>
                <c:ptCount val="7"/>
                <c:pt idx="0">
                  <c:v>Oregon Department Of Fish and Wildlife (ODFW)</c:v>
                </c:pt>
                <c:pt idx="1">
                  <c:v>Idaho Department of Fish and Game (IDFG)</c:v>
                </c:pt>
                <c:pt idx="2">
                  <c:v>Salish and Kootenai Confederated Tribes</c:v>
                </c:pt>
                <c:pt idx="3">
                  <c:v>Umatilla Confederated Tribes (CTUIR)</c:v>
                </c:pt>
                <c:pt idx="4">
                  <c:v>Shoshone-Bannock Tribes</c:v>
                </c:pt>
                <c:pt idx="5">
                  <c:v>Idaho Office of Species Conservation</c:v>
                </c:pt>
                <c:pt idx="6">
                  <c:v>Yakama Confederated Tribes</c:v>
                </c:pt>
              </c:strCache>
            </c:strRef>
          </c:cat>
          <c:val>
            <c:numRef>
              <c:f>'11_LandPurchases'!$B$46:$B$52</c:f>
              <c:numCache>
                <c:formatCode>"$"#,##0</c:formatCode>
                <c:ptCount val="7"/>
                <c:pt idx="0">
                  <c:v>10868814</c:v>
                </c:pt>
                <c:pt idx="1">
                  <c:v>1877580.5</c:v>
                </c:pt>
                <c:pt idx="2">
                  <c:v>1815933.75</c:v>
                </c:pt>
                <c:pt idx="3">
                  <c:v>1783866</c:v>
                </c:pt>
                <c:pt idx="4">
                  <c:v>786320</c:v>
                </c:pt>
                <c:pt idx="5">
                  <c:v>680000</c:v>
                </c:pt>
                <c:pt idx="6">
                  <c:v>260540</c:v>
                </c:pt>
              </c:numCache>
            </c:numRef>
          </c:val>
        </c:ser>
        <c:dLbls>
          <c:showLegendKey val="0"/>
          <c:showVal val="0"/>
          <c:showCatName val="0"/>
          <c:showSerName val="0"/>
          <c:showPercent val="0"/>
          <c:showBubbleSize val="0"/>
        </c:dLbls>
        <c:gapWidth val="76"/>
        <c:overlap val="100"/>
        <c:axId val="483681728"/>
        <c:axId val="483682120"/>
      </c:barChart>
      <c:catAx>
        <c:axId val="483681728"/>
        <c:scaling>
          <c:orientation val="maxMin"/>
        </c:scaling>
        <c:delete val="0"/>
        <c:axPos val="l"/>
        <c:numFmt formatCode="General" sourceLinked="0"/>
        <c:majorTickMark val="out"/>
        <c:minorTickMark val="none"/>
        <c:tickLblPos val="nextTo"/>
        <c:txPr>
          <a:bodyPr rot="0" vert="horz" anchor="ctr" anchorCtr="1"/>
          <a:lstStyle/>
          <a:p>
            <a:pPr>
              <a:defRPr sz="1050">
                <a:solidFill>
                  <a:schemeClr val="bg1">
                    <a:lumMod val="50000"/>
                  </a:schemeClr>
                </a:solidFill>
                <a:latin typeface="Century Gothic" pitchFamily="34" charset="0"/>
              </a:defRPr>
            </a:pPr>
            <a:endParaRPr lang="en-US"/>
          </a:p>
        </c:txPr>
        <c:crossAx val="483682120"/>
        <c:crosses val="autoZero"/>
        <c:auto val="1"/>
        <c:lblAlgn val="ctr"/>
        <c:lblOffset val="100"/>
        <c:noMultiLvlLbl val="0"/>
      </c:catAx>
      <c:valAx>
        <c:axId val="483682120"/>
        <c:scaling>
          <c:orientation val="minMax"/>
        </c:scaling>
        <c:delete val="0"/>
        <c:axPos val="t"/>
        <c:majorGridlines>
          <c:spPr>
            <a:ln>
              <a:solidFill>
                <a:schemeClr val="bg1">
                  <a:lumMod val="65000"/>
                </a:schemeClr>
              </a:solidFill>
            </a:ln>
          </c:spPr>
        </c:majorGridlines>
        <c:numFmt formatCode="&quot;$&quot;#0,,\ &quot;mil&quot;" sourceLinked="0"/>
        <c:majorTickMark val="out"/>
        <c:minorTickMark val="none"/>
        <c:tickLblPos val="nextTo"/>
        <c:spPr>
          <a:ln>
            <a:solidFill>
              <a:schemeClr val="bg1">
                <a:lumMod val="65000"/>
              </a:schemeClr>
            </a:solidFill>
          </a:ln>
        </c:spPr>
        <c:txPr>
          <a:bodyPr/>
          <a:lstStyle/>
          <a:p>
            <a:pPr>
              <a:defRPr sz="1050">
                <a:solidFill>
                  <a:schemeClr val="bg1">
                    <a:lumMod val="50000"/>
                  </a:schemeClr>
                </a:solidFill>
                <a:latin typeface="Century Gothic" pitchFamily="34" charset="0"/>
              </a:defRPr>
            </a:pPr>
            <a:endParaRPr lang="en-US"/>
          </a:p>
        </c:txPr>
        <c:crossAx val="483681728"/>
        <c:crosses val="autoZero"/>
        <c:crossBetween val="between"/>
      </c:valAx>
      <c:spPr>
        <a:ln>
          <a:solidFill>
            <a:sysClr val="window" lastClr="FFFFFF">
              <a:lumMod val="65000"/>
            </a:sysClr>
          </a:solidFill>
        </a:ln>
      </c:spPr>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67379319038"/>
          <c:y val="3.5859820700896494E-2"/>
          <c:w val="0.7065669533049459"/>
          <c:h val="0.86161656411805998"/>
        </c:manualLayout>
      </c:layout>
      <c:areaChart>
        <c:grouping val="stacked"/>
        <c:varyColors val="0"/>
        <c:ser>
          <c:idx val="0"/>
          <c:order val="0"/>
          <c:tx>
            <c:strRef>
              <c:f>'12_Cumulative'!$A$4</c:f>
              <c:strCache>
                <c:ptCount val="1"/>
                <c:pt idx="0">
                  <c:v>Power Purchases</c:v>
                </c:pt>
              </c:strCache>
            </c:strRef>
          </c:tx>
          <c:spPr>
            <a:solidFill>
              <a:srgbClr val="4F81BD"/>
            </a:solidFill>
            <a:ln>
              <a:noFill/>
            </a:ln>
            <a:effectLst/>
          </c:spPr>
          <c:cat>
            <c:numRef>
              <c:f>'12_Cumulative'!$C$3:$AL$3</c:f>
              <c:numCache>
                <c:formatCode>General</c:formatCode>
                <c:ptCount val="36"/>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numCache>
            </c:numRef>
          </c:cat>
          <c:val>
            <c:numRef>
              <c:f>'12_Cumulative'!$C$4:$AL$4</c:f>
              <c:numCache>
                <c:formatCode>_(* #,##0.0_);_(* \(#,##0.0\);_(* "-"??_);_(@_)</c:formatCode>
                <c:ptCount val="36"/>
                <c:pt idx="0">
                  <c:v>0</c:v>
                </c:pt>
                <c:pt idx="1">
                  <c:v>0</c:v>
                </c:pt>
                <c:pt idx="2">
                  <c:v>0</c:v>
                </c:pt>
                <c:pt idx="3">
                  <c:v>12</c:v>
                </c:pt>
                <c:pt idx="4">
                  <c:v>29</c:v>
                </c:pt>
                <c:pt idx="5">
                  <c:v>103</c:v>
                </c:pt>
                <c:pt idx="6">
                  <c:v>114</c:v>
                </c:pt>
                <c:pt idx="7">
                  <c:v>154</c:v>
                </c:pt>
                <c:pt idx="8">
                  <c:v>194</c:v>
                </c:pt>
                <c:pt idx="9">
                  <c:v>234</c:v>
                </c:pt>
                <c:pt idx="10">
                  <c:v>274</c:v>
                </c:pt>
                <c:pt idx="11">
                  <c:v>333</c:v>
                </c:pt>
                <c:pt idx="12">
                  <c:v>437</c:v>
                </c:pt>
                <c:pt idx="13">
                  <c:v>548.70000000000005</c:v>
                </c:pt>
                <c:pt idx="14">
                  <c:v>612.20000000000005</c:v>
                </c:pt>
                <c:pt idx="15">
                  <c:v>612.20000000000005</c:v>
                </c:pt>
                <c:pt idx="16">
                  <c:v>612.20000000000005</c:v>
                </c:pt>
                <c:pt idx="17">
                  <c:v>617.6</c:v>
                </c:pt>
                <c:pt idx="18">
                  <c:v>665.2</c:v>
                </c:pt>
                <c:pt idx="19">
                  <c:v>730</c:v>
                </c:pt>
                <c:pt idx="20">
                  <c:v>2119.6</c:v>
                </c:pt>
                <c:pt idx="21">
                  <c:v>2267.4</c:v>
                </c:pt>
                <c:pt idx="22">
                  <c:v>2438.5</c:v>
                </c:pt>
                <c:pt idx="23">
                  <c:v>2629.5</c:v>
                </c:pt>
                <c:pt idx="24">
                  <c:v>2740.3</c:v>
                </c:pt>
                <c:pt idx="25">
                  <c:v>2908.5</c:v>
                </c:pt>
                <c:pt idx="26">
                  <c:v>3029.2</c:v>
                </c:pt>
                <c:pt idx="27">
                  <c:v>3304.1</c:v>
                </c:pt>
                <c:pt idx="28">
                  <c:v>3544.4</c:v>
                </c:pt>
                <c:pt idx="29">
                  <c:v>3854.5</c:v>
                </c:pt>
                <c:pt idx="30">
                  <c:v>3925.2</c:v>
                </c:pt>
                <c:pt idx="31">
                  <c:v>3963.7</c:v>
                </c:pt>
                <c:pt idx="32">
                  <c:v>4049.8</c:v>
                </c:pt>
                <c:pt idx="33">
                  <c:v>4246</c:v>
                </c:pt>
                <c:pt idx="34">
                  <c:v>4313.2</c:v>
                </c:pt>
                <c:pt idx="35">
                  <c:v>4363.5</c:v>
                </c:pt>
              </c:numCache>
            </c:numRef>
          </c:val>
        </c:ser>
        <c:ser>
          <c:idx val="1"/>
          <c:order val="1"/>
          <c:tx>
            <c:strRef>
              <c:f>'12_Cumulative'!$A$5</c:f>
              <c:strCache>
                <c:ptCount val="1"/>
                <c:pt idx="0">
                  <c:v>Forgone Revenues</c:v>
                </c:pt>
              </c:strCache>
            </c:strRef>
          </c:tx>
          <c:spPr>
            <a:solidFill>
              <a:srgbClr val="C0504D"/>
            </a:solidFill>
            <a:ln>
              <a:noFill/>
            </a:ln>
            <a:effectLst/>
          </c:spPr>
          <c:cat>
            <c:numRef>
              <c:f>'12_Cumulative'!$C$3:$AL$3</c:f>
              <c:numCache>
                <c:formatCode>General</c:formatCode>
                <c:ptCount val="36"/>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numCache>
            </c:numRef>
          </c:cat>
          <c:val>
            <c:numRef>
              <c:f>'12_Cumulative'!$C$5:$AL$5</c:f>
              <c:numCache>
                <c:formatCode>_(* #,##0.0_);_(* \(#,##0.0\);_(* "-"??_);_(@_)</c:formatCode>
                <c:ptCount val="36"/>
                <c:pt idx="0">
                  <c:v>3</c:v>
                </c:pt>
                <c:pt idx="1">
                  <c:v>17</c:v>
                </c:pt>
                <c:pt idx="2">
                  <c:v>18</c:v>
                </c:pt>
                <c:pt idx="3">
                  <c:v>26</c:v>
                </c:pt>
                <c:pt idx="4">
                  <c:v>53</c:v>
                </c:pt>
                <c:pt idx="5">
                  <c:v>72</c:v>
                </c:pt>
                <c:pt idx="6">
                  <c:v>79</c:v>
                </c:pt>
                <c:pt idx="7">
                  <c:v>89</c:v>
                </c:pt>
                <c:pt idx="8">
                  <c:v>104</c:v>
                </c:pt>
                <c:pt idx="9">
                  <c:v>119</c:v>
                </c:pt>
                <c:pt idx="10">
                  <c:v>134</c:v>
                </c:pt>
                <c:pt idx="11">
                  <c:v>137</c:v>
                </c:pt>
                <c:pt idx="12">
                  <c:v>182</c:v>
                </c:pt>
                <c:pt idx="13">
                  <c:v>244</c:v>
                </c:pt>
                <c:pt idx="14">
                  <c:v>251.1</c:v>
                </c:pt>
                <c:pt idx="15">
                  <c:v>332.8</c:v>
                </c:pt>
                <c:pt idx="16">
                  <c:v>440.6</c:v>
                </c:pt>
                <c:pt idx="17">
                  <c:v>557.1</c:v>
                </c:pt>
                <c:pt idx="18">
                  <c:v>754.9</c:v>
                </c:pt>
                <c:pt idx="19">
                  <c:v>948</c:v>
                </c:pt>
                <c:pt idx="20">
                  <c:v>1063.9000000000001</c:v>
                </c:pt>
                <c:pt idx="21">
                  <c:v>1076.5</c:v>
                </c:pt>
                <c:pt idx="22">
                  <c:v>1155.7</c:v>
                </c:pt>
                <c:pt idx="23">
                  <c:v>1177.4000000000001</c:v>
                </c:pt>
                <c:pt idx="24">
                  <c:v>1359.5</c:v>
                </c:pt>
                <c:pt idx="25">
                  <c:v>1756.9</c:v>
                </c:pt>
                <c:pt idx="26">
                  <c:v>2039.5</c:v>
                </c:pt>
                <c:pt idx="27">
                  <c:v>2335</c:v>
                </c:pt>
                <c:pt idx="28">
                  <c:v>2477.8000000000002</c:v>
                </c:pt>
                <c:pt idx="29">
                  <c:v>2577.4</c:v>
                </c:pt>
                <c:pt idx="30">
                  <c:v>2734.1</c:v>
                </c:pt>
                <c:pt idx="31">
                  <c:v>2886.3</c:v>
                </c:pt>
                <c:pt idx="32">
                  <c:v>3021.3</c:v>
                </c:pt>
                <c:pt idx="33">
                  <c:v>3144</c:v>
                </c:pt>
                <c:pt idx="34">
                  <c:v>3340.1</c:v>
                </c:pt>
                <c:pt idx="35">
                  <c:v>3407.6</c:v>
                </c:pt>
              </c:numCache>
            </c:numRef>
          </c:val>
        </c:ser>
        <c:ser>
          <c:idx val="2"/>
          <c:order val="2"/>
          <c:tx>
            <c:strRef>
              <c:f>'12_Cumulative'!$A$6</c:f>
              <c:strCache>
                <c:ptCount val="1"/>
                <c:pt idx="0">
                  <c:v>Reimbursable Expenses</c:v>
                </c:pt>
              </c:strCache>
            </c:strRef>
          </c:tx>
          <c:spPr>
            <a:solidFill>
              <a:srgbClr val="9BBB59"/>
            </a:solidFill>
            <a:ln>
              <a:noFill/>
            </a:ln>
            <a:effectLst/>
          </c:spPr>
          <c:cat>
            <c:numRef>
              <c:f>'12_Cumulative'!$C$3:$AL$3</c:f>
              <c:numCache>
                <c:formatCode>General</c:formatCode>
                <c:ptCount val="36"/>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numCache>
            </c:numRef>
          </c:cat>
          <c:val>
            <c:numRef>
              <c:f>'12_Cumulative'!$C$6:$AL$6</c:f>
              <c:numCache>
                <c:formatCode>_(* #,##0.0_);_(* \(#,##0.0\);_(* "-"??_);_(@_)</c:formatCode>
                <c:ptCount val="36"/>
                <c:pt idx="0">
                  <c:v>21</c:v>
                </c:pt>
                <c:pt idx="1">
                  <c:v>32.5</c:v>
                </c:pt>
                <c:pt idx="2">
                  <c:v>46.7</c:v>
                </c:pt>
                <c:pt idx="3">
                  <c:v>62.7</c:v>
                </c:pt>
                <c:pt idx="4">
                  <c:v>82.6</c:v>
                </c:pt>
                <c:pt idx="5">
                  <c:v>106.3</c:v>
                </c:pt>
                <c:pt idx="6">
                  <c:v>136</c:v>
                </c:pt>
                <c:pt idx="7">
                  <c:v>155</c:v>
                </c:pt>
                <c:pt idx="8">
                  <c:v>178.6</c:v>
                </c:pt>
                <c:pt idx="9">
                  <c:v>202</c:v>
                </c:pt>
                <c:pt idx="10">
                  <c:v>226.3</c:v>
                </c:pt>
                <c:pt idx="11">
                  <c:v>254.7</c:v>
                </c:pt>
                <c:pt idx="12">
                  <c:v>285.2</c:v>
                </c:pt>
                <c:pt idx="13">
                  <c:v>320.10000000000002</c:v>
                </c:pt>
                <c:pt idx="14">
                  <c:v>356.2</c:v>
                </c:pt>
                <c:pt idx="15">
                  <c:v>391.6</c:v>
                </c:pt>
                <c:pt idx="16">
                  <c:v>427.5</c:v>
                </c:pt>
                <c:pt idx="17">
                  <c:v>463.9</c:v>
                </c:pt>
                <c:pt idx="18">
                  <c:v>502.8</c:v>
                </c:pt>
                <c:pt idx="19">
                  <c:v>540.4</c:v>
                </c:pt>
                <c:pt idx="20">
                  <c:v>582.9</c:v>
                </c:pt>
                <c:pt idx="21">
                  <c:v>633.79999999999995</c:v>
                </c:pt>
                <c:pt idx="22">
                  <c:v>686.4</c:v>
                </c:pt>
                <c:pt idx="23">
                  <c:v>743.6</c:v>
                </c:pt>
                <c:pt idx="24">
                  <c:v>801.5</c:v>
                </c:pt>
                <c:pt idx="25">
                  <c:v>862.2</c:v>
                </c:pt>
                <c:pt idx="26">
                  <c:v>922.5</c:v>
                </c:pt>
                <c:pt idx="27">
                  <c:v>984.7</c:v>
                </c:pt>
                <c:pt idx="28">
                  <c:v>1049</c:v>
                </c:pt>
                <c:pt idx="29">
                  <c:v>1114</c:v>
                </c:pt>
                <c:pt idx="30">
                  <c:v>1188.3</c:v>
                </c:pt>
                <c:pt idx="31">
                  <c:v>1261.3</c:v>
                </c:pt>
                <c:pt idx="32">
                  <c:v>1344.7</c:v>
                </c:pt>
                <c:pt idx="33">
                  <c:v>1435</c:v>
                </c:pt>
                <c:pt idx="34">
                  <c:v>1515</c:v>
                </c:pt>
                <c:pt idx="35">
                  <c:v>1603.2</c:v>
                </c:pt>
              </c:numCache>
            </c:numRef>
          </c:val>
        </c:ser>
        <c:ser>
          <c:idx val="3"/>
          <c:order val="3"/>
          <c:tx>
            <c:strRef>
              <c:f>'12_Cumulative'!$A$7</c:f>
              <c:strCache>
                <c:ptCount val="1"/>
                <c:pt idx="0">
                  <c:v>Direct Program</c:v>
                </c:pt>
              </c:strCache>
            </c:strRef>
          </c:tx>
          <c:spPr>
            <a:solidFill>
              <a:srgbClr val="8064A2"/>
            </a:solidFill>
            <a:ln>
              <a:noFill/>
            </a:ln>
            <a:effectLst/>
          </c:spPr>
          <c:cat>
            <c:numRef>
              <c:f>'12_Cumulative'!$C$3:$AL$3</c:f>
              <c:numCache>
                <c:formatCode>General</c:formatCode>
                <c:ptCount val="36"/>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numCache>
            </c:numRef>
          </c:cat>
          <c:val>
            <c:numRef>
              <c:f>'12_Cumulative'!$C$7:$AL$7</c:f>
              <c:numCache>
                <c:formatCode>_(* #,##0.0_);_(* \(#,##0.0\);_(* "-"??_);_(@_)</c:formatCode>
                <c:ptCount val="36"/>
                <c:pt idx="0">
                  <c:v>4.5999999999999996</c:v>
                </c:pt>
                <c:pt idx="1">
                  <c:v>9.1999999999999993</c:v>
                </c:pt>
                <c:pt idx="2">
                  <c:v>18.3</c:v>
                </c:pt>
                <c:pt idx="3">
                  <c:v>37.9</c:v>
                </c:pt>
                <c:pt idx="4">
                  <c:v>53.8</c:v>
                </c:pt>
                <c:pt idx="5">
                  <c:v>73.400000000000006</c:v>
                </c:pt>
                <c:pt idx="6">
                  <c:v>95.6</c:v>
                </c:pt>
                <c:pt idx="7">
                  <c:v>114.4</c:v>
                </c:pt>
                <c:pt idx="8">
                  <c:v>137.4</c:v>
                </c:pt>
                <c:pt idx="9">
                  <c:v>170.2</c:v>
                </c:pt>
                <c:pt idx="10">
                  <c:v>203.2</c:v>
                </c:pt>
                <c:pt idx="11">
                  <c:v>270.2</c:v>
                </c:pt>
                <c:pt idx="12">
                  <c:v>319.8</c:v>
                </c:pt>
                <c:pt idx="13">
                  <c:v>375.7</c:v>
                </c:pt>
                <c:pt idx="14">
                  <c:v>447.1</c:v>
                </c:pt>
                <c:pt idx="15">
                  <c:v>515.6</c:v>
                </c:pt>
                <c:pt idx="16">
                  <c:v>597.79999999999995</c:v>
                </c:pt>
                <c:pt idx="17">
                  <c:v>702.7</c:v>
                </c:pt>
                <c:pt idx="18">
                  <c:v>810.9</c:v>
                </c:pt>
                <c:pt idx="19">
                  <c:v>919.1</c:v>
                </c:pt>
                <c:pt idx="20">
                  <c:v>1020.2</c:v>
                </c:pt>
                <c:pt idx="21">
                  <c:v>1157.3</c:v>
                </c:pt>
                <c:pt idx="22">
                  <c:v>1298</c:v>
                </c:pt>
                <c:pt idx="23">
                  <c:v>1435.9</c:v>
                </c:pt>
                <c:pt idx="24">
                  <c:v>1571.7</c:v>
                </c:pt>
                <c:pt idx="25">
                  <c:v>1709.3</c:v>
                </c:pt>
                <c:pt idx="26">
                  <c:v>1848.8</c:v>
                </c:pt>
                <c:pt idx="27">
                  <c:v>1998</c:v>
                </c:pt>
                <c:pt idx="28">
                  <c:v>2175.9</c:v>
                </c:pt>
                <c:pt idx="29">
                  <c:v>2375.5</c:v>
                </c:pt>
                <c:pt idx="30">
                  <c:v>2596.6</c:v>
                </c:pt>
                <c:pt idx="31">
                  <c:v>2845.5</c:v>
                </c:pt>
                <c:pt idx="32">
                  <c:v>3084.2</c:v>
                </c:pt>
                <c:pt idx="33">
                  <c:v>3316</c:v>
                </c:pt>
                <c:pt idx="34">
                  <c:v>3574.5</c:v>
                </c:pt>
                <c:pt idx="35">
                  <c:v>3832.6</c:v>
                </c:pt>
              </c:numCache>
            </c:numRef>
          </c:val>
        </c:ser>
        <c:ser>
          <c:idx val="4"/>
          <c:order val="4"/>
          <c:tx>
            <c:strRef>
              <c:f>'12_Cumulative'!$A$8</c:f>
              <c:strCache>
                <c:ptCount val="1"/>
                <c:pt idx="0">
                  <c:v>Fixed Expenses</c:v>
                </c:pt>
              </c:strCache>
            </c:strRef>
          </c:tx>
          <c:spPr>
            <a:solidFill>
              <a:srgbClr val="4BACC6"/>
            </a:solidFill>
            <a:ln>
              <a:noFill/>
            </a:ln>
            <a:effectLst/>
          </c:spPr>
          <c:cat>
            <c:numRef>
              <c:f>'12_Cumulative'!$C$3:$AL$3</c:f>
              <c:numCache>
                <c:formatCode>General</c:formatCode>
                <c:ptCount val="36"/>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numCache>
            </c:numRef>
          </c:cat>
          <c:val>
            <c:numRef>
              <c:f>'12_Cumulative'!$C$8:$AL$8</c:f>
              <c:numCache>
                <c:formatCode>_(* #,##0.0_);_(* \(#,##0.0\);_(* "-"??_);_(@_)</c:formatCode>
                <c:ptCount val="36"/>
                <c:pt idx="0">
                  <c:v>32.799999999999997</c:v>
                </c:pt>
                <c:pt idx="1">
                  <c:v>61.1</c:v>
                </c:pt>
                <c:pt idx="2">
                  <c:v>77</c:v>
                </c:pt>
                <c:pt idx="3">
                  <c:v>93.6</c:v>
                </c:pt>
                <c:pt idx="4">
                  <c:v>113.8</c:v>
                </c:pt>
                <c:pt idx="5">
                  <c:v>135.4</c:v>
                </c:pt>
                <c:pt idx="6">
                  <c:v>163.9</c:v>
                </c:pt>
                <c:pt idx="7">
                  <c:v>194.9</c:v>
                </c:pt>
                <c:pt idx="8">
                  <c:v>226.8</c:v>
                </c:pt>
                <c:pt idx="9">
                  <c:v>261.10000000000002</c:v>
                </c:pt>
                <c:pt idx="10">
                  <c:v>299.3</c:v>
                </c:pt>
                <c:pt idx="11">
                  <c:v>341.2</c:v>
                </c:pt>
                <c:pt idx="12">
                  <c:v>394.8</c:v>
                </c:pt>
                <c:pt idx="13">
                  <c:v>456.1</c:v>
                </c:pt>
                <c:pt idx="14">
                  <c:v>519.70000000000005</c:v>
                </c:pt>
                <c:pt idx="15">
                  <c:v>592.79999999999995</c:v>
                </c:pt>
                <c:pt idx="16">
                  <c:v>669.1</c:v>
                </c:pt>
                <c:pt idx="17">
                  <c:v>743.2</c:v>
                </c:pt>
                <c:pt idx="18">
                  <c:v>819.3</c:v>
                </c:pt>
                <c:pt idx="19">
                  <c:v>895.6</c:v>
                </c:pt>
                <c:pt idx="20">
                  <c:v>973.8</c:v>
                </c:pt>
                <c:pt idx="21">
                  <c:v>1052</c:v>
                </c:pt>
                <c:pt idx="22">
                  <c:v>1132.5</c:v>
                </c:pt>
                <c:pt idx="23">
                  <c:v>1217.9000000000001</c:v>
                </c:pt>
                <c:pt idx="24">
                  <c:v>1307.5999999999999</c:v>
                </c:pt>
                <c:pt idx="25">
                  <c:v>1395.1</c:v>
                </c:pt>
                <c:pt idx="26">
                  <c:v>1508</c:v>
                </c:pt>
                <c:pt idx="27">
                  <c:v>1620.9</c:v>
                </c:pt>
                <c:pt idx="28">
                  <c:v>1740.9</c:v>
                </c:pt>
                <c:pt idx="29">
                  <c:v>1863.9</c:v>
                </c:pt>
                <c:pt idx="30">
                  <c:v>1991.1</c:v>
                </c:pt>
                <c:pt idx="31">
                  <c:v>2122.6</c:v>
                </c:pt>
                <c:pt idx="32">
                  <c:v>2253.6999999999998</c:v>
                </c:pt>
                <c:pt idx="33">
                  <c:v>2395</c:v>
                </c:pt>
                <c:pt idx="34">
                  <c:v>2557.9</c:v>
                </c:pt>
                <c:pt idx="35">
                  <c:v>2706.1</c:v>
                </c:pt>
              </c:numCache>
            </c:numRef>
          </c:val>
        </c:ser>
        <c:dLbls>
          <c:showLegendKey val="0"/>
          <c:showVal val="0"/>
          <c:showCatName val="0"/>
          <c:showSerName val="0"/>
          <c:showPercent val="0"/>
          <c:showBubbleSize val="0"/>
        </c:dLbls>
        <c:axId val="483682904"/>
        <c:axId val="483683296"/>
      </c:areaChart>
      <c:catAx>
        <c:axId val="483682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3296"/>
        <c:crosses val="autoZero"/>
        <c:auto val="1"/>
        <c:lblAlgn val="ctr"/>
        <c:lblOffset val="100"/>
        <c:noMultiLvlLbl val="0"/>
      </c:catAx>
      <c:valAx>
        <c:axId val="483683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(Billions)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2904"/>
        <c:crosses val="autoZero"/>
        <c:crossBetween val="midCat"/>
      </c:valAx>
      <c:spPr>
        <a:noFill/>
        <a:ln>
          <a:noFill/>
        </a:ln>
        <a:effectLst/>
      </c:spPr>
    </c:plotArea>
    <c:legend>
      <c:legendPos val="b"/>
      <c:layout>
        <c:manualLayout>
          <c:xMode val="edge"/>
          <c:yMode val="edge"/>
          <c:x val="0.20807984800716478"/>
          <c:y val="5.7048944676536463E-2"/>
          <c:w val="0.34189400881102877"/>
          <c:h val="0.30073426640740808"/>
        </c:manualLayout>
      </c:layout>
      <c:overlay val="1"/>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67379319038"/>
          <c:y val="3.5859820700896494E-2"/>
          <c:w val="0.87779334245867058"/>
          <c:h val="0.86161656411805998"/>
        </c:manualLayout>
      </c:layout>
      <c:barChart>
        <c:barDir val="col"/>
        <c:grouping val="clustered"/>
        <c:varyColors val="0"/>
        <c:ser>
          <c:idx val="0"/>
          <c:order val="0"/>
          <c:spPr>
            <a:solidFill>
              <a:schemeClr val="accent1"/>
            </a:solidFill>
            <a:ln w="25400">
              <a:noFill/>
            </a:ln>
            <a:effectLst/>
          </c:spPr>
          <c:invertIfNegative val="0"/>
          <c:cat>
            <c:numRef>
              <c:f>'12_Cumulative'!$C$3:$AL$3</c:f>
              <c:numCache>
                <c:formatCode>General</c:formatCode>
                <c:ptCount val="36"/>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numCache>
            </c:numRef>
          </c:cat>
          <c:val>
            <c:numRef>
              <c:f>'12_Cumulative'!$C$12:$AL$12</c:f>
              <c:numCache>
                <c:formatCode>_(* #,##0.00_);_(* \(#,##0.00\);_(* "-"??_);_(@_)</c:formatCode>
                <c:ptCount val="36"/>
                <c:pt idx="0">
                  <c:v>2.2999999999999998</c:v>
                </c:pt>
                <c:pt idx="1">
                  <c:v>4.5999999999999996</c:v>
                </c:pt>
                <c:pt idx="2">
                  <c:v>9.1000000000000014</c:v>
                </c:pt>
                <c:pt idx="3">
                  <c:v>19.599999999999998</c:v>
                </c:pt>
                <c:pt idx="4">
                  <c:v>15.899999999999999</c:v>
                </c:pt>
                <c:pt idx="5">
                  <c:v>19.600000000000009</c:v>
                </c:pt>
                <c:pt idx="6">
                  <c:v>22.199999999999989</c:v>
                </c:pt>
                <c:pt idx="7">
                  <c:v>18.800000000000011</c:v>
                </c:pt>
                <c:pt idx="8">
                  <c:v>23</c:v>
                </c:pt>
                <c:pt idx="9">
                  <c:v>32.799999999999983</c:v>
                </c:pt>
                <c:pt idx="10">
                  <c:v>33</c:v>
                </c:pt>
                <c:pt idx="11">
                  <c:v>67</c:v>
                </c:pt>
                <c:pt idx="12">
                  <c:v>49.600000000000023</c:v>
                </c:pt>
                <c:pt idx="13">
                  <c:v>55.899999999999977</c:v>
                </c:pt>
                <c:pt idx="14">
                  <c:v>71.400000000000034</c:v>
                </c:pt>
                <c:pt idx="15">
                  <c:v>68.5</c:v>
                </c:pt>
                <c:pt idx="16">
                  <c:v>82.199999999999932</c:v>
                </c:pt>
                <c:pt idx="17">
                  <c:v>104.90000000000009</c:v>
                </c:pt>
                <c:pt idx="18">
                  <c:v>108.19999999999993</c:v>
                </c:pt>
                <c:pt idx="19">
                  <c:v>108.20000000000005</c:v>
                </c:pt>
                <c:pt idx="20">
                  <c:v>101.10000000000002</c:v>
                </c:pt>
                <c:pt idx="21">
                  <c:v>137.09999999999991</c:v>
                </c:pt>
                <c:pt idx="22">
                  <c:v>140.70000000000005</c:v>
                </c:pt>
                <c:pt idx="23">
                  <c:v>137.90000000000009</c:v>
                </c:pt>
                <c:pt idx="24">
                  <c:v>135.79999999999995</c:v>
                </c:pt>
                <c:pt idx="25">
                  <c:v>137.59999999999991</c:v>
                </c:pt>
                <c:pt idx="26">
                  <c:v>139.5</c:v>
                </c:pt>
                <c:pt idx="27">
                  <c:v>149.20000000000005</c:v>
                </c:pt>
                <c:pt idx="28">
                  <c:v>177.90000000000009</c:v>
                </c:pt>
                <c:pt idx="29">
                  <c:v>199.59999999999991</c:v>
                </c:pt>
                <c:pt idx="30">
                  <c:v>221.09999999999991</c:v>
                </c:pt>
                <c:pt idx="31">
                  <c:v>248.90000000000009</c:v>
                </c:pt>
                <c:pt idx="32">
                  <c:v>238.69999999999982</c:v>
                </c:pt>
                <c:pt idx="33">
                  <c:v>231.80000000000018</c:v>
                </c:pt>
                <c:pt idx="34">
                  <c:v>258.5</c:v>
                </c:pt>
                <c:pt idx="35">
                  <c:v>258.09999999999991</c:v>
                </c:pt>
              </c:numCache>
            </c:numRef>
          </c:val>
        </c:ser>
        <c:dLbls>
          <c:showLegendKey val="0"/>
          <c:showVal val="0"/>
          <c:showCatName val="0"/>
          <c:showSerName val="0"/>
          <c:showPercent val="0"/>
          <c:showBubbleSize val="0"/>
        </c:dLbls>
        <c:gapWidth val="150"/>
        <c:axId val="625337248"/>
        <c:axId val="625337640"/>
      </c:barChart>
      <c:catAx>
        <c:axId val="6253372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5337640"/>
        <c:crosses val="autoZero"/>
        <c:auto val="1"/>
        <c:lblAlgn val="ctr"/>
        <c:lblOffset val="100"/>
        <c:noMultiLvlLbl val="0"/>
      </c:catAx>
      <c:valAx>
        <c:axId val="625337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5337248"/>
        <c:crosses val="autoZero"/>
        <c:crossBetween val="between"/>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97355961978856231"/>
          <c:h val="0.95909422710705128"/>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dPt>
          <c:dPt>
            <c:idx val="1"/>
            <c:bubble3D val="0"/>
            <c:spPr>
              <a:solidFill>
                <a:schemeClr val="bg1">
                  <a:lumMod val="65000"/>
                </a:schemeClr>
              </a:solidFill>
              <a:effectLst>
                <a:outerShdw blurRad="50800" dist="38100" dir="2700000" algn="tl" rotWithShape="0">
                  <a:prstClr val="black">
                    <a:alpha val="40000"/>
                  </a:prstClr>
                </a:outerShdw>
              </a:effectLst>
            </c:spPr>
          </c:dPt>
          <c:dPt>
            <c:idx val="2"/>
            <c:bubble3D val="0"/>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dPt>
          <c:dPt>
            <c:idx val="6"/>
            <c:bubble3D val="0"/>
            <c:spPr>
              <a:solidFill>
                <a:schemeClr val="bg2">
                  <a:lumMod val="50000"/>
                </a:schemeClr>
              </a:solidFill>
              <a:effectLst>
                <a:outerShdw blurRad="50800" dist="38100" dir="2700000" algn="tl" rotWithShape="0">
                  <a:prstClr val="black">
                    <a:alpha val="40000"/>
                  </a:prstClr>
                </a:outerShdw>
              </a:effectLst>
            </c:spPr>
          </c:dPt>
          <c:dLbls>
            <c:dLbl>
              <c:idx val="0"/>
              <c:layout>
                <c:manualLayout>
                  <c:x val="-0.17993872279909234"/>
                  <c:y val="-0.17573434683508365"/>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1"/>
              <c:layout>
                <c:manualLayout>
                  <c:x val="8.5034482385315815E-2"/>
                  <c:y val="-6.6119787860855761E-3"/>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2"/>
              <c:layout>
                <c:manualLayout>
                  <c:x val="0.14473256579979293"/>
                  <c:y val="0.1183546378439229"/>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3"/>
              <c:layout>
                <c:manualLayout>
                  <c:x val="0.10152078082626982"/>
                  <c:y val="7.5664811527259693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4"/>
              <c:layout>
                <c:manualLayout>
                  <c:x val="9.8877342934363843E-2"/>
                  <c:y val="0.10504377646224888"/>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5"/>
              <c:layout>
                <c:manualLayout>
                  <c:x val="5.1961478792846072E-2"/>
                  <c:y val="0.10466195375213147"/>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6"/>
              <c:layout>
                <c:manualLayout>
                  <c:x val="2.227195113621952E-2"/>
                  <c:y val="9.4337797191409556E-2"/>
                </c:manualLayout>
              </c:layout>
              <c:showLegendKey val="0"/>
              <c:showVal val="1"/>
              <c:showCatName val="1"/>
              <c:showSerName val="0"/>
              <c:showPercent val="0"/>
              <c:showBubbleSize val="0"/>
              <c:separator>
</c:separator>
              <c:extLst>
                <c:ext xmlns:c15="http://schemas.microsoft.com/office/drawing/2012/chart" uri="{CE6537A1-D6FC-4f65-9D91-7224C49458BB}"/>
              </c:extLst>
            </c:dLbl>
            <c:numFmt formatCode="&quot;$&quot;#,,\ &quot;million&quot;"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'2_SpeciesType'!$A$32:$A$35</c:f>
              <c:strCache>
                <c:ptCount val="4"/>
                <c:pt idx="0">
                  <c:v>Anadromous Fish</c:v>
                </c:pt>
                <c:pt idx="1">
                  <c:v>Resident Fish</c:v>
                </c:pt>
                <c:pt idx="2">
                  <c:v>Wildlife</c:v>
                </c:pt>
                <c:pt idx="3">
                  <c:v>Program Support</c:v>
                </c:pt>
              </c:strCache>
            </c:strRef>
          </c:cat>
          <c:val>
            <c:numRef>
              <c:f>'2_SpeciesType'!$B$32:$B$35</c:f>
              <c:numCache>
                <c:formatCode>"$"#,##0</c:formatCode>
                <c:ptCount val="4"/>
                <c:pt idx="0">
                  <c:v>192011697</c:v>
                </c:pt>
                <c:pt idx="1">
                  <c:v>45476702</c:v>
                </c:pt>
                <c:pt idx="2">
                  <c:v>23068495</c:v>
                </c:pt>
                <c:pt idx="3">
                  <c:v>13615279.620000001</c:v>
                </c:pt>
              </c:numCache>
            </c:numRef>
          </c:val>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797519336631601"/>
          <c:y val="4.6024135251250015E-2"/>
          <c:w val="0.82606610456878748"/>
          <c:h val="0.84602442851068216"/>
        </c:manualLayout>
      </c:layout>
      <c:barChart>
        <c:barDir val="col"/>
        <c:grouping val="stacked"/>
        <c:varyColors val="0"/>
        <c:ser>
          <c:idx val="0"/>
          <c:order val="0"/>
          <c:tx>
            <c:strRef>
              <c:f>'3_FCRPS'!$A$3</c:f>
              <c:strCache>
                <c:ptCount val="1"/>
                <c:pt idx="0">
                  <c:v>Expense</c:v>
                </c:pt>
              </c:strCache>
            </c:strRef>
          </c:tx>
          <c:spPr>
            <a:effectLst>
              <a:outerShdw blurRad="50800" dist="38100" algn="l" rotWithShape="0">
                <a:prstClr val="black">
                  <a:alpha val="40000"/>
                </a:prstClr>
              </a:outerShdw>
            </a:effectLst>
          </c:spPr>
          <c:invertIfNegative val="0"/>
          <c:dLbls>
            <c:numFmt formatCode="&quot;$&quot;#,," sourceLinked="0"/>
            <c:spPr>
              <a:solidFill>
                <a:sysClr val="window" lastClr="FFFFFF">
                  <a:alpha val="63000"/>
                </a:sysClr>
              </a:solidFill>
            </c:spPr>
            <c:txPr>
              <a:bodyPr/>
              <a:lstStyle/>
              <a:p>
                <a:pPr>
                  <a:defRPr sz="1200">
                    <a:solidFill>
                      <a:schemeClr val="bg1">
                        <a:lumMod val="50000"/>
                      </a:schemeClr>
                    </a:solidFill>
                    <a:latin typeface="Century Gothic"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'3_FCRPS'!$B$8:$I$8</c:f>
              <c:strCache>
                <c:ptCount val="8"/>
                <c:pt idx="0">
                  <c:v>2009</c:v>
                </c:pt>
                <c:pt idx="1">
                  <c:v>2010</c:v>
                </c:pt>
                <c:pt idx="2">
                  <c:v>2011</c:v>
                </c:pt>
                <c:pt idx="3">
                  <c:v>2012</c:v>
                </c:pt>
                <c:pt idx="4">
                  <c:v>2013</c:v>
                </c:pt>
                <c:pt idx="5">
                  <c:v>2014</c:v>
                </c:pt>
                <c:pt idx="6">
                  <c:v>2015</c:v>
                </c:pt>
                <c:pt idx="7">
                  <c:v>2016</c:v>
                </c:pt>
              </c:strCache>
            </c:strRef>
          </c:cat>
          <c:val>
            <c:numRef>
              <c:f>'3_FCRPS'!$B$3:$I$3</c:f>
              <c:numCache>
                <c:formatCode>"$"#,##0</c:formatCode>
                <c:ptCount val="8"/>
                <c:pt idx="0">
                  <c:v>113900603</c:v>
                </c:pt>
                <c:pt idx="1">
                  <c:v>129758323</c:v>
                </c:pt>
                <c:pt idx="2">
                  <c:v>143477289</c:v>
                </c:pt>
                <c:pt idx="3">
                  <c:v>162060445</c:v>
                </c:pt>
                <c:pt idx="4">
                  <c:v>151177409</c:v>
                </c:pt>
                <c:pt idx="5">
                  <c:v>143128947.90000001</c:v>
                </c:pt>
                <c:pt idx="6">
                  <c:v>165362220.78999999</c:v>
                </c:pt>
                <c:pt idx="7">
                  <c:v>159987743.56999999</c:v>
                </c:pt>
              </c:numCache>
            </c:numRef>
          </c:val>
        </c:ser>
        <c:ser>
          <c:idx val="1"/>
          <c:order val="1"/>
          <c:tx>
            <c:strRef>
              <c:f>'3_FCRPS'!$A$4</c:f>
              <c:strCache>
                <c:ptCount val="1"/>
                <c:pt idx="0">
                  <c:v>Capital</c:v>
                </c:pt>
              </c:strCache>
            </c:strRef>
          </c:tx>
          <c:spPr>
            <a:effectLst>
              <a:outerShdw blurRad="50800" dist="38100" algn="l" rotWithShape="0">
                <a:prstClr val="black">
                  <a:alpha val="40000"/>
                </a:prstClr>
              </a:outerShdw>
            </a:effectLst>
          </c:spPr>
          <c:invertIfNegative val="0"/>
          <c:dLbls>
            <c:dLbl>
              <c:idx val="0"/>
              <c:layout>
                <c:manualLayout>
                  <c:x val="0"/>
                  <c:y val="-5.0482553823311106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2666659499563759E-3"/>
                  <c:y val="-7.1269721574335504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8.3147735708982956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8.9086859688196018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8.3147735708982998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7.8221305463337962E-17"/>
                  <c:y val="-4.4543429844097995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5.3452115812917596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0"/>
                  <c:y val="-2.6726057906458798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numFmt formatCode="&quot;$&quot;#,," sourceLinked="0"/>
            <c:spPr>
              <a:noFill/>
              <a:ln>
                <a:noFill/>
              </a:ln>
              <a:effectLst/>
            </c:spPr>
            <c:txPr>
              <a:bodyPr/>
              <a:lstStyle/>
              <a:p>
                <a:pPr>
                  <a:defRPr sz="1200">
                    <a:solidFill>
                      <a:schemeClr val="bg1">
                        <a:lumMod val="50000"/>
                      </a:schemeClr>
                    </a:solidFill>
                    <a:latin typeface="Century Gothic"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'3_FCRPS'!$B$8:$I$8</c:f>
              <c:strCache>
                <c:ptCount val="8"/>
                <c:pt idx="0">
                  <c:v>2009</c:v>
                </c:pt>
                <c:pt idx="1">
                  <c:v>2010</c:v>
                </c:pt>
                <c:pt idx="2">
                  <c:v>2011</c:v>
                </c:pt>
                <c:pt idx="3">
                  <c:v>2012</c:v>
                </c:pt>
                <c:pt idx="4">
                  <c:v>2013</c:v>
                </c:pt>
                <c:pt idx="5">
                  <c:v>2014</c:v>
                </c:pt>
                <c:pt idx="6">
                  <c:v>2015</c:v>
                </c:pt>
                <c:pt idx="7">
                  <c:v>2016</c:v>
                </c:pt>
              </c:strCache>
            </c:strRef>
          </c:cat>
          <c:val>
            <c:numRef>
              <c:f>'3_FCRPS'!$B$4:$I$4</c:f>
              <c:numCache>
                <c:formatCode>"$"#,##0</c:formatCode>
                <c:ptCount val="8"/>
                <c:pt idx="0">
                  <c:v>11668863</c:v>
                </c:pt>
                <c:pt idx="1">
                  <c:v>21761323</c:v>
                </c:pt>
                <c:pt idx="2">
                  <c:v>31297548</c:v>
                </c:pt>
                <c:pt idx="3">
                  <c:v>29240867</c:v>
                </c:pt>
                <c:pt idx="4">
                  <c:v>29683425</c:v>
                </c:pt>
                <c:pt idx="5">
                  <c:v>5925196.1100000003</c:v>
                </c:pt>
                <c:pt idx="6">
                  <c:v>7703153.2699999996</c:v>
                </c:pt>
                <c:pt idx="7">
                  <c:v>1249955.1399999999</c:v>
                </c:pt>
              </c:numCache>
            </c:numRef>
          </c:val>
        </c:ser>
        <c:dLbls>
          <c:showLegendKey val="0"/>
          <c:showVal val="0"/>
          <c:showCatName val="0"/>
          <c:showSerName val="0"/>
          <c:showPercent val="0"/>
          <c:showBubbleSize val="0"/>
        </c:dLbls>
        <c:gapWidth val="76"/>
        <c:overlap val="100"/>
        <c:axId val="483676240"/>
        <c:axId val="483676632"/>
      </c:barChart>
      <c:catAx>
        <c:axId val="483676240"/>
        <c:scaling>
          <c:orientation val="minMax"/>
        </c:scaling>
        <c:delete val="0"/>
        <c:axPos val="b"/>
        <c:numFmt formatCode="General" sourceLinked="1"/>
        <c:majorTickMark val="out"/>
        <c:minorTickMark val="none"/>
        <c:tickLblPos val="nextTo"/>
        <c:txPr>
          <a:bodyPr/>
          <a:lstStyle/>
          <a:p>
            <a:pPr>
              <a:defRPr sz="1200">
                <a:solidFill>
                  <a:schemeClr val="bg1">
                    <a:lumMod val="50000"/>
                  </a:schemeClr>
                </a:solidFill>
                <a:latin typeface="Century Gothic" pitchFamily="34" charset="0"/>
              </a:defRPr>
            </a:pPr>
            <a:endParaRPr lang="en-US"/>
          </a:p>
        </c:txPr>
        <c:crossAx val="483676632"/>
        <c:crosses val="autoZero"/>
        <c:auto val="1"/>
        <c:lblAlgn val="ctr"/>
        <c:lblOffset val="100"/>
        <c:noMultiLvlLbl val="0"/>
      </c:catAx>
      <c:valAx>
        <c:axId val="483676632"/>
        <c:scaling>
          <c:orientation val="minMax"/>
        </c:scaling>
        <c:delete val="0"/>
        <c:axPos val="l"/>
        <c:majorGridlines>
          <c:spPr>
            <a:ln>
              <a:solidFill>
                <a:schemeClr val="bg1">
                  <a:lumMod val="65000"/>
                </a:schemeClr>
              </a:solidFill>
            </a:ln>
          </c:spPr>
        </c:majorGridlines>
        <c:title>
          <c:tx>
            <c:rich>
              <a:bodyPr rot="-5400000" vert="horz"/>
              <a:lstStyle/>
              <a:p>
                <a:pPr>
                  <a:defRPr/>
                </a:pPr>
                <a:r>
                  <a:rPr lang="en-US" sz="1200" b="0">
                    <a:solidFill>
                      <a:schemeClr val="bg1">
                        <a:lumMod val="50000"/>
                      </a:schemeClr>
                    </a:solidFill>
                    <a:latin typeface="Century Gothic" pitchFamily="34" charset="0"/>
                  </a:rPr>
                  <a:t>(Millions)</a:t>
                </a:r>
              </a:p>
            </c:rich>
          </c:tx>
          <c:layout/>
          <c:overlay val="0"/>
        </c:title>
        <c:numFmt formatCode="&quot;$&quot;#,##0,," sourceLinked="0"/>
        <c:majorTickMark val="out"/>
        <c:minorTickMark val="none"/>
        <c:tickLblPos val="nextTo"/>
        <c:spPr>
          <a:ln>
            <a:solidFill>
              <a:schemeClr val="bg1">
                <a:lumMod val="65000"/>
              </a:schemeClr>
            </a:solidFill>
          </a:ln>
        </c:spPr>
        <c:txPr>
          <a:bodyPr/>
          <a:lstStyle/>
          <a:p>
            <a:pPr>
              <a:defRPr sz="1200">
                <a:solidFill>
                  <a:schemeClr val="bg1">
                    <a:lumMod val="50000"/>
                  </a:schemeClr>
                </a:solidFill>
                <a:latin typeface="Century Gothic" pitchFamily="34" charset="0"/>
              </a:defRPr>
            </a:pPr>
            <a:endParaRPr lang="en-US"/>
          </a:p>
        </c:txPr>
        <c:crossAx val="483676240"/>
        <c:crosses val="autoZero"/>
        <c:crossBetween val="between"/>
      </c:valAx>
    </c:plotArea>
    <c:legend>
      <c:legendPos val="l"/>
      <c:layout>
        <c:manualLayout>
          <c:xMode val="edge"/>
          <c:yMode val="edge"/>
          <c:x val="0.15811209439528029"/>
          <c:y val="6.7661402659863062E-2"/>
          <c:w val="0.3111032448377582"/>
          <c:h val="0.12407396002873947"/>
        </c:manualLayout>
      </c:layout>
      <c:overlay val="0"/>
      <c:txPr>
        <a:bodyPr/>
        <a:lstStyle/>
        <a:p>
          <a:pPr>
            <a:defRPr sz="1200">
              <a:solidFill>
                <a:schemeClr val="bg1">
                  <a:lumMod val="50000"/>
                </a:schemeClr>
              </a:solidFill>
              <a:latin typeface="Century Gothic"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775091735066583"/>
          <c:y val="1.1144733600781056E-2"/>
          <c:w val="0.59880164245374734"/>
          <c:h val="0.90996883140904061"/>
        </c:manualLayout>
      </c:layout>
      <c:barChart>
        <c:barDir val="bar"/>
        <c:grouping val="stacked"/>
        <c:varyColors val="0"/>
        <c:ser>
          <c:idx val="0"/>
          <c:order val="0"/>
          <c:tx>
            <c:v>Expense Total Spending</c:v>
          </c:tx>
          <c:spPr>
            <a:effectLst>
              <a:outerShdw blurRad="50800" dist="38100" dir="5400000" algn="t" rotWithShape="0">
                <a:prstClr val="black">
                  <a:alpha val="40000"/>
                </a:prstClr>
              </a:outerShdw>
            </a:effectLst>
          </c:spPr>
          <c:invertIfNegative val="0"/>
          <c:cat>
            <c:strRef>
              <c:f>'4_ESASpecies'!$A$3:$A$19</c:f>
              <c:strCache>
                <c:ptCount val="17"/>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(threatened)</c:v>
                </c:pt>
                <c:pt idx="12">
                  <c:v>Steelhead - Upper Willamette River DPS (threatened)</c:v>
                </c:pt>
                <c:pt idx="13">
                  <c:v>Chub, Oregon (endangered)</c:v>
                </c:pt>
                <c:pt idx="14">
                  <c:v>Cutthroat Trout, Lahontan (threatened)</c:v>
                </c:pt>
                <c:pt idx="15">
                  <c:v>Sturgeon, White - Kootenai River DPS (endangered)</c:v>
                </c:pt>
                <c:pt idx="16">
                  <c:v>Trout, Bull (threatened)</c:v>
                </c:pt>
              </c:strCache>
            </c:strRef>
          </c:cat>
          <c:val>
            <c:numRef>
              <c:f>'4_ESASpecies'!$D$3:$D$19</c:f>
              <c:numCache>
                <c:formatCode>"$"#,##0_);[Red]\("$"#,##0\)</c:formatCode>
                <c:ptCount val="17"/>
                <c:pt idx="0">
                  <c:v>7303827.6002874002</c:v>
                </c:pt>
                <c:pt idx="1">
                  <c:v>11623677.681475341</c:v>
                </c:pt>
                <c:pt idx="2">
                  <c:v>26087839.63133556</c:v>
                </c:pt>
                <c:pt idx="3">
                  <c:v>15320182.68465486</c:v>
                </c:pt>
                <c:pt idx="4">
                  <c:v>5693956.3788000504</c:v>
                </c:pt>
                <c:pt idx="5">
                  <c:v>4778083.0616537621</c:v>
                </c:pt>
                <c:pt idx="6">
                  <c:v>5278102.6554804016</c:v>
                </c:pt>
                <c:pt idx="7">
                  <c:v>8109668.7249763999</c:v>
                </c:pt>
                <c:pt idx="8">
                  <c:v>7000627.0418219399</c:v>
                </c:pt>
                <c:pt idx="9">
                  <c:v>40800584.437756598</c:v>
                </c:pt>
                <c:pt idx="10">
                  <c:v>26000208.786018729</c:v>
                </c:pt>
                <c:pt idx="11">
                  <c:v>14662432.9306162</c:v>
                </c:pt>
                <c:pt idx="12">
                  <c:v>4555270.5848924899</c:v>
                </c:pt>
                <c:pt idx="13">
                  <c:v>608212</c:v>
                </c:pt>
                <c:pt idx="14">
                  <c:v>1870763</c:v>
                </c:pt>
                <c:pt idx="15">
                  <c:v>14290437</c:v>
                </c:pt>
                <c:pt idx="16">
                  <c:v>15779856</c:v>
                </c:pt>
              </c:numCache>
            </c:numRef>
          </c:val>
        </c:ser>
        <c:ser>
          <c:idx val="1"/>
          <c:order val="1"/>
          <c:tx>
            <c:v>Capital Total Spending</c:v>
          </c:tx>
          <c:spPr>
            <a:effectLst>
              <a:outerShdw blurRad="50800" dist="38100" dir="5400000" algn="t" rotWithShape="0">
                <a:prstClr val="black">
                  <a:alpha val="40000"/>
                </a:prstClr>
              </a:outerShdw>
            </a:effectLst>
          </c:spPr>
          <c:invertIfNegative val="0"/>
          <c:cat>
            <c:strRef>
              <c:f>'4_ESASpecies'!$A$3:$A$19</c:f>
              <c:strCache>
                <c:ptCount val="17"/>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(threatened)</c:v>
                </c:pt>
                <c:pt idx="12">
                  <c:v>Steelhead - Upper Willamette River DPS (threatened)</c:v>
                </c:pt>
                <c:pt idx="13">
                  <c:v>Chub, Oregon (endangered)</c:v>
                </c:pt>
                <c:pt idx="14">
                  <c:v>Cutthroat Trout, Lahontan (threatened)</c:v>
                </c:pt>
                <c:pt idx="15">
                  <c:v>Sturgeon, White - Kootenai River DPS (endangered)</c:v>
                </c:pt>
                <c:pt idx="16">
                  <c:v>Trout, Bull (threatened)</c:v>
                </c:pt>
              </c:strCache>
            </c:strRef>
          </c:cat>
          <c:val>
            <c:numRef>
              <c:f>'4_ESASpecies'!$G$3:$G$19</c:f>
              <c:numCache>
                <c:formatCode>"$"#,##0_);[Red]\("$"#,##0\)</c:formatCode>
                <c:ptCount val="17"/>
                <c:pt idx="0">
                  <c:v>-222897.90100000001</c:v>
                </c:pt>
                <c:pt idx="1">
                  <c:v>0</c:v>
                </c:pt>
                <c:pt idx="2">
                  <c:v>-25881.735000000001</c:v>
                </c:pt>
                <c:pt idx="3">
                  <c:v>839796.64199999999</c:v>
                </c:pt>
                <c:pt idx="4">
                  <c:v>0</c:v>
                </c:pt>
                <c:pt idx="5">
                  <c:v>0</c:v>
                </c:pt>
                <c:pt idx="6">
                  <c:v>36246.974999999999</c:v>
                </c:pt>
                <c:pt idx="7">
                  <c:v>0</c:v>
                </c:pt>
                <c:pt idx="8">
                  <c:v>3769.2180000000008</c:v>
                </c:pt>
                <c:pt idx="9">
                  <c:v>317175.45799999998</c:v>
                </c:pt>
                <c:pt idx="10">
                  <c:v>-25881.703000000001</c:v>
                </c:pt>
                <c:pt idx="11">
                  <c:v>114400.08900000001</c:v>
                </c:pt>
                <c:pt idx="12">
                  <c:v>3.2000000000000001E-2</c:v>
                </c:pt>
                <c:pt idx="13">
                  <c:v>0</c:v>
                </c:pt>
                <c:pt idx="14">
                  <c:v>0</c:v>
                </c:pt>
                <c:pt idx="15">
                  <c:v>32432.001</c:v>
                </c:pt>
                <c:pt idx="16">
                  <c:v>2118964.3139999998</c:v>
                </c:pt>
              </c:numCache>
            </c:numRef>
          </c:val>
        </c:ser>
        <c:dLbls>
          <c:showLegendKey val="0"/>
          <c:showVal val="0"/>
          <c:showCatName val="0"/>
          <c:showSerName val="0"/>
          <c:showPercent val="0"/>
          <c:showBubbleSize val="0"/>
        </c:dLbls>
        <c:gapWidth val="76"/>
        <c:overlap val="100"/>
        <c:axId val="483677416"/>
        <c:axId val="483677808"/>
      </c:barChart>
      <c:catAx>
        <c:axId val="483677416"/>
        <c:scaling>
          <c:orientation val="minMax"/>
        </c:scaling>
        <c:delete val="0"/>
        <c:axPos val="l"/>
        <c:numFmt formatCode="General" sourceLinked="1"/>
        <c:majorTickMark val="out"/>
        <c:minorTickMark val="none"/>
        <c:tickLblPos val="nextTo"/>
        <c:txPr>
          <a:bodyPr/>
          <a:lstStyle/>
          <a:p>
            <a:pPr>
              <a:defRPr sz="900">
                <a:solidFill>
                  <a:schemeClr val="bg1">
                    <a:lumMod val="50000"/>
                  </a:schemeClr>
                </a:solidFill>
                <a:latin typeface="Century Gothic" pitchFamily="34" charset="0"/>
              </a:defRPr>
            </a:pPr>
            <a:endParaRPr lang="en-US"/>
          </a:p>
        </c:txPr>
        <c:crossAx val="483677808"/>
        <c:crosses val="autoZero"/>
        <c:auto val="1"/>
        <c:lblAlgn val="ctr"/>
        <c:lblOffset val="100"/>
        <c:noMultiLvlLbl val="0"/>
      </c:catAx>
      <c:valAx>
        <c:axId val="483677808"/>
        <c:scaling>
          <c:orientation val="minMax"/>
          <c:min val="0"/>
        </c:scaling>
        <c:delete val="0"/>
        <c:axPos val="b"/>
        <c:majorGridlines>
          <c:spPr>
            <a:ln>
              <a:solidFill>
                <a:schemeClr val="bg1">
                  <a:lumMod val="65000"/>
                </a:schemeClr>
              </a:solidFill>
            </a:ln>
          </c:spPr>
        </c:majorGridlines>
        <c:title>
          <c:tx>
            <c:rich>
              <a:bodyPr rot="0" vert="horz"/>
              <a:lstStyle/>
              <a:p>
                <a:pPr>
                  <a:defRPr/>
                </a:pPr>
                <a:r>
                  <a:rPr lang="en-US" sz="1200" b="0">
                    <a:solidFill>
                      <a:schemeClr val="bg1">
                        <a:lumMod val="50000"/>
                      </a:schemeClr>
                    </a:solidFill>
                    <a:latin typeface="Century Gothic" pitchFamily="34" charset="0"/>
                  </a:rPr>
                  <a:t>(Millions)</a:t>
                </a:r>
              </a:p>
            </c:rich>
          </c:tx>
          <c:overlay val="0"/>
        </c:title>
        <c:numFmt formatCode="&quot;$&quot;#,##0,," sourceLinked="0"/>
        <c:majorTickMark val="out"/>
        <c:minorTickMark val="none"/>
        <c:tickLblPos val="nextTo"/>
        <c:spPr>
          <a:ln>
            <a:solidFill>
              <a:schemeClr val="bg1">
                <a:lumMod val="65000"/>
              </a:schemeClr>
            </a:solidFill>
          </a:ln>
        </c:spPr>
        <c:txPr>
          <a:bodyPr/>
          <a:lstStyle/>
          <a:p>
            <a:pPr>
              <a:defRPr sz="1200">
                <a:solidFill>
                  <a:schemeClr val="bg1">
                    <a:lumMod val="50000"/>
                  </a:schemeClr>
                </a:solidFill>
                <a:latin typeface="Century Gothic" pitchFamily="34" charset="0"/>
              </a:defRPr>
            </a:pPr>
            <a:endParaRPr lang="en-US"/>
          </a:p>
        </c:txPr>
        <c:crossAx val="483677416"/>
        <c:crosses val="autoZero"/>
        <c:crossBetween val="between"/>
        <c:majorUnit val="10000000"/>
      </c:valAx>
      <c:spPr>
        <a:ln>
          <a:solidFill>
            <a:sysClr val="window" lastClr="FFFFFF">
              <a:lumMod val="65000"/>
            </a:sysClr>
          </a:solidFill>
        </a:ln>
      </c:spPr>
    </c:plotArea>
    <c:legend>
      <c:legendPos val="l"/>
      <c:layout>
        <c:manualLayout>
          <c:xMode val="edge"/>
          <c:yMode val="edge"/>
          <c:x val="0.69723702971060098"/>
          <c:y val="0.14080663148345279"/>
          <c:w val="0.23389830508474579"/>
          <c:h val="0.14342258148864453"/>
        </c:manualLayout>
      </c:layout>
      <c:overlay val="0"/>
      <c:spPr>
        <a:solidFill>
          <a:sysClr val="window" lastClr="FFFFFF"/>
        </a:solidFill>
      </c:spPr>
      <c:txPr>
        <a:bodyPr/>
        <a:lstStyle/>
        <a:p>
          <a:pPr>
            <a:defRPr sz="1200">
              <a:solidFill>
                <a:schemeClr val="bg1">
                  <a:lumMod val="50000"/>
                </a:schemeClr>
              </a:solidFill>
              <a:latin typeface="Century Gothic" pitchFamily="34" charset="0"/>
            </a:defRPr>
          </a:pPr>
          <a:endParaRPr lang="en-US"/>
        </a:p>
      </c:txPr>
    </c:legend>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97355961978856231"/>
          <c:h val="0.95909422710705128"/>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dPt>
          <c:dPt>
            <c:idx val="1"/>
            <c:bubble3D val="0"/>
            <c:spPr>
              <a:solidFill>
                <a:schemeClr val="bg1">
                  <a:lumMod val="65000"/>
                </a:schemeClr>
              </a:solidFill>
              <a:effectLst>
                <a:outerShdw blurRad="50800" dist="38100" dir="2700000" algn="tl" rotWithShape="0">
                  <a:prstClr val="black">
                    <a:alpha val="40000"/>
                  </a:prstClr>
                </a:outerShdw>
              </a:effectLst>
            </c:spPr>
          </c:dPt>
          <c:dPt>
            <c:idx val="2"/>
            <c:bubble3D val="0"/>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dPt>
          <c:dPt>
            <c:idx val="6"/>
            <c:bubble3D val="0"/>
            <c:spPr>
              <a:solidFill>
                <a:schemeClr val="bg2">
                  <a:lumMod val="50000"/>
                </a:schemeClr>
              </a:solidFill>
              <a:effectLst>
                <a:outerShdw blurRad="50800" dist="38100" dir="2700000" algn="tl" rotWithShape="0">
                  <a:prstClr val="black">
                    <a:alpha val="40000"/>
                  </a:prstClr>
                </a:outerShdw>
              </a:effectLst>
            </c:spPr>
          </c:dPt>
          <c:dLbls>
            <c:dLbl>
              <c:idx val="0"/>
              <c:layout>
                <c:manualLayout>
                  <c:x val="-0.14808442080308587"/>
                  <c:y val="0.1048567789421137"/>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1"/>
              <c:layout>
                <c:manualLayout>
                  <c:x val="1.3359475483891159E-2"/>
                  <c:y val="-0.14893605185522615"/>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2"/>
              <c:layout>
                <c:manualLayout>
                  <c:x val="9.9551191559222402E-2"/>
                  <c:y val="-5.8553872772895213E-2"/>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3"/>
              <c:layout>
                <c:manualLayout>
                  <c:x val="0.14127544196388542"/>
                  <c:y val="0.1360249698780944"/>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4"/>
              <c:layout>
                <c:manualLayout>
                  <c:x val="7.7638004412794961E-2"/>
                  <c:y val="6.543794619614407E-2"/>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5"/>
              <c:layout>
                <c:manualLayout>
                  <c:x val="5.1961478792846072E-2"/>
                  <c:y val="0.10466195375213147"/>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6"/>
              <c:layout>
                <c:manualLayout>
                  <c:x val="2.227195113621952E-2"/>
                  <c:y val="9.4337797191409556E-2"/>
                </c:manualLayout>
              </c:layout>
              <c:showLegendKey val="0"/>
              <c:showVal val="1"/>
              <c:showCatName val="1"/>
              <c:showSerName val="0"/>
              <c:showPercent val="1"/>
              <c:showBubbleSize val="0"/>
              <c:separator>
</c:separator>
              <c:extLst>
                <c:ext xmlns:c15="http://schemas.microsoft.com/office/drawing/2012/chart" uri="{CE6537A1-D6FC-4f65-9D91-7224C49458BB}"/>
              </c:extLst>
            </c:dLbl>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'5_Fund'!$A$20:$A$24</c:f>
              <c:strCache>
                <c:ptCount val="5"/>
                <c:pt idx="0">
                  <c:v>Total BiOp (non Accord)</c:v>
                </c:pt>
                <c:pt idx="1">
                  <c:v>Accords - BiOp</c:v>
                </c:pt>
                <c:pt idx="2">
                  <c:v>Accords - non-BiOp</c:v>
                </c:pt>
                <c:pt idx="3">
                  <c:v>Total General</c:v>
                </c:pt>
                <c:pt idx="4">
                  <c:v>Total BPA Overhead</c:v>
                </c:pt>
              </c:strCache>
            </c:strRef>
          </c:cat>
          <c:val>
            <c:numRef>
              <c:f>'5_Fund'!$B$20:$B$24</c:f>
              <c:numCache>
                <c:formatCode>"$"#,,\ "million"</c:formatCode>
                <c:ptCount val="5"/>
                <c:pt idx="0">
                  <c:v>104327574.5</c:v>
                </c:pt>
                <c:pt idx="1">
                  <c:v>56949840.909999996</c:v>
                </c:pt>
                <c:pt idx="2">
                  <c:v>48852497.590000004</c:v>
                </c:pt>
                <c:pt idx="3">
                  <c:v>46978408.5</c:v>
                </c:pt>
                <c:pt idx="4">
                  <c:v>17063852.5</c:v>
                </c:pt>
              </c:numCache>
            </c:numRef>
          </c:val>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88631511701754673"/>
          <c:h val="0.92889625000770593"/>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dPt>
          <c:dPt>
            <c:idx val="1"/>
            <c:bubble3D val="0"/>
            <c:spPr>
              <a:solidFill>
                <a:schemeClr val="bg1">
                  <a:lumMod val="65000"/>
                </a:schemeClr>
              </a:solidFill>
              <a:effectLst>
                <a:outerShdw blurRad="50800" dist="38100" dir="2700000" algn="tl" rotWithShape="0">
                  <a:prstClr val="black">
                    <a:alpha val="40000"/>
                  </a:prstClr>
                </a:outerShdw>
              </a:effectLst>
            </c:spPr>
          </c:dPt>
          <c:dPt>
            <c:idx val="2"/>
            <c:bubble3D val="0"/>
          </c:dPt>
          <c:dPt>
            <c:idx val="3"/>
            <c:bubble3D val="0"/>
            <c:spPr>
              <a:solidFill>
                <a:srgbClr val="4BACC6">
                  <a:lumMod val="60000"/>
                  <a:lumOff val="40000"/>
                </a:srgbClr>
              </a:solidFill>
              <a:effectLst>
                <a:outerShdw blurRad="50800" dist="38100" dir="2700000" algn="tl" rotWithShape="0">
                  <a:prstClr val="black">
                    <a:alpha val="40000"/>
                  </a:prstClr>
                </a:outerShdw>
              </a:effectLst>
            </c:spPr>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dPt>
          <c:dPt>
            <c:idx val="6"/>
            <c:bubble3D val="0"/>
            <c:spPr>
              <a:solidFill>
                <a:sysClr val="window" lastClr="FFFFFF">
                  <a:lumMod val="50000"/>
                </a:sysClr>
              </a:solidFill>
              <a:effectLst>
                <a:outerShdw blurRad="50800" dist="38100" dir="2700000" algn="tl" rotWithShape="0">
                  <a:prstClr val="black">
                    <a:alpha val="40000"/>
                  </a:prstClr>
                </a:outerShdw>
              </a:effectLst>
            </c:spPr>
          </c:dPt>
          <c:dLbls>
            <c:dLbl>
              <c:idx val="0"/>
              <c:layout>
                <c:manualLayout>
                  <c:x val="-8.108108589325172E-2"/>
                  <c:y val="4.029137145329427E-2"/>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1"/>
              <c:layout>
                <c:manualLayout>
                  <c:x val="-0.190126575967837"/>
                  <c:y val="0.1930502652582286"/>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2"/>
              <c:layout>
                <c:manualLayout>
                  <c:x val="3.3982860876826573E-2"/>
                  <c:y val="5.8766323657455571E-2"/>
                </c:manualLayout>
              </c:layout>
              <c:numFmt formatCode="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19729167668199679"/>
                      <c:h val="0.14441207069542464"/>
                    </c:manualLayout>
                  </c15:layout>
                </c:ext>
              </c:extLst>
            </c:dLbl>
            <c:dLbl>
              <c:idx val="3"/>
              <c:layout>
                <c:manualLayout>
                  <c:x val="-0.14698044473407304"/>
                  <c:y val="-0.21875166292500506"/>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8310712041008546"/>
                      <c:h val="0.14514067285126953"/>
                    </c:manualLayout>
                  </c15:layout>
                </c:ext>
              </c:extLst>
            </c:dLbl>
            <c:dLbl>
              <c:idx val="4"/>
              <c:layout>
                <c:manualLayout>
                  <c:x val="0.32817548282793746"/>
                  <c:y val="-5.297057210789867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272770780932749"/>
                      <c:h val="0.14040478971711645"/>
                    </c:manualLayout>
                  </c15:layout>
                </c:ext>
              </c:extLst>
            </c:dLbl>
            <c:dLbl>
              <c:idx val="5"/>
              <c:layout>
                <c:manualLayout>
                  <c:x val="0.12205989968645338"/>
                  <c:y val="-0.16751737732529945"/>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3049627963871"/>
                      <c:h val="0.14514067285126953"/>
                    </c:manualLayout>
                  </c15:layout>
                </c:ext>
              </c:extLst>
            </c:dLbl>
            <c:dLbl>
              <c:idx val="6"/>
              <c:layout>
                <c:manualLayout>
                  <c:x val="8.4392821723562661E-2"/>
                  <c:y val="0.1983839646599998"/>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7"/>
              <c:layout>
                <c:manualLayout>
                  <c:x val="7.0934888780871702E-2"/>
                  <c:y val="-8.8613754867309186E-2"/>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8"/>
              <c:layout>
                <c:manualLayout>
                  <c:x val="0.15159346128028856"/>
                  <c:y val="0.19401158051333381"/>
                </c:manualLayout>
              </c:layout>
              <c:showLegendKey val="0"/>
              <c:showVal val="1"/>
              <c:showCatName val="1"/>
              <c:showSerName val="0"/>
              <c:showPercent val="1"/>
              <c:showBubbleSize val="0"/>
              <c:separator>
</c:separator>
              <c:extLst>
                <c:ext xmlns:c15="http://schemas.microsoft.com/office/drawing/2012/chart" uri="{CE6537A1-D6FC-4f65-9D91-7224C49458BB}"/>
              </c:extLst>
            </c:dLbl>
            <c:numFmt formatCode="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'6a_Category'!$J$3:$J$11</c:f>
              <c:strCache>
                <c:ptCount val="9"/>
                <c:pt idx="0">
                  <c:v>Coordination (Local/Regional)</c:v>
                </c:pt>
                <c:pt idx="1">
                  <c:v>Coordination (BPA Overhead)</c:v>
                </c:pt>
                <c:pt idx="2">
                  <c:v>Data Management</c:v>
                </c:pt>
                <c:pt idx="3">
                  <c:v>Habitat (Restoration/Protection)</c:v>
                </c:pt>
                <c:pt idx="4">
                  <c:v>Harvest Augmentation</c:v>
                </c:pt>
                <c:pt idx="5">
                  <c:v>Production (Supplementation)</c:v>
                </c:pt>
                <c:pt idx="6">
                  <c:v>Law Enforcement</c:v>
                </c:pt>
                <c:pt idx="7">
                  <c:v>Predator Removal</c:v>
                </c:pt>
                <c:pt idx="8">
                  <c:v>Research, Monitoring and Evaluation</c:v>
                </c:pt>
              </c:strCache>
            </c:strRef>
          </c:cat>
          <c:val>
            <c:numRef>
              <c:f>'6a_Category'!$I$3:$I$11</c:f>
              <c:numCache>
                <c:formatCode>"$"#.0,,\ "million"</c:formatCode>
                <c:ptCount val="9"/>
                <c:pt idx="0">
                  <c:v>13778449.640000001</c:v>
                </c:pt>
                <c:pt idx="1">
                  <c:v>15213334.890000001</c:v>
                </c:pt>
                <c:pt idx="2">
                  <c:v>4221434.1500000004</c:v>
                </c:pt>
                <c:pt idx="3">
                  <c:v>117933009.17</c:v>
                </c:pt>
                <c:pt idx="4">
                  <c:v>4206148.1500000004</c:v>
                </c:pt>
                <c:pt idx="5">
                  <c:v>31490426.289999999</c:v>
                </c:pt>
                <c:pt idx="6">
                  <c:v>800716.80000000005</c:v>
                </c:pt>
                <c:pt idx="7">
                  <c:v>4251762.13</c:v>
                </c:pt>
                <c:pt idx="8">
                  <c:v>82276892.640000001</c:v>
                </c:pt>
              </c:numCache>
            </c:numRef>
          </c:val>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88631511701754673"/>
          <c:h val="0.92889625000770593"/>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dPt>
          <c:dPt>
            <c:idx val="1"/>
            <c:bubble3D val="0"/>
            <c:spPr>
              <a:solidFill>
                <a:schemeClr val="bg1">
                  <a:lumMod val="65000"/>
                </a:schemeClr>
              </a:solidFill>
              <a:effectLst>
                <a:outerShdw blurRad="50800" dist="38100" dir="2700000" algn="tl" rotWithShape="0">
                  <a:prstClr val="black">
                    <a:alpha val="40000"/>
                  </a:prstClr>
                </a:outerShdw>
              </a:effectLst>
            </c:spPr>
          </c:dPt>
          <c:dPt>
            <c:idx val="2"/>
            <c:bubble3D val="0"/>
          </c:dPt>
          <c:dPt>
            <c:idx val="3"/>
            <c:bubble3D val="0"/>
            <c:spPr>
              <a:solidFill>
                <a:srgbClr val="4BACC6">
                  <a:lumMod val="60000"/>
                  <a:lumOff val="40000"/>
                </a:srgbClr>
              </a:solidFill>
              <a:effectLst>
                <a:outerShdw blurRad="50800" dist="38100" dir="2700000" algn="tl" rotWithShape="0">
                  <a:prstClr val="black">
                    <a:alpha val="40000"/>
                  </a:prstClr>
                </a:outerShdw>
              </a:effectLst>
            </c:spPr>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dPt>
          <c:dPt>
            <c:idx val="6"/>
            <c:bubble3D val="0"/>
            <c:spPr>
              <a:solidFill>
                <a:sysClr val="window" lastClr="FFFFFF">
                  <a:lumMod val="50000"/>
                </a:sysClr>
              </a:solidFill>
              <a:effectLst>
                <a:outerShdw blurRad="50800" dist="38100" dir="2700000" algn="tl" rotWithShape="0">
                  <a:prstClr val="black">
                    <a:alpha val="40000"/>
                  </a:prstClr>
                </a:outerShdw>
              </a:effectLst>
            </c:spPr>
          </c:dPt>
          <c:dLbls>
            <c:dLbl>
              <c:idx val="0"/>
              <c:layout>
                <c:manualLayout>
                  <c:x val="-8.108108589325172E-2"/>
                  <c:y val="4.029137145329427E-2"/>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1"/>
              <c:layout>
                <c:manualLayout>
                  <c:x val="-0.14716303533052369"/>
                  <c:y val="0.1930502652582286"/>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2"/>
              <c:layout>
                <c:manualLayout>
                  <c:x val="-0.23743009299567872"/>
                  <c:y val="-6.6112114114637521E-2"/>
                </c:manualLayout>
              </c:layout>
              <c:numFmt formatCode="0.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19729167668199679"/>
                      <c:h val="0.14441207069542464"/>
                    </c:manualLayout>
                  </c15:layout>
                </c:ext>
              </c:extLst>
            </c:dLbl>
            <c:dLbl>
              <c:idx val="3"/>
              <c:layout>
                <c:manualLayout>
                  <c:x val="8.366593131887208E-2"/>
                  <c:y val="-1.5518126942971217E-2"/>
                </c:manualLayout>
              </c:layout>
              <c:numFmt formatCode="0.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28310712041008546"/>
                      <c:h val="0.14514067285126953"/>
                    </c:manualLayout>
                  </c15:layout>
                </c:ext>
              </c:extLst>
            </c:dLbl>
            <c:dLbl>
              <c:idx val="4"/>
              <c:layout>
                <c:manualLayout>
                  <c:x val="0.32817548282793746"/>
                  <c:y val="-5.297057210789867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272770780932749"/>
                      <c:h val="0.14040478971711645"/>
                    </c:manualLayout>
                  </c15:layout>
                </c:ext>
              </c:extLst>
            </c:dLbl>
            <c:dLbl>
              <c:idx val="5"/>
              <c:layout>
                <c:manualLayout>
                  <c:x val="0.12205989968645338"/>
                  <c:y val="-0.16751737732529945"/>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3049627963871"/>
                      <c:h val="0.14514067285126953"/>
                    </c:manualLayout>
                  </c15:layout>
                </c:ext>
              </c:extLst>
            </c:dLbl>
            <c:dLbl>
              <c:idx val="6"/>
              <c:layout>
                <c:manualLayout>
                  <c:x val="8.4392821723562661E-2"/>
                  <c:y val="0.1983839646599998"/>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7"/>
              <c:layout>
                <c:manualLayout>
                  <c:x val="7.0934888780871702E-2"/>
                  <c:y val="-8.8613754867309186E-2"/>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8"/>
              <c:layout>
                <c:manualLayout>
                  <c:x val="0.15159346128028856"/>
                  <c:y val="0.19401158051333381"/>
                </c:manualLayout>
              </c:layout>
              <c:showLegendKey val="0"/>
              <c:showVal val="1"/>
              <c:showCatName val="1"/>
              <c:showSerName val="0"/>
              <c:showPercent val="1"/>
              <c:showBubbleSize val="0"/>
              <c:separator>
</c:separator>
              <c:extLst>
                <c:ext xmlns:c15="http://schemas.microsoft.com/office/drawing/2012/chart" uri="{CE6537A1-D6FC-4f65-9D91-7224C49458BB}"/>
              </c:extLst>
            </c:dLbl>
            <c:numFmt formatCode="0.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'6b_ArtProd'!$A$3:$A$6</c:f>
              <c:strCache>
                <c:ptCount val="4"/>
                <c:pt idx="0">
                  <c:v>Coordination (Local/Regional)</c:v>
                </c:pt>
                <c:pt idx="1">
                  <c:v>Harvest Augmentation</c:v>
                </c:pt>
                <c:pt idx="2">
                  <c:v>RM and E</c:v>
                </c:pt>
                <c:pt idx="3">
                  <c:v>Supplementation</c:v>
                </c:pt>
              </c:strCache>
            </c:strRef>
          </c:cat>
          <c:val>
            <c:numRef>
              <c:f>'6b_ArtProd'!$I$3:$I$6</c:f>
              <c:numCache>
                <c:formatCode>"$"#.0,,\ "million"</c:formatCode>
                <c:ptCount val="4"/>
                <c:pt idx="0">
                  <c:v>703885.61</c:v>
                </c:pt>
                <c:pt idx="1">
                  <c:v>4206148.1500000004</c:v>
                </c:pt>
                <c:pt idx="2">
                  <c:v>24391057.350000001</c:v>
                </c:pt>
                <c:pt idx="3">
                  <c:v>31490426.289999999</c:v>
                </c:pt>
              </c:numCache>
            </c:numRef>
          </c:val>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12482746382844E-2"/>
          <c:y val="2.3363703774675903E-2"/>
          <c:w val="0.88057596159620866"/>
          <c:h val="0.9647995412931254"/>
        </c:manualLayout>
      </c:layout>
      <c:pieChart>
        <c:varyColors val="1"/>
        <c:ser>
          <c:idx val="0"/>
          <c:order val="0"/>
          <c:spPr>
            <a:effectLst>
              <a:outerShdw blurRad="50800" dist="38100" dir="2700000" algn="tl" rotWithShape="0">
                <a:prstClr val="black">
                  <a:alpha val="40000"/>
                </a:prstClr>
              </a:outerShdw>
            </a:effectLst>
          </c:spPr>
          <c:dLbls>
            <c:dLbl>
              <c:idx val="0"/>
              <c:layout>
                <c:manualLayout>
                  <c:x val="-0.19441735229997792"/>
                  <c:y val="0.16909713787688813"/>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9189426564397896"/>
                      <c:h val="0.10324022655062853"/>
                    </c:manualLayout>
                  </c15:layout>
                </c:ext>
              </c:extLst>
            </c:dLbl>
            <c:dLbl>
              <c:idx val="1"/>
              <c:layout>
                <c:manualLayout>
                  <c:x val="-0.21403511454272101"/>
                  <c:y val="-0.19887360132615001"/>
                </c:manualLayout>
              </c:layout>
              <c:showLegendKey val="0"/>
              <c:showVal val="1"/>
              <c:showCatName val="1"/>
              <c:showSerName val="0"/>
              <c:showPercent val="1"/>
              <c:showBubbleSize val="0"/>
              <c:extLst>
                <c:ext xmlns:c15="http://schemas.microsoft.com/office/drawing/2012/chart" uri="{CE6537A1-D6FC-4f65-9D91-7224C49458BB}">
                  <c15:layout>
                    <c:manualLayout>
                      <c:w val="0.20401294498381881"/>
                      <c:h val="6.435087719298245E-2"/>
                    </c:manualLayout>
                  </c15:layout>
                </c:ext>
              </c:extLst>
            </c:dLbl>
            <c:dLbl>
              <c:idx val="2"/>
              <c:layout>
                <c:manualLayout>
                  <c:x val="0.18452547800456981"/>
                  <c:y val="-2.3391812865497075E-2"/>
                </c:manualLayout>
              </c:layout>
              <c:showLegendKey val="0"/>
              <c:showVal val="1"/>
              <c:showCatName val="1"/>
              <c:showSerName val="0"/>
              <c:showPercent val="1"/>
              <c:showBubbleSize val="0"/>
              <c:extLst>
                <c:ext xmlns:c15="http://schemas.microsoft.com/office/drawing/2012/chart" uri="{CE6537A1-D6FC-4f65-9D91-7224C49458BB}"/>
              </c:extLst>
            </c:dLbl>
            <c:dLbl>
              <c:idx val="3"/>
              <c:layout>
                <c:manualLayout>
                  <c:x val="6.2148663455902961E-2"/>
                  <c:y val="-7.2394529631164523E-2"/>
                </c:manualLayout>
              </c:layout>
              <c:showLegendKey val="0"/>
              <c:showVal val="1"/>
              <c:showCatName val="1"/>
              <c:showSerName val="0"/>
              <c:showPercent val="1"/>
              <c:showBubbleSize val="0"/>
              <c:extLst>
                <c:ext xmlns:c15="http://schemas.microsoft.com/office/drawing/2012/chart" uri="{CE6537A1-D6FC-4f65-9D91-7224C49458BB}"/>
              </c:extLst>
            </c:dLbl>
            <c:dLbl>
              <c:idx val="4"/>
              <c:layout>
                <c:manualLayout>
                  <c:x val="-3.6699708652923241E-2"/>
                  <c:y val="-2.7892250310816581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7933729157641703"/>
                      <c:h val="8.1025371828521445E-2"/>
                    </c:manualLayout>
                  </c15:layout>
                </c:ext>
              </c:extLst>
            </c:dLbl>
            <c:dLbl>
              <c:idx val="5"/>
              <c:layout>
                <c:manualLayout>
                  <c:x val="0.17163006785545554"/>
                  <c:y val="1.210655420563406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22147593201335269"/>
                      <c:h val="0.10966616015103375"/>
                    </c:manualLayout>
                  </c15:layout>
                </c:ext>
              </c:extLst>
            </c:dLbl>
            <c:dLbl>
              <c:idx val="6"/>
              <c:layout>
                <c:manualLayout>
                  <c:x val="0.11627466469603921"/>
                  <c:y val="-0.11729060183266565"/>
                </c:manualLayout>
              </c:layout>
              <c:showLegendKey val="0"/>
              <c:showVal val="1"/>
              <c:showCatName val="1"/>
              <c:showSerName val="0"/>
              <c:showPercent val="1"/>
              <c:showBubbleSize val="0"/>
              <c:extLst>
                <c:ext xmlns:c15="http://schemas.microsoft.com/office/drawing/2012/chart" uri="{CE6537A1-D6FC-4f65-9D91-7224C49458BB}"/>
              </c:extLst>
            </c:dLbl>
            <c:dLbl>
              <c:idx val="7"/>
              <c:layout>
                <c:manualLayout>
                  <c:x val="8.9347824240416554E-2"/>
                  <c:y val="-9.5620665837822985E-2"/>
                </c:manualLayout>
              </c:layout>
              <c:showLegendKey val="0"/>
              <c:showVal val="1"/>
              <c:showCatName val="1"/>
              <c:showSerName val="0"/>
              <c:showPercent val="1"/>
              <c:showBubbleSize val="0"/>
              <c:extLst>
                <c:ext xmlns:c15="http://schemas.microsoft.com/office/drawing/2012/chart" uri="{CE6537A1-D6FC-4f65-9D91-7224C49458BB}">
                  <c15:layout>
                    <c:manualLayout>
                      <c:w val="0.15647714356149364"/>
                      <c:h val="5.35258058034025E-2"/>
                    </c:manualLayout>
                  </c15:layout>
                </c:ext>
              </c:extLst>
            </c:dLbl>
            <c:dLbl>
              <c:idx val="8"/>
              <c:layout>
                <c:manualLayout>
                  <c:x val="5.4920537845390686E-2"/>
                  <c:y val="-4.2101211032831425E-2"/>
                </c:manualLayout>
              </c:layout>
              <c:showLegendKey val="0"/>
              <c:showVal val="1"/>
              <c:showCatName val="1"/>
              <c:showSerName val="0"/>
              <c:showPercent val="1"/>
              <c:showBubbleSize val="0"/>
              <c:extLst>
                <c:ext xmlns:c15="http://schemas.microsoft.com/office/drawing/2012/chart" uri="{CE6537A1-D6FC-4f65-9D91-7224C49458BB}"/>
              </c:extLst>
            </c:dLbl>
            <c:dLbl>
              <c:idx val="9"/>
              <c:layout>
                <c:manualLayout>
                  <c:x val="0.13081143983215687"/>
                  <c:y val="0.11538591886540499"/>
                </c:manualLayout>
              </c:layout>
              <c:showLegendKey val="0"/>
              <c:showVal val="1"/>
              <c:showCatName val="1"/>
              <c:showSerName val="0"/>
              <c:showPercent val="1"/>
              <c:showBubbleSize val="0"/>
              <c:extLst>
                <c:ext xmlns:c15="http://schemas.microsoft.com/office/drawing/2012/chart" uri="{CE6537A1-D6FC-4f65-9D91-7224C49458BB}"/>
              </c:extLst>
            </c:dLbl>
            <c:dLbl>
              <c:idx val="10"/>
              <c:layout>
                <c:manualLayout>
                  <c:x val="8.3128965675407035E-2"/>
                  <c:y val="7.5079062485610346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305811931872605"/>
                      <c:h val="9.3297302375590099E-2"/>
                    </c:manualLayout>
                  </c15:layout>
                </c:ext>
              </c:extLst>
            </c:dLbl>
            <c:dLbl>
              <c:idx val="11"/>
              <c:layout>
                <c:manualLayout>
                  <c:x val="1.9382576981373585E-2"/>
                  <c:y val="0.19116359215500889"/>
                </c:manualLayout>
              </c:layout>
              <c:showLegendKey val="0"/>
              <c:showVal val="1"/>
              <c:showCatName val="1"/>
              <c:showSerName val="0"/>
              <c:showPercent val="1"/>
              <c:showBubbleSize val="0"/>
              <c:extLst>
                <c:ext xmlns:c15="http://schemas.microsoft.com/office/drawing/2012/chart" uri="{CE6537A1-D6FC-4f65-9D91-7224C49458BB}">
                  <c15:layout>
                    <c:manualLayout>
                      <c:w val="0.1095469646308717"/>
                      <c:h val="6.4889090538313252E-2"/>
                    </c:manualLayout>
                  </c15:layout>
                </c:ext>
              </c:extLst>
            </c:dLbl>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sp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'7_RME'!$A$3:$A$8</c:f>
              <c:strCache>
                <c:ptCount val="6"/>
                <c:pt idx="0">
                  <c:v>Artificial Production</c:v>
                </c:pt>
                <c:pt idx="1">
                  <c:v>Habitat</c:v>
                </c:pt>
                <c:pt idx="2">
                  <c:v>Harvest</c:v>
                </c:pt>
                <c:pt idx="3">
                  <c:v>Hydrosystem</c:v>
                </c:pt>
                <c:pt idx="4">
                  <c:v>Predation</c:v>
                </c:pt>
                <c:pt idx="5">
                  <c:v>Programmatic</c:v>
                </c:pt>
              </c:strCache>
            </c:strRef>
          </c:cat>
          <c:val>
            <c:numRef>
              <c:f>'7_RME'!$C$3:$C$8</c:f>
              <c:numCache>
                <c:formatCode>"$"#.0,,\ "million"</c:formatCode>
                <c:ptCount val="6"/>
                <c:pt idx="0">
                  <c:v>24391057.350000001</c:v>
                </c:pt>
                <c:pt idx="1">
                  <c:v>13332982.800000001</c:v>
                </c:pt>
                <c:pt idx="2">
                  <c:v>1216118.1000000001</c:v>
                </c:pt>
                <c:pt idx="3">
                  <c:v>7908829.1200000001</c:v>
                </c:pt>
                <c:pt idx="4">
                  <c:v>1264151.55</c:v>
                </c:pt>
                <c:pt idx="5">
                  <c:v>34163753.719999999</c:v>
                </c:pt>
              </c:numCache>
            </c:numRef>
          </c:val>
        </c:ser>
        <c:ser>
          <c:idx val="1"/>
          <c:order val="1"/>
          <c:val>
            <c:numLit>
              <c:formatCode>General</c:formatCode>
              <c:ptCount val="1"/>
              <c:pt idx="0">
                <c:v>1</c:v>
              </c:pt>
            </c:numLit>
          </c:val>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a:effectLst/>
  </c:sp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12482746382844E-2"/>
          <c:y val="2.3363703774675903E-2"/>
          <c:w val="0.88057596159620866"/>
          <c:h val="0.9647995412931254"/>
        </c:manualLayout>
      </c:layout>
      <c:pieChart>
        <c:varyColors val="1"/>
        <c:ser>
          <c:idx val="0"/>
          <c:order val="0"/>
          <c:spPr>
            <a:effectLst>
              <a:outerShdw blurRad="50800" dist="38100" dir="2700000" algn="tl" rotWithShape="0">
                <a:prstClr val="black">
                  <a:alpha val="40000"/>
                </a:prstClr>
              </a:outerShdw>
            </a:effectLst>
          </c:spPr>
          <c:dLbls>
            <c:dLbl>
              <c:idx val="0"/>
              <c:layout>
                <c:manualLayout>
                  <c:x val="-5.5258857205956129E-2"/>
                  <c:y val="6.5003637703181835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3795683306576967"/>
                      <c:h val="8.6865957544780589E-2"/>
                    </c:manualLayout>
                  </c15:layout>
                </c:ext>
              </c:extLst>
            </c:dLbl>
            <c:dLbl>
              <c:idx val="1"/>
              <c:layout>
                <c:manualLayout>
                  <c:x val="-0.17520011473772376"/>
                  <c:y val="0.13010401804704355"/>
                </c:manualLayout>
              </c:layout>
              <c:showLegendKey val="0"/>
              <c:showVal val="1"/>
              <c:showCatName val="1"/>
              <c:showSerName val="0"/>
              <c:showPercent val="1"/>
              <c:showBubbleSize val="0"/>
              <c:extLst>
                <c:ext xmlns:c15="http://schemas.microsoft.com/office/drawing/2012/chart" uri="{CE6537A1-D6FC-4f65-9D91-7224C49458BB}"/>
              </c:extLst>
            </c:dLbl>
            <c:dLbl>
              <c:idx val="2"/>
              <c:layout>
                <c:manualLayout>
                  <c:x val="-0.14557160937407104"/>
                  <c:y val="7.1443937928811527E-2"/>
                </c:manualLayout>
              </c:layout>
              <c:showLegendKey val="0"/>
              <c:showVal val="1"/>
              <c:showCatName val="1"/>
              <c:showSerName val="0"/>
              <c:showPercent val="1"/>
              <c:showBubbleSize val="0"/>
              <c:extLst>
                <c:ext xmlns:c15="http://schemas.microsoft.com/office/drawing/2012/chart" uri="{CE6537A1-D6FC-4f65-9D91-7224C49458BB}"/>
              </c:extLst>
            </c:dLbl>
            <c:dLbl>
              <c:idx val="3"/>
              <c:layout>
                <c:manualLayout>
                  <c:x val="-0.19027858094751507"/>
                  <c:y val="-0.13087405953719966"/>
                </c:manualLayout>
              </c:layout>
              <c:showLegendKey val="0"/>
              <c:showVal val="1"/>
              <c:showCatName val="1"/>
              <c:showSerName val="0"/>
              <c:showPercent val="1"/>
              <c:showBubbleSize val="0"/>
              <c:extLst>
                <c:ext xmlns:c15="http://schemas.microsoft.com/office/drawing/2012/chart" uri="{CE6537A1-D6FC-4f65-9D91-7224C49458BB}"/>
              </c:extLst>
            </c:dLbl>
            <c:dLbl>
              <c:idx val="4"/>
              <c:layout>
                <c:manualLayout>
                  <c:x val="-4.1014762375935911E-2"/>
                  <c:y val="-6.1810408994417115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7933729157641703"/>
                      <c:h val="5.997274024957408E-2"/>
                    </c:manualLayout>
                  </c15:layout>
                </c:ext>
              </c:extLst>
            </c:dLbl>
            <c:dLbl>
              <c:idx val="5"/>
              <c:layout>
                <c:manualLayout>
                  <c:x val="4.8652753357286652E-2"/>
                  <c:y val="-0.14461859372841554"/>
                </c:manualLayout>
              </c:layout>
              <c:showLegendKey val="0"/>
              <c:showVal val="1"/>
              <c:showCatName val="1"/>
              <c:showSerName val="0"/>
              <c:showPercent val="1"/>
              <c:showBubbleSize val="0"/>
              <c:extLst>
                <c:ext xmlns:c15="http://schemas.microsoft.com/office/drawing/2012/chart" uri="{CE6537A1-D6FC-4f65-9D91-7224C49458BB}">
                  <c15:layout>
                    <c:manualLayout>
                      <c:w val="0.17401105490482502"/>
                      <c:h val="5.35258058034025E-2"/>
                    </c:manualLayout>
                  </c15:layout>
                </c:ext>
              </c:extLst>
            </c:dLbl>
            <c:dLbl>
              <c:idx val="6"/>
              <c:layout>
                <c:manualLayout>
                  <c:x val="0.13569214042419456"/>
                  <c:y val="-0.16407422756365989"/>
                </c:manualLayout>
              </c:layout>
              <c:showLegendKey val="0"/>
              <c:showVal val="1"/>
              <c:showCatName val="1"/>
              <c:showSerName val="0"/>
              <c:showPercent val="1"/>
              <c:showBubbleSize val="0"/>
              <c:extLst>
                <c:ext xmlns:c15="http://schemas.microsoft.com/office/drawing/2012/chart" uri="{CE6537A1-D6FC-4f65-9D91-7224C49458BB}"/>
              </c:extLst>
            </c:dLbl>
            <c:dLbl>
              <c:idx val="7"/>
              <c:layout>
                <c:manualLayout>
                  <c:x val="6.3457856602876089E-2"/>
                  <c:y val="-4.4158677533729339E-2"/>
                </c:manualLayout>
              </c:layout>
              <c:showLegendKey val="0"/>
              <c:showVal val="1"/>
              <c:showCatName val="1"/>
              <c:showSerName val="0"/>
              <c:showPercent val="1"/>
              <c:showBubbleSize val="0"/>
              <c:extLst>
                <c:ext xmlns:c15="http://schemas.microsoft.com/office/drawing/2012/chart" uri="{CE6537A1-D6FC-4f65-9D91-7224C49458BB}">
                  <c15:layout>
                    <c:manualLayout>
                      <c:w val="0.15647714356149364"/>
                      <c:h val="5.35258058034025E-2"/>
                    </c:manualLayout>
                  </c15:layout>
                </c:ext>
              </c:extLst>
            </c:dLbl>
            <c:dLbl>
              <c:idx val="8"/>
              <c:layout>
                <c:manualLayout>
                  <c:x val="5.4920537845390686E-2"/>
                  <c:y val="4.0521250633144539E-6"/>
                </c:manualLayout>
              </c:layout>
              <c:showLegendKey val="0"/>
              <c:showVal val="1"/>
              <c:showCatName val="1"/>
              <c:showSerName val="0"/>
              <c:showPercent val="1"/>
              <c:showBubbleSize val="0"/>
              <c:extLst>
                <c:ext xmlns:c15="http://schemas.microsoft.com/office/drawing/2012/chart" uri="{CE6537A1-D6FC-4f65-9D91-7224C49458BB}"/>
              </c:extLst>
            </c:dLbl>
            <c:dLbl>
              <c:idx val="9"/>
              <c:layout>
                <c:manualLayout>
                  <c:x val="0.14159892634779875"/>
                  <c:y val="0.15749118202329973"/>
                </c:manualLayout>
              </c:layout>
              <c:showLegendKey val="0"/>
              <c:showVal val="1"/>
              <c:showCatName val="1"/>
              <c:showSerName val="0"/>
              <c:showPercent val="1"/>
              <c:showBubbleSize val="0"/>
              <c:extLst>
                <c:ext xmlns:c15="http://schemas.microsoft.com/office/drawing/2012/chart" uri="{CE6537A1-D6FC-4f65-9D91-7224C49458BB}"/>
              </c:extLst>
            </c:dLbl>
            <c:dLbl>
              <c:idx val="10"/>
              <c:layout>
                <c:manualLayout>
                  <c:x val="9.607403443501597E-2"/>
                  <c:y val="0.10782760049730626"/>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3058125015926408"/>
                      <c:h val="7.926214486347101E-2"/>
                    </c:manualLayout>
                  </c15:layout>
                </c:ext>
              </c:extLst>
            </c:dLbl>
            <c:dLbl>
              <c:idx val="11"/>
              <c:layout>
                <c:manualLayout>
                  <c:x val="0.12941492750299413"/>
                  <c:y val="0.19818114840908041"/>
                </c:manualLayout>
              </c:layout>
              <c:showLegendKey val="0"/>
              <c:showVal val="1"/>
              <c:showCatName val="1"/>
              <c:showSerName val="0"/>
              <c:showPercent val="1"/>
              <c:showBubbleSize val="0"/>
              <c:extLst>
                <c:ext xmlns:c15="http://schemas.microsoft.com/office/drawing/2012/chart" uri="{CE6537A1-D6FC-4f65-9D91-7224C49458BB}">
                  <c15:layout>
                    <c:manualLayout>
                      <c:w val="0.1095469646308717"/>
                      <c:h val="6.4889090538313252E-2"/>
                    </c:manualLayout>
                  </c15:layout>
                </c:ext>
              </c:extLst>
            </c:dLbl>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sp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'8_Province'!$E$26:$E$38</c:f>
              <c:strCache>
                <c:ptCount val="13"/>
                <c:pt idx="0">
                  <c:v>Blue Mountain</c:v>
                </c:pt>
                <c:pt idx="1">
                  <c:v>Columbia Cascade</c:v>
                </c:pt>
                <c:pt idx="2">
                  <c:v>Columbia Gorge</c:v>
                </c:pt>
                <c:pt idx="3">
                  <c:v>Columbia Plateau</c:v>
                </c:pt>
                <c:pt idx="4">
                  <c:v>Columbia Estuary</c:v>
                </c:pt>
                <c:pt idx="5">
                  <c:v>Intermountain</c:v>
                </c:pt>
                <c:pt idx="6">
                  <c:v>Lower Columbia</c:v>
                </c:pt>
                <c:pt idx="7">
                  <c:v>Middle Snake</c:v>
                </c:pt>
                <c:pt idx="8">
                  <c:v>Mountain Columbia</c:v>
                </c:pt>
                <c:pt idx="9">
                  <c:v>Mountain Snake</c:v>
                </c:pt>
                <c:pt idx="10">
                  <c:v>Upper Snake</c:v>
                </c:pt>
                <c:pt idx="11">
                  <c:v>Other</c:v>
                </c:pt>
                <c:pt idx="12">
                  <c:v>Program Support</c:v>
                </c:pt>
              </c:strCache>
            </c:strRef>
          </c:cat>
          <c:val>
            <c:numRef>
              <c:f>'8_Province'!$F$26:$F$38</c:f>
              <c:numCache>
                <c:formatCode>"$"#.0,,\ "million"</c:formatCode>
                <c:ptCount val="13"/>
                <c:pt idx="0">
                  <c:v>17902245.260000002</c:v>
                </c:pt>
                <c:pt idx="1">
                  <c:v>27092251.879999999</c:v>
                </c:pt>
                <c:pt idx="2">
                  <c:v>9718140.5299999993</c:v>
                </c:pt>
                <c:pt idx="3">
                  <c:v>61768581.469999999</c:v>
                </c:pt>
                <c:pt idx="4">
                  <c:v>11335523.130000001</c:v>
                </c:pt>
                <c:pt idx="5">
                  <c:v>18009485.280000001</c:v>
                </c:pt>
                <c:pt idx="6">
                  <c:v>40899829.880000003</c:v>
                </c:pt>
                <c:pt idx="7">
                  <c:v>4492669.7</c:v>
                </c:pt>
                <c:pt idx="8">
                  <c:v>21255931.059999999</c:v>
                </c:pt>
                <c:pt idx="9">
                  <c:v>29086789.109999999</c:v>
                </c:pt>
                <c:pt idx="10">
                  <c:v>5063743.83</c:v>
                </c:pt>
                <c:pt idx="11">
                  <c:v>6855562.4800000004</c:v>
                </c:pt>
                <c:pt idx="12">
                  <c:v>20691420.34</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a:effectLst/>
  </c:sp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14284</xdr:colOff>
      <xdr:row>18</xdr:row>
      <xdr:rowOff>185735</xdr:rowOff>
    </xdr:from>
    <xdr:to>
      <xdr:col>8</xdr:col>
      <xdr:colOff>523874</xdr:colOff>
      <xdr:row>51</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485775</xdr:colOff>
      <xdr:row>25</xdr:row>
      <xdr:rowOff>95250</xdr:rowOff>
    </xdr:from>
    <xdr:to>
      <xdr:col>4</xdr:col>
      <xdr:colOff>0</xdr:colOff>
      <xdr:row>51</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693964</xdr:colOff>
      <xdr:row>74</xdr:row>
      <xdr:rowOff>45626</xdr:rowOff>
    </xdr:from>
    <xdr:to>
      <xdr:col>19</xdr:col>
      <xdr:colOff>78441</xdr:colOff>
      <xdr:row>112</xdr:row>
      <xdr:rowOff>149678</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367394</xdr:colOff>
      <xdr:row>43</xdr:row>
      <xdr:rowOff>95252</xdr:rowOff>
    </xdr:from>
    <xdr:to>
      <xdr:col>10</xdr:col>
      <xdr:colOff>27216</xdr:colOff>
      <xdr:row>78</xdr:row>
      <xdr:rowOff>27213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1309065</xdr:colOff>
      <xdr:row>12</xdr:row>
      <xdr:rowOff>145358</xdr:rowOff>
    </xdr:from>
    <xdr:to>
      <xdr:col>10</xdr:col>
      <xdr:colOff>270841</xdr:colOff>
      <xdr:row>37</xdr:row>
      <xdr:rowOff>149086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13</xdr:row>
      <xdr:rowOff>0</xdr:rowOff>
    </xdr:from>
    <xdr:to>
      <xdr:col>21</xdr:col>
      <xdr:colOff>361537</xdr:colOff>
      <xdr:row>38</xdr:row>
      <xdr:rowOff>12010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0.7935</cdr:x>
      <cdr:y>0.19404</cdr:y>
    </cdr:from>
    <cdr:to>
      <cdr:x>0.94712</cdr:x>
      <cdr:y>0.25426</cdr:y>
    </cdr:to>
    <cdr:sp macro="" textlink="">
      <cdr:nvSpPr>
        <cdr:cNvPr id="3" name="TextBox 2"/>
        <cdr:cNvSpPr txBox="1"/>
      </cdr:nvSpPr>
      <cdr:spPr>
        <a:xfrm xmlns:a="http://schemas.openxmlformats.org/drawingml/2006/main">
          <a:off x="4723159" y="774012"/>
          <a:ext cx="914400" cy="2401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$2.5B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0.80447</cdr:x>
      <cdr:y>0.12729</cdr:y>
    </cdr:from>
    <cdr:to>
      <cdr:x>0.88631</cdr:x>
      <cdr:y>0.1875</cdr:y>
    </cdr:to>
    <cdr:sp macro="" textlink="">
      <cdr:nvSpPr>
        <cdr:cNvPr id="4" name="TextBox 1"/>
        <cdr:cNvSpPr txBox="1"/>
      </cdr:nvSpPr>
      <cdr:spPr>
        <a:xfrm xmlns:a="http://schemas.openxmlformats.org/drawingml/2006/main">
          <a:off x="4788452" y="528668"/>
          <a:ext cx="487157" cy="2500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Totals</a:t>
          </a:r>
        </a:p>
      </cdr:txBody>
    </cdr:sp>
  </cdr:relSizeAnchor>
  <cdr:relSizeAnchor xmlns:cdr="http://schemas.openxmlformats.org/drawingml/2006/chartDrawing">
    <cdr:from>
      <cdr:x>0.79473</cdr:x>
      <cdr:y>0.35742</cdr:y>
    </cdr:from>
    <cdr:to>
      <cdr:x>0.94835</cdr:x>
      <cdr:y>0.41764</cdr:y>
    </cdr:to>
    <cdr:sp macro="" textlink="">
      <cdr:nvSpPr>
        <cdr:cNvPr id="5" name="TextBox 1"/>
        <cdr:cNvSpPr txBox="1"/>
      </cdr:nvSpPr>
      <cdr:spPr>
        <a:xfrm xmlns:a="http://schemas.openxmlformats.org/drawingml/2006/main">
          <a:off x="4730474" y="1425713"/>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$3.6B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0.79334</cdr:x>
      <cdr:y>0.47162</cdr:y>
    </cdr:from>
    <cdr:to>
      <cdr:x>0.94696</cdr:x>
      <cdr:y>0.53184</cdr:y>
    </cdr:to>
    <cdr:sp macro="" textlink="">
      <cdr:nvSpPr>
        <cdr:cNvPr id="6" name="TextBox 1"/>
        <cdr:cNvSpPr txBox="1"/>
      </cdr:nvSpPr>
      <cdr:spPr>
        <a:xfrm xmlns:a="http://schemas.openxmlformats.org/drawingml/2006/main">
          <a:off x="4722191" y="1881256"/>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$1.5B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0.79473</cdr:x>
      <cdr:y>0.59205</cdr:y>
    </cdr:from>
    <cdr:to>
      <cdr:x>0.94835</cdr:x>
      <cdr:y>0.65227</cdr:y>
    </cdr:to>
    <cdr:sp macro="" textlink="">
      <cdr:nvSpPr>
        <cdr:cNvPr id="7" name="TextBox 1"/>
        <cdr:cNvSpPr txBox="1"/>
      </cdr:nvSpPr>
      <cdr:spPr>
        <a:xfrm xmlns:a="http://schemas.openxmlformats.org/drawingml/2006/main">
          <a:off x="4730473" y="2361648"/>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$3.3B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0.79334</cdr:x>
      <cdr:y>0.7727</cdr:y>
    </cdr:from>
    <cdr:to>
      <cdr:x>0.94696</cdr:x>
      <cdr:y>0.83292</cdr:y>
    </cdr:to>
    <cdr:sp macro="" textlink="">
      <cdr:nvSpPr>
        <cdr:cNvPr id="8" name="TextBox 1"/>
        <cdr:cNvSpPr txBox="1"/>
      </cdr:nvSpPr>
      <cdr:spPr>
        <a:xfrm xmlns:a="http://schemas.openxmlformats.org/drawingml/2006/main">
          <a:off x="4722192" y="3082235"/>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$4.3B</a:t>
          </a:r>
          <a:endParaRPr lang="en-US" sz="1000">
            <a:solidFill>
              <a:schemeClr val="bg1">
                <a:lumMod val="50000"/>
              </a:schemeClr>
            </a:solidFill>
            <a:latin typeface="Century Gothic" panose="020B0502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0.39989</cdr:x>
      <cdr:y>0.34577</cdr:y>
    </cdr:from>
    <cdr:to>
      <cdr:x>0.514</cdr:x>
      <cdr:y>0.42036</cdr:y>
    </cdr:to>
    <cdr:sp macro="" textlink="">
      <cdr:nvSpPr>
        <cdr:cNvPr id="2" name="TextBox 1"/>
        <cdr:cNvSpPr txBox="1"/>
      </cdr:nvSpPr>
      <cdr:spPr>
        <a:xfrm xmlns:a="http://schemas.openxmlformats.org/drawingml/2006/main">
          <a:off x="3605217" y="2119315"/>
          <a:ext cx="1028700" cy="457200"/>
        </a:xfrm>
        <a:prstGeom xmlns:a="http://schemas.openxmlformats.org/drawingml/2006/main" prst="rect">
          <a:avLst/>
        </a:prstGeom>
        <a:solidFill xmlns:a="http://schemas.openxmlformats.org/drawingml/2006/main">
          <a:srgbClr val="FFFFFF">
            <a:alpha val="85098"/>
          </a:srgbClr>
        </a:solidFill>
      </cdr:spPr>
      <cdr:txBody>
        <a:bodyPr xmlns:a="http://schemas.openxmlformats.org/drawingml/2006/main" vertOverflow="clip" wrap="square" rtlCol="0" anchor="ctr"/>
        <a:lstStyle xmlns:a="http://schemas.openxmlformats.org/drawingml/2006/main"/>
        <a:p xmlns:a="http://schemas.openxmlformats.org/drawingml/2006/main">
          <a:pPr algn="ctr"/>
          <a:r>
            <a:rPr lang="en-US" sz="1000">
              <a:latin typeface="Century Gothic" panose="020B0502020202020204" pitchFamily="34" charset="0"/>
            </a:rPr>
            <a:t>Fixed Costs, $148.2 million</a:t>
          </a:r>
        </a:p>
      </cdr:txBody>
    </cdr:sp>
  </cdr:relSizeAnchor>
  <cdr:relSizeAnchor xmlns:cdr="http://schemas.openxmlformats.org/drawingml/2006/chartDrawing">
    <cdr:from>
      <cdr:x>0.40394</cdr:x>
      <cdr:y>0.66097</cdr:y>
    </cdr:from>
    <cdr:to>
      <cdr:x>0.5626</cdr:x>
      <cdr:y>0.73556</cdr:y>
    </cdr:to>
    <cdr:sp macro="" textlink="">
      <cdr:nvSpPr>
        <cdr:cNvPr id="3" name="TextBox 1"/>
        <cdr:cNvSpPr txBox="1"/>
      </cdr:nvSpPr>
      <cdr:spPr>
        <a:xfrm xmlns:a="http://schemas.openxmlformats.org/drawingml/2006/main">
          <a:off x="3641724" y="4051300"/>
          <a:ext cx="1430341" cy="457200"/>
        </a:xfrm>
        <a:prstGeom xmlns:a="http://schemas.openxmlformats.org/drawingml/2006/main" prst="rect">
          <a:avLst/>
        </a:prstGeom>
        <a:solidFill xmlns:a="http://schemas.openxmlformats.org/drawingml/2006/main">
          <a:srgbClr val="FFFFFF">
            <a:alpha val="85098"/>
          </a:srgb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a:latin typeface="Century Gothic" panose="020B0502020202020204" pitchFamily="34" charset="0"/>
            </a:rPr>
            <a:t>Reimburseable Costs, $88.2 million</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0</xdr:colOff>
      <xdr:row>35</xdr:row>
      <xdr:rowOff>0</xdr:rowOff>
    </xdr:from>
    <xdr:to>
      <xdr:col>7</xdr:col>
      <xdr:colOff>666750</xdr:colOff>
      <xdr:row>65</xdr:row>
      <xdr:rowOff>110217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600074</xdr:colOff>
      <xdr:row>12</xdr:row>
      <xdr:rowOff>9524</xdr:rowOff>
    </xdr:from>
    <xdr:to>
      <xdr:col>6</xdr:col>
      <xdr:colOff>323850</xdr:colOff>
      <xdr:row>31</xdr:row>
      <xdr:rowOff>123824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30</xdr:row>
      <xdr:rowOff>0</xdr:rowOff>
    </xdr:from>
    <xdr:to>
      <xdr:col>2</xdr:col>
      <xdr:colOff>676275</xdr:colOff>
      <xdr:row>59</xdr:row>
      <xdr:rowOff>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18</xdr:row>
      <xdr:rowOff>0</xdr:rowOff>
    </xdr:from>
    <xdr:to>
      <xdr:col>7</xdr:col>
      <xdr:colOff>171450</xdr:colOff>
      <xdr:row>40</xdr:row>
      <xdr:rowOff>34017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1085848</xdr:colOff>
      <xdr:row>22</xdr:row>
      <xdr:rowOff>133349</xdr:rowOff>
    </xdr:from>
    <xdr:to>
      <xdr:col>4</xdr:col>
      <xdr:colOff>819150</xdr:colOff>
      <xdr:row>55</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1085848</xdr:colOff>
      <xdr:row>14</xdr:row>
      <xdr:rowOff>133349</xdr:rowOff>
    </xdr:from>
    <xdr:to>
      <xdr:col>4</xdr:col>
      <xdr:colOff>819150</xdr:colOff>
      <xdr:row>47</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15</xdr:row>
      <xdr:rowOff>66675</xdr:rowOff>
    </xdr:from>
    <xdr:to>
      <xdr:col>4</xdr:col>
      <xdr:colOff>904875</xdr:colOff>
      <xdr:row>41</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finance.bpa.gov/FR/audit/year-end/Lists/FCRPS%20Year%20End%20%20FY13/Attachments/172/PBC%2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HS2529\AppData\Local\Microsoft\Windows\Temporary%20Internet%20Files\Content.Outlook\O15ARXQ4\inactive\bpa_mrv2008.xnv"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AB0422\AppData\Local\Microsoft\Windows\Temporary%20Internet%20Files\Content.Outlook\SVIJCXTX\4h10c%20FRG%20Queries%20and%20FRS%20nVision%20Report_Periods%201-12%20201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
      <sheetName val="True-Up"/>
      <sheetName val="Summary"/>
      <sheetName val="nVision"/>
      <sheetName val="Power Purchases"/>
    </sheetNames>
    <sheetDataSet>
      <sheetData sheetId="0"/>
      <sheetData sheetId="1"/>
      <sheetData sheetId="2">
        <row r="8">
          <cell r="O8">
            <v>242.98336318999998</v>
          </cell>
        </row>
      </sheetData>
      <sheetData sheetId="3">
        <row r="3">
          <cell r="E3" t="str">
            <v>2013-09-30</v>
          </cell>
        </row>
        <row r="7">
          <cell r="E7" t="str">
            <v>4H10C_13</v>
          </cell>
        </row>
        <row r="8">
          <cell r="E8" t="str">
            <v>2013</v>
          </cell>
        </row>
        <row r="9">
          <cell r="E9">
            <v>0.223</v>
          </cell>
        </row>
        <row r="10">
          <cell r="E10" t="str">
            <v>10/01/2012</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Documentation"/>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yout"/>
      <sheetName val="Documentation"/>
      <sheetName val="Validation"/>
      <sheetName val="Exp Query"/>
      <sheetName val="Exp Data"/>
      <sheetName val="Cap Query"/>
      <sheetName val="Cap Data"/>
      <sheetName val="PISCES Query"/>
      <sheetName val="PISCES Data"/>
    </sheetNames>
    <sheetDataSet>
      <sheetData sheetId="0">
        <row r="3">
          <cell r="E3" t="str">
            <v>2014-09-30</v>
          </cell>
        </row>
        <row r="4">
          <cell r="E4" t="str">
            <v>0410_FCRPS_FY14_4H10C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A7" sqref="A7"/>
    </sheetView>
  </sheetViews>
  <sheetFormatPr defaultRowHeight="15" x14ac:dyDescent="0.25"/>
  <cols>
    <col min="1" max="1" width="63.140625" style="96" bestFit="1" customWidth="1"/>
    <col min="2" max="2" width="9.5703125" style="96" bestFit="1" customWidth="1"/>
    <col min="3" max="6" width="9.140625" style="96"/>
    <col min="7" max="7" width="9.140625" style="96" customWidth="1"/>
    <col min="8" max="16384" width="9.140625" style="96"/>
  </cols>
  <sheetData>
    <row r="1" spans="1:5" x14ac:dyDescent="0.25">
      <c r="A1" s="26" t="s">
        <v>311</v>
      </c>
    </row>
    <row r="3" spans="1:5" ht="16.5" x14ac:dyDescent="0.3">
      <c r="A3" s="26" t="s">
        <v>278</v>
      </c>
      <c r="B3" s="22"/>
    </row>
    <row r="4" spans="1:5" ht="16.5" x14ac:dyDescent="0.3">
      <c r="A4" s="22"/>
      <c r="B4" s="22"/>
    </row>
    <row r="5" spans="1:5" ht="16.5" x14ac:dyDescent="0.3">
      <c r="A5" s="22" t="s">
        <v>226</v>
      </c>
      <c r="B5" s="189">
        <v>258.10000000000002</v>
      </c>
    </row>
    <row r="6" spans="1:5" ht="16.5" x14ac:dyDescent="0.3">
      <c r="A6" s="22" t="s">
        <v>312</v>
      </c>
      <c r="B6" s="186">
        <v>76.599999999999994</v>
      </c>
    </row>
    <row r="7" spans="1:5" ht="16.5" x14ac:dyDescent="0.3">
      <c r="A7" s="22" t="s">
        <v>228</v>
      </c>
      <c r="B7" s="187">
        <v>48.2</v>
      </c>
    </row>
    <row r="8" spans="1:5" ht="16.5" x14ac:dyDescent="0.3">
      <c r="A8" s="22" t="s">
        <v>227</v>
      </c>
      <c r="B8" s="187">
        <v>28.6</v>
      </c>
    </row>
    <row r="9" spans="1:5" ht="16.5" x14ac:dyDescent="0.3">
      <c r="A9" s="22" t="s">
        <v>229</v>
      </c>
      <c r="B9" s="187">
        <v>6</v>
      </c>
    </row>
    <row r="10" spans="1:5" ht="16.5" x14ac:dyDescent="0.3">
      <c r="A10" s="22" t="s">
        <v>230</v>
      </c>
      <c r="B10" s="187">
        <v>5.36</v>
      </c>
    </row>
    <row r="11" spans="1:5" ht="16.5" x14ac:dyDescent="0.3">
      <c r="A11" s="22" t="s">
        <v>231</v>
      </c>
      <c r="B11" s="185">
        <v>85.6</v>
      </c>
    </row>
    <row r="12" spans="1:5" ht="16.5" x14ac:dyDescent="0.3">
      <c r="A12" s="22" t="s">
        <v>232</v>
      </c>
      <c r="B12" s="185">
        <v>62.6</v>
      </c>
    </row>
    <row r="13" spans="1:5" ht="16.5" x14ac:dyDescent="0.3">
      <c r="A13" s="22" t="s">
        <v>233</v>
      </c>
      <c r="B13" s="188">
        <v>50.3</v>
      </c>
    </row>
    <row r="14" spans="1:5" ht="16.5" x14ac:dyDescent="0.3">
      <c r="A14" s="22" t="s">
        <v>40</v>
      </c>
      <c r="B14" s="159">
        <f>SUM(B5:B13)</f>
        <v>621.36</v>
      </c>
    </row>
    <row r="15" spans="1:5" ht="16.5" x14ac:dyDescent="0.3">
      <c r="A15" s="22"/>
      <c r="B15" s="22"/>
    </row>
    <row r="16" spans="1:5" ht="86.25" customHeight="1" x14ac:dyDescent="0.3">
      <c r="A16" s="190"/>
      <c r="B16" s="190"/>
      <c r="C16" s="190"/>
      <c r="D16" s="190"/>
      <c r="E16" s="190"/>
    </row>
  </sheetData>
  <mergeCells count="1">
    <mergeCell ref="A16:E1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topLeftCell="A7" zoomScale="85" zoomScaleNormal="85" workbookViewId="0">
      <selection activeCell="A16" sqref="A16:G16"/>
    </sheetView>
  </sheetViews>
  <sheetFormatPr defaultRowHeight="15" x14ac:dyDescent="0.25"/>
  <cols>
    <col min="1" max="1" width="55.28515625" style="96" customWidth="1"/>
    <col min="2" max="3" width="19.85546875" style="96" customWidth="1"/>
    <col min="4" max="6" width="17.42578125" style="96" customWidth="1"/>
    <col min="7" max="7" width="16.42578125" style="96" customWidth="1"/>
    <col min="8" max="16384" width="9.140625" style="96"/>
  </cols>
  <sheetData>
    <row r="1" spans="1:8" ht="22.5" customHeight="1" x14ac:dyDescent="0.25">
      <c r="A1" s="215" t="s">
        <v>265</v>
      </c>
      <c r="B1" s="215"/>
      <c r="C1" s="215"/>
      <c r="D1" s="215"/>
      <c r="E1" s="215"/>
      <c r="F1" s="215"/>
      <c r="G1" s="215"/>
    </row>
    <row r="2" spans="1:8" ht="22.5" customHeight="1" x14ac:dyDescent="0.3">
      <c r="A2" s="100" t="s">
        <v>264</v>
      </c>
      <c r="B2" s="143"/>
      <c r="C2" s="143"/>
      <c r="D2" s="143"/>
      <c r="E2" s="143"/>
      <c r="F2" s="161"/>
      <c r="G2" s="143"/>
    </row>
    <row r="3" spans="1:8" ht="18.75" x14ac:dyDescent="0.25">
      <c r="A3" s="104" t="s">
        <v>122</v>
      </c>
      <c r="B3" s="103">
        <v>2011</v>
      </c>
      <c r="C3" s="103">
        <v>2012</v>
      </c>
      <c r="D3" s="103">
        <v>2013</v>
      </c>
      <c r="E3" s="103">
        <v>2014</v>
      </c>
      <c r="F3" s="103" t="s">
        <v>279</v>
      </c>
      <c r="G3" s="103">
        <v>2016</v>
      </c>
      <c r="H3" s="96" t="s">
        <v>111</v>
      </c>
    </row>
    <row r="4" spans="1:8" ht="17.25" x14ac:dyDescent="0.3">
      <c r="A4" s="102" t="s">
        <v>121</v>
      </c>
      <c r="B4" s="179">
        <v>121317883.59999999</v>
      </c>
      <c r="C4" s="179">
        <v>115404913</v>
      </c>
      <c r="D4" s="179">
        <v>95365193</v>
      </c>
      <c r="E4" s="180">
        <v>86071758</v>
      </c>
      <c r="F4" s="180">
        <v>90272231.799999997</v>
      </c>
      <c r="G4" s="180">
        <v>89290955.609999999</v>
      </c>
      <c r="H4" s="106">
        <f>G4/SUM(G$4:G$10)</f>
        <v>0.35225931096678492</v>
      </c>
    </row>
    <row r="5" spans="1:8" ht="17.25" x14ac:dyDescent="0.3">
      <c r="A5" s="102" t="s">
        <v>120</v>
      </c>
      <c r="B5" s="179">
        <v>50870890</v>
      </c>
      <c r="C5" s="179">
        <v>73383217</v>
      </c>
      <c r="D5" s="179">
        <v>61857476</v>
      </c>
      <c r="E5" s="180">
        <v>78704753</v>
      </c>
      <c r="F5" s="180">
        <v>68248817.269999996</v>
      </c>
      <c r="G5" s="180">
        <v>60368287.25</v>
      </c>
      <c r="H5" s="106">
        <f t="shared" ref="H5:H11" si="0">G5/SUM(G$4:G$10)</f>
        <v>0.2381572817275166</v>
      </c>
    </row>
    <row r="6" spans="1:8" ht="17.25" x14ac:dyDescent="0.3">
      <c r="A6" s="102" t="s">
        <v>119</v>
      </c>
      <c r="B6" s="179">
        <v>86884303.599999994</v>
      </c>
      <c r="C6" s="179">
        <v>85320690</v>
      </c>
      <c r="D6" s="179">
        <v>101607686</v>
      </c>
      <c r="E6" s="180">
        <v>61266093</v>
      </c>
      <c r="F6" s="180">
        <v>97958650.379999995</v>
      </c>
      <c r="G6" s="180">
        <v>93022211.670000002</v>
      </c>
      <c r="H6" s="106">
        <f t="shared" si="0"/>
        <v>0.36697938737045871</v>
      </c>
    </row>
    <row r="7" spans="1:8" ht="17.25" x14ac:dyDescent="0.3">
      <c r="A7" s="102" t="s">
        <v>113</v>
      </c>
      <c r="B7" s="179">
        <v>3598371</v>
      </c>
      <c r="C7" s="179">
        <v>2367853</v>
      </c>
      <c r="D7" s="179">
        <v>589410</v>
      </c>
      <c r="E7" s="180">
        <v>989723</v>
      </c>
      <c r="F7" s="180">
        <v>938155.66</v>
      </c>
      <c r="G7" s="180">
        <v>1085664.31</v>
      </c>
      <c r="H7" s="106">
        <f t="shared" si="0"/>
        <v>4.2830246262814077E-3</v>
      </c>
    </row>
    <row r="8" spans="1:8" ht="17.25" x14ac:dyDescent="0.3">
      <c r="A8" s="102" t="s">
        <v>118</v>
      </c>
      <c r="B8" s="179">
        <v>17984028</v>
      </c>
      <c r="C8" s="179">
        <v>11143660</v>
      </c>
      <c r="D8" s="179">
        <v>7215356</v>
      </c>
      <c r="E8" s="180">
        <v>8285323</v>
      </c>
      <c r="F8" s="180">
        <v>5345068.57</v>
      </c>
      <c r="G8" s="180">
        <v>7243972.96</v>
      </c>
      <c r="H8" s="106">
        <f t="shared" si="0"/>
        <v>2.8577999934249126E-2</v>
      </c>
    </row>
    <row r="9" spans="1:8" ht="17.25" x14ac:dyDescent="0.3">
      <c r="A9" s="102" t="s">
        <v>117</v>
      </c>
      <c r="B9" s="179">
        <v>1610361</v>
      </c>
      <c r="C9" s="179">
        <v>1983288</v>
      </c>
      <c r="D9" s="179">
        <v>2042752</v>
      </c>
      <c r="E9" s="180">
        <v>1859249</v>
      </c>
      <c r="F9" s="180">
        <v>1991757.54</v>
      </c>
      <c r="G9" s="180">
        <v>1827278.44</v>
      </c>
      <c r="H9" s="106">
        <f t="shared" si="0"/>
        <v>7.208746281429361E-3</v>
      </c>
    </row>
    <row r="10" spans="1:8" ht="17.25" x14ac:dyDescent="0.3">
      <c r="A10" s="102" t="s">
        <v>116</v>
      </c>
      <c r="B10" s="179">
        <v>622594</v>
      </c>
      <c r="C10" s="179">
        <v>883615</v>
      </c>
      <c r="D10" s="179">
        <v>524606</v>
      </c>
      <c r="E10" s="180">
        <v>494000</v>
      </c>
      <c r="F10" s="180">
        <v>763224.97</v>
      </c>
      <c r="G10" s="180">
        <v>642383.37</v>
      </c>
      <c r="H10" s="106">
        <f t="shared" si="0"/>
        <v>2.5342490932797092E-3</v>
      </c>
    </row>
    <row r="11" spans="1:8" ht="19.5" x14ac:dyDescent="0.3">
      <c r="A11" s="100" t="s">
        <v>115</v>
      </c>
      <c r="B11" s="179">
        <f>292+10988+28315184</f>
        <v>28326464</v>
      </c>
      <c r="C11" s="179">
        <f>11994+15910542</f>
        <v>15922536</v>
      </c>
      <c r="D11" s="181">
        <v>21899413</v>
      </c>
      <c r="E11" s="182">
        <v>31463211</v>
      </c>
      <c r="F11" s="182">
        <v>14032643.140000001</v>
      </c>
      <c r="G11" s="182">
        <v>20691420.34</v>
      </c>
      <c r="H11" s="106">
        <f t="shared" si="0"/>
        <v>8.1629157422481738E-2</v>
      </c>
    </row>
    <row r="12" spans="1:8" ht="18" thickBot="1" x14ac:dyDescent="0.35">
      <c r="A12" s="100"/>
      <c r="B12" s="101">
        <f>SUM(B4:B11)</f>
        <v>311214895.19999999</v>
      </c>
      <c r="C12" s="101">
        <f>SUM(C4:C11)</f>
        <v>306409772</v>
      </c>
      <c r="D12" s="101">
        <f>SUM(D4:D11)</f>
        <v>291101892</v>
      </c>
      <c r="E12" s="101">
        <f>SUM(E4:E11)</f>
        <v>269134110</v>
      </c>
      <c r="F12" s="101"/>
      <c r="G12" s="101">
        <f>SUM(G4:G11)</f>
        <v>274172173.95000005</v>
      </c>
    </row>
    <row r="13" spans="1:8" ht="18" thickTop="1" x14ac:dyDescent="0.3">
      <c r="A13" s="100"/>
      <c r="B13" s="100"/>
      <c r="C13" s="100"/>
      <c r="D13" s="100"/>
      <c r="E13" s="100"/>
      <c r="F13" s="100"/>
      <c r="G13" s="99"/>
    </row>
    <row r="14" spans="1:8" ht="15.75" x14ac:dyDescent="0.25">
      <c r="A14" s="98" t="s">
        <v>2</v>
      </c>
      <c r="B14" s="98"/>
      <c r="C14" s="98"/>
    </row>
    <row r="15" spans="1:8" ht="20.25" customHeight="1" x14ac:dyDescent="0.25">
      <c r="A15" s="214" t="s">
        <v>114</v>
      </c>
      <c r="B15" s="214"/>
      <c r="C15" s="214"/>
      <c r="D15" s="214"/>
      <c r="E15" s="214"/>
      <c r="F15" s="214"/>
      <c r="G15" s="214"/>
      <c r="H15" s="97"/>
    </row>
    <row r="16" spans="1:8" ht="48" customHeight="1" x14ac:dyDescent="0.25">
      <c r="A16" s="214" t="s">
        <v>266</v>
      </c>
      <c r="B16" s="214"/>
      <c r="C16" s="214"/>
      <c r="D16" s="214"/>
      <c r="E16" s="214"/>
      <c r="F16" s="214"/>
      <c r="G16" s="214"/>
      <c r="H16" s="97"/>
    </row>
    <row r="17" spans="1:8" ht="21.75" customHeight="1" x14ac:dyDescent="0.25">
      <c r="A17" s="214" t="s">
        <v>280</v>
      </c>
      <c r="B17" s="214"/>
      <c r="C17" s="214"/>
      <c r="D17" s="214"/>
      <c r="E17" s="214"/>
      <c r="F17" s="214"/>
      <c r="G17" s="214"/>
      <c r="H17" s="97"/>
    </row>
    <row r="19" spans="1:8" ht="15.75" x14ac:dyDescent="0.25">
      <c r="A19" s="105" t="s">
        <v>293</v>
      </c>
    </row>
  </sheetData>
  <mergeCells count="4">
    <mergeCell ref="A17:G17"/>
    <mergeCell ref="A15:G15"/>
    <mergeCell ref="A16:G16"/>
    <mergeCell ref="A1:G1"/>
  </mergeCells>
  <pageMargins left="0.7" right="0.7" top="0.75" bottom="0.75" header="0.3" footer="0.3"/>
  <pageSetup scale="9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8"/>
  <sheetViews>
    <sheetView topLeftCell="A62" zoomScale="85" zoomScaleNormal="85" workbookViewId="0">
      <selection activeCell="F74" sqref="F74"/>
    </sheetView>
  </sheetViews>
  <sheetFormatPr defaultRowHeight="16.5" x14ac:dyDescent="0.3"/>
  <cols>
    <col min="1" max="1" width="12.42578125" style="120" bestFit="1" customWidth="1"/>
    <col min="2" max="2" width="66.140625" style="119" customWidth="1"/>
    <col min="3" max="3" width="13.7109375" style="118" customWidth="1"/>
    <col min="4" max="5" width="13.7109375" style="118" bestFit="1" customWidth="1"/>
    <col min="6" max="9" width="13.7109375" style="117" bestFit="1" customWidth="1"/>
    <col min="10" max="16384" width="9.140625" style="117"/>
  </cols>
  <sheetData>
    <row r="1" spans="1:9" ht="27.75" customHeight="1" x14ac:dyDescent="0.3">
      <c r="A1" s="217" t="s">
        <v>267</v>
      </c>
      <c r="B1" s="217"/>
      <c r="C1" s="217"/>
      <c r="D1" s="217"/>
      <c r="E1" s="217"/>
      <c r="F1" s="217"/>
      <c r="G1" s="217"/>
      <c r="H1" s="217"/>
      <c r="I1" s="217"/>
    </row>
    <row r="2" spans="1:9" s="132" customFormat="1" ht="32.25" customHeight="1" x14ac:dyDescent="0.3">
      <c r="A2" s="134" t="s">
        <v>184</v>
      </c>
      <c r="B2" s="134" t="s">
        <v>183</v>
      </c>
      <c r="C2" s="133">
        <v>2010</v>
      </c>
      <c r="D2" s="133">
        <v>2011</v>
      </c>
      <c r="E2" s="133">
        <v>2012</v>
      </c>
      <c r="F2" s="133">
        <v>2013</v>
      </c>
      <c r="G2" s="133">
        <v>2014</v>
      </c>
      <c r="H2" s="133" t="s">
        <v>294</v>
      </c>
      <c r="I2" s="133">
        <v>2016</v>
      </c>
    </row>
    <row r="3" spans="1:9" x14ac:dyDescent="0.3">
      <c r="A3" s="120" t="s">
        <v>182</v>
      </c>
      <c r="B3" s="119" t="s">
        <v>180</v>
      </c>
      <c r="C3" s="118">
        <v>18886192</v>
      </c>
      <c r="D3" s="118">
        <v>16437276</v>
      </c>
      <c r="E3" s="118">
        <v>15281324</v>
      </c>
      <c r="F3" s="118">
        <v>16789765.34</v>
      </c>
      <c r="G3" s="118">
        <v>18302893.870000001</v>
      </c>
      <c r="H3" s="118">
        <v>18662085.170000002</v>
      </c>
      <c r="I3" s="118">
        <v>20288062.460000001</v>
      </c>
    </row>
    <row r="4" spans="1:9" x14ac:dyDescent="0.3">
      <c r="B4" s="119" t="s">
        <v>181</v>
      </c>
      <c r="C4" s="118">
        <v>8214596</v>
      </c>
      <c r="D4" s="118">
        <v>10011126</v>
      </c>
      <c r="E4" s="118">
        <v>10226671.5</v>
      </c>
      <c r="F4" s="118">
        <v>7294105.1900000004</v>
      </c>
      <c r="G4" s="118">
        <v>6823152.6100000003</v>
      </c>
      <c r="H4" s="118">
        <v>7869433</v>
      </c>
      <c r="I4" s="118">
        <v>6916949.9299999997</v>
      </c>
    </row>
    <row r="5" spans="1:9" x14ac:dyDescent="0.3">
      <c r="B5" s="119" t="s">
        <v>179</v>
      </c>
      <c r="C5" s="118">
        <v>2640768</v>
      </c>
      <c r="D5" s="118">
        <v>2842702</v>
      </c>
      <c r="E5" s="118">
        <v>2472045.7200000002</v>
      </c>
      <c r="F5" s="118">
        <v>2845423.81</v>
      </c>
      <c r="G5" s="118">
        <v>3425748.4</v>
      </c>
      <c r="H5" s="118">
        <v>2718120.18</v>
      </c>
      <c r="I5" s="118">
        <v>3027580.13</v>
      </c>
    </row>
    <row r="6" spans="1:9" x14ac:dyDescent="0.3">
      <c r="B6" s="119" t="s">
        <v>175</v>
      </c>
      <c r="C6" s="118">
        <v>1760653</v>
      </c>
      <c r="D6" s="118">
        <v>2385971</v>
      </c>
      <c r="E6" s="118">
        <v>3135563.61</v>
      </c>
      <c r="F6" s="118">
        <v>2209566.7000000002</v>
      </c>
      <c r="G6" s="118">
        <v>1704163.07</v>
      </c>
      <c r="H6" s="118">
        <v>1705065.54</v>
      </c>
      <c r="I6" s="118">
        <v>1809299.77</v>
      </c>
    </row>
    <row r="7" spans="1:9" x14ac:dyDescent="0.3">
      <c r="B7" s="119" t="s">
        <v>177</v>
      </c>
      <c r="C7" s="118">
        <v>205064</v>
      </c>
      <c r="D7" s="118">
        <v>358523</v>
      </c>
      <c r="E7" s="118">
        <v>358213.68</v>
      </c>
      <c r="F7" s="118">
        <v>604601.54</v>
      </c>
      <c r="G7" s="118">
        <v>171313.17</v>
      </c>
      <c r="H7" s="118">
        <v>309498.65000000002</v>
      </c>
      <c r="I7" s="118">
        <v>1278360.5900000001</v>
      </c>
    </row>
    <row r="8" spans="1:9" x14ac:dyDescent="0.3">
      <c r="B8" s="119" t="s">
        <v>176</v>
      </c>
      <c r="C8" s="118">
        <v>1649120</v>
      </c>
      <c r="D8" s="118">
        <v>1124508</v>
      </c>
      <c r="E8" s="118">
        <v>851567.22</v>
      </c>
      <c r="F8" s="118">
        <v>819257.58</v>
      </c>
      <c r="G8" s="118">
        <v>813991.96</v>
      </c>
      <c r="H8" s="118">
        <v>309565.11</v>
      </c>
      <c r="I8" s="118">
        <v>962584.71</v>
      </c>
    </row>
    <row r="9" spans="1:9" x14ac:dyDescent="0.3">
      <c r="B9" s="119" t="s">
        <v>295</v>
      </c>
      <c r="C9" s="118">
        <v>1476028</v>
      </c>
      <c r="D9" s="118">
        <v>750143</v>
      </c>
      <c r="E9" s="118">
        <v>573644.63</v>
      </c>
      <c r="F9" s="118">
        <v>381426.58</v>
      </c>
      <c r="G9" s="118">
        <v>379050.12</v>
      </c>
      <c r="H9" s="118">
        <v>625655.61</v>
      </c>
      <c r="I9" s="118">
        <v>793662.27</v>
      </c>
    </row>
    <row r="10" spans="1:9" x14ac:dyDescent="0.3">
      <c r="B10" s="119" t="s">
        <v>178</v>
      </c>
      <c r="C10" s="118">
        <v>180104</v>
      </c>
      <c r="D10" s="118">
        <v>160153</v>
      </c>
      <c r="E10" s="118">
        <v>237485.58</v>
      </c>
      <c r="F10" s="118">
        <v>181861.7</v>
      </c>
      <c r="G10" s="118">
        <v>312773.18</v>
      </c>
      <c r="H10" s="118">
        <v>714662.68</v>
      </c>
      <c r="I10" s="118">
        <v>263562.12</v>
      </c>
    </row>
    <row r="11" spans="1:9" x14ac:dyDescent="0.3">
      <c r="B11" s="119" t="s">
        <v>136</v>
      </c>
      <c r="C11" s="118">
        <v>444850</v>
      </c>
      <c r="D11" s="118">
        <v>904925</v>
      </c>
      <c r="F11" s="118">
        <v>178002</v>
      </c>
      <c r="G11" s="118">
        <v>50000</v>
      </c>
      <c r="H11" s="118">
        <v>50000</v>
      </c>
      <c r="I11" s="118"/>
    </row>
    <row r="12" spans="1:9" x14ac:dyDescent="0.3">
      <c r="A12" s="218" t="s">
        <v>174</v>
      </c>
      <c r="B12" s="219"/>
      <c r="C12" s="123">
        <f t="shared" ref="C12:I12" si="0">SUM(C3:C11)</f>
        <v>35457375</v>
      </c>
      <c r="D12" s="123">
        <f t="shared" si="0"/>
        <v>34975327</v>
      </c>
      <c r="E12" s="123">
        <f t="shared" si="0"/>
        <v>33136515.939999994</v>
      </c>
      <c r="F12" s="123">
        <f t="shared" si="0"/>
        <v>31304010.439999994</v>
      </c>
      <c r="G12" s="122">
        <f t="shared" si="0"/>
        <v>31983086.380000003</v>
      </c>
      <c r="H12" s="122">
        <f t="shared" si="0"/>
        <v>32964085.939999998</v>
      </c>
      <c r="I12" s="122">
        <f t="shared" si="0"/>
        <v>35340061.979999997</v>
      </c>
    </row>
    <row r="13" spans="1:9" x14ac:dyDescent="0.3">
      <c r="F13" s="118"/>
      <c r="G13" s="118"/>
      <c r="H13" s="118"/>
      <c r="I13" s="118"/>
    </row>
    <row r="14" spans="1:9" x14ac:dyDescent="0.3">
      <c r="A14" s="120" t="s">
        <v>122</v>
      </c>
      <c r="B14" s="119" t="s">
        <v>173</v>
      </c>
      <c r="C14" s="118">
        <v>13269950</v>
      </c>
      <c r="D14" s="118">
        <v>10238326</v>
      </c>
      <c r="E14" s="118">
        <v>15805508.949999999</v>
      </c>
      <c r="F14" s="118">
        <v>13248074.52</v>
      </c>
      <c r="G14" s="118">
        <v>14244565.92</v>
      </c>
      <c r="H14" s="118">
        <v>14416087.09</v>
      </c>
      <c r="I14" s="118">
        <v>15246155.84</v>
      </c>
    </row>
    <row r="15" spans="1:9" x14ac:dyDescent="0.3">
      <c r="B15" s="119" t="s">
        <v>172</v>
      </c>
      <c r="E15" s="118">
        <v>59516.38</v>
      </c>
      <c r="F15" s="118">
        <v>76366.52</v>
      </c>
      <c r="G15" s="118">
        <v>112610.87</v>
      </c>
      <c r="H15" s="118">
        <v>88522.53</v>
      </c>
      <c r="I15" s="118">
        <v>55535.040000000001</v>
      </c>
    </row>
    <row r="16" spans="1:9" x14ac:dyDescent="0.3">
      <c r="B16" s="131" t="s">
        <v>171</v>
      </c>
      <c r="C16" s="130">
        <f t="shared" ref="C16:G16" si="1">SUM(C14:C15)</f>
        <v>13269950</v>
      </c>
      <c r="D16" s="130">
        <f t="shared" si="1"/>
        <v>10238326</v>
      </c>
      <c r="E16" s="130">
        <f t="shared" si="1"/>
        <v>15865025.33</v>
      </c>
      <c r="F16" s="130">
        <f t="shared" si="1"/>
        <v>13324441.039999999</v>
      </c>
      <c r="G16" s="130">
        <f t="shared" si="1"/>
        <v>14357176.789999999</v>
      </c>
      <c r="H16" s="130">
        <f>SUM(H14:H15)</f>
        <v>14504609.619999999</v>
      </c>
      <c r="I16" s="130">
        <f>SUM(I14:I15)</f>
        <v>15301690.879999999</v>
      </c>
    </row>
    <row r="17" spans="1:9" ht="7.5" customHeight="1" x14ac:dyDescent="0.3">
      <c r="F17" s="118"/>
      <c r="G17" s="118"/>
      <c r="H17" s="118"/>
      <c r="I17" s="118"/>
    </row>
    <row r="18" spans="1:9" x14ac:dyDescent="0.3">
      <c r="B18" s="119" t="s">
        <v>170</v>
      </c>
      <c r="C18" s="118">
        <v>9174578</v>
      </c>
      <c r="D18" s="118">
        <v>10847630</v>
      </c>
      <c r="E18" s="118">
        <v>17836560.809999999</v>
      </c>
      <c r="F18" s="118">
        <v>18281035.739999998</v>
      </c>
      <c r="G18" s="118">
        <v>13726829.310000001</v>
      </c>
      <c r="H18" s="118">
        <v>15455053.789999999</v>
      </c>
      <c r="I18" s="118">
        <v>11875775.390000001</v>
      </c>
    </row>
    <row r="19" spans="1:9" x14ac:dyDescent="0.3">
      <c r="B19" s="119" t="s">
        <v>169</v>
      </c>
      <c r="C19" s="118">
        <v>66967</v>
      </c>
      <c r="F19" s="118"/>
      <c r="G19" s="118"/>
      <c r="H19" s="118"/>
      <c r="I19" s="118"/>
    </row>
    <row r="20" spans="1:9" x14ac:dyDescent="0.3">
      <c r="B20" s="119" t="s">
        <v>168</v>
      </c>
      <c r="C20" s="118">
        <v>1397773</v>
      </c>
      <c r="D20" s="118">
        <v>2551533</v>
      </c>
      <c r="E20" s="118">
        <v>2487432.84</v>
      </c>
      <c r="F20" s="118">
        <v>2905499.55</v>
      </c>
      <c r="G20" s="118">
        <v>1368456.31</v>
      </c>
      <c r="H20" s="118">
        <v>2742180.2</v>
      </c>
      <c r="I20" s="118">
        <v>3352209.85</v>
      </c>
    </row>
    <row r="21" spans="1:9" x14ac:dyDescent="0.3">
      <c r="B21" s="131" t="s">
        <v>167</v>
      </c>
      <c r="C21" s="130">
        <f t="shared" ref="C21:G21" si="2">SUM(C18:C20)</f>
        <v>10639318</v>
      </c>
      <c r="D21" s="130">
        <f t="shared" si="2"/>
        <v>13399163</v>
      </c>
      <c r="E21" s="130">
        <f t="shared" si="2"/>
        <v>20323993.649999999</v>
      </c>
      <c r="F21" s="130">
        <f t="shared" si="2"/>
        <v>21186535.289999999</v>
      </c>
      <c r="G21" s="130">
        <f t="shared" si="2"/>
        <v>15095285.620000001</v>
      </c>
      <c r="H21" s="130">
        <f>SUM(H18:H20)</f>
        <v>18197233.989999998</v>
      </c>
      <c r="I21" s="130">
        <f>SUM(I18:I20)</f>
        <v>15227985.24</v>
      </c>
    </row>
    <row r="22" spans="1:9" ht="6" customHeight="1" x14ac:dyDescent="0.3">
      <c r="F22" s="118"/>
      <c r="G22" s="118"/>
      <c r="H22" s="118"/>
      <c r="I22" s="118"/>
    </row>
    <row r="23" spans="1:9" x14ac:dyDescent="0.3">
      <c r="B23" s="119" t="s">
        <v>166</v>
      </c>
      <c r="C23" s="118">
        <v>7712743</v>
      </c>
      <c r="D23" s="118">
        <v>9148722</v>
      </c>
      <c r="E23" s="118">
        <v>11855753.15</v>
      </c>
      <c r="F23" s="118">
        <v>10691474.27</v>
      </c>
      <c r="G23" s="118">
        <v>12164790.199999999</v>
      </c>
      <c r="H23" s="118">
        <v>11894739.43</v>
      </c>
      <c r="I23" s="118">
        <v>12793662.689999999</v>
      </c>
    </row>
    <row r="24" spans="1:9" x14ac:dyDescent="0.3">
      <c r="B24" s="119" t="s">
        <v>165</v>
      </c>
      <c r="C24" s="118">
        <v>181562</v>
      </c>
      <c r="D24" s="118">
        <v>43689</v>
      </c>
      <c r="F24" s="118"/>
      <c r="G24" s="118"/>
      <c r="H24" s="118"/>
      <c r="I24" s="118"/>
    </row>
    <row r="25" spans="1:9" x14ac:dyDescent="0.3">
      <c r="B25" s="131" t="s">
        <v>164</v>
      </c>
      <c r="C25" s="130">
        <f t="shared" ref="C25:I25" si="3">SUM(C23:C24)</f>
        <v>7894305</v>
      </c>
      <c r="D25" s="130">
        <f t="shared" si="3"/>
        <v>9192411</v>
      </c>
      <c r="E25" s="130">
        <f t="shared" si="3"/>
        <v>11855753.15</v>
      </c>
      <c r="F25" s="130">
        <f t="shared" si="3"/>
        <v>10691474.27</v>
      </c>
      <c r="G25" s="130">
        <f t="shared" si="3"/>
        <v>12164790.199999999</v>
      </c>
      <c r="H25" s="130">
        <f t="shared" si="3"/>
        <v>11894739.43</v>
      </c>
      <c r="I25" s="130">
        <f t="shared" si="3"/>
        <v>12793662.689999999</v>
      </c>
    </row>
    <row r="26" spans="1:9" ht="6.75" customHeight="1" x14ac:dyDescent="0.3">
      <c r="F26" s="118"/>
      <c r="G26" s="118"/>
      <c r="H26" s="118"/>
      <c r="I26" s="118"/>
    </row>
    <row r="27" spans="1:9" x14ac:dyDescent="0.3">
      <c r="B27" s="119" t="s">
        <v>163</v>
      </c>
      <c r="C27" s="118">
        <v>2913118</v>
      </c>
      <c r="D27" s="118">
        <v>2414914</v>
      </c>
      <c r="E27" s="118">
        <v>2382531.36</v>
      </c>
      <c r="F27" s="118">
        <v>2777167.37</v>
      </c>
      <c r="G27" s="118">
        <v>3063650.19</v>
      </c>
      <c r="H27" s="118">
        <v>3051536.75</v>
      </c>
      <c r="I27" s="118">
        <v>3810995.26</v>
      </c>
    </row>
    <row r="28" spans="1:9" x14ac:dyDescent="0.3">
      <c r="B28" s="131" t="s">
        <v>162</v>
      </c>
      <c r="C28" s="130">
        <f t="shared" ref="C28:I28" si="4">SUM(C27:C27)</f>
        <v>2913118</v>
      </c>
      <c r="D28" s="130">
        <f t="shared" si="4"/>
        <v>2414914</v>
      </c>
      <c r="E28" s="130">
        <f t="shared" si="4"/>
        <v>2382531.36</v>
      </c>
      <c r="F28" s="130">
        <f t="shared" si="4"/>
        <v>2777167.37</v>
      </c>
      <c r="G28" s="130">
        <f t="shared" si="4"/>
        <v>3063650.19</v>
      </c>
      <c r="H28" s="130">
        <f t="shared" si="4"/>
        <v>3051536.75</v>
      </c>
      <c r="I28" s="130">
        <f t="shared" si="4"/>
        <v>3810995.26</v>
      </c>
    </row>
    <row r="29" spans="1:9" ht="18" customHeight="1" x14ac:dyDescent="0.3">
      <c r="A29" s="220" t="s">
        <v>161</v>
      </c>
      <c r="B29" s="221"/>
      <c r="C29" s="123">
        <f t="shared" ref="C29:I29" si="5">SUM(C28,C25,C21,C16)</f>
        <v>34716691</v>
      </c>
      <c r="D29" s="123">
        <f t="shared" si="5"/>
        <v>35244814</v>
      </c>
      <c r="E29" s="123">
        <f t="shared" si="5"/>
        <v>50427303.489999995</v>
      </c>
      <c r="F29" s="123">
        <f t="shared" si="5"/>
        <v>47979617.969999999</v>
      </c>
      <c r="G29" s="122">
        <f t="shared" si="5"/>
        <v>44680902.799999997</v>
      </c>
      <c r="H29" s="122">
        <f t="shared" si="5"/>
        <v>47648119.789999999</v>
      </c>
      <c r="I29" s="122">
        <f t="shared" si="5"/>
        <v>47134334.069999993</v>
      </c>
    </row>
    <row r="30" spans="1:9" x14ac:dyDescent="0.3">
      <c r="B30" s="129"/>
      <c r="F30" s="118"/>
      <c r="G30" s="118"/>
      <c r="H30" s="118"/>
      <c r="I30" s="118"/>
    </row>
    <row r="31" spans="1:9" x14ac:dyDescent="0.3">
      <c r="A31" s="120" t="s">
        <v>160</v>
      </c>
      <c r="B31" s="119" t="s">
        <v>141</v>
      </c>
      <c r="C31" s="118">
        <v>24319364</v>
      </c>
      <c r="D31" s="118">
        <v>32944242</v>
      </c>
      <c r="E31" s="118">
        <v>25813515.890000001</v>
      </c>
      <c r="F31" s="118">
        <v>25447028.68</v>
      </c>
      <c r="G31" s="118">
        <v>23930423.989999998</v>
      </c>
      <c r="H31" s="118">
        <v>27481990.550000001</v>
      </c>
      <c r="I31" s="118">
        <v>27344154.420000002</v>
      </c>
    </row>
    <row r="32" spans="1:9" x14ac:dyDescent="0.3">
      <c r="B32" s="119" t="s">
        <v>149</v>
      </c>
      <c r="C32" s="118">
        <v>12664313</v>
      </c>
      <c r="D32" s="118">
        <v>15349520</v>
      </c>
      <c r="E32" s="118">
        <v>16073605.48</v>
      </c>
      <c r="F32" s="118">
        <v>15800876.02</v>
      </c>
      <c r="G32" s="118">
        <v>15294864.880000001</v>
      </c>
      <c r="H32" s="118">
        <v>16713068.199999999</v>
      </c>
      <c r="I32" s="118">
        <v>16526286.51</v>
      </c>
    </row>
    <row r="33" spans="2:9" x14ac:dyDescent="0.3">
      <c r="B33" s="119" t="s">
        <v>150</v>
      </c>
      <c r="C33" s="118">
        <v>6938439</v>
      </c>
      <c r="D33" s="118">
        <v>8537716</v>
      </c>
      <c r="E33" s="118">
        <v>12321474</v>
      </c>
      <c r="F33" s="118">
        <v>15094787.6</v>
      </c>
      <c r="G33" s="118">
        <v>21941730.670000002</v>
      </c>
      <c r="H33" s="118">
        <v>11586883.73</v>
      </c>
      <c r="I33" s="118">
        <v>15188306.74</v>
      </c>
    </row>
    <row r="34" spans="2:9" x14ac:dyDescent="0.3">
      <c r="B34" s="119" t="s">
        <v>156</v>
      </c>
      <c r="C34" s="118">
        <v>10278445</v>
      </c>
      <c r="D34" s="118">
        <v>16189398</v>
      </c>
      <c r="E34" s="118">
        <f>21756503.79+237012</f>
        <v>21993515.789999999</v>
      </c>
      <c r="F34" s="118">
        <f>16771295.67+101402</f>
        <v>16872697.670000002</v>
      </c>
      <c r="G34" s="118">
        <v>15116518.9</v>
      </c>
      <c r="H34" s="118">
        <v>14293923.970000001</v>
      </c>
      <c r="I34" s="118">
        <v>15137000.189999999</v>
      </c>
    </row>
    <row r="35" spans="2:9" x14ac:dyDescent="0.3">
      <c r="B35" s="119" t="s">
        <v>144</v>
      </c>
      <c r="C35" s="118">
        <v>8881642</v>
      </c>
      <c r="D35" s="118">
        <v>11365123</v>
      </c>
      <c r="E35" s="118">
        <v>9951477.0299999993</v>
      </c>
      <c r="F35" s="118">
        <v>12122356.76</v>
      </c>
      <c r="G35" s="118">
        <v>12088601.689999999</v>
      </c>
      <c r="H35" s="118">
        <v>11248947.369999999</v>
      </c>
      <c r="I35" s="118">
        <v>10584970.689999999</v>
      </c>
    </row>
    <row r="36" spans="2:9" x14ac:dyDescent="0.3">
      <c r="B36" s="119" t="s">
        <v>157</v>
      </c>
      <c r="C36" s="118">
        <v>6034143</v>
      </c>
      <c r="D36" s="118">
        <v>7660904</v>
      </c>
      <c r="E36" s="118">
        <v>8747388.2599999998</v>
      </c>
      <c r="F36" s="118">
        <v>7939587.2699999996</v>
      </c>
      <c r="G36" s="118">
        <v>8553076.3699999992</v>
      </c>
      <c r="H36" s="118">
        <v>9041925.8399999999</v>
      </c>
      <c r="I36" s="118">
        <v>9140737.4800000004</v>
      </c>
    </row>
    <row r="37" spans="2:9" x14ac:dyDescent="0.3">
      <c r="B37" s="119" t="s">
        <v>153</v>
      </c>
      <c r="C37" s="118">
        <v>6078270</v>
      </c>
      <c r="D37" s="118">
        <v>6859314</v>
      </c>
      <c r="E37" s="118">
        <v>7223658.5800000001</v>
      </c>
      <c r="F37" s="118">
        <v>11203329.99</v>
      </c>
      <c r="G37" s="118">
        <v>5691055.3700000001</v>
      </c>
      <c r="H37" s="118">
        <v>12065436.449999999</v>
      </c>
      <c r="I37" s="118">
        <v>6615139.9800000004</v>
      </c>
    </row>
    <row r="38" spans="2:9" x14ac:dyDescent="0.3">
      <c r="B38" s="119" t="s">
        <v>147</v>
      </c>
      <c r="C38" s="118">
        <v>2438482</v>
      </c>
      <c r="D38" s="118">
        <v>2830660</v>
      </c>
      <c r="E38" s="118">
        <v>2837601.3</v>
      </c>
      <c r="F38" s="118">
        <v>4009231.03</v>
      </c>
      <c r="G38" s="118">
        <v>3551517.74</v>
      </c>
      <c r="H38" s="118">
        <v>3477187.41</v>
      </c>
      <c r="I38" s="118">
        <v>3422312.84</v>
      </c>
    </row>
    <row r="39" spans="2:9" x14ac:dyDescent="0.3">
      <c r="B39" s="119" t="s">
        <v>145</v>
      </c>
      <c r="C39" s="118">
        <v>2761856</v>
      </c>
      <c r="D39" s="118">
        <v>2803647</v>
      </c>
      <c r="E39" s="118">
        <v>2932795.66</v>
      </c>
      <c r="F39" s="118">
        <v>2709869.99</v>
      </c>
      <c r="G39" s="118">
        <v>3314938.77</v>
      </c>
      <c r="H39" s="118">
        <v>2989703.16</v>
      </c>
      <c r="I39" s="118">
        <v>3403932.96</v>
      </c>
    </row>
    <row r="40" spans="2:9" x14ac:dyDescent="0.3">
      <c r="B40" s="119" t="s">
        <v>151</v>
      </c>
      <c r="C40" s="118">
        <v>1928048</v>
      </c>
      <c r="D40" s="118">
        <v>2066331</v>
      </c>
      <c r="E40" s="118">
        <v>2575344.41</v>
      </c>
      <c r="F40" s="118">
        <v>2709447.93</v>
      </c>
      <c r="G40" s="118">
        <v>2962457.34</v>
      </c>
      <c r="H40" s="118">
        <v>3133721.78</v>
      </c>
      <c r="I40" s="118">
        <v>3359053.68</v>
      </c>
    </row>
    <row r="41" spans="2:9" x14ac:dyDescent="0.3">
      <c r="B41" s="119" t="s">
        <v>158</v>
      </c>
      <c r="C41" s="118">
        <v>2444908</v>
      </c>
      <c r="D41" s="118">
        <v>2340704</v>
      </c>
      <c r="E41" s="118">
        <v>2668551.16</v>
      </c>
      <c r="F41" s="118">
        <v>2714055.36</v>
      </c>
      <c r="G41" s="118">
        <v>2606885.94</v>
      </c>
      <c r="H41" s="118">
        <v>2686195.65</v>
      </c>
      <c r="I41" s="118">
        <v>2722811.24</v>
      </c>
    </row>
    <row r="42" spans="2:9" x14ac:dyDescent="0.3">
      <c r="B42" s="119" t="s">
        <v>146</v>
      </c>
      <c r="C42" s="118">
        <v>749767</v>
      </c>
      <c r="D42" s="118">
        <v>841382</v>
      </c>
      <c r="E42" s="118">
        <v>1147875</v>
      </c>
      <c r="F42" s="118">
        <v>694692.43</v>
      </c>
      <c r="G42" s="118">
        <v>626509.31000000006</v>
      </c>
      <c r="H42" s="118">
        <v>1086909.6599999999</v>
      </c>
      <c r="I42" s="118">
        <v>936944.3</v>
      </c>
    </row>
    <row r="43" spans="2:9" x14ac:dyDescent="0.3">
      <c r="B43" s="119" t="s">
        <v>159</v>
      </c>
      <c r="C43" s="118">
        <v>716460</v>
      </c>
      <c r="D43" s="118">
        <v>658775</v>
      </c>
      <c r="E43" s="118">
        <v>831696.91</v>
      </c>
      <c r="F43" s="118">
        <v>610971.79</v>
      </c>
      <c r="G43" s="118">
        <v>761026.25</v>
      </c>
      <c r="H43" s="118">
        <v>1081654.73</v>
      </c>
      <c r="I43" s="118">
        <v>797848.95</v>
      </c>
    </row>
    <row r="44" spans="2:9" x14ac:dyDescent="0.3">
      <c r="B44" s="119" t="s">
        <v>152</v>
      </c>
      <c r="D44" s="118">
        <v>34325</v>
      </c>
      <c r="E44" s="118">
        <v>118229.05</v>
      </c>
      <c r="F44" s="118">
        <v>364936.65</v>
      </c>
      <c r="G44" s="118">
        <v>453801.49</v>
      </c>
      <c r="H44" s="118">
        <v>633054.71999999997</v>
      </c>
      <c r="I44" s="118">
        <v>661307.65</v>
      </c>
    </row>
    <row r="45" spans="2:9" x14ac:dyDescent="0.3">
      <c r="B45" s="119" t="s">
        <v>148</v>
      </c>
      <c r="C45" s="118">
        <v>560467</v>
      </c>
      <c r="D45" s="118">
        <v>430107</v>
      </c>
      <c r="E45" s="118">
        <v>453174.96</v>
      </c>
      <c r="F45" s="118">
        <v>755838.51</v>
      </c>
      <c r="G45" s="118">
        <v>664291.94999999995</v>
      </c>
      <c r="H45" s="118">
        <v>684144.2</v>
      </c>
      <c r="I45" s="118">
        <v>632232.28</v>
      </c>
    </row>
    <row r="46" spans="2:9" x14ac:dyDescent="0.3">
      <c r="B46" s="119" t="s">
        <v>143</v>
      </c>
      <c r="C46" s="118">
        <v>516803</v>
      </c>
      <c r="D46" s="118">
        <v>427731</v>
      </c>
      <c r="E46" s="118">
        <v>403540.21</v>
      </c>
      <c r="F46" s="118">
        <v>389914</v>
      </c>
      <c r="G46" s="118">
        <v>448433.02</v>
      </c>
      <c r="H46" s="118">
        <v>542524.98</v>
      </c>
      <c r="I46" s="118">
        <v>466896</v>
      </c>
    </row>
    <row r="47" spans="2:9" x14ac:dyDescent="0.3">
      <c r="B47" s="119" t="s">
        <v>142</v>
      </c>
      <c r="C47" s="118">
        <v>131067</v>
      </c>
      <c r="D47" s="118">
        <v>148610</v>
      </c>
      <c r="E47" s="118">
        <v>162735.01</v>
      </c>
      <c r="F47" s="118">
        <v>206529.12</v>
      </c>
      <c r="G47" s="118">
        <v>340149.56</v>
      </c>
      <c r="H47" s="118">
        <v>393094.87</v>
      </c>
      <c r="I47" s="118">
        <v>381504.58</v>
      </c>
    </row>
    <row r="48" spans="2:9" ht="16.5" customHeight="1" x14ac:dyDescent="0.3">
      <c r="B48" s="119" t="s">
        <v>155</v>
      </c>
      <c r="C48" s="118">
        <v>93475</v>
      </c>
      <c r="D48" s="118">
        <v>124703</v>
      </c>
      <c r="E48" s="118">
        <v>158296.26999999999</v>
      </c>
      <c r="F48" s="118">
        <v>110571.35</v>
      </c>
      <c r="G48" s="118">
        <v>140397.85999999999</v>
      </c>
      <c r="H48" s="118">
        <v>134869.24</v>
      </c>
      <c r="I48" s="118">
        <v>163102.44</v>
      </c>
    </row>
    <row r="49" spans="1:9" ht="16.5" customHeight="1" x14ac:dyDescent="0.3">
      <c r="B49" s="119" t="s">
        <v>154</v>
      </c>
      <c r="F49" s="118">
        <v>68133.8</v>
      </c>
      <c r="G49" s="118">
        <v>52779.89</v>
      </c>
      <c r="H49" s="118">
        <v>140868.88</v>
      </c>
      <c r="I49" s="118">
        <v>124210.37</v>
      </c>
    </row>
    <row r="50" spans="1:9" x14ac:dyDescent="0.3">
      <c r="B50" s="119" t="s">
        <v>296</v>
      </c>
      <c r="F50" s="118"/>
      <c r="G50" s="118"/>
      <c r="H50" s="118"/>
      <c r="I50" s="118">
        <v>4650</v>
      </c>
    </row>
    <row r="51" spans="1:9" x14ac:dyDescent="0.3">
      <c r="A51" s="220" t="s">
        <v>140</v>
      </c>
      <c r="B51" s="221"/>
      <c r="C51" s="123">
        <f t="shared" ref="C51:I51" si="6">SUM(C31:C50)</f>
        <v>87535949</v>
      </c>
      <c r="D51" s="123">
        <f t="shared" si="6"/>
        <v>111613192</v>
      </c>
      <c r="E51" s="123">
        <f t="shared" si="6"/>
        <v>116414474.96999997</v>
      </c>
      <c r="F51" s="123">
        <f t="shared" si="6"/>
        <v>119824855.95000002</v>
      </c>
      <c r="G51" s="122">
        <f t="shared" si="6"/>
        <v>118539460.98999999</v>
      </c>
      <c r="H51" s="122">
        <f t="shared" si="6"/>
        <v>119416105.39000002</v>
      </c>
      <c r="I51" s="122">
        <f t="shared" si="6"/>
        <v>117613403.30000001</v>
      </c>
    </row>
    <row r="52" spans="1:9" x14ac:dyDescent="0.3">
      <c r="B52" s="128"/>
      <c r="F52" s="118"/>
      <c r="G52" s="118"/>
      <c r="H52" s="118"/>
      <c r="I52" s="118"/>
    </row>
    <row r="53" spans="1:9" ht="30" x14ac:dyDescent="0.3">
      <c r="A53" s="127" t="s">
        <v>139</v>
      </c>
      <c r="B53" s="126" t="s">
        <v>138</v>
      </c>
      <c r="C53" s="123">
        <v>13812821</v>
      </c>
      <c r="D53" s="123">
        <v>13908430</v>
      </c>
      <c r="E53" s="123">
        <v>14053990.26</v>
      </c>
      <c r="F53" s="123">
        <v>12711728.189999999</v>
      </c>
      <c r="G53" s="123">
        <v>13671164.91</v>
      </c>
      <c r="H53" s="123">
        <v>13923765.529999999</v>
      </c>
      <c r="I53" s="122">
        <v>13908920.439999999</v>
      </c>
    </row>
    <row r="54" spans="1:9" x14ac:dyDescent="0.3">
      <c r="F54" s="118"/>
      <c r="G54" s="118"/>
      <c r="H54" s="118"/>
      <c r="I54" s="118"/>
    </row>
    <row r="55" spans="1:9" ht="30" x14ac:dyDescent="0.3">
      <c r="A55" s="127" t="s">
        <v>137</v>
      </c>
      <c r="B55" s="126" t="s">
        <v>297</v>
      </c>
      <c r="C55" s="123">
        <v>3939562</v>
      </c>
      <c r="D55" s="123">
        <v>3662199</v>
      </c>
      <c r="E55" s="123">
        <v>3384748.36</v>
      </c>
      <c r="F55" s="123">
        <v>2800349.96</v>
      </c>
      <c r="G55" s="123">
        <v>3123239.52</v>
      </c>
      <c r="H55" s="123">
        <v>3143475.74</v>
      </c>
      <c r="I55" s="122">
        <v>3036342.71</v>
      </c>
    </row>
    <row r="56" spans="1:9" x14ac:dyDescent="0.3">
      <c r="F56" s="118"/>
      <c r="G56" s="118"/>
      <c r="H56" s="118"/>
      <c r="I56" s="118"/>
    </row>
    <row r="57" spans="1:9" x14ac:dyDescent="0.3">
      <c r="A57" s="120" t="s">
        <v>136</v>
      </c>
      <c r="B57" s="119" t="s">
        <v>135</v>
      </c>
      <c r="C57" s="118">
        <f>13319184-2162548-3471611+16877853</f>
        <v>24562878</v>
      </c>
      <c r="D57" s="118">
        <f>10945519+40925113</f>
        <v>51870632</v>
      </c>
      <c r="E57" s="118">
        <v>37603354.659999996</v>
      </c>
      <c r="F57" s="118">
        <v>36314947.420000002</v>
      </c>
      <c r="G57" s="118">
        <v>21464270.649999999</v>
      </c>
      <c r="H57" s="118">
        <f>10668380.37+13400475.72</f>
        <v>24068856.09</v>
      </c>
      <c r="I57" s="118">
        <v>25183984.760000002</v>
      </c>
    </row>
    <row r="58" spans="1:9" ht="18" x14ac:dyDescent="0.3">
      <c r="B58" s="119" t="s">
        <v>132</v>
      </c>
      <c r="C58" s="118">
        <v>26741905</v>
      </c>
      <c r="D58" s="118">
        <v>52203712</v>
      </c>
      <c r="E58" s="118">
        <v>38048399.530000001</v>
      </c>
      <c r="F58" s="118">
        <v>23741722.07</v>
      </c>
      <c r="G58" s="118">
        <v>20104220.399999999</v>
      </c>
      <c r="H58" s="118">
        <v>22112085.41</v>
      </c>
      <c r="I58" s="118">
        <v>18204477.829999998</v>
      </c>
    </row>
    <row r="59" spans="1:9" x14ac:dyDescent="0.3">
      <c r="B59" s="119" t="s">
        <v>134</v>
      </c>
      <c r="C59" s="125">
        <f>52603+4188123+2901156</f>
        <v>7141882</v>
      </c>
      <c r="D59" s="125">
        <f>1844538+4089379</f>
        <v>5933917</v>
      </c>
      <c r="E59" s="125">
        <v>8235814.3799999999</v>
      </c>
      <c r="F59" s="125">
        <v>7854727.4900000002</v>
      </c>
      <c r="G59" s="125">
        <v>8969539.379999999</v>
      </c>
      <c r="H59" s="125">
        <f>7965754.11+3030019.3</f>
        <v>10995773.41</v>
      </c>
      <c r="I59" s="125">
        <v>7743399.0499999998</v>
      </c>
    </row>
    <row r="60" spans="1:9" x14ac:dyDescent="0.3">
      <c r="B60" s="119" t="s">
        <v>130</v>
      </c>
      <c r="C60" s="118">
        <v>3471611</v>
      </c>
      <c r="D60" s="118">
        <v>4778134</v>
      </c>
      <c r="E60" s="118">
        <v>4833194.43</v>
      </c>
      <c r="F60" s="118">
        <v>5528549.8099999996</v>
      </c>
      <c r="G60" s="118">
        <v>4191459.14</v>
      </c>
      <c r="H60" s="118">
        <v>5148896.25</v>
      </c>
      <c r="I60" s="118">
        <v>4792260.0599999996</v>
      </c>
    </row>
    <row r="61" spans="1:9" x14ac:dyDescent="0.3">
      <c r="B61" s="119" t="s">
        <v>131</v>
      </c>
      <c r="C61" s="118">
        <v>44731</v>
      </c>
      <c r="D61" s="118">
        <v>935038</v>
      </c>
      <c r="E61" s="118">
        <v>1802447.45</v>
      </c>
      <c r="F61" s="118">
        <v>1810123.48</v>
      </c>
      <c r="G61" s="118">
        <v>1862081.77</v>
      </c>
      <c r="H61" s="118">
        <v>2058244.58</v>
      </c>
      <c r="I61" s="118">
        <v>1214989.6599999999</v>
      </c>
    </row>
    <row r="62" spans="1:9" ht="16.5" customHeight="1" x14ac:dyDescent="0.3">
      <c r="B62" s="119" t="s">
        <v>133</v>
      </c>
      <c r="C62" s="118">
        <v>2162548</v>
      </c>
      <c r="D62" s="118">
        <v>1748321</v>
      </c>
      <c r="E62" s="118">
        <v>1611165.69</v>
      </c>
      <c r="F62" s="118">
        <v>1231259.69</v>
      </c>
      <c r="G62" s="118">
        <v>544683.72</v>
      </c>
      <c r="H62" s="118">
        <v>-53709.74</v>
      </c>
      <c r="I62" s="118"/>
    </row>
    <row r="63" spans="1:9" x14ac:dyDescent="0.3">
      <c r="B63" s="119" t="s">
        <v>129</v>
      </c>
      <c r="D63" s="118">
        <v>-5658821</v>
      </c>
      <c r="E63" s="118">
        <v>-3141637.28</v>
      </c>
      <c r="F63" s="118"/>
      <c r="G63" s="118"/>
      <c r="H63" s="118">
        <v>-1875149.14</v>
      </c>
      <c r="I63" s="118"/>
    </row>
    <row r="64" spans="1:9" x14ac:dyDescent="0.3">
      <c r="A64" s="222" t="s">
        <v>128</v>
      </c>
      <c r="B64" s="223"/>
      <c r="C64" s="123">
        <f t="shared" ref="C64:I64" si="7">SUM(C57:C63)</f>
        <v>64125555</v>
      </c>
      <c r="D64" s="123">
        <f t="shared" si="7"/>
        <v>111810933</v>
      </c>
      <c r="E64" s="123">
        <f t="shared" si="7"/>
        <v>88992738.859999999</v>
      </c>
      <c r="F64" s="123">
        <f t="shared" si="7"/>
        <v>76481329.960000008</v>
      </c>
      <c r="G64" s="122">
        <f t="shared" si="7"/>
        <v>57136255.059999995</v>
      </c>
      <c r="H64" s="122">
        <f t="shared" si="7"/>
        <v>62454996.859999992</v>
      </c>
      <c r="I64" s="122">
        <f t="shared" si="7"/>
        <v>57139111.359999999</v>
      </c>
    </row>
    <row r="65" spans="1:9" x14ac:dyDescent="0.3">
      <c r="A65" s="124"/>
      <c r="B65" s="124"/>
      <c r="F65" s="118"/>
      <c r="G65" s="118"/>
      <c r="H65" s="118"/>
      <c r="I65" s="118"/>
    </row>
    <row r="66" spans="1:9" x14ac:dyDescent="0.3">
      <c r="A66" s="220" t="s">
        <v>127</v>
      </c>
      <c r="B66" s="221"/>
      <c r="C66" s="123">
        <f t="shared" ref="C66:I66" si="8">C12+C29+C51+C53+C55+C64</f>
        <v>239587953</v>
      </c>
      <c r="D66" s="123">
        <f t="shared" si="8"/>
        <v>311214895</v>
      </c>
      <c r="E66" s="123">
        <f t="shared" si="8"/>
        <v>306409771.88</v>
      </c>
      <c r="F66" s="123">
        <f t="shared" si="8"/>
        <v>291101892.47000003</v>
      </c>
      <c r="G66" s="122">
        <f t="shared" si="8"/>
        <v>269134109.66000003</v>
      </c>
      <c r="H66" s="122">
        <f t="shared" si="8"/>
        <v>279550549.25</v>
      </c>
      <c r="I66" s="122">
        <f t="shared" si="8"/>
        <v>274172173.86000001</v>
      </c>
    </row>
    <row r="68" spans="1:9" x14ac:dyDescent="0.3">
      <c r="A68" s="120" t="s">
        <v>126</v>
      </c>
    </row>
    <row r="69" spans="1:9" ht="16.5" customHeight="1" x14ac:dyDescent="0.3">
      <c r="A69" s="121" t="s">
        <v>125</v>
      </c>
      <c r="B69" s="121"/>
      <c r="C69" s="121"/>
      <c r="D69" s="121"/>
      <c r="E69" s="121"/>
    </row>
    <row r="70" spans="1:9" x14ac:dyDescent="0.3">
      <c r="A70" s="121" t="s">
        <v>124</v>
      </c>
      <c r="B70" s="121"/>
      <c r="C70" s="121"/>
      <c r="D70" s="121"/>
      <c r="E70" s="121"/>
    </row>
    <row r="71" spans="1:9" x14ac:dyDescent="0.3">
      <c r="A71" s="216" t="s">
        <v>298</v>
      </c>
      <c r="B71" s="216"/>
      <c r="C71" s="216"/>
      <c r="D71" s="216"/>
      <c r="E71" s="216"/>
      <c r="F71" s="216"/>
      <c r="G71" s="216"/>
      <c r="H71" s="216"/>
      <c r="I71" s="216"/>
    </row>
    <row r="74" spans="1:9" ht="33" x14ac:dyDescent="0.3">
      <c r="A74" s="120" t="s">
        <v>185</v>
      </c>
      <c r="B74" s="119" t="s">
        <v>186</v>
      </c>
    </row>
    <row r="76" spans="1:9" x14ac:dyDescent="0.3">
      <c r="A76" s="120" t="s">
        <v>187</v>
      </c>
      <c r="B76" s="135" t="s">
        <v>192</v>
      </c>
      <c r="C76" s="118">
        <v>20288062.460000001</v>
      </c>
      <c r="D76" s="135"/>
    </row>
    <row r="77" spans="1:9" x14ac:dyDescent="0.3">
      <c r="A77" s="120" t="s">
        <v>187</v>
      </c>
      <c r="B77" s="135" t="s">
        <v>193</v>
      </c>
      <c r="C77" s="118">
        <v>6916949.9299999997</v>
      </c>
      <c r="D77" s="135"/>
    </row>
    <row r="78" spans="1:9" x14ac:dyDescent="0.3">
      <c r="A78" s="120" t="s">
        <v>187</v>
      </c>
      <c r="B78" s="135" t="s">
        <v>194</v>
      </c>
      <c r="C78" s="118">
        <v>3027580.13</v>
      </c>
      <c r="D78" s="135"/>
    </row>
    <row r="79" spans="1:9" x14ac:dyDescent="0.3">
      <c r="A79" s="120" t="s">
        <v>187</v>
      </c>
      <c r="B79" s="135" t="s">
        <v>195</v>
      </c>
      <c r="C79" s="118">
        <v>1809299.77</v>
      </c>
      <c r="D79" s="135"/>
    </row>
    <row r="80" spans="1:9" x14ac:dyDescent="0.3">
      <c r="A80" s="120" t="s">
        <v>187</v>
      </c>
      <c r="B80" s="135" t="s">
        <v>299</v>
      </c>
      <c r="C80" s="118">
        <v>1278360.5900000001</v>
      </c>
      <c r="D80" s="135"/>
    </row>
    <row r="81" spans="1:4" x14ac:dyDescent="0.3">
      <c r="A81" s="120" t="s">
        <v>187</v>
      </c>
      <c r="B81" s="135" t="s">
        <v>300</v>
      </c>
      <c r="C81" s="118">
        <v>962584.71</v>
      </c>
      <c r="D81" s="135"/>
    </row>
    <row r="82" spans="1:4" x14ac:dyDescent="0.3">
      <c r="A82" s="120" t="s">
        <v>187</v>
      </c>
      <c r="B82" s="135" t="s">
        <v>196</v>
      </c>
      <c r="C82" s="118">
        <v>1057224</v>
      </c>
      <c r="D82" s="135"/>
    </row>
    <row r="83" spans="1:4" x14ac:dyDescent="0.3">
      <c r="A83" s="120" t="s">
        <v>188</v>
      </c>
      <c r="B83" s="135" t="s">
        <v>197</v>
      </c>
      <c r="C83" s="118">
        <v>15246155.84</v>
      </c>
      <c r="D83" s="135"/>
    </row>
    <row r="84" spans="1:4" x14ac:dyDescent="0.3">
      <c r="A84" s="120" t="s">
        <v>188</v>
      </c>
      <c r="B84" s="135" t="s">
        <v>199</v>
      </c>
      <c r="C84" s="118">
        <v>12793662.689999999</v>
      </c>
      <c r="D84" s="135"/>
    </row>
    <row r="85" spans="1:4" x14ac:dyDescent="0.3">
      <c r="A85" s="120" t="s">
        <v>188</v>
      </c>
      <c r="B85" s="135" t="s">
        <v>198</v>
      </c>
      <c r="C85" s="118">
        <v>11875775.390000001</v>
      </c>
      <c r="D85" s="135"/>
    </row>
    <row r="86" spans="1:4" x14ac:dyDescent="0.3">
      <c r="A86" s="120" t="s">
        <v>188</v>
      </c>
      <c r="B86" s="135" t="s">
        <v>200</v>
      </c>
      <c r="C86" s="118">
        <v>3810995.26</v>
      </c>
      <c r="D86" s="135"/>
    </row>
    <row r="87" spans="1:4" x14ac:dyDescent="0.3">
      <c r="A87" s="120" t="s">
        <v>188</v>
      </c>
      <c r="B87" s="135" t="s">
        <v>201</v>
      </c>
      <c r="C87" s="118">
        <v>3352209.85</v>
      </c>
      <c r="D87" s="135"/>
    </row>
    <row r="88" spans="1:4" x14ac:dyDescent="0.3">
      <c r="A88" s="120" t="s">
        <v>189</v>
      </c>
      <c r="B88" s="135" t="s">
        <v>202</v>
      </c>
      <c r="C88" s="118">
        <v>27344154.420000002</v>
      </c>
      <c r="D88" s="135"/>
    </row>
    <row r="89" spans="1:4" x14ac:dyDescent="0.3">
      <c r="A89" s="120" t="s">
        <v>189</v>
      </c>
      <c r="B89" s="135" t="s">
        <v>204</v>
      </c>
      <c r="C89" s="118">
        <v>16526286.51</v>
      </c>
      <c r="D89" s="135"/>
    </row>
    <row r="90" spans="1:4" x14ac:dyDescent="0.3">
      <c r="A90" s="120" t="s">
        <v>189</v>
      </c>
      <c r="B90" s="135" t="s">
        <v>203</v>
      </c>
      <c r="C90" s="118">
        <v>15188306.74</v>
      </c>
      <c r="D90" s="135"/>
    </row>
    <row r="91" spans="1:4" x14ac:dyDescent="0.3">
      <c r="A91" s="120" t="s">
        <v>189</v>
      </c>
      <c r="B91" s="135" t="s">
        <v>205</v>
      </c>
      <c r="C91" s="118">
        <v>15137000.189999999</v>
      </c>
      <c r="D91" s="135"/>
    </row>
    <row r="92" spans="1:4" x14ac:dyDescent="0.3">
      <c r="A92" s="120" t="s">
        <v>189</v>
      </c>
      <c r="B92" s="135" t="s">
        <v>206</v>
      </c>
      <c r="C92" s="118">
        <v>10584970.689999999</v>
      </c>
      <c r="D92" s="135"/>
    </row>
    <row r="93" spans="1:4" x14ac:dyDescent="0.3">
      <c r="A93" s="120" t="s">
        <v>189</v>
      </c>
      <c r="B93" s="135" t="s">
        <v>207</v>
      </c>
      <c r="C93" s="118">
        <v>9140737.4800000004</v>
      </c>
      <c r="D93" s="135"/>
    </row>
    <row r="94" spans="1:4" x14ac:dyDescent="0.3">
      <c r="A94" s="120" t="s">
        <v>189</v>
      </c>
      <c r="B94" s="135" t="s">
        <v>208</v>
      </c>
      <c r="C94" s="118">
        <v>6615139.9800000004</v>
      </c>
      <c r="D94" s="135"/>
    </row>
    <row r="95" spans="1:4" x14ac:dyDescent="0.3">
      <c r="A95" s="120" t="s">
        <v>189</v>
      </c>
      <c r="B95" s="135" t="s">
        <v>209</v>
      </c>
      <c r="C95" s="118">
        <v>3422312.84</v>
      </c>
      <c r="D95" s="135"/>
    </row>
    <row r="96" spans="1:4" x14ac:dyDescent="0.3">
      <c r="A96" s="120" t="s">
        <v>189</v>
      </c>
      <c r="B96" s="135" t="s">
        <v>210</v>
      </c>
      <c r="C96" s="118">
        <v>3403932.96</v>
      </c>
      <c r="D96" s="135"/>
    </row>
    <row r="97" spans="1:4" x14ac:dyDescent="0.3">
      <c r="A97" s="120" t="s">
        <v>189</v>
      </c>
      <c r="B97" s="135" t="s">
        <v>211</v>
      </c>
      <c r="C97" s="118">
        <v>3359053.68</v>
      </c>
      <c r="D97" s="135"/>
    </row>
    <row r="98" spans="1:4" x14ac:dyDescent="0.3">
      <c r="A98" s="120" t="s">
        <v>189</v>
      </c>
      <c r="B98" s="135" t="s">
        <v>212</v>
      </c>
      <c r="C98" s="118">
        <v>2722811.24</v>
      </c>
      <c r="D98" s="135"/>
    </row>
    <row r="99" spans="1:4" x14ac:dyDescent="0.3">
      <c r="A99" s="120" t="s">
        <v>189</v>
      </c>
      <c r="B99" s="135" t="s">
        <v>272</v>
      </c>
      <c r="C99" s="118">
        <v>936944.3</v>
      </c>
      <c r="D99" s="135"/>
    </row>
    <row r="100" spans="1:4" x14ac:dyDescent="0.3">
      <c r="A100" s="120" t="s">
        <v>189</v>
      </c>
      <c r="B100" s="135" t="s">
        <v>273</v>
      </c>
      <c r="C100" s="118">
        <v>797848.95</v>
      </c>
      <c r="D100" s="135"/>
    </row>
    <row r="101" spans="1:4" ht="18" customHeight="1" x14ac:dyDescent="0.3">
      <c r="A101" s="120" t="s">
        <v>189</v>
      </c>
      <c r="B101" s="135" t="s">
        <v>213</v>
      </c>
      <c r="C101" s="118">
        <v>2433903</v>
      </c>
      <c r="D101" s="135"/>
    </row>
    <row r="102" spans="1:4" x14ac:dyDescent="0.3">
      <c r="A102" s="120" t="s">
        <v>190</v>
      </c>
      <c r="B102" s="135" t="s">
        <v>214</v>
      </c>
      <c r="C102" s="118">
        <v>13908920.439999999</v>
      </c>
      <c r="D102" s="135"/>
    </row>
    <row r="103" spans="1:4" x14ac:dyDescent="0.3">
      <c r="A103" s="120" t="s">
        <v>191</v>
      </c>
      <c r="B103" s="135" t="s">
        <v>191</v>
      </c>
      <c r="C103" s="118">
        <v>3036342.71</v>
      </c>
      <c r="D103" s="135"/>
    </row>
    <row r="104" spans="1:4" x14ac:dyDescent="0.3">
      <c r="A104" s="120" t="s">
        <v>55</v>
      </c>
      <c r="B104" s="135" t="s">
        <v>215</v>
      </c>
      <c r="C104" s="118">
        <v>25183984.760000002</v>
      </c>
      <c r="D104" s="135"/>
    </row>
    <row r="105" spans="1:4" x14ac:dyDescent="0.3">
      <c r="A105" s="120" t="s">
        <v>55</v>
      </c>
      <c r="B105" s="135" t="s">
        <v>216</v>
      </c>
      <c r="C105" s="118">
        <v>18204477.829999998</v>
      </c>
      <c r="D105" s="135"/>
    </row>
    <row r="106" spans="1:4" x14ac:dyDescent="0.3">
      <c r="A106" s="120" t="s">
        <v>55</v>
      </c>
      <c r="B106" s="135" t="s">
        <v>217</v>
      </c>
      <c r="C106" s="125">
        <v>7743399.0499999998</v>
      </c>
    </row>
    <row r="107" spans="1:4" x14ac:dyDescent="0.3">
      <c r="A107" s="120" t="s">
        <v>55</v>
      </c>
      <c r="B107" s="135" t="s">
        <v>218</v>
      </c>
      <c r="C107" s="118">
        <v>4792260.0599999996</v>
      </c>
    </row>
    <row r="108" spans="1:4" x14ac:dyDescent="0.3">
      <c r="A108" s="120" t="s">
        <v>55</v>
      </c>
      <c r="B108" s="135" t="s">
        <v>301</v>
      </c>
      <c r="C108" s="118">
        <v>1214989.6599999999</v>
      </c>
    </row>
  </sheetData>
  <sortState ref="B57:I63">
    <sortCondition descending="1" ref="I57:I63"/>
  </sortState>
  <mergeCells count="7">
    <mergeCell ref="A71:I71"/>
    <mergeCell ref="A1:I1"/>
    <mergeCell ref="A12:B12"/>
    <mergeCell ref="A29:B29"/>
    <mergeCell ref="A51:B51"/>
    <mergeCell ref="A66:B66"/>
    <mergeCell ref="A64:B64"/>
  </mergeCells>
  <pageMargins left="0.25" right="0.25" top="0.75" bottom="0.75" header="0.3" footer="0.3"/>
  <pageSetup scale="85"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topLeftCell="A28" zoomScale="70" zoomScaleNormal="70" workbookViewId="0">
      <selection activeCell="A62" sqref="A62"/>
    </sheetView>
  </sheetViews>
  <sheetFormatPr defaultRowHeight="12.75" x14ac:dyDescent="0.2"/>
  <cols>
    <col min="1" max="1" width="58" customWidth="1"/>
    <col min="2" max="8" width="15.5703125" customWidth="1"/>
  </cols>
  <sheetData>
    <row r="1" spans="1:8" ht="18" x14ac:dyDescent="0.25">
      <c r="A1" s="141" t="str">
        <f>"Table/Figure 11: Direct Program Costs of Land Purchases for Fish and Wildlife Habitat, FY"&amp;B3&amp;"-"&amp;H3</f>
        <v>Table/Figure 11: Direct Program Costs of Land Purchases for Fish and Wildlife Habitat, FY2010-2016</v>
      </c>
    </row>
    <row r="3" spans="1:8" ht="16.5" x14ac:dyDescent="0.2">
      <c r="A3" s="136" t="s">
        <v>56</v>
      </c>
      <c r="B3" s="137">
        <v>2010</v>
      </c>
      <c r="C3" s="137">
        <v>2011</v>
      </c>
      <c r="D3" s="137">
        <v>2012</v>
      </c>
      <c r="E3" s="137">
        <v>2013</v>
      </c>
      <c r="F3" s="137">
        <v>2014</v>
      </c>
      <c r="G3" s="137" t="s">
        <v>294</v>
      </c>
      <c r="H3" s="137">
        <v>2016</v>
      </c>
    </row>
    <row r="4" spans="1:8" ht="16.5" customHeight="1" x14ac:dyDescent="0.3">
      <c r="A4" s="138" t="s">
        <v>220</v>
      </c>
      <c r="B4" s="139">
        <v>1330361</v>
      </c>
      <c r="C4" s="109">
        <v>9716071</v>
      </c>
      <c r="D4" s="109"/>
      <c r="E4" s="109">
        <v>4595329</v>
      </c>
      <c r="F4" s="109"/>
      <c r="G4" s="109">
        <v>1082452</v>
      </c>
      <c r="H4" s="109">
        <v>10868814</v>
      </c>
    </row>
    <row r="5" spans="1:8" ht="16.5" x14ac:dyDescent="0.3">
      <c r="A5" s="138" t="s">
        <v>62</v>
      </c>
      <c r="B5" s="139">
        <v>4750821</v>
      </c>
      <c r="C5" s="109"/>
      <c r="D5" s="109">
        <v>5059268</v>
      </c>
      <c r="E5" s="109"/>
      <c r="F5" s="109">
        <v>14000000</v>
      </c>
      <c r="G5" s="109"/>
      <c r="H5" s="109">
        <v>1877580.5</v>
      </c>
    </row>
    <row r="6" spans="1:8" ht="16.5" x14ac:dyDescent="0.3">
      <c r="A6" s="138" t="s">
        <v>72</v>
      </c>
      <c r="B6" s="139">
        <v>1394126.5</v>
      </c>
      <c r="C6" s="109">
        <v>4068146</v>
      </c>
      <c r="D6" s="109">
        <v>6370225.5</v>
      </c>
      <c r="E6" s="109">
        <v>1596594</v>
      </c>
      <c r="F6" s="109">
        <v>2196196.7799999998</v>
      </c>
      <c r="G6" s="109">
        <v>490964.5</v>
      </c>
      <c r="H6" s="109">
        <v>1815933.75</v>
      </c>
    </row>
    <row r="7" spans="1:8" ht="16.5" x14ac:dyDescent="0.3">
      <c r="A7" s="138" t="s">
        <v>75</v>
      </c>
      <c r="B7" s="139">
        <v>2114907.04</v>
      </c>
      <c r="C7" s="109"/>
      <c r="D7" s="109">
        <v>15381.84</v>
      </c>
      <c r="E7" s="109"/>
      <c r="F7" s="109"/>
      <c r="G7" s="109">
        <v>771010</v>
      </c>
      <c r="H7" s="109">
        <v>1783866</v>
      </c>
    </row>
    <row r="8" spans="1:8" ht="16.5" x14ac:dyDescent="0.3">
      <c r="A8" s="138" t="s">
        <v>73</v>
      </c>
      <c r="B8" s="139"/>
      <c r="C8" s="109">
        <v>1996948</v>
      </c>
      <c r="D8" s="109">
        <v>3666163</v>
      </c>
      <c r="E8" s="109"/>
      <c r="F8" s="109"/>
      <c r="G8" s="109"/>
      <c r="H8" s="109">
        <v>786320</v>
      </c>
    </row>
    <row r="9" spans="1:8" ht="16.5" x14ac:dyDescent="0.3">
      <c r="A9" s="138" t="s">
        <v>63</v>
      </c>
      <c r="B9" s="139">
        <v>3426523</v>
      </c>
      <c r="C9" s="109"/>
      <c r="D9" s="109"/>
      <c r="E9" s="109"/>
      <c r="F9" s="109"/>
      <c r="G9" s="109">
        <v>7980000</v>
      </c>
      <c r="H9" s="109">
        <v>680000</v>
      </c>
    </row>
    <row r="10" spans="1:8" ht="16.5" x14ac:dyDescent="0.3">
      <c r="A10" s="138" t="s">
        <v>78</v>
      </c>
      <c r="B10" s="139">
        <v>1132018.8600000001</v>
      </c>
      <c r="C10" s="109">
        <v>3344161</v>
      </c>
      <c r="D10" s="109">
        <v>4437146.2</v>
      </c>
      <c r="E10" s="109">
        <v>333123.40000000002</v>
      </c>
      <c r="F10" s="109"/>
      <c r="G10" s="109"/>
      <c r="H10" s="109">
        <v>260540</v>
      </c>
    </row>
    <row r="11" spans="1:8" ht="33" x14ac:dyDescent="0.3">
      <c r="A11" s="138" t="s">
        <v>302</v>
      </c>
      <c r="B11" s="139">
        <v>2286471.35</v>
      </c>
      <c r="C11" s="109">
        <v>1750665</v>
      </c>
      <c r="D11" s="109">
        <v>1675162.1</v>
      </c>
      <c r="E11" s="109">
        <v>348570</v>
      </c>
      <c r="F11" s="109"/>
      <c r="G11" s="109"/>
      <c r="H11" s="109">
        <v>85216.5</v>
      </c>
    </row>
    <row r="12" spans="1:8" ht="16.5" x14ac:dyDescent="0.3">
      <c r="A12" s="138" t="s">
        <v>58</v>
      </c>
      <c r="B12" s="139"/>
      <c r="C12" s="109"/>
      <c r="D12" s="109">
        <v>5306043</v>
      </c>
      <c r="E12" s="109">
        <v>1711234.64</v>
      </c>
      <c r="F12" s="109">
        <v>693095.5</v>
      </c>
      <c r="G12" s="109">
        <v>2051603.16</v>
      </c>
      <c r="H12" s="109">
        <v>40307.800000000003</v>
      </c>
    </row>
    <row r="13" spans="1:8" ht="16.5" x14ac:dyDescent="0.3">
      <c r="A13" s="138" t="s">
        <v>69</v>
      </c>
      <c r="B13" s="139">
        <v>540991.57999999996</v>
      </c>
      <c r="C13" s="109">
        <v>5788</v>
      </c>
      <c r="D13" s="109">
        <v>820.08</v>
      </c>
      <c r="E13" s="109">
        <v>5000</v>
      </c>
      <c r="F13" s="109">
        <v>5000</v>
      </c>
      <c r="G13" s="109">
        <v>5729</v>
      </c>
      <c r="H13" s="109">
        <v>5899.13</v>
      </c>
    </row>
    <row r="14" spans="1:8" ht="16.5" x14ac:dyDescent="0.3">
      <c r="A14" s="138" t="s">
        <v>270</v>
      </c>
      <c r="B14" s="139"/>
      <c r="C14" s="109"/>
      <c r="D14" s="109"/>
      <c r="E14" s="109"/>
      <c r="F14" s="109"/>
      <c r="G14" s="109">
        <v>562383</v>
      </c>
      <c r="H14" s="109"/>
    </row>
    <row r="15" spans="1:8" ht="16.5" x14ac:dyDescent="0.3">
      <c r="A15" s="138" t="s">
        <v>57</v>
      </c>
      <c r="B15" s="139"/>
      <c r="C15" s="109"/>
      <c r="D15" s="109">
        <v>1075000</v>
      </c>
      <c r="E15" s="109"/>
      <c r="F15" s="109"/>
      <c r="G15" s="109"/>
      <c r="H15" s="109"/>
    </row>
    <row r="16" spans="1:8" ht="16.5" x14ac:dyDescent="0.3">
      <c r="A16" s="138" t="s">
        <v>81</v>
      </c>
      <c r="B16" s="139"/>
      <c r="C16" s="109"/>
      <c r="D16" s="109"/>
      <c r="E16" s="109">
        <v>1212330</v>
      </c>
      <c r="F16" s="109"/>
      <c r="G16" s="109"/>
      <c r="H16" s="109"/>
    </row>
    <row r="17" spans="1:8" ht="16.5" x14ac:dyDescent="0.3">
      <c r="A17" s="138" t="s">
        <v>59</v>
      </c>
      <c r="B17" s="139">
        <v>3441315.46</v>
      </c>
      <c r="C17" s="109">
        <v>720811</v>
      </c>
      <c r="D17" s="109">
        <v>1743906.48</v>
      </c>
      <c r="E17" s="109">
        <v>1611629.5</v>
      </c>
      <c r="F17" s="109">
        <v>283048.12</v>
      </c>
      <c r="G17" s="109"/>
      <c r="H17" s="109"/>
    </row>
    <row r="18" spans="1:8" ht="16.5" x14ac:dyDescent="0.3">
      <c r="A18" s="138" t="s">
        <v>60</v>
      </c>
      <c r="B18" s="139"/>
      <c r="C18" s="109"/>
      <c r="D18" s="109">
        <v>54304.5</v>
      </c>
      <c r="E18" s="109">
        <v>3596391</v>
      </c>
      <c r="F18" s="109">
        <v>12500</v>
      </c>
      <c r="G18" s="109">
        <v>1741196.75</v>
      </c>
      <c r="H18" s="109"/>
    </row>
    <row r="19" spans="1:8" ht="16.5" x14ac:dyDescent="0.3">
      <c r="A19" s="138" t="s">
        <v>269</v>
      </c>
      <c r="B19" s="139"/>
      <c r="C19" s="109"/>
      <c r="D19" s="109"/>
      <c r="E19" s="109"/>
      <c r="F19" s="109"/>
      <c r="G19" s="109">
        <v>3632833</v>
      </c>
      <c r="H19" s="109"/>
    </row>
    <row r="20" spans="1:8" ht="16.5" x14ac:dyDescent="0.3">
      <c r="A20" s="138" t="s">
        <v>80</v>
      </c>
      <c r="B20" s="139"/>
      <c r="C20" s="109"/>
      <c r="D20" s="109"/>
      <c r="E20" s="109">
        <v>520081</v>
      </c>
      <c r="F20" s="109"/>
      <c r="G20" s="109"/>
      <c r="H20" s="109"/>
    </row>
    <row r="21" spans="1:8" ht="16.5" x14ac:dyDescent="0.3">
      <c r="A21" s="138" t="s">
        <v>268</v>
      </c>
      <c r="B21" s="139"/>
      <c r="C21" s="109"/>
      <c r="D21" s="109"/>
      <c r="E21" s="109"/>
      <c r="F21" s="109"/>
      <c r="G21" s="109">
        <v>423162</v>
      </c>
      <c r="H21" s="109"/>
    </row>
    <row r="22" spans="1:8" ht="16.5" x14ac:dyDescent="0.3">
      <c r="A22" s="138" t="s">
        <v>61</v>
      </c>
      <c r="B22" s="139"/>
      <c r="C22" s="109"/>
      <c r="D22" s="109">
        <v>772500</v>
      </c>
      <c r="E22" s="109">
        <v>1500000</v>
      </c>
      <c r="F22" s="109">
        <v>244082</v>
      </c>
      <c r="G22" s="109">
        <v>947500</v>
      </c>
      <c r="H22" s="109"/>
    </row>
    <row r="23" spans="1:8" ht="16.5" x14ac:dyDescent="0.3">
      <c r="A23" s="138" t="s">
        <v>64</v>
      </c>
      <c r="B23" s="139"/>
      <c r="C23" s="109"/>
      <c r="D23" s="109"/>
      <c r="E23" s="109"/>
      <c r="F23" s="109"/>
      <c r="G23" s="109"/>
      <c r="H23" s="109"/>
    </row>
    <row r="24" spans="1:8" ht="16.5" x14ac:dyDescent="0.3">
      <c r="A24" s="138" t="s">
        <v>65</v>
      </c>
      <c r="B24" s="139"/>
      <c r="C24" s="109"/>
      <c r="D24" s="109">
        <v>946738.51</v>
      </c>
      <c r="E24" s="109"/>
      <c r="F24" s="109"/>
      <c r="G24" s="109"/>
      <c r="H24" s="109"/>
    </row>
    <row r="25" spans="1:8" ht="16.5" x14ac:dyDescent="0.3">
      <c r="A25" s="138" t="s">
        <v>82</v>
      </c>
      <c r="B25" s="139"/>
      <c r="C25" s="109"/>
      <c r="D25" s="109">
        <v>52986</v>
      </c>
      <c r="E25" s="109"/>
      <c r="F25" s="109">
        <v>318372</v>
      </c>
      <c r="G25" s="109"/>
      <c r="H25" s="109"/>
    </row>
    <row r="26" spans="1:8" ht="16.5" x14ac:dyDescent="0.3">
      <c r="A26" s="138" t="s">
        <v>66</v>
      </c>
      <c r="B26" s="139"/>
      <c r="C26" s="109"/>
      <c r="D26" s="109"/>
      <c r="E26" s="109"/>
      <c r="F26" s="109"/>
      <c r="G26" s="109"/>
      <c r="H26" s="109"/>
    </row>
    <row r="27" spans="1:8" ht="16.5" x14ac:dyDescent="0.3">
      <c r="A27" s="138" t="s">
        <v>219</v>
      </c>
      <c r="B27" s="139"/>
      <c r="C27" s="109">
        <v>9750112</v>
      </c>
      <c r="D27" s="109">
        <v>1349403</v>
      </c>
      <c r="E27" s="109">
        <v>642763</v>
      </c>
      <c r="F27" s="109">
        <v>1610425</v>
      </c>
      <c r="G27" s="109">
        <v>154274</v>
      </c>
      <c r="H27" s="109"/>
    </row>
    <row r="28" spans="1:8" ht="16.5" x14ac:dyDescent="0.3">
      <c r="A28" s="138" t="s">
        <v>67</v>
      </c>
      <c r="B28" s="139"/>
      <c r="C28" s="109"/>
      <c r="D28" s="109"/>
      <c r="E28" s="109"/>
      <c r="F28" s="109"/>
      <c r="G28" s="109"/>
      <c r="H28" s="109"/>
    </row>
    <row r="29" spans="1:8" ht="16.5" x14ac:dyDescent="0.3">
      <c r="A29" s="138" t="s">
        <v>68</v>
      </c>
      <c r="B29" s="139">
        <v>2245362.5</v>
      </c>
      <c r="C29" s="109">
        <v>20851010</v>
      </c>
      <c r="D29" s="109"/>
      <c r="E29" s="109">
        <v>3412000</v>
      </c>
      <c r="F29" s="109"/>
      <c r="G29" s="109">
        <v>2268978</v>
      </c>
      <c r="H29" s="109"/>
    </row>
    <row r="30" spans="1:8" ht="16.5" x14ac:dyDescent="0.3">
      <c r="A30" s="138" t="s">
        <v>70</v>
      </c>
      <c r="B30" s="139">
        <v>779252</v>
      </c>
      <c r="C30" s="109"/>
      <c r="D30" s="109"/>
      <c r="E30" s="109">
        <v>600000</v>
      </c>
      <c r="F30" s="109"/>
      <c r="G30" s="109"/>
      <c r="H30" s="109"/>
    </row>
    <row r="31" spans="1:8" ht="33" x14ac:dyDescent="0.3">
      <c r="A31" s="138" t="s">
        <v>71</v>
      </c>
      <c r="B31" s="139">
        <v>33800</v>
      </c>
      <c r="C31" s="109"/>
      <c r="D31" s="109"/>
      <c r="E31" s="109"/>
      <c r="F31" s="109"/>
      <c r="G31" s="109"/>
      <c r="H31" s="109"/>
    </row>
    <row r="32" spans="1:8" ht="16.5" x14ac:dyDescent="0.3">
      <c r="A32" s="138" t="s">
        <v>74</v>
      </c>
      <c r="B32" s="139">
        <v>2259936.5</v>
      </c>
      <c r="C32" s="109"/>
      <c r="D32" s="109">
        <v>3156008</v>
      </c>
      <c r="E32" s="109"/>
      <c r="F32" s="109"/>
      <c r="G32" s="109"/>
      <c r="H32" s="109"/>
    </row>
    <row r="33" spans="1:11" ht="16.5" x14ac:dyDescent="0.3">
      <c r="A33" s="138" t="s">
        <v>76</v>
      </c>
      <c r="B33" s="139">
        <v>1005967</v>
      </c>
      <c r="C33" s="109"/>
      <c r="D33" s="109"/>
      <c r="E33" s="109"/>
      <c r="F33" s="109"/>
      <c r="G33" s="109"/>
      <c r="H33" s="109"/>
    </row>
    <row r="34" spans="1:11" ht="16.5" x14ac:dyDescent="0.3">
      <c r="A34" s="138" t="s">
        <v>221</v>
      </c>
      <c r="B34" s="139">
        <v>51</v>
      </c>
      <c r="C34" s="109"/>
      <c r="D34" s="109">
        <v>2365285.0499999998</v>
      </c>
      <c r="E34" s="109">
        <v>572468.53</v>
      </c>
      <c r="F34" s="109"/>
      <c r="G34" s="109"/>
      <c r="H34" s="109"/>
    </row>
    <row r="35" spans="1:11" ht="16.5" x14ac:dyDescent="0.3">
      <c r="A35" s="138" t="s">
        <v>77</v>
      </c>
      <c r="B35" s="139"/>
      <c r="C35" s="109"/>
      <c r="D35" s="109"/>
      <c r="E35" s="109">
        <v>500509</v>
      </c>
      <c r="F35" s="109">
        <v>741501</v>
      </c>
      <c r="G35" s="109"/>
      <c r="H35" s="109"/>
    </row>
    <row r="36" spans="1:11" ht="16.5" x14ac:dyDescent="0.3">
      <c r="A36" s="138" t="s">
        <v>79</v>
      </c>
      <c r="B36" s="139"/>
      <c r="C36" s="109"/>
      <c r="D36" s="109"/>
      <c r="E36" s="109">
        <v>983699</v>
      </c>
      <c r="F36" s="109"/>
      <c r="G36" s="109"/>
      <c r="H36" s="109"/>
    </row>
    <row r="37" spans="1:11" ht="14.25" customHeight="1" x14ac:dyDescent="0.2">
      <c r="A37" s="140" t="s">
        <v>112</v>
      </c>
      <c r="B37" s="78">
        <f t="shared" ref="B37:H37" si="0">SUM(B4:B36)</f>
        <v>26741904.789999999</v>
      </c>
      <c r="C37" s="78">
        <f t="shared" si="0"/>
        <v>52203712</v>
      </c>
      <c r="D37" s="78">
        <f t="shared" si="0"/>
        <v>38046341.259999998</v>
      </c>
      <c r="E37" s="78">
        <f t="shared" si="0"/>
        <v>23741722.07</v>
      </c>
      <c r="F37" s="78">
        <f t="shared" si="0"/>
        <v>20104220.400000002</v>
      </c>
      <c r="G37" s="78">
        <f t="shared" si="0"/>
        <v>22112085.41</v>
      </c>
      <c r="H37" s="78">
        <f t="shared" si="0"/>
        <v>18204477.68</v>
      </c>
    </row>
    <row r="39" spans="1:11" ht="14.25" x14ac:dyDescent="0.2">
      <c r="A39" s="142" t="s">
        <v>224</v>
      </c>
    </row>
    <row r="40" spans="1:11" ht="16.5" x14ac:dyDescent="0.3">
      <c r="A40" s="154" t="s">
        <v>222</v>
      </c>
    </row>
    <row r="41" spans="1:11" ht="16.5" x14ac:dyDescent="0.3">
      <c r="A41" s="154" t="s">
        <v>223</v>
      </c>
    </row>
    <row r="42" spans="1:11" ht="16.5" x14ac:dyDescent="0.3">
      <c r="A42" s="224" t="s">
        <v>303</v>
      </c>
      <c r="B42" s="224"/>
      <c r="C42" s="224"/>
      <c r="D42" s="224"/>
      <c r="E42" s="224"/>
      <c r="F42" s="224"/>
      <c r="G42" s="224"/>
      <c r="H42" s="224"/>
      <c r="I42" s="224"/>
      <c r="J42" s="224"/>
      <c r="K42" s="224"/>
    </row>
    <row r="45" spans="1:11" ht="14.25" x14ac:dyDescent="0.2">
      <c r="A45" s="142" t="s">
        <v>225</v>
      </c>
    </row>
    <row r="46" spans="1:11" ht="16.5" x14ac:dyDescent="0.3">
      <c r="A46" s="138" t="s">
        <v>220</v>
      </c>
      <c r="B46" s="109">
        <v>10868814</v>
      </c>
    </row>
    <row r="47" spans="1:11" ht="16.5" x14ac:dyDescent="0.3">
      <c r="A47" s="138" t="s">
        <v>62</v>
      </c>
      <c r="B47" s="109">
        <v>1877580.5</v>
      </c>
    </row>
    <row r="48" spans="1:11" ht="16.5" x14ac:dyDescent="0.3">
      <c r="A48" s="138" t="s">
        <v>72</v>
      </c>
      <c r="B48" s="109">
        <v>1815933.75</v>
      </c>
    </row>
    <row r="49" spans="1:2" ht="16.5" x14ac:dyDescent="0.3">
      <c r="A49" s="138" t="s">
        <v>75</v>
      </c>
      <c r="B49" s="109">
        <v>1783866</v>
      </c>
    </row>
    <row r="50" spans="1:2" ht="16.5" x14ac:dyDescent="0.3">
      <c r="A50" s="138" t="s">
        <v>73</v>
      </c>
      <c r="B50" s="109">
        <v>786320</v>
      </c>
    </row>
    <row r="51" spans="1:2" ht="16.5" x14ac:dyDescent="0.3">
      <c r="A51" s="138" t="s">
        <v>63</v>
      </c>
      <c r="B51" s="109">
        <v>680000</v>
      </c>
    </row>
    <row r="52" spans="1:2" ht="16.5" x14ac:dyDescent="0.3">
      <c r="A52" s="138" t="s">
        <v>78</v>
      </c>
      <c r="B52" s="109">
        <v>260540</v>
      </c>
    </row>
    <row r="55" spans="1:2" ht="16.5" x14ac:dyDescent="0.3">
      <c r="A55" s="138"/>
      <c r="B55" s="109"/>
    </row>
    <row r="56" spans="1:2" ht="16.5" x14ac:dyDescent="0.3">
      <c r="A56" s="138"/>
      <c r="B56" s="109"/>
    </row>
    <row r="57" spans="1:2" ht="16.5" x14ac:dyDescent="0.3">
      <c r="A57" s="138"/>
      <c r="B57" s="109"/>
    </row>
    <row r="58" spans="1:2" ht="16.5" x14ac:dyDescent="0.3">
      <c r="A58" s="138"/>
      <c r="B58" s="109"/>
    </row>
    <row r="59" spans="1:2" ht="16.5" x14ac:dyDescent="0.3">
      <c r="A59" s="138"/>
      <c r="B59" s="109"/>
    </row>
    <row r="60" spans="1:2" ht="16.5" x14ac:dyDescent="0.3">
      <c r="A60" s="138"/>
      <c r="B60" s="109"/>
    </row>
    <row r="61" spans="1:2" ht="16.5" x14ac:dyDescent="0.3">
      <c r="A61" s="138"/>
      <c r="B61" s="109"/>
    </row>
    <row r="62" spans="1:2" ht="16.5" x14ac:dyDescent="0.3">
      <c r="A62" s="138"/>
      <c r="B62" s="109"/>
    </row>
    <row r="63" spans="1:2" ht="16.5" x14ac:dyDescent="0.3">
      <c r="A63" s="138"/>
      <c r="B63" s="109"/>
    </row>
    <row r="64" spans="1:2" ht="16.5" x14ac:dyDescent="0.3">
      <c r="A64" s="138"/>
      <c r="B64" s="109"/>
    </row>
    <row r="65" spans="1:2" ht="16.5" x14ac:dyDescent="0.3">
      <c r="A65" s="138"/>
      <c r="B65" s="109"/>
    </row>
    <row r="66" spans="1:2" ht="16.5" x14ac:dyDescent="0.3">
      <c r="A66" s="138"/>
      <c r="B66" s="109"/>
    </row>
    <row r="67" spans="1:2" ht="16.5" x14ac:dyDescent="0.3">
      <c r="A67" s="138"/>
      <c r="B67" s="109"/>
    </row>
    <row r="68" spans="1:2" ht="16.5" x14ac:dyDescent="0.3">
      <c r="A68" s="138"/>
      <c r="B68" s="109"/>
    </row>
    <row r="69" spans="1:2" ht="16.5" x14ac:dyDescent="0.3">
      <c r="A69" s="138"/>
      <c r="B69" s="109"/>
    </row>
    <row r="70" spans="1:2" ht="16.5" x14ac:dyDescent="0.3">
      <c r="A70" s="138"/>
      <c r="B70" s="109"/>
    </row>
    <row r="71" spans="1:2" ht="16.5" x14ac:dyDescent="0.3">
      <c r="A71" s="138"/>
      <c r="B71" s="109"/>
    </row>
    <row r="72" spans="1:2" ht="16.5" x14ac:dyDescent="0.3">
      <c r="A72" s="138"/>
      <c r="B72" s="109"/>
    </row>
    <row r="73" spans="1:2" ht="16.5" x14ac:dyDescent="0.3">
      <c r="A73" s="138"/>
      <c r="B73" s="109"/>
    </row>
  </sheetData>
  <sortState ref="A4:H36">
    <sortCondition descending="1" ref="F4:F36"/>
  </sortState>
  <mergeCells count="1">
    <mergeCell ref="A42:K42"/>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
  <sheetViews>
    <sheetView tabSelected="1" zoomScaleNormal="100" workbookViewId="0">
      <pane xSplit="1" ySplit="3" topLeftCell="X4" activePane="bottomRight" state="frozen"/>
      <selection pane="topRight" activeCell="B1" sqref="B1"/>
      <selection pane="bottomLeft" activeCell="A2" sqref="A2"/>
      <selection pane="bottomRight" activeCell="AI12" sqref="AI12:AL12"/>
    </sheetView>
  </sheetViews>
  <sheetFormatPr defaultRowHeight="12.75" x14ac:dyDescent="0.2"/>
  <cols>
    <col min="1" max="1" width="21" style="44" customWidth="1"/>
    <col min="2" max="29" width="9.28515625" style="44" bestFit="1" customWidth="1"/>
    <col min="30" max="30" width="10.28515625" style="44" bestFit="1" customWidth="1"/>
    <col min="31" max="31" width="11.5703125" style="44" customWidth="1"/>
    <col min="32" max="36" width="10.28515625" style="44" bestFit="1" customWidth="1"/>
    <col min="37" max="37" width="10.28515625" style="44" customWidth="1"/>
    <col min="38" max="16384" width="9.140625" style="44"/>
  </cols>
  <sheetData>
    <row r="1" spans="1:38" s="155" customFormat="1" ht="15" x14ac:dyDescent="0.25">
      <c r="A1" s="21" t="s">
        <v>304</v>
      </c>
    </row>
    <row r="2" spans="1:38" s="155" customFormat="1" ht="13.5" x14ac:dyDescent="0.25"/>
    <row r="3" spans="1:38" s="155" customFormat="1" ht="13.5" x14ac:dyDescent="0.25">
      <c r="B3" s="158" t="s">
        <v>88</v>
      </c>
      <c r="C3" s="158">
        <v>1981</v>
      </c>
      <c r="D3" s="158">
        <v>1982</v>
      </c>
      <c r="E3" s="158">
        <v>1983</v>
      </c>
      <c r="F3" s="158">
        <v>1984</v>
      </c>
      <c r="G3" s="158">
        <v>1985</v>
      </c>
      <c r="H3" s="158">
        <v>1986</v>
      </c>
      <c r="I3" s="158">
        <v>1987</v>
      </c>
      <c r="J3" s="158">
        <v>1988</v>
      </c>
      <c r="K3" s="158">
        <v>1989</v>
      </c>
      <c r="L3" s="158">
        <v>1990</v>
      </c>
      <c r="M3" s="158">
        <v>1991</v>
      </c>
      <c r="N3" s="158">
        <v>1992</v>
      </c>
      <c r="O3" s="158">
        <v>1993</v>
      </c>
      <c r="P3" s="158">
        <v>1994</v>
      </c>
      <c r="Q3" s="158">
        <v>1995</v>
      </c>
      <c r="R3" s="158">
        <v>1996</v>
      </c>
      <c r="S3" s="158">
        <v>1997</v>
      </c>
      <c r="T3" s="158">
        <v>1998</v>
      </c>
      <c r="U3" s="158">
        <v>1999</v>
      </c>
      <c r="V3" s="158">
        <v>2000</v>
      </c>
      <c r="W3" s="158">
        <v>2001</v>
      </c>
      <c r="X3" s="158">
        <v>2002</v>
      </c>
      <c r="Y3" s="158">
        <v>2003</v>
      </c>
      <c r="Z3" s="158">
        <v>2004</v>
      </c>
      <c r="AA3" s="158">
        <v>2005</v>
      </c>
      <c r="AB3" s="158">
        <v>2006</v>
      </c>
      <c r="AC3" s="158">
        <v>2007</v>
      </c>
      <c r="AD3" s="158">
        <v>2008</v>
      </c>
      <c r="AE3" s="158">
        <v>2009</v>
      </c>
      <c r="AF3" s="158">
        <v>2010</v>
      </c>
      <c r="AG3" s="158">
        <v>2011</v>
      </c>
      <c r="AH3" s="158">
        <v>2012</v>
      </c>
      <c r="AI3" s="158">
        <v>2013</v>
      </c>
      <c r="AJ3" s="158">
        <v>2014</v>
      </c>
      <c r="AK3" s="158">
        <v>2015</v>
      </c>
      <c r="AL3" s="158">
        <v>2016</v>
      </c>
    </row>
    <row r="4" spans="1:38" s="155" customFormat="1" ht="13.5" x14ac:dyDescent="0.25">
      <c r="A4" s="155" t="s">
        <v>87</v>
      </c>
      <c r="B4" s="156">
        <v>0</v>
      </c>
      <c r="C4" s="156">
        <v>0</v>
      </c>
      <c r="D4" s="156">
        <v>0</v>
      </c>
      <c r="E4" s="156">
        <v>0</v>
      </c>
      <c r="F4" s="156">
        <v>12</v>
      </c>
      <c r="G4" s="156">
        <v>29</v>
      </c>
      <c r="H4" s="156">
        <v>103</v>
      </c>
      <c r="I4" s="156">
        <v>114</v>
      </c>
      <c r="J4" s="156">
        <v>154</v>
      </c>
      <c r="K4" s="156">
        <v>194</v>
      </c>
      <c r="L4" s="156">
        <v>234</v>
      </c>
      <c r="M4" s="156">
        <v>274</v>
      </c>
      <c r="N4" s="156">
        <v>333</v>
      </c>
      <c r="O4" s="156">
        <v>437</v>
      </c>
      <c r="P4" s="156">
        <v>548.70000000000005</v>
      </c>
      <c r="Q4" s="156">
        <v>612.20000000000005</v>
      </c>
      <c r="R4" s="156">
        <v>612.20000000000005</v>
      </c>
      <c r="S4" s="156">
        <v>612.20000000000005</v>
      </c>
      <c r="T4" s="156">
        <v>617.6</v>
      </c>
      <c r="U4" s="156">
        <v>665.2</v>
      </c>
      <c r="V4" s="156">
        <v>730</v>
      </c>
      <c r="W4" s="156">
        <v>2119.6</v>
      </c>
      <c r="X4" s="156">
        <v>2267.4</v>
      </c>
      <c r="Y4" s="156">
        <v>2438.5</v>
      </c>
      <c r="Z4" s="156">
        <v>2629.5</v>
      </c>
      <c r="AA4" s="156">
        <v>2740.3</v>
      </c>
      <c r="AB4" s="156">
        <v>2908.5</v>
      </c>
      <c r="AC4" s="156">
        <v>3029.2</v>
      </c>
      <c r="AD4" s="156">
        <v>3304.1</v>
      </c>
      <c r="AE4" s="156">
        <v>3544.4</v>
      </c>
      <c r="AF4" s="156">
        <v>3854.5</v>
      </c>
      <c r="AG4" s="156">
        <v>3925.2</v>
      </c>
      <c r="AH4" s="156">
        <v>3963.7</v>
      </c>
      <c r="AI4" s="156">
        <v>4049.8</v>
      </c>
      <c r="AJ4" s="156">
        <v>4246</v>
      </c>
      <c r="AK4" s="156">
        <v>4313.2</v>
      </c>
      <c r="AL4" s="156">
        <v>4363.5</v>
      </c>
    </row>
    <row r="5" spans="1:38" s="155" customFormat="1" ht="13.5" x14ac:dyDescent="0.25">
      <c r="A5" s="155" t="s">
        <v>86</v>
      </c>
      <c r="B5" s="156">
        <v>0</v>
      </c>
      <c r="C5" s="156">
        <v>3</v>
      </c>
      <c r="D5" s="156">
        <v>17</v>
      </c>
      <c r="E5" s="156">
        <v>18</v>
      </c>
      <c r="F5" s="156">
        <v>26</v>
      </c>
      <c r="G5" s="156">
        <v>53</v>
      </c>
      <c r="H5" s="156">
        <v>72</v>
      </c>
      <c r="I5" s="156">
        <v>79</v>
      </c>
      <c r="J5" s="156">
        <v>89</v>
      </c>
      <c r="K5" s="156">
        <v>104</v>
      </c>
      <c r="L5" s="156">
        <v>119</v>
      </c>
      <c r="M5" s="156">
        <v>134</v>
      </c>
      <c r="N5" s="156">
        <v>137</v>
      </c>
      <c r="O5" s="156">
        <v>182</v>
      </c>
      <c r="P5" s="156">
        <v>244</v>
      </c>
      <c r="Q5" s="156">
        <v>251.1</v>
      </c>
      <c r="R5" s="156">
        <v>332.8</v>
      </c>
      <c r="S5" s="156">
        <v>440.6</v>
      </c>
      <c r="T5" s="156">
        <v>557.1</v>
      </c>
      <c r="U5" s="156">
        <v>754.9</v>
      </c>
      <c r="V5" s="156">
        <v>948</v>
      </c>
      <c r="W5" s="156">
        <v>1063.9000000000001</v>
      </c>
      <c r="X5" s="156">
        <v>1076.5</v>
      </c>
      <c r="Y5" s="156">
        <v>1155.7</v>
      </c>
      <c r="Z5" s="156">
        <v>1177.4000000000001</v>
      </c>
      <c r="AA5" s="156">
        <v>1359.5</v>
      </c>
      <c r="AB5" s="156">
        <v>1756.9</v>
      </c>
      <c r="AC5" s="156">
        <v>2039.5</v>
      </c>
      <c r="AD5" s="156">
        <v>2335</v>
      </c>
      <c r="AE5" s="156">
        <v>2477.8000000000002</v>
      </c>
      <c r="AF5" s="156">
        <v>2577.4</v>
      </c>
      <c r="AG5" s="156">
        <v>2734.1</v>
      </c>
      <c r="AH5" s="156">
        <v>2886.3</v>
      </c>
      <c r="AI5" s="156">
        <v>3021.3</v>
      </c>
      <c r="AJ5" s="156">
        <v>3144</v>
      </c>
      <c r="AK5" s="156">
        <v>3340.1</v>
      </c>
      <c r="AL5" s="156">
        <v>3407.6</v>
      </c>
    </row>
    <row r="6" spans="1:38" s="155" customFormat="1" ht="13.5" x14ac:dyDescent="0.25">
      <c r="A6" s="155" t="s">
        <v>85</v>
      </c>
      <c r="B6" s="156">
        <v>15</v>
      </c>
      <c r="C6" s="156">
        <v>21</v>
      </c>
      <c r="D6" s="156">
        <v>32.5</v>
      </c>
      <c r="E6" s="156">
        <v>46.7</v>
      </c>
      <c r="F6" s="156">
        <v>62.7</v>
      </c>
      <c r="G6" s="156">
        <v>82.6</v>
      </c>
      <c r="H6" s="156">
        <v>106.3</v>
      </c>
      <c r="I6" s="156">
        <v>136</v>
      </c>
      <c r="J6" s="156">
        <v>155</v>
      </c>
      <c r="K6" s="156">
        <v>178.6</v>
      </c>
      <c r="L6" s="156">
        <v>202</v>
      </c>
      <c r="M6" s="156">
        <v>226.3</v>
      </c>
      <c r="N6" s="156">
        <v>254.7</v>
      </c>
      <c r="O6" s="156">
        <v>285.2</v>
      </c>
      <c r="P6" s="156">
        <v>320.10000000000002</v>
      </c>
      <c r="Q6" s="156">
        <v>356.2</v>
      </c>
      <c r="R6" s="156">
        <v>391.6</v>
      </c>
      <c r="S6" s="156">
        <v>427.5</v>
      </c>
      <c r="T6" s="156">
        <v>463.9</v>
      </c>
      <c r="U6" s="156">
        <v>502.8</v>
      </c>
      <c r="V6" s="156">
        <v>540.4</v>
      </c>
      <c r="W6" s="156">
        <v>582.9</v>
      </c>
      <c r="X6" s="156">
        <v>633.79999999999995</v>
      </c>
      <c r="Y6" s="156">
        <v>686.4</v>
      </c>
      <c r="Z6" s="156">
        <v>743.6</v>
      </c>
      <c r="AA6" s="156">
        <v>801.5</v>
      </c>
      <c r="AB6" s="156">
        <v>862.2</v>
      </c>
      <c r="AC6" s="156">
        <v>922.5</v>
      </c>
      <c r="AD6" s="156">
        <v>984.7</v>
      </c>
      <c r="AE6" s="156">
        <v>1049</v>
      </c>
      <c r="AF6" s="156">
        <v>1114</v>
      </c>
      <c r="AG6" s="156">
        <v>1188.3</v>
      </c>
      <c r="AH6" s="156">
        <v>1261.3</v>
      </c>
      <c r="AI6" s="156">
        <v>1344.7</v>
      </c>
      <c r="AJ6" s="156">
        <v>1435</v>
      </c>
      <c r="AK6" s="156">
        <v>1515</v>
      </c>
      <c r="AL6" s="156">
        <v>1603.2</v>
      </c>
    </row>
    <row r="7" spans="1:38" s="155" customFormat="1" ht="13.5" x14ac:dyDescent="0.25">
      <c r="A7" s="155" t="s">
        <v>84</v>
      </c>
      <c r="B7" s="156">
        <v>2.2999999999999998</v>
      </c>
      <c r="C7" s="156">
        <v>4.5999999999999996</v>
      </c>
      <c r="D7" s="156">
        <v>9.1999999999999993</v>
      </c>
      <c r="E7" s="156">
        <v>18.3</v>
      </c>
      <c r="F7" s="156">
        <v>37.9</v>
      </c>
      <c r="G7" s="156">
        <v>53.8</v>
      </c>
      <c r="H7" s="156">
        <v>73.400000000000006</v>
      </c>
      <c r="I7" s="156">
        <v>95.6</v>
      </c>
      <c r="J7" s="156">
        <v>114.4</v>
      </c>
      <c r="K7" s="156">
        <v>137.4</v>
      </c>
      <c r="L7" s="156">
        <v>170.2</v>
      </c>
      <c r="M7" s="156">
        <v>203.2</v>
      </c>
      <c r="N7" s="156">
        <v>270.2</v>
      </c>
      <c r="O7" s="156">
        <v>319.8</v>
      </c>
      <c r="P7" s="156">
        <v>375.7</v>
      </c>
      <c r="Q7" s="156">
        <v>447.1</v>
      </c>
      <c r="R7" s="156">
        <v>515.6</v>
      </c>
      <c r="S7" s="156">
        <v>597.79999999999995</v>
      </c>
      <c r="T7" s="156">
        <v>702.7</v>
      </c>
      <c r="U7" s="156">
        <v>810.9</v>
      </c>
      <c r="V7" s="156">
        <v>919.1</v>
      </c>
      <c r="W7" s="156">
        <v>1020.2</v>
      </c>
      <c r="X7" s="156">
        <v>1157.3</v>
      </c>
      <c r="Y7" s="156">
        <v>1298</v>
      </c>
      <c r="Z7" s="156">
        <v>1435.9</v>
      </c>
      <c r="AA7" s="156">
        <v>1571.7</v>
      </c>
      <c r="AB7" s="156">
        <v>1709.3</v>
      </c>
      <c r="AC7" s="156">
        <v>1848.8</v>
      </c>
      <c r="AD7" s="156">
        <v>1998</v>
      </c>
      <c r="AE7" s="156">
        <v>2175.9</v>
      </c>
      <c r="AF7" s="156">
        <v>2375.5</v>
      </c>
      <c r="AG7" s="156">
        <v>2596.6</v>
      </c>
      <c r="AH7" s="156">
        <v>2845.5</v>
      </c>
      <c r="AI7" s="156">
        <v>3084.2</v>
      </c>
      <c r="AJ7" s="156">
        <v>3316</v>
      </c>
      <c r="AK7" s="156">
        <v>3574.5</v>
      </c>
      <c r="AL7" s="156">
        <v>3832.6</v>
      </c>
    </row>
    <row r="8" spans="1:38" s="155" customFormat="1" ht="13.5" x14ac:dyDescent="0.25">
      <c r="A8" s="155" t="s">
        <v>83</v>
      </c>
      <c r="B8" s="156">
        <v>24</v>
      </c>
      <c r="C8" s="156">
        <v>32.799999999999997</v>
      </c>
      <c r="D8" s="156">
        <v>61.1</v>
      </c>
      <c r="E8" s="156">
        <v>77</v>
      </c>
      <c r="F8" s="156">
        <v>93.6</v>
      </c>
      <c r="G8" s="156">
        <v>113.8</v>
      </c>
      <c r="H8" s="156">
        <v>135.4</v>
      </c>
      <c r="I8" s="156">
        <v>163.9</v>
      </c>
      <c r="J8" s="156">
        <v>194.9</v>
      </c>
      <c r="K8" s="156">
        <v>226.8</v>
      </c>
      <c r="L8" s="156">
        <v>261.10000000000002</v>
      </c>
      <c r="M8" s="156">
        <v>299.3</v>
      </c>
      <c r="N8" s="156">
        <v>341.2</v>
      </c>
      <c r="O8" s="156">
        <v>394.8</v>
      </c>
      <c r="P8" s="156">
        <v>456.1</v>
      </c>
      <c r="Q8" s="156">
        <v>519.70000000000005</v>
      </c>
      <c r="R8" s="156">
        <v>592.79999999999995</v>
      </c>
      <c r="S8" s="156">
        <v>669.1</v>
      </c>
      <c r="T8" s="156">
        <v>743.2</v>
      </c>
      <c r="U8" s="156">
        <v>819.3</v>
      </c>
      <c r="V8" s="156">
        <v>895.6</v>
      </c>
      <c r="W8" s="156">
        <v>973.8</v>
      </c>
      <c r="X8" s="156">
        <v>1052</v>
      </c>
      <c r="Y8" s="156">
        <v>1132.5</v>
      </c>
      <c r="Z8" s="156">
        <v>1217.9000000000001</v>
      </c>
      <c r="AA8" s="156">
        <v>1307.5999999999999</v>
      </c>
      <c r="AB8" s="156">
        <v>1395.1</v>
      </c>
      <c r="AC8" s="156">
        <v>1508</v>
      </c>
      <c r="AD8" s="156">
        <v>1620.9</v>
      </c>
      <c r="AE8" s="156">
        <v>1740.9</v>
      </c>
      <c r="AF8" s="156">
        <v>1863.9</v>
      </c>
      <c r="AG8" s="156">
        <v>1991.1</v>
      </c>
      <c r="AH8" s="156">
        <v>2122.6</v>
      </c>
      <c r="AI8" s="156">
        <v>2253.6999999999998</v>
      </c>
      <c r="AJ8" s="156">
        <v>2395</v>
      </c>
      <c r="AK8" s="156">
        <v>2557.9</v>
      </c>
      <c r="AL8" s="156">
        <v>2706.1</v>
      </c>
    </row>
    <row r="9" spans="1:38" s="155" customFormat="1" ht="13.5" x14ac:dyDescent="0.25">
      <c r="A9" s="157" t="s">
        <v>271</v>
      </c>
      <c r="B9" s="156">
        <f>SUM(B4:B8)</f>
        <v>41.3</v>
      </c>
      <c r="C9" s="156">
        <v>76.599999999999994</v>
      </c>
      <c r="D9" s="156">
        <v>168.4</v>
      </c>
      <c r="E9" s="156">
        <v>247.8</v>
      </c>
      <c r="F9" s="156">
        <v>312.39999999999998</v>
      </c>
      <c r="G9" s="156">
        <v>448.8</v>
      </c>
      <c r="H9" s="156">
        <v>602.20000000000005</v>
      </c>
      <c r="I9" s="156">
        <v>757.4</v>
      </c>
      <c r="J9" s="156">
        <v>860.5</v>
      </c>
      <c r="K9" s="156">
        <v>975.7</v>
      </c>
      <c r="L9" s="156">
        <v>1107.5999999999999</v>
      </c>
      <c r="M9" s="156">
        <v>1241.5999999999999</v>
      </c>
      <c r="N9" s="156">
        <v>1431.1</v>
      </c>
      <c r="O9" s="156">
        <v>1763.3</v>
      </c>
      <c r="P9" s="156">
        <v>2087.6999999999998</v>
      </c>
      <c r="Q9" s="156">
        <v>2337.4</v>
      </c>
      <c r="R9" s="156">
        <v>2594.1</v>
      </c>
      <c r="S9" s="156">
        <v>2805.5</v>
      </c>
      <c r="T9" s="156">
        <v>3090.7</v>
      </c>
      <c r="U9" s="156">
        <v>3512</v>
      </c>
      <c r="V9" s="156">
        <v>3992</v>
      </c>
      <c r="W9" s="156">
        <v>5719.3</v>
      </c>
      <c r="X9" s="156">
        <v>6146.1</v>
      </c>
      <c r="Y9" s="156">
        <v>6670.2</v>
      </c>
      <c r="Z9" s="156">
        <v>7163.4</v>
      </c>
      <c r="AA9" s="156">
        <v>7738.7</v>
      </c>
      <c r="AB9" s="156">
        <v>8590.4</v>
      </c>
      <c r="AC9" s="156">
        <v>9306.4</v>
      </c>
      <c r="AD9" s="156">
        <v>10182.1</v>
      </c>
      <c r="AE9" s="156">
        <v>10927.4</v>
      </c>
      <c r="AF9" s="156">
        <v>11729.7</v>
      </c>
      <c r="AG9" s="156">
        <v>12435.3</v>
      </c>
      <c r="AH9" s="156">
        <f>SUM(AH4:AH8)</f>
        <v>13079.4</v>
      </c>
      <c r="AI9" s="156">
        <f>SUM(AI4:AI8)</f>
        <v>13753.7</v>
      </c>
      <c r="AJ9" s="156">
        <f>SUM(AJ4:AJ8)</f>
        <v>14536</v>
      </c>
      <c r="AK9" s="156">
        <f>SUM(AK4:AK8)</f>
        <v>15300.699999999999</v>
      </c>
      <c r="AL9" s="156">
        <f>SUM(AL4:AL8)</f>
        <v>15913.000000000002</v>
      </c>
    </row>
    <row r="10" spans="1:38" s="155" customFormat="1" ht="13.5" x14ac:dyDescent="0.25">
      <c r="A10" s="157"/>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row>
    <row r="11" spans="1:38" s="155" customFormat="1" ht="13.5" x14ac:dyDescent="0.25">
      <c r="A11" s="157"/>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row>
    <row r="12" spans="1:38" s="155" customFormat="1" ht="13.5" x14ac:dyDescent="0.25">
      <c r="A12" s="155" t="s">
        <v>277</v>
      </c>
      <c r="B12" s="163"/>
      <c r="C12" s="162">
        <f>C7-B7</f>
        <v>2.2999999999999998</v>
      </c>
      <c r="D12" s="162">
        <f t="shared" ref="D12:AJ12" si="0">D7-C7</f>
        <v>4.5999999999999996</v>
      </c>
      <c r="E12" s="162">
        <f t="shared" si="0"/>
        <v>9.1000000000000014</v>
      </c>
      <c r="F12" s="162">
        <f t="shared" si="0"/>
        <v>19.599999999999998</v>
      </c>
      <c r="G12" s="162">
        <f t="shared" si="0"/>
        <v>15.899999999999999</v>
      </c>
      <c r="H12" s="162">
        <f t="shared" si="0"/>
        <v>19.600000000000009</v>
      </c>
      <c r="I12" s="162">
        <f t="shared" si="0"/>
        <v>22.199999999999989</v>
      </c>
      <c r="J12" s="162">
        <f t="shared" si="0"/>
        <v>18.800000000000011</v>
      </c>
      <c r="K12" s="162">
        <f t="shared" si="0"/>
        <v>23</v>
      </c>
      <c r="L12" s="162">
        <f t="shared" si="0"/>
        <v>32.799999999999983</v>
      </c>
      <c r="M12" s="162">
        <f t="shared" si="0"/>
        <v>33</v>
      </c>
      <c r="N12" s="162">
        <f t="shared" si="0"/>
        <v>67</v>
      </c>
      <c r="O12" s="162">
        <f t="shared" si="0"/>
        <v>49.600000000000023</v>
      </c>
      <c r="P12" s="162">
        <f t="shared" si="0"/>
        <v>55.899999999999977</v>
      </c>
      <c r="Q12" s="162">
        <f t="shared" si="0"/>
        <v>71.400000000000034</v>
      </c>
      <c r="R12" s="162">
        <f t="shared" si="0"/>
        <v>68.5</v>
      </c>
      <c r="S12" s="162">
        <f t="shared" si="0"/>
        <v>82.199999999999932</v>
      </c>
      <c r="T12" s="162">
        <f t="shared" si="0"/>
        <v>104.90000000000009</v>
      </c>
      <c r="U12" s="162">
        <f t="shared" si="0"/>
        <v>108.19999999999993</v>
      </c>
      <c r="V12" s="162">
        <f t="shared" si="0"/>
        <v>108.20000000000005</v>
      </c>
      <c r="W12" s="162">
        <f t="shared" si="0"/>
        <v>101.10000000000002</v>
      </c>
      <c r="X12" s="162">
        <f t="shared" si="0"/>
        <v>137.09999999999991</v>
      </c>
      <c r="Y12" s="162">
        <f t="shared" si="0"/>
        <v>140.70000000000005</v>
      </c>
      <c r="Z12" s="162">
        <f t="shared" si="0"/>
        <v>137.90000000000009</v>
      </c>
      <c r="AA12" s="162">
        <f t="shared" si="0"/>
        <v>135.79999999999995</v>
      </c>
      <c r="AB12" s="162">
        <f t="shared" si="0"/>
        <v>137.59999999999991</v>
      </c>
      <c r="AC12" s="162">
        <f t="shared" si="0"/>
        <v>139.5</v>
      </c>
      <c r="AD12" s="162">
        <f t="shared" si="0"/>
        <v>149.20000000000005</v>
      </c>
      <c r="AE12" s="162">
        <f t="shared" si="0"/>
        <v>177.90000000000009</v>
      </c>
      <c r="AF12" s="162">
        <f t="shared" si="0"/>
        <v>199.59999999999991</v>
      </c>
      <c r="AG12" s="162">
        <f t="shared" si="0"/>
        <v>221.09999999999991</v>
      </c>
      <c r="AH12" s="162">
        <f t="shared" si="0"/>
        <v>248.90000000000009</v>
      </c>
      <c r="AI12" s="162">
        <f t="shared" ref="AI12" si="1">AI7-AH7</f>
        <v>238.69999999999982</v>
      </c>
      <c r="AJ12" s="162">
        <f t="shared" ref="AJ12" si="2">AJ7-AI7</f>
        <v>231.80000000000018</v>
      </c>
      <c r="AK12" s="162">
        <f t="shared" ref="AK12" si="3">AK7-AJ7</f>
        <v>258.5</v>
      </c>
      <c r="AL12" s="162">
        <f t="shared" ref="AL12" si="4">AL7-AK7</f>
        <v>258.09999999999991</v>
      </c>
    </row>
    <row r="13" spans="1:38" s="155" customFormat="1" ht="13.5" x14ac:dyDescent="0.25">
      <c r="B13" s="157"/>
      <c r="AJ13" s="162"/>
      <c r="AK13" s="162"/>
    </row>
  </sheetData>
  <pageMargins left="0.75" right="0.75" top="1" bottom="1" header="0.5" footer="0.5"/>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zoomScale="70" zoomScaleNormal="70" workbookViewId="0">
      <selection activeCell="I13" sqref="I13"/>
    </sheetView>
  </sheetViews>
  <sheetFormatPr defaultRowHeight="11.25" x14ac:dyDescent="0.2"/>
  <cols>
    <col min="1" max="1" width="22.140625" style="2" customWidth="1"/>
    <col min="2" max="8" width="15.42578125" style="1" customWidth="1"/>
    <col min="9" max="9" width="15.85546875" style="1" customWidth="1"/>
    <col min="10" max="10" width="11.5703125" style="1" bestFit="1" customWidth="1"/>
    <col min="11" max="16384" width="9.140625" style="1"/>
  </cols>
  <sheetData>
    <row r="1" spans="1:12" ht="33" customHeight="1" x14ac:dyDescent="0.2">
      <c r="A1" s="195" t="s">
        <v>237</v>
      </c>
      <c r="B1" s="195"/>
      <c r="C1" s="195"/>
      <c r="D1" s="195"/>
      <c r="E1" s="195"/>
      <c r="F1" s="195"/>
      <c r="G1" s="195"/>
      <c r="H1" s="195"/>
      <c r="I1" s="195"/>
    </row>
    <row r="2" spans="1:12" ht="24" customHeight="1" x14ac:dyDescent="0.2">
      <c r="A2" s="13" t="s">
        <v>11</v>
      </c>
      <c r="B2" s="45">
        <v>2010</v>
      </c>
      <c r="C2" s="45">
        <v>2011</v>
      </c>
      <c r="D2" s="45">
        <v>2012</v>
      </c>
      <c r="E2" s="45">
        <v>2013</v>
      </c>
      <c r="F2" s="45">
        <v>2014</v>
      </c>
      <c r="G2" s="45" t="s">
        <v>279</v>
      </c>
      <c r="H2" s="45">
        <v>2016</v>
      </c>
      <c r="I2" s="12"/>
      <c r="J2" s="12"/>
      <c r="K2" s="12"/>
      <c r="L2" s="11"/>
    </row>
    <row r="3" spans="1:12" ht="17.25" x14ac:dyDescent="0.3">
      <c r="A3" s="9" t="s">
        <v>10</v>
      </c>
      <c r="B3" s="46"/>
      <c r="C3" s="46"/>
      <c r="D3" s="46"/>
      <c r="E3" s="46"/>
      <c r="F3" s="46"/>
      <c r="G3" s="46"/>
      <c r="H3" s="46"/>
      <c r="I3" s="6"/>
      <c r="J3" s="6"/>
      <c r="K3" s="6"/>
    </row>
    <row r="4" spans="1:12" ht="17.25" x14ac:dyDescent="0.3">
      <c r="A4" s="10" t="s">
        <v>8</v>
      </c>
      <c r="B4" s="166">
        <v>133710043</v>
      </c>
      <c r="C4" s="166">
        <v>152268151.75</v>
      </c>
      <c r="D4" s="166">
        <v>172625716.75</v>
      </c>
      <c r="E4" s="166">
        <v>162598812.96000001</v>
      </c>
      <c r="F4" s="167">
        <v>160287940</v>
      </c>
      <c r="G4" s="166">
        <v>181979402</v>
      </c>
      <c r="H4" s="167">
        <v>187114842</v>
      </c>
      <c r="I4" s="6"/>
      <c r="J4" s="6"/>
      <c r="K4" s="6"/>
    </row>
    <row r="5" spans="1:12" ht="17.25" x14ac:dyDescent="0.3">
      <c r="A5" s="10" t="s">
        <v>7</v>
      </c>
      <c r="B5" s="166">
        <v>33492947</v>
      </c>
      <c r="C5" s="166">
        <v>38469679.740000002</v>
      </c>
      <c r="D5" s="166">
        <v>41986003.759999998</v>
      </c>
      <c r="E5" s="166">
        <v>39747604.240000002</v>
      </c>
      <c r="F5" s="167">
        <v>34671529</v>
      </c>
      <c r="G5" s="166">
        <v>36131999</v>
      </c>
      <c r="H5" s="167">
        <v>43312217</v>
      </c>
      <c r="I5" s="6"/>
      <c r="J5" s="6"/>
      <c r="K5" s="6"/>
    </row>
    <row r="6" spans="1:12" ht="17.25" x14ac:dyDescent="0.3">
      <c r="A6" s="10" t="s">
        <v>6</v>
      </c>
      <c r="B6" s="166">
        <v>12105809</v>
      </c>
      <c r="C6" s="166">
        <v>12032226</v>
      </c>
      <c r="D6" s="166">
        <v>13214569.75</v>
      </c>
      <c r="E6" s="166">
        <v>11401470.98</v>
      </c>
      <c r="F6" s="167">
        <v>11970486</v>
      </c>
      <c r="G6" s="166">
        <v>16630031</v>
      </c>
      <c r="H6" s="167">
        <v>14095153</v>
      </c>
      <c r="I6" s="6"/>
      <c r="J6" s="6"/>
      <c r="K6" s="6"/>
    </row>
    <row r="7" spans="1:12" ht="17.25" x14ac:dyDescent="0.3">
      <c r="A7" s="10" t="s">
        <v>5</v>
      </c>
      <c r="B7" s="166">
        <v>20280762.440000001</v>
      </c>
      <c r="C7" s="166">
        <v>18278218</v>
      </c>
      <c r="D7" s="166">
        <v>21130595.140000001</v>
      </c>
      <c r="E7" s="166">
        <v>25235638.289999999</v>
      </c>
      <c r="F7" s="167">
        <v>24850807</v>
      </c>
      <c r="G7" s="166">
        <v>23435779.190000001</v>
      </c>
      <c r="H7" s="167">
        <v>13619977.65</v>
      </c>
      <c r="I7" s="6"/>
      <c r="J7" s="6"/>
      <c r="K7" s="6"/>
    </row>
    <row r="8" spans="1:12" ht="17.25" x14ac:dyDescent="0.3">
      <c r="A8" s="9" t="s">
        <v>9</v>
      </c>
      <c r="B8" s="46"/>
      <c r="C8" s="46"/>
      <c r="D8" s="46"/>
      <c r="E8" s="46"/>
      <c r="F8" s="46"/>
      <c r="G8" s="46"/>
      <c r="H8" s="46"/>
      <c r="I8" s="6"/>
      <c r="J8" s="6"/>
      <c r="K8" s="6"/>
    </row>
    <row r="9" spans="1:12" ht="17.25" x14ac:dyDescent="0.3">
      <c r="A9" s="8" t="s">
        <v>8</v>
      </c>
      <c r="B9" s="166">
        <v>26914846.25</v>
      </c>
      <c r="C9" s="166">
        <v>56777878.75</v>
      </c>
      <c r="D9" s="166">
        <v>33006552</v>
      </c>
      <c r="E9" s="166">
        <v>32488550.530000001</v>
      </c>
      <c r="F9" s="167">
        <v>6079913</v>
      </c>
      <c r="G9" s="166">
        <v>10173686</v>
      </c>
      <c r="H9" s="167">
        <v>4896855</v>
      </c>
      <c r="I9" s="6"/>
      <c r="J9" s="6"/>
      <c r="K9" s="6"/>
    </row>
    <row r="10" spans="1:12" ht="17.25" x14ac:dyDescent="0.3">
      <c r="A10" s="8" t="s">
        <v>7</v>
      </c>
      <c r="B10" s="166">
        <v>3163912.24</v>
      </c>
      <c r="C10" s="166">
        <v>20472137.739999998</v>
      </c>
      <c r="D10" s="166">
        <v>11692569</v>
      </c>
      <c r="E10" s="166">
        <v>8440507.1400000006</v>
      </c>
      <c r="F10" s="167">
        <v>16958535</v>
      </c>
      <c r="G10" s="166">
        <v>2603188</v>
      </c>
      <c r="H10" s="167">
        <v>2164485</v>
      </c>
      <c r="I10" s="6"/>
      <c r="J10" s="6"/>
      <c r="K10" s="6"/>
    </row>
    <row r="11" spans="1:12" ht="17.25" x14ac:dyDescent="0.3">
      <c r="A11" s="8" t="s">
        <v>6</v>
      </c>
      <c r="B11" s="166">
        <v>9564849.2400000002</v>
      </c>
      <c r="C11" s="166">
        <v>18676436.75</v>
      </c>
      <c r="D11" s="166">
        <v>15853187</v>
      </c>
      <c r="E11" s="166">
        <v>10813833.08</v>
      </c>
      <c r="F11" s="167">
        <v>14438818</v>
      </c>
      <c r="G11" s="166">
        <v>9789350</v>
      </c>
      <c r="H11" s="167">
        <v>8973342</v>
      </c>
      <c r="J11" s="6"/>
      <c r="K11" s="6"/>
    </row>
    <row r="12" spans="1:12" ht="34.5" x14ac:dyDescent="0.3">
      <c r="A12" s="8" t="s">
        <v>234</v>
      </c>
      <c r="B12" s="47">
        <v>354783.85</v>
      </c>
      <c r="C12" s="166">
        <v>-101012.25</v>
      </c>
      <c r="D12" s="166">
        <v>42215.48</v>
      </c>
      <c r="E12" s="166">
        <v>375475.23</v>
      </c>
      <c r="F12" s="167">
        <v>-123917.97</v>
      </c>
      <c r="G12" s="167">
        <v>-1192886.3999999999</v>
      </c>
      <c r="H12" s="167">
        <v>-4698.03</v>
      </c>
      <c r="I12" s="57" t="s">
        <v>91</v>
      </c>
      <c r="J12" s="6"/>
      <c r="K12" s="6"/>
    </row>
    <row r="13" spans="1:12" ht="17.25" x14ac:dyDescent="0.3">
      <c r="A13" s="8" t="s">
        <v>4</v>
      </c>
      <c r="B13" s="47"/>
      <c r="C13" s="166">
        <v>-5658821</v>
      </c>
      <c r="D13" s="166">
        <v>-3141637</v>
      </c>
      <c r="E13" s="166"/>
      <c r="F13" s="166"/>
      <c r="G13" s="167"/>
      <c r="H13" s="166"/>
      <c r="I13" s="57">
        <f>SUM(H9:H13)</f>
        <v>16029983.970000001</v>
      </c>
      <c r="J13" s="6"/>
      <c r="K13" s="6"/>
    </row>
    <row r="14" spans="1:12" ht="15" x14ac:dyDescent="0.2">
      <c r="A14" s="5" t="s">
        <v>3</v>
      </c>
      <c r="B14" s="48">
        <f>SUM(B3:B13)</f>
        <v>239587953.02000001</v>
      </c>
      <c r="C14" s="48">
        <f t="shared" ref="C14:H14" si="0">SUM(C3:C13)</f>
        <v>311214895.48000002</v>
      </c>
      <c r="D14" s="48">
        <f t="shared" si="0"/>
        <v>306409771.88</v>
      </c>
      <c r="E14" s="48">
        <f t="shared" si="0"/>
        <v>291101892.44999999</v>
      </c>
      <c r="F14" s="48">
        <f t="shared" si="0"/>
        <v>269134110.02999997</v>
      </c>
      <c r="G14" s="48">
        <f t="shared" si="0"/>
        <v>279550548.79000002</v>
      </c>
      <c r="H14" s="48">
        <f t="shared" si="0"/>
        <v>274172173.62</v>
      </c>
      <c r="I14" s="6"/>
      <c r="J14" s="6"/>
      <c r="K14" s="6"/>
    </row>
    <row r="15" spans="1:12" ht="17.25" x14ac:dyDescent="0.3">
      <c r="A15" s="4"/>
      <c r="B15" s="3"/>
      <c r="C15" s="3"/>
      <c r="D15" s="3"/>
      <c r="E15" s="3"/>
      <c r="F15" s="3"/>
      <c r="G15" s="3"/>
    </row>
    <row r="16" spans="1:12" ht="17.25" x14ac:dyDescent="0.3">
      <c r="A16" s="55" t="s">
        <v>90</v>
      </c>
      <c r="B16" s="3"/>
      <c r="C16" s="3"/>
      <c r="D16" s="3"/>
      <c r="E16" s="3"/>
      <c r="F16" s="3"/>
      <c r="G16" s="3"/>
    </row>
    <row r="17" spans="1:12" ht="15" x14ac:dyDescent="0.2">
      <c r="A17" s="13" t="s">
        <v>11</v>
      </c>
      <c r="B17" s="45">
        <f>B2</f>
        <v>2010</v>
      </c>
      <c r="C17" s="45">
        <f t="shared" ref="C17:H17" si="1">C2</f>
        <v>2011</v>
      </c>
      <c r="D17" s="45">
        <f t="shared" si="1"/>
        <v>2012</v>
      </c>
      <c r="E17" s="45">
        <f t="shared" si="1"/>
        <v>2013</v>
      </c>
      <c r="F17" s="45">
        <f t="shared" si="1"/>
        <v>2014</v>
      </c>
      <c r="G17" s="45" t="str">
        <f t="shared" si="1"/>
        <v>2015 3</v>
      </c>
      <c r="H17" s="45">
        <f t="shared" si="1"/>
        <v>2016</v>
      </c>
    </row>
    <row r="18" spans="1:12" ht="17.25" x14ac:dyDescent="0.3">
      <c r="A18" s="8" t="s">
        <v>8</v>
      </c>
      <c r="B18" s="7">
        <f t="shared" ref="B18:H18" si="2">B4+B9</f>
        <v>160624889.25</v>
      </c>
      <c r="C18" s="7">
        <f t="shared" si="2"/>
        <v>209046030.5</v>
      </c>
      <c r="D18" s="7">
        <f t="shared" si="2"/>
        <v>205632268.75</v>
      </c>
      <c r="E18" s="7">
        <f t="shared" si="2"/>
        <v>195087363.49000001</v>
      </c>
      <c r="F18" s="7">
        <f t="shared" si="2"/>
        <v>166367853</v>
      </c>
      <c r="G18" s="7">
        <f t="shared" si="2"/>
        <v>192153088</v>
      </c>
      <c r="H18" s="7">
        <f t="shared" si="2"/>
        <v>192011697</v>
      </c>
    </row>
    <row r="19" spans="1:12" ht="17.25" x14ac:dyDescent="0.3">
      <c r="A19" s="8" t="s">
        <v>7</v>
      </c>
      <c r="B19" s="7">
        <f t="shared" ref="B19:H19" si="3">B5+B10</f>
        <v>36656859.240000002</v>
      </c>
      <c r="C19" s="7">
        <f t="shared" si="3"/>
        <v>58941817.480000004</v>
      </c>
      <c r="D19" s="7">
        <f t="shared" si="3"/>
        <v>53678572.759999998</v>
      </c>
      <c r="E19" s="7">
        <f t="shared" si="3"/>
        <v>48188111.380000003</v>
      </c>
      <c r="F19" s="7">
        <f t="shared" si="3"/>
        <v>51630064</v>
      </c>
      <c r="G19" s="7">
        <f t="shared" si="3"/>
        <v>38735187</v>
      </c>
      <c r="H19" s="7">
        <f t="shared" si="3"/>
        <v>45476702</v>
      </c>
    </row>
    <row r="20" spans="1:12" ht="17.25" x14ac:dyDescent="0.3">
      <c r="A20" s="8" t="s">
        <v>6</v>
      </c>
      <c r="B20" s="7">
        <f t="shared" ref="B20:H20" si="4">B6+B11</f>
        <v>21670658.240000002</v>
      </c>
      <c r="C20" s="7">
        <f t="shared" si="4"/>
        <v>30708662.75</v>
      </c>
      <c r="D20" s="7">
        <f t="shared" si="4"/>
        <v>29067756.75</v>
      </c>
      <c r="E20" s="7">
        <f t="shared" si="4"/>
        <v>22215304.060000002</v>
      </c>
      <c r="F20" s="7">
        <f t="shared" si="4"/>
        <v>26409304</v>
      </c>
      <c r="G20" s="7">
        <f t="shared" si="4"/>
        <v>26419381</v>
      </c>
      <c r="H20" s="7">
        <f t="shared" si="4"/>
        <v>23068495</v>
      </c>
    </row>
    <row r="21" spans="1:12" ht="19.5" x14ac:dyDescent="0.3">
      <c r="A21" s="8" t="s">
        <v>89</v>
      </c>
      <c r="B21" s="7">
        <f t="shared" ref="B21:H21" si="5">B7+B12</f>
        <v>20635546.290000003</v>
      </c>
      <c r="C21" s="7">
        <f t="shared" si="5"/>
        <v>18177205.75</v>
      </c>
      <c r="D21" s="7">
        <f t="shared" si="5"/>
        <v>21172810.620000001</v>
      </c>
      <c r="E21" s="7">
        <f t="shared" si="5"/>
        <v>25611113.52</v>
      </c>
      <c r="F21" s="7">
        <f t="shared" si="5"/>
        <v>24726889.030000001</v>
      </c>
      <c r="G21" s="7">
        <f t="shared" si="5"/>
        <v>22242892.790000003</v>
      </c>
      <c r="H21" s="7">
        <f t="shared" si="5"/>
        <v>13615279.620000001</v>
      </c>
    </row>
    <row r="22" spans="1:12" ht="17.25" x14ac:dyDescent="0.3">
      <c r="A22" s="8" t="s">
        <v>4</v>
      </c>
      <c r="B22" s="7">
        <f t="shared" ref="B22:H22" si="6">B13</f>
        <v>0</v>
      </c>
      <c r="C22" s="7">
        <f t="shared" si="6"/>
        <v>-5658821</v>
      </c>
      <c r="D22" s="7">
        <f t="shared" si="6"/>
        <v>-3141637</v>
      </c>
      <c r="E22" s="7">
        <f t="shared" si="6"/>
        <v>0</v>
      </c>
      <c r="F22" s="7">
        <f t="shared" si="6"/>
        <v>0</v>
      </c>
      <c r="G22" s="7">
        <f t="shared" si="6"/>
        <v>0</v>
      </c>
      <c r="H22" s="7">
        <f t="shared" si="6"/>
        <v>0</v>
      </c>
    </row>
    <row r="23" spans="1:12" ht="15" x14ac:dyDescent="0.2">
      <c r="A23" s="5" t="s">
        <v>3</v>
      </c>
      <c r="B23" s="48">
        <f t="shared" ref="B23:H23" si="7">B14</f>
        <v>239587953.02000001</v>
      </c>
      <c r="C23" s="48">
        <f t="shared" si="7"/>
        <v>311214895.48000002</v>
      </c>
      <c r="D23" s="48">
        <f t="shared" si="7"/>
        <v>306409771.88</v>
      </c>
      <c r="E23" s="48">
        <f t="shared" si="7"/>
        <v>291101892.44999999</v>
      </c>
      <c r="F23" s="48">
        <f t="shared" si="7"/>
        <v>269134110.02999997</v>
      </c>
      <c r="G23" s="48">
        <f t="shared" si="7"/>
        <v>279550548.79000002</v>
      </c>
      <c r="H23" s="48">
        <f t="shared" si="7"/>
        <v>274172173.62</v>
      </c>
    </row>
    <row r="24" spans="1:12" ht="17.25" x14ac:dyDescent="0.3">
      <c r="A24" s="4"/>
      <c r="B24" s="3"/>
      <c r="C24" s="3"/>
      <c r="D24" s="3"/>
      <c r="E24" s="3"/>
      <c r="F24" s="3"/>
      <c r="G24" s="3"/>
      <c r="H24" s="3"/>
    </row>
    <row r="25" spans="1:12" ht="17.25" x14ac:dyDescent="0.3">
      <c r="A25" s="49" t="s">
        <v>2</v>
      </c>
      <c r="B25" s="50"/>
      <c r="C25" s="50"/>
      <c r="D25" s="50"/>
      <c r="E25" s="50"/>
      <c r="F25" s="50"/>
      <c r="G25" s="50"/>
      <c r="H25" s="50"/>
      <c r="I25" s="51"/>
      <c r="J25" s="51"/>
    </row>
    <row r="26" spans="1:12" ht="34.5" customHeight="1" x14ac:dyDescent="0.3">
      <c r="A26" s="197" t="s">
        <v>1</v>
      </c>
      <c r="B26" s="197"/>
      <c r="C26" s="197"/>
      <c r="D26" s="197"/>
      <c r="E26" s="197"/>
      <c r="F26" s="197"/>
      <c r="G26" s="197"/>
      <c r="H26" s="197"/>
      <c r="I26" s="197"/>
      <c r="J26" s="197"/>
      <c r="K26" s="197"/>
      <c r="L26" s="197"/>
    </row>
    <row r="27" spans="1:12" ht="17.25" customHeight="1" x14ac:dyDescent="0.3">
      <c r="A27" s="197" t="s">
        <v>0</v>
      </c>
      <c r="B27" s="197"/>
      <c r="C27" s="197"/>
      <c r="D27" s="197"/>
      <c r="E27" s="197"/>
      <c r="F27" s="197"/>
      <c r="G27" s="197"/>
      <c r="H27" s="197"/>
      <c r="I27" s="197"/>
      <c r="J27" s="197"/>
      <c r="K27" s="197"/>
      <c r="L27" s="197"/>
    </row>
    <row r="28" spans="1:12" ht="22.5" customHeight="1" x14ac:dyDescent="0.3">
      <c r="A28" s="193" t="s">
        <v>281</v>
      </c>
      <c r="B28" s="193"/>
      <c r="C28" s="193"/>
      <c r="D28" s="193"/>
      <c r="E28" s="193"/>
      <c r="F28" s="193"/>
      <c r="G28" s="193"/>
      <c r="H28" s="193"/>
      <c r="I28" s="193"/>
      <c r="J28" s="193"/>
      <c r="K28" s="193"/>
      <c r="L28" s="193"/>
    </row>
    <row r="30" spans="1:12" ht="17.25" x14ac:dyDescent="0.3">
      <c r="A30" s="193"/>
      <c r="B30" s="196"/>
      <c r="C30" s="196"/>
      <c r="D30" s="196"/>
      <c r="E30" s="196"/>
      <c r="F30" s="196"/>
      <c r="G30" s="196"/>
      <c r="H30" s="196"/>
    </row>
    <row r="31" spans="1:12" ht="17.25" x14ac:dyDescent="0.3">
      <c r="A31" s="52"/>
      <c r="B31" s="53" t="str">
        <f>TEXT(H17,0)&amp;" exp+capital"</f>
        <v>2016 exp+capital</v>
      </c>
      <c r="D31" s="56" t="s">
        <v>238</v>
      </c>
    </row>
    <row r="32" spans="1:12" ht="17.25" x14ac:dyDescent="0.3">
      <c r="A32" s="52" t="s">
        <v>8</v>
      </c>
      <c r="B32" s="54">
        <f>H18</f>
        <v>192011697</v>
      </c>
    </row>
    <row r="33" spans="1:11" ht="17.25" x14ac:dyDescent="0.3">
      <c r="A33" s="52" t="s">
        <v>7</v>
      </c>
      <c r="B33" s="54">
        <f t="shared" ref="B33:B35" si="8">H19</f>
        <v>45476702</v>
      </c>
      <c r="D33" s="191" t="s">
        <v>105</v>
      </c>
      <c r="E33" s="192"/>
      <c r="F33" s="192"/>
      <c r="G33" s="192"/>
      <c r="H33" s="192"/>
      <c r="I33" s="192"/>
      <c r="J33" s="192"/>
      <c r="K33" s="192"/>
    </row>
    <row r="34" spans="1:11" ht="17.25" x14ac:dyDescent="0.3">
      <c r="A34" s="52" t="s">
        <v>6</v>
      </c>
      <c r="B34" s="54">
        <f t="shared" si="8"/>
        <v>23068495</v>
      </c>
      <c r="D34" s="193" t="str">
        <f>"Total: $" &amp; TEXT(H23,"#0.0,,") &amp; " million includes $" &amp; TEXT(I13,"#0.0,,") &amp; " million in obligations to capital projects"</f>
        <v>Total: $274.2 million includes $16.0 million in obligations to capital projects</v>
      </c>
      <c r="E34" s="194"/>
      <c r="F34" s="194"/>
      <c r="G34" s="194"/>
      <c r="H34" s="194"/>
      <c r="I34" s="194"/>
      <c r="J34" s="194"/>
      <c r="K34" s="194"/>
    </row>
    <row r="35" spans="1:11" ht="17.25" x14ac:dyDescent="0.3">
      <c r="A35" s="52" t="s">
        <v>5</v>
      </c>
      <c r="B35" s="54">
        <f t="shared" si="8"/>
        <v>13615279.620000001</v>
      </c>
    </row>
    <row r="36" spans="1:11" ht="17.25" x14ac:dyDescent="0.3">
      <c r="A36" s="52"/>
      <c r="B36" s="54"/>
    </row>
    <row r="37" spans="1:11" ht="17.25" x14ac:dyDescent="0.3">
      <c r="A37" s="52"/>
      <c r="B37" s="52"/>
    </row>
    <row r="38" spans="1:11" ht="17.25" x14ac:dyDescent="0.3">
      <c r="A38" s="52"/>
      <c r="B38" s="52"/>
    </row>
    <row r="39" spans="1:11" ht="17.25" x14ac:dyDescent="0.3">
      <c r="A39" s="52"/>
      <c r="B39" s="52"/>
    </row>
    <row r="40" spans="1:11" ht="17.25" x14ac:dyDescent="0.3">
      <c r="A40" s="52"/>
      <c r="B40" s="52"/>
    </row>
    <row r="41" spans="1:11" ht="17.25" x14ac:dyDescent="0.3">
      <c r="A41" s="1"/>
      <c r="B41" s="52"/>
    </row>
  </sheetData>
  <mergeCells count="7">
    <mergeCell ref="D33:K33"/>
    <mergeCell ref="D34:K34"/>
    <mergeCell ref="A1:I1"/>
    <mergeCell ref="A30:H30"/>
    <mergeCell ref="A26:L26"/>
    <mergeCell ref="A27:L27"/>
    <mergeCell ref="A28:L28"/>
  </mergeCells>
  <pageMargins left="0.36" right="0.35" top="0.82" bottom="0.28000000000000003" header="0.21" footer="0.16"/>
  <pageSetup scale="7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Normal="100" workbookViewId="0">
      <selection activeCell="D34" sqref="D34"/>
    </sheetView>
  </sheetViews>
  <sheetFormatPr defaultRowHeight="17.25" x14ac:dyDescent="0.3"/>
  <cols>
    <col min="1" max="1" width="16.28515625" style="15" customWidth="1"/>
    <col min="2" max="6" width="15.42578125" style="15" bestFit="1" customWidth="1"/>
    <col min="7" max="8" width="15.42578125" style="14" customWidth="1"/>
    <col min="9" max="9" width="15.5703125" style="14" customWidth="1"/>
    <col min="10" max="16384" width="9.140625" style="14"/>
  </cols>
  <sheetData>
    <row r="1" spans="1:10" ht="30.75" customHeight="1" x14ac:dyDescent="0.3">
      <c r="A1" s="21" t="s">
        <v>235</v>
      </c>
    </row>
    <row r="2" spans="1:10" ht="21.75" customHeight="1" x14ac:dyDescent="0.3">
      <c r="A2" s="58" t="s">
        <v>14</v>
      </c>
      <c r="B2" s="59">
        <v>2009</v>
      </c>
      <c r="C2" s="59">
        <v>2010</v>
      </c>
      <c r="D2" s="59">
        <v>2011</v>
      </c>
      <c r="E2" s="59">
        <v>2012</v>
      </c>
      <c r="F2" s="59">
        <v>2013</v>
      </c>
      <c r="G2" s="59" t="s">
        <v>239</v>
      </c>
      <c r="H2" s="168" t="s">
        <v>282</v>
      </c>
      <c r="I2" s="168" t="s">
        <v>283</v>
      </c>
    </row>
    <row r="3" spans="1:10" x14ac:dyDescent="0.3">
      <c r="A3" s="60" t="s">
        <v>13</v>
      </c>
      <c r="B3" s="47">
        <v>113900603</v>
      </c>
      <c r="C3" s="47">
        <v>129758323</v>
      </c>
      <c r="D3" s="47">
        <v>143477289</v>
      </c>
      <c r="E3" s="47">
        <v>162060445</v>
      </c>
      <c r="F3" s="47">
        <v>151177409</v>
      </c>
      <c r="G3" s="47">
        <v>143128947.90000001</v>
      </c>
      <c r="H3" s="47">
        <v>165362220.78999999</v>
      </c>
      <c r="I3" s="169">
        <v>159987743.56999999</v>
      </c>
    </row>
    <row r="4" spans="1:10" x14ac:dyDescent="0.3">
      <c r="A4" s="60" t="s">
        <v>12</v>
      </c>
      <c r="B4" s="47">
        <v>11668863</v>
      </c>
      <c r="C4" s="47">
        <v>21761323</v>
      </c>
      <c r="D4" s="47">
        <v>31297548</v>
      </c>
      <c r="E4" s="47">
        <v>29240867</v>
      </c>
      <c r="F4" s="47">
        <v>29683425</v>
      </c>
      <c r="G4" s="47">
        <v>5925196.1100000003</v>
      </c>
      <c r="H4" s="47">
        <v>7703153.2699999996</v>
      </c>
      <c r="I4" s="169">
        <v>1249955.1399999999</v>
      </c>
    </row>
    <row r="5" spans="1:10" s="17" customFormat="1" ht="15" x14ac:dyDescent="0.2">
      <c r="A5" s="20" t="s">
        <v>3</v>
      </c>
      <c r="B5" s="19">
        <f t="shared" ref="B5:I5" si="0">SUM(B3:B4)</f>
        <v>125569466</v>
      </c>
      <c r="C5" s="19">
        <f t="shared" si="0"/>
        <v>151519646</v>
      </c>
      <c r="D5" s="19">
        <f t="shared" si="0"/>
        <v>174774837</v>
      </c>
      <c r="E5" s="19">
        <f t="shared" si="0"/>
        <v>191301312</v>
      </c>
      <c r="F5" s="18">
        <f t="shared" si="0"/>
        <v>180860834</v>
      </c>
      <c r="G5" s="18">
        <f t="shared" si="0"/>
        <v>149054144.01000002</v>
      </c>
      <c r="H5" s="18">
        <f t="shared" si="0"/>
        <v>173065374.06</v>
      </c>
      <c r="I5" s="18">
        <f t="shared" si="0"/>
        <v>161237698.70999998</v>
      </c>
    </row>
    <row r="6" spans="1:10" s="17" customFormat="1" ht="15" x14ac:dyDescent="0.2">
      <c r="A6" s="16"/>
      <c r="B6" s="61"/>
      <c r="C6" s="61"/>
      <c r="D6" s="61"/>
      <c r="E6" s="61"/>
      <c r="F6" s="61"/>
      <c r="G6" s="61"/>
      <c r="H6" s="61"/>
      <c r="I6" s="61"/>
    </row>
    <row r="7" spans="1:10" s="17" customFormat="1" ht="15" x14ac:dyDescent="0.2">
      <c r="A7" s="16" t="s">
        <v>92</v>
      </c>
      <c r="B7" s="61"/>
      <c r="C7" s="61"/>
      <c r="D7" s="61"/>
      <c r="E7" s="61"/>
      <c r="F7" s="61"/>
      <c r="G7" s="61"/>
      <c r="H7" s="61"/>
      <c r="I7" s="61"/>
    </row>
    <row r="8" spans="1:10" x14ac:dyDescent="0.3">
      <c r="B8" s="15" t="str">
        <f>LEFT(B2,4)</f>
        <v>2009</v>
      </c>
      <c r="C8" s="15" t="str">
        <f t="shared" ref="C8:I8" si="1">LEFT(C2,4)</f>
        <v>2010</v>
      </c>
      <c r="D8" s="15" t="str">
        <f t="shared" si="1"/>
        <v>2011</v>
      </c>
      <c r="E8" s="15" t="str">
        <f t="shared" si="1"/>
        <v>2012</v>
      </c>
      <c r="F8" s="15" t="str">
        <f t="shared" si="1"/>
        <v>2013</v>
      </c>
      <c r="G8" s="15" t="str">
        <f t="shared" si="1"/>
        <v>2014</v>
      </c>
      <c r="H8" s="15" t="str">
        <f t="shared" si="1"/>
        <v>2015</v>
      </c>
      <c r="I8" s="15" t="str">
        <f t="shared" si="1"/>
        <v>2016</v>
      </c>
    </row>
    <row r="9" spans="1:10" x14ac:dyDescent="0.3">
      <c r="A9" s="16" t="s">
        <v>2</v>
      </c>
    </row>
    <row r="10" spans="1:10" ht="41.25" customHeight="1" x14ac:dyDescent="0.3">
      <c r="A10" s="198" t="s">
        <v>236</v>
      </c>
      <c r="B10" s="198"/>
      <c r="C10" s="198"/>
      <c r="D10" s="198"/>
      <c r="E10" s="198"/>
      <c r="F10" s="198"/>
      <c r="G10" s="198"/>
      <c r="H10" s="198"/>
      <c r="I10" s="198"/>
      <c r="J10" s="198"/>
    </row>
    <row r="11" spans="1:10" ht="18" customHeight="1" x14ac:dyDescent="0.3">
      <c r="A11" s="199" t="s">
        <v>284</v>
      </c>
      <c r="B11" s="199"/>
      <c r="C11" s="199"/>
      <c r="D11" s="199"/>
      <c r="E11" s="199"/>
      <c r="F11" s="199"/>
      <c r="G11" s="199"/>
      <c r="H11" s="199"/>
      <c r="I11" s="199"/>
      <c r="J11" s="199"/>
    </row>
    <row r="12" spans="1:10" x14ac:dyDescent="0.3">
      <c r="A12" s="160" t="s">
        <v>285</v>
      </c>
      <c r="B12" s="160"/>
      <c r="C12" s="160"/>
      <c r="D12" s="160"/>
      <c r="E12" s="160"/>
      <c r="F12" s="160"/>
      <c r="G12"/>
      <c r="H12"/>
      <c r="I12"/>
      <c r="J12"/>
    </row>
  </sheetData>
  <mergeCells count="2">
    <mergeCell ref="A10:J10"/>
    <mergeCell ref="A11:J11"/>
  </mergeCells>
  <pageMargins left="0.56000000000000005" right="0.5" top="1.03" bottom="1.08" header="0.16" footer="0.22"/>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A23" sqref="A23:H23"/>
    </sheetView>
  </sheetViews>
  <sheetFormatPr defaultRowHeight="16.5" x14ac:dyDescent="0.3"/>
  <cols>
    <col min="1" max="1" width="62.85546875" style="22" bestFit="1" customWidth="1"/>
    <col min="2" max="2" width="14.5703125" style="25" bestFit="1" customWidth="1"/>
    <col min="3" max="3" width="16.7109375" style="25" bestFit="1" customWidth="1"/>
    <col min="4" max="4" width="16.42578125" style="24" bestFit="1" customWidth="1"/>
    <col min="5" max="5" width="17.42578125" style="25" customWidth="1"/>
    <col min="6" max="6" width="16.7109375" style="25" bestFit="1" customWidth="1"/>
    <col min="7" max="7" width="15.42578125" style="24" bestFit="1" customWidth="1"/>
    <col min="8" max="8" width="14.5703125" style="23" bestFit="1" customWidth="1"/>
    <col min="9" max="16384" width="9.140625" style="22"/>
  </cols>
  <sheetData>
    <row r="1" spans="1:8" ht="33" customHeight="1" x14ac:dyDescent="0.3">
      <c r="A1" s="200" t="s">
        <v>286</v>
      </c>
      <c r="B1" s="200"/>
      <c r="C1" s="200"/>
      <c r="D1" s="200"/>
      <c r="E1" s="200"/>
      <c r="F1" s="200"/>
      <c r="G1" s="200"/>
      <c r="H1" s="200"/>
    </row>
    <row r="2" spans="1:8" s="28" customFormat="1" ht="58.5" x14ac:dyDescent="0.3">
      <c r="A2" s="31" t="s">
        <v>39</v>
      </c>
      <c r="B2" s="29" t="s">
        <v>38</v>
      </c>
      <c r="C2" s="29" t="s">
        <v>37</v>
      </c>
      <c r="D2" s="30" t="s">
        <v>36</v>
      </c>
      <c r="E2" s="29" t="s">
        <v>35</v>
      </c>
      <c r="F2" s="29" t="s">
        <v>34</v>
      </c>
      <c r="G2" s="30" t="s">
        <v>33</v>
      </c>
      <c r="H2" s="29" t="s">
        <v>32</v>
      </c>
    </row>
    <row r="3" spans="1:8" x14ac:dyDescent="0.3">
      <c r="A3" s="62" t="s">
        <v>31</v>
      </c>
      <c r="B3" s="63">
        <v>5771555.0274000801</v>
      </c>
      <c r="C3" s="63">
        <v>1532272.5728873201</v>
      </c>
      <c r="D3" s="64">
        <f>B3+C3</f>
        <v>7303827.6002874002</v>
      </c>
      <c r="E3" s="63">
        <v>-230787.698</v>
      </c>
      <c r="F3" s="63">
        <v>7889.7969999999996</v>
      </c>
      <c r="G3" s="64">
        <f>E3+F3</f>
        <v>-222897.90100000001</v>
      </c>
      <c r="H3" s="65">
        <f>D3+G3</f>
        <v>7080929.6992874006</v>
      </c>
    </row>
    <row r="4" spans="1:8" x14ac:dyDescent="0.3">
      <c r="A4" s="62" t="s">
        <v>30</v>
      </c>
      <c r="B4" s="63">
        <v>8792628.5960487109</v>
      </c>
      <c r="C4" s="63">
        <v>2831049.08542663</v>
      </c>
      <c r="D4" s="64">
        <f t="shared" ref="D4:D19" si="0">B4+C4</f>
        <v>11623677.681475341</v>
      </c>
      <c r="E4" s="63">
        <v>0</v>
      </c>
      <c r="F4" s="63">
        <v>0</v>
      </c>
      <c r="G4" s="64">
        <f t="shared" ref="G4:G19" si="1">E4+F4</f>
        <v>0</v>
      </c>
      <c r="H4" s="65">
        <f t="shared" ref="H4:H19" si="2">D4+G4</f>
        <v>11623677.681475341</v>
      </c>
    </row>
    <row r="5" spans="1:8" x14ac:dyDescent="0.3">
      <c r="A5" s="62" t="s">
        <v>29</v>
      </c>
      <c r="B5" s="63">
        <v>20231520.3176062</v>
      </c>
      <c r="C5" s="63">
        <v>5856319.3137293598</v>
      </c>
      <c r="D5" s="64">
        <f t="shared" si="0"/>
        <v>26087839.63133556</v>
      </c>
      <c r="E5" s="63">
        <v>-23958.175999999999</v>
      </c>
      <c r="F5" s="63">
        <v>-1923.559</v>
      </c>
      <c r="G5" s="64">
        <f t="shared" si="1"/>
        <v>-25881.735000000001</v>
      </c>
      <c r="H5" s="66">
        <f t="shared" si="2"/>
        <v>26061957.896335561</v>
      </c>
    </row>
    <row r="6" spans="1:8" x14ac:dyDescent="0.3">
      <c r="A6" s="62" t="s">
        <v>28</v>
      </c>
      <c r="B6" s="63">
        <v>10717252.0244247</v>
      </c>
      <c r="C6" s="63">
        <v>4602930.6602301598</v>
      </c>
      <c r="D6" s="64">
        <f t="shared" si="0"/>
        <v>15320182.68465486</v>
      </c>
      <c r="E6" s="63">
        <v>19935.118999999999</v>
      </c>
      <c r="F6" s="63">
        <v>819861.52300000004</v>
      </c>
      <c r="G6" s="64">
        <f t="shared" si="1"/>
        <v>839796.64199999999</v>
      </c>
      <c r="H6" s="66">
        <f t="shared" si="2"/>
        <v>16159979.326654859</v>
      </c>
    </row>
    <row r="7" spans="1:8" x14ac:dyDescent="0.3">
      <c r="A7" s="62" t="s">
        <v>27</v>
      </c>
      <c r="B7" s="63">
        <v>4338262.9777649501</v>
      </c>
      <c r="C7" s="63">
        <v>1355693.4010351</v>
      </c>
      <c r="D7" s="64">
        <f t="shared" si="0"/>
        <v>5693956.3788000504</v>
      </c>
      <c r="E7" s="63">
        <v>0</v>
      </c>
      <c r="F7" s="63">
        <v>0</v>
      </c>
      <c r="G7" s="64">
        <f t="shared" si="1"/>
        <v>0</v>
      </c>
      <c r="H7" s="66">
        <f t="shared" si="2"/>
        <v>5693956.3788000504</v>
      </c>
    </row>
    <row r="8" spans="1:8" x14ac:dyDescent="0.3">
      <c r="A8" s="62" t="s">
        <v>26</v>
      </c>
      <c r="B8" s="63">
        <v>4297893.8363243202</v>
      </c>
      <c r="C8" s="63">
        <v>480189.22532944201</v>
      </c>
      <c r="D8" s="64">
        <f t="shared" si="0"/>
        <v>4778083.0616537621</v>
      </c>
      <c r="E8" s="63">
        <v>0</v>
      </c>
      <c r="F8" s="63">
        <v>0</v>
      </c>
      <c r="G8" s="64">
        <f t="shared" si="1"/>
        <v>0</v>
      </c>
      <c r="H8" s="66">
        <f t="shared" si="2"/>
        <v>4778083.0616537621</v>
      </c>
    </row>
    <row r="9" spans="1:8" x14ac:dyDescent="0.3">
      <c r="A9" s="62" t="s">
        <v>25</v>
      </c>
      <c r="B9" s="63">
        <v>4425296.1783672702</v>
      </c>
      <c r="C9" s="63">
        <v>852806.47711313097</v>
      </c>
      <c r="D9" s="64">
        <f t="shared" si="0"/>
        <v>5278102.6554804016</v>
      </c>
      <c r="E9" s="63">
        <v>26580.875</v>
      </c>
      <c r="F9" s="63">
        <v>9666.1</v>
      </c>
      <c r="G9" s="64">
        <f t="shared" si="1"/>
        <v>36246.974999999999</v>
      </c>
      <c r="H9" s="66">
        <f t="shared" si="2"/>
        <v>5314349.6304804012</v>
      </c>
    </row>
    <row r="10" spans="1:8" x14ac:dyDescent="0.3">
      <c r="A10" s="62" t="s">
        <v>24</v>
      </c>
      <c r="B10" s="63">
        <v>6846271.8266193997</v>
      </c>
      <c r="C10" s="63">
        <v>1263396.898357</v>
      </c>
      <c r="D10" s="64">
        <f t="shared" si="0"/>
        <v>8109668.7249763999</v>
      </c>
      <c r="E10" s="63">
        <v>0</v>
      </c>
      <c r="F10" s="63">
        <v>0</v>
      </c>
      <c r="G10" s="64">
        <f t="shared" si="1"/>
        <v>0</v>
      </c>
      <c r="H10" s="66">
        <f t="shared" si="2"/>
        <v>8109668.7249763999</v>
      </c>
    </row>
    <row r="11" spans="1:8" x14ac:dyDescent="0.3">
      <c r="A11" s="62" t="s">
        <v>23</v>
      </c>
      <c r="B11" s="63">
        <v>5688755.0223003598</v>
      </c>
      <c r="C11" s="63">
        <v>1311872.0195215801</v>
      </c>
      <c r="D11" s="64">
        <f t="shared" si="0"/>
        <v>7000627.0418219399</v>
      </c>
      <c r="E11" s="63">
        <v>-5896.8829999999998</v>
      </c>
      <c r="F11" s="63">
        <v>9666.1010000000006</v>
      </c>
      <c r="G11" s="64">
        <f t="shared" si="1"/>
        <v>3769.2180000000008</v>
      </c>
      <c r="H11" s="66">
        <f t="shared" si="2"/>
        <v>7004396.2598219402</v>
      </c>
    </row>
    <row r="12" spans="1:8" x14ac:dyDescent="0.3">
      <c r="A12" s="62" t="s">
        <v>22</v>
      </c>
      <c r="B12" s="63">
        <v>28927007.064510401</v>
      </c>
      <c r="C12" s="63">
        <v>11873577.3732462</v>
      </c>
      <c r="D12" s="64">
        <f t="shared" si="0"/>
        <v>40800584.437756598</v>
      </c>
      <c r="E12" s="63">
        <v>275273.38099999999</v>
      </c>
      <c r="F12" s="63">
        <v>41902.076999999997</v>
      </c>
      <c r="G12" s="64">
        <f t="shared" si="1"/>
        <v>317175.45799999998</v>
      </c>
      <c r="H12" s="66">
        <f t="shared" si="2"/>
        <v>41117759.895756595</v>
      </c>
    </row>
    <row r="13" spans="1:8" x14ac:dyDescent="0.3">
      <c r="A13" s="62" t="s">
        <v>21</v>
      </c>
      <c r="B13" s="63">
        <v>20593564.949580699</v>
      </c>
      <c r="C13" s="63">
        <v>5406643.83643803</v>
      </c>
      <c r="D13" s="64">
        <f t="shared" si="0"/>
        <v>26000208.786018729</v>
      </c>
      <c r="E13" s="63">
        <v>-23958.145</v>
      </c>
      <c r="F13" s="63">
        <v>-1923.558</v>
      </c>
      <c r="G13" s="64">
        <f t="shared" si="1"/>
        <v>-25881.703000000001</v>
      </c>
      <c r="H13" s="66">
        <f t="shared" si="2"/>
        <v>25974327.083018728</v>
      </c>
    </row>
    <row r="14" spans="1:8" x14ac:dyDescent="0.3">
      <c r="A14" s="62" t="s">
        <v>276</v>
      </c>
      <c r="B14" s="63">
        <v>10805250.963604599</v>
      </c>
      <c r="C14" s="63">
        <v>3857181.9670115998</v>
      </c>
      <c r="D14" s="64">
        <f t="shared" si="0"/>
        <v>14662432.9306162</v>
      </c>
      <c r="E14" s="63">
        <v>67018.116999999998</v>
      </c>
      <c r="F14" s="63">
        <v>47381.972000000002</v>
      </c>
      <c r="G14" s="64">
        <f t="shared" si="1"/>
        <v>114400.08900000001</v>
      </c>
      <c r="H14" s="66">
        <f t="shared" si="2"/>
        <v>14776833.0196162</v>
      </c>
    </row>
    <row r="15" spans="1:8" x14ac:dyDescent="0.3">
      <c r="A15" s="62" t="s">
        <v>20</v>
      </c>
      <c r="B15" s="63">
        <v>3459145.9038523701</v>
      </c>
      <c r="C15" s="63">
        <v>1096124.6810401201</v>
      </c>
      <c r="D15" s="64">
        <f t="shared" si="0"/>
        <v>4555270.5848924899</v>
      </c>
      <c r="E15" s="63">
        <v>3.1E-2</v>
      </c>
      <c r="F15" s="63">
        <v>1E-3</v>
      </c>
      <c r="G15" s="64">
        <f t="shared" si="1"/>
        <v>3.2000000000000001E-2</v>
      </c>
      <c r="H15" s="66">
        <f t="shared" si="2"/>
        <v>4555270.6168924896</v>
      </c>
    </row>
    <row r="16" spans="1:8" x14ac:dyDescent="0.3">
      <c r="A16" s="62" t="s">
        <v>19</v>
      </c>
      <c r="B16" s="63">
        <v>19163</v>
      </c>
      <c r="C16" s="63">
        <v>589049</v>
      </c>
      <c r="D16" s="64">
        <f t="shared" si="0"/>
        <v>608212</v>
      </c>
      <c r="E16" s="63">
        <v>0</v>
      </c>
      <c r="F16" s="63">
        <v>0</v>
      </c>
      <c r="G16" s="64">
        <v>0</v>
      </c>
      <c r="H16" s="65">
        <f t="shared" si="2"/>
        <v>608212</v>
      </c>
    </row>
    <row r="17" spans="1:8" x14ac:dyDescent="0.3">
      <c r="A17" s="62" t="s">
        <v>18</v>
      </c>
      <c r="B17" s="63">
        <v>820044</v>
      </c>
      <c r="C17" s="63">
        <v>1050719</v>
      </c>
      <c r="D17" s="64">
        <f t="shared" si="0"/>
        <v>1870763</v>
      </c>
      <c r="E17" s="67">
        <v>0</v>
      </c>
      <c r="F17" s="67">
        <v>0</v>
      </c>
      <c r="G17" s="64">
        <v>0</v>
      </c>
      <c r="H17" s="66">
        <f t="shared" si="2"/>
        <v>1870763</v>
      </c>
    </row>
    <row r="18" spans="1:8" x14ac:dyDescent="0.3">
      <c r="A18" s="62" t="s">
        <v>17</v>
      </c>
      <c r="B18" s="63">
        <v>11792123</v>
      </c>
      <c r="C18" s="63">
        <v>2498314</v>
      </c>
      <c r="D18" s="64">
        <f t="shared" si="0"/>
        <v>14290437</v>
      </c>
      <c r="E18" s="63">
        <v>32431.819</v>
      </c>
      <c r="F18" s="63">
        <v>0.182</v>
      </c>
      <c r="G18" s="64">
        <f t="shared" si="1"/>
        <v>32432.001</v>
      </c>
      <c r="H18" s="65">
        <f t="shared" si="2"/>
        <v>14322869.001</v>
      </c>
    </row>
    <row r="19" spans="1:8" x14ac:dyDescent="0.3">
      <c r="A19" s="62" t="s">
        <v>16</v>
      </c>
      <c r="B19" s="170">
        <v>9730379</v>
      </c>
      <c r="C19" s="170">
        <v>6049477</v>
      </c>
      <c r="D19" s="170">
        <f t="shared" si="0"/>
        <v>15779856</v>
      </c>
      <c r="E19" s="170">
        <v>2091038.1459999999</v>
      </c>
      <c r="F19" s="170">
        <v>27926.168000000001</v>
      </c>
      <c r="G19" s="170">
        <f t="shared" si="1"/>
        <v>2118964.3139999998</v>
      </c>
      <c r="H19" s="171">
        <f t="shared" si="2"/>
        <v>17898820.313999999</v>
      </c>
    </row>
    <row r="20" spans="1:8" s="26" customFormat="1" ht="14.25" x14ac:dyDescent="0.2">
      <c r="A20" s="26" t="s">
        <v>3</v>
      </c>
      <c r="B20" s="27">
        <f t="shared" ref="B20:G20" si="3">SUM(B3:B19)</f>
        <v>157256113.68840405</v>
      </c>
      <c r="C20" s="27">
        <f t="shared" si="3"/>
        <v>52507616.511365674</v>
      </c>
      <c r="D20" s="27">
        <f t="shared" si="3"/>
        <v>209763730.19976974</v>
      </c>
      <c r="E20" s="27">
        <f t="shared" si="3"/>
        <v>2227676.5860000001</v>
      </c>
      <c r="F20" s="27">
        <f t="shared" si="3"/>
        <v>960446.80400000012</v>
      </c>
      <c r="G20" s="27">
        <f t="shared" si="3"/>
        <v>3188123.3899999997</v>
      </c>
      <c r="H20" s="27">
        <f t="shared" ref="H20" si="4">D20+G20</f>
        <v>212951853.58976972</v>
      </c>
    </row>
    <row r="22" spans="1:8" x14ac:dyDescent="0.3">
      <c r="A22" s="26" t="s">
        <v>2</v>
      </c>
    </row>
    <row r="23" spans="1:8" ht="16.5" customHeight="1" x14ac:dyDescent="0.3">
      <c r="A23" s="201" t="s">
        <v>240</v>
      </c>
      <c r="B23" s="201"/>
      <c r="C23" s="201"/>
      <c r="D23" s="201"/>
      <c r="E23" s="201"/>
      <c r="F23" s="201"/>
      <c r="G23" s="201"/>
      <c r="H23" s="201"/>
    </row>
    <row r="24" spans="1:8" ht="33.75" customHeight="1" x14ac:dyDescent="0.3">
      <c r="A24" s="201" t="s">
        <v>15</v>
      </c>
      <c r="B24" s="201"/>
      <c r="C24" s="201"/>
      <c r="D24" s="201"/>
      <c r="E24" s="201"/>
      <c r="F24" s="201"/>
      <c r="G24" s="201"/>
      <c r="H24" s="201"/>
    </row>
    <row r="25" spans="1:8" ht="17.25" customHeight="1" x14ac:dyDescent="0.3">
      <c r="A25" s="202" t="s">
        <v>93</v>
      </c>
      <c r="B25" s="202"/>
      <c r="C25" s="202"/>
      <c r="D25" s="202"/>
      <c r="E25" s="202"/>
      <c r="F25" s="202"/>
      <c r="G25" s="202"/>
      <c r="H25" s="202"/>
    </row>
    <row r="26" spans="1:8" x14ac:dyDescent="0.3">
      <c r="A26" s="202" t="s">
        <v>241</v>
      </c>
      <c r="B26" s="202"/>
      <c r="C26" s="202"/>
      <c r="D26" s="202"/>
      <c r="E26" s="202"/>
      <c r="F26" s="202"/>
      <c r="G26" s="202"/>
      <c r="H26" s="202"/>
    </row>
    <row r="27" spans="1:8" x14ac:dyDescent="0.3">
      <c r="A27" s="144"/>
      <c r="B27" s="144"/>
      <c r="C27" s="144"/>
      <c r="D27" s="144"/>
      <c r="E27" s="144"/>
      <c r="F27" s="144"/>
      <c r="G27" s="144"/>
      <c r="H27" s="144"/>
    </row>
    <row r="28" spans="1:8" x14ac:dyDescent="0.3">
      <c r="A28" s="22" t="s">
        <v>106</v>
      </c>
    </row>
    <row r="29" spans="1:8" ht="33.75" customHeight="1" x14ac:dyDescent="0.3">
      <c r="A29" s="190" t="str">
        <f>"Total: $" &amp; TEXT(H20,"#.0,,") &amp; " million (Expense: $" &amp; TEXT(D20,"#.0,,") &amp; " million, Capital: $" &amp; TEXT(G20,"#.0,,") &amp; " million)"</f>
        <v>Total: $213.0 million (Expense: $209.8 million, Capital: $3.2 million)</v>
      </c>
      <c r="B29" s="190"/>
      <c r="C29" s="190"/>
      <c r="D29" s="190"/>
    </row>
  </sheetData>
  <mergeCells count="6">
    <mergeCell ref="A29:D29"/>
    <mergeCell ref="A1:H1"/>
    <mergeCell ref="A24:H24"/>
    <mergeCell ref="A23:H23"/>
    <mergeCell ref="A25:H25"/>
    <mergeCell ref="A26:H26"/>
  </mergeCells>
  <pageMargins left="0.25" right="0.25" top="0.75" bottom="0.75" header="0.3" footer="0.3"/>
  <pageSetup scale="7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zoomScaleNormal="100" workbookViewId="0">
      <selection activeCell="B32" sqref="B32"/>
    </sheetView>
  </sheetViews>
  <sheetFormatPr defaultRowHeight="17.25" x14ac:dyDescent="0.3"/>
  <cols>
    <col min="1" max="1" width="32.85546875" style="68" customWidth="1"/>
    <col min="2" max="2" width="17.140625" style="68" customWidth="1"/>
    <col min="3" max="6" width="17.140625" style="68" bestFit="1" customWidth="1"/>
    <col min="7" max="8" width="17.7109375" style="68" customWidth="1"/>
    <col min="9" max="16384" width="9.140625" style="68"/>
  </cols>
  <sheetData>
    <row r="1" spans="1:10" x14ac:dyDescent="0.3">
      <c r="A1" s="203" t="str">
        <f>"Table/Figure 5: Direct Program Expenditures by Fund, FY"&amp;H4</f>
        <v>Table/Figure 5: Direct Program Expenditures by Fund, FY2016</v>
      </c>
      <c r="B1" s="203"/>
      <c r="C1" s="203"/>
      <c r="D1" s="203"/>
      <c r="E1" s="203"/>
      <c r="F1" s="203"/>
      <c r="G1" s="203"/>
      <c r="H1" s="203"/>
    </row>
    <row r="2" spans="1:10" x14ac:dyDescent="0.3">
      <c r="A2" s="70"/>
      <c r="B2" s="69"/>
      <c r="C2" s="69"/>
      <c r="D2" s="69"/>
      <c r="E2" s="69"/>
      <c r="F2" s="69"/>
    </row>
    <row r="3" spans="1:10" x14ac:dyDescent="0.3">
      <c r="A3" s="69"/>
      <c r="B3" s="69"/>
      <c r="C3" s="69"/>
      <c r="D3" s="69"/>
      <c r="E3" s="69"/>
      <c r="F3" s="69"/>
    </row>
    <row r="4" spans="1:10" ht="19.5" x14ac:dyDescent="0.3">
      <c r="A4" s="76" t="s">
        <v>102</v>
      </c>
      <c r="B4" s="168">
        <v>2010</v>
      </c>
      <c r="C4" s="168">
        <v>2011</v>
      </c>
      <c r="D4" s="168">
        <v>2012</v>
      </c>
      <c r="E4" s="168">
        <v>2013</v>
      </c>
      <c r="F4" s="168">
        <v>2014</v>
      </c>
      <c r="G4" s="168" t="s">
        <v>287</v>
      </c>
      <c r="H4" s="168">
        <v>2016</v>
      </c>
    </row>
    <row r="5" spans="1:10" x14ac:dyDescent="0.3">
      <c r="A5" s="3" t="s">
        <v>242</v>
      </c>
      <c r="B5" s="73">
        <v>88120408</v>
      </c>
      <c r="C5" s="73">
        <v>105257648</v>
      </c>
      <c r="D5" s="73">
        <v>109818406</v>
      </c>
      <c r="E5" s="172">
        <v>102742463.01000001</v>
      </c>
      <c r="F5" s="172">
        <v>93422644</v>
      </c>
      <c r="G5" s="172">
        <v>102350719.14</v>
      </c>
      <c r="H5" s="172">
        <v>104327574.5</v>
      </c>
    </row>
    <row r="6" spans="1:10" ht="19.5" x14ac:dyDescent="0.3">
      <c r="A6" s="3" t="s">
        <v>100</v>
      </c>
      <c r="B6" s="73"/>
      <c r="C6" s="73"/>
      <c r="D6" s="73"/>
      <c r="E6" s="172"/>
      <c r="F6" s="172"/>
      <c r="G6" s="172"/>
      <c r="H6" s="172"/>
      <c r="J6" s="75"/>
    </row>
    <row r="7" spans="1:10" x14ac:dyDescent="0.3">
      <c r="A7" s="74" t="s">
        <v>99</v>
      </c>
      <c r="B7" s="73">
        <v>64187623</v>
      </c>
      <c r="C7" s="73">
        <v>79829739</v>
      </c>
      <c r="D7" s="73">
        <v>76351240</v>
      </c>
      <c r="E7" s="172">
        <v>75238564.810000002</v>
      </c>
      <c r="F7" s="172">
        <v>53057116.689999998</v>
      </c>
      <c r="G7" s="172">
        <v>78332688.890000001</v>
      </c>
      <c r="H7" s="172">
        <v>56949840.909999996</v>
      </c>
    </row>
    <row r="8" spans="1:10" x14ac:dyDescent="0.3">
      <c r="A8" s="74" t="s">
        <v>243</v>
      </c>
      <c r="B8" s="73">
        <v>20983783</v>
      </c>
      <c r="C8" s="73">
        <v>37606835</v>
      </c>
      <c r="D8" s="73">
        <v>45782424</v>
      </c>
      <c r="E8" s="172">
        <v>48583014.189999998</v>
      </c>
      <c r="F8" s="172">
        <v>50913614.200000003</v>
      </c>
      <c r="G8" s="172">
        <v>36986093.710000001</v>
      </c>
      <c r="H8" s="172">
        <v>48852497.590000004</v>
      </c>
    </row>
    <row r="9" spans="1:10" x14ac:dyDescent="0.3">
      <c r="A9" s="3" t="s">
        <v>98</v>
      </c>
      <c r="B9" s="73">
        <v>51765457</v>
      </c>
      <c r="C9" s="73">
        <v>73608793</v>
      </c>
      <c r="D9" s="73">
        <v>58956587</v>
      </c>
      <c r="E9" s="172">
        <v>48813940.990000002</v>
      </c>
      <c r="F9" s="172">
        <v>54828830</v>
      </c>
      <c r="G9" s="172">
        <v>44748863.060000002</v>
      </c>
      <c r="H9" s="172">
        <v>46978408.5</v>
      </c>
    </row>
    <row r="10" spans="1:10" x14ac:dyDescent="0.3">
      <c r="A10" s="3" t="s">
        <v>97</v>
      </c>
      <c r="B10" s="73">
        <v>14530682</v>
      </c>
      <c r="C10" s="73">
        <v>14911880</v>
      </c>
      <c r="D10" s="73">
        <v>15501115</v>
      </c>
      <c r="E10" s="172">
        <v>15723909</v>
      </c>
      <c r="F10" s="172">
        <v>16911905</v>
      </c>
      <c r="G10" s="172">
        <v>17132184</v>
      </c>
      <c r="H10" s="172">
        <v>17063852.5</v>
      </c>
    </row>
    <row r="11" spans="1:10" x14ac:dyDescent="0.3">
      <c r="A11" s="72" t="s">
        <v>96</v>
      </c>
      <c r="B11" s="71">
        <f t="shared" ref="B11:H11" si="0">SUM(B5:B10)</f>
        <v>239587953</v>
      </c>
      <c r="C11" s="71">
        <f t="shared" si="0"/>
        <v>311214895</v>
      </c>
      <c r="D11" s="71">
        <f t="shared" si="0"/>
        <v>306409772</v>
      </c>
      <c r="E11" s="71">
        <f t="shared" si="0"/>
        <v>291101892</v>
      </c>
      <c r="F11" s="71">
        <f t="shared" si="0"/>
        <v>269134109.88999999</v>
      </c>
      <c r="G11" s="71">
        <f t="shared" si="0"/>
        <v>279550548.80000001</v>
      </c>
      <c r="H11" s="71">
        <f t="shared" si="0"/>
        <v>274172174</v>
      </c>
    </row>
    <row r="12" spans="1:10" x14ac:dyDescent="0.3">
      <c r="A12" s="69"/>
      <c r="B12" s="69"/>
      <c r="C12" s="69"/>
      <c r="D12" s="69"/>
      <c r="E12" s="69"/>
      <c r="F12" s="69"/>
    </row>
    <row r="13" spans="1:10" x14ac:dyDescent="0.3">
      <c r="A13" s="69"/>
      <c r="B13" s="69"/>
      <c r="C13" s="69"/>
      <c r="D13" s="69"/>
      <c r="E13" s="69"/>
      <c r="F13" s="69"/>
    </row>
    <row r="14" spans="1:10" x14ac:dyDescent="0.3">
      <c r="A14" s="70" t="s">
        <v>2</v>
      </c>
      <c r="B14" s="69"/>
      <c r="C14" s="69"/>
      <c r="D14" s="69"/>
      <c r="E14" s="69"/>
      <c r="F14" s="69"/>
    </row>
    <row r="15" spans="1:10" x14ac:dyDescent="0.3">
      <c r="A15" s="199" t="s">
        <v>95</v>
      </c>
      <c r="B15" s="199"/>
      <c r="C15" s="199"/>
      <c r="D15" s="199"/>
      <c r="E15" s="199"/>
      <c r="F15" s="199"/>
      <c r="G15" s="199"/>
      <c r="H15" s="199"/>
      <c r="I15" s="199"/>
    </row>
    <row r="16" spans="1:10" ht="36.75" customHeight="1" x14ac:dyDescent="0.3">
      <c r="A16" s="198" t="s">
        <v>94</v>
      </c>
      <c r="B16" s="198"/>
      <c r="C16" s="198"/>
      <c r="D16" s="198"/>
      <c r="E16" s="198"/>
      <c r="F16" s="198"/>
      <c r="G16" s="198"/>
      <c r="H16" s="198"/>
      <c r="I16" s="198"/>
    </row>
    <row r="17" spans="1:9" x14ac:dyDescent="0.3">
      <c r="A17" s="204" t="s">
        <v>288</v>
      </c>
      <c r="B17" s="204"/>
      <c r="C17" s="204"/>
      <c r="D17" s="204"/>
      <c r="E17" s="204"/>
      <c r="F17" s="204"/>
      <c r="G17" s="204"/>
      <c r="H17" s="204"/>
      <c r="I17" s="204"/>
    </row>
    <row r="19" spans="1:9" x14ac:dyDescent="0.3">
      <c r="A19" s="153" t="str">
        <f>H4&amp;" (make sure these formulas catch last column)"</f>
        <v>2016 (make sure these formulas catch last column)</v>
      </c>
    </row>
    <row r="20" spans="1:9" x14ac:dyDescent="0.3">
      <c r="A20" s="3" t="s">
        <v>101</v>
      </c>
      <c r="B20" s="77">
        <f>H5</f>
        <v>104327574.5</v>
      </c>
    </row>
    <row r="21" spans="1:9" x14ac:dyDescent="0.3">
      <c r="A21" s="3" t="s">
        <v>103</v>
      </c>
      <c r="B21" s="77">
        <f>H7</f>
        <v>56949840.909999996</v>
      </c>
    </row>
    <row r="22" spans="1:9" x14ac:dyDescent="0.3">
      <c r="A22" s="3" t="s">
        <v>104</v>
      </c>
      <c r="B22" s="77">
        <f t="shared" ref="B22:B24" si="1">H8</f>
        <v>48852497.590000004</v>
      </c>
    </row>
    <row r="23" spans="1:9" x14ac:dyDescent="0.3">
      <c r="A23" s="3" t="s">
        <v>98</v>
      </c>
      <c r="B23" s="77">
        <f t="shared" si="1"/>
        <v>46978408.5</v>
      </c>
    </row>
    <row r="24" spans="1:9" x14ac:dyDescent="0.3">
      <c r="A24" s="3" t="s">
        <v>97</v>
      </c>
      <c r="B24" s="77">
        <f t="shared" si="1"/>
        <v>17063852.5</v>
      </c>
    </row>
    <row r="26" spans="1:9" x14ac:dyDescent="0.3">
      <c r="A26" s="153" t="s">
        <v>107</v>
      </c>
    </row>
    <row r="27" spans="1:9" x14ac:dyDescent="0.3">
      <c r="A27" s="68" t="str">
        <f>subtitle</f>
        <v>Total: $274.2 million includes $16.0 million in obligations to capital projects</v>
      </c>
    </row>
    <row r="47" ht="30" customHeight="1" x14ac:dyDescent="0.3"/>
  </sheetData>
  <mergeCells count="4">
    <mergeCell ref="A1:H1"/>
    <mergeCell ref="A15:I15"/>
    <mergeCell ref="A16:I16"/>
    <mergeCell ref="A17:I17"/>
  </mergeCells>
  <pageMargins left="0.34" right="0.37" top="1" bottom="1" header="0.5" footer="0.5"/>
  <pageSetup scale="9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zoomScale="85" zoomScaleNormal="85" workbookViewId="0">
      <selection sqref="A1:H1"/>
    </sheetView>
  </sheetViews>
  <sheetFormatPr defaultRowHeight="12.75" x14ac:dyDescent="0.2"/>
  <cols>
    <col min="1" max="1" width="41.85546875" style="1" customWidth="1"/>
    <col min="2" max="2" width="15.42578125" style="80" customWidth="1"/>
    <col min="3" max="3" width="15.42578125" style="1" bestFit="1" customWidth="1"/>
    <col min="4" max="4" width="15.42578125" style="79" bestFit="1" customWidth="1"/>
    <col min="5" max="6" width="15.42578125" style="1" bestFit="1" customWidth="1"/>
    <col min="7" max="8" width="15.42578125" style="1" customWidth="1"/>
    <col min="9" max="9" width="17.7109375" style="1" customWidth="1"/>
    <col min="10" max="10" width="11.85546875" style="1" customWidth="1"/>
    <col min="11" max="16384" width="9.140625" style="1"/>
  </cols>
  <sheetData>
    <row r="1" spans="1:10" s="82" customFormat="1" ht="30.75" customHeight="1" x14ac:dyDescent="0.2">
      <c r="A1" s="205" t="s">
        <v>309</v>
      </c>
      <c r="B1" s="205"/>
      <c r="C1" s="205"/>
      <c r="D1" s="205"/>
      <c r="E1" s="205"/>
      <c r="F1" s="205"/>
      <c r="G1" s="205"/>
      <c r="H1" s="205"/>
    </row>
    <row r="2" spans="1:10" s="91" customFormat="1" ht="19.5" x14ac:dyDescent="0.3">
      <c r="A2" s="92" t="s">
        <v>14</v>
      </c>
      <c r="B2" s="173">
        <v>2010</v>
      </c>
      <c r="C2" s="173">
        <v>2011</v>
      </c>
      <c r="D2" s="173">
        <v>2012</v>
      </c>
      <c r="E2" s="173">
        <v>2013</v>
      </c>
      <c r="F2" s="173">
        <v>2014</v>
      </c>
      <c r="G2" s="173" t="s">
        <v>289</v>
      </c>
      <c r="H2" s="173">
        <v>2016</v>
      </c>
      <c r="I2" s="95" t="s">
        <v>111</v>
      </c>
      <c r="J2" s="95" t="s">
        <v>274</v>
      </c>
    </row>
    <row r="3" spans="1:10" s="82" customFormat="1" ht="17.25" x14ac:dyDescent="0.3">
      <c r="A3" s="90" t="s">
        <v>244</v>
      </c>
      <c r="B3" s="174">
        <v>22462594.310000002</v>
      </c>
      <c r="C3" s="174">
        <v>25185796</v>
      </c>
      <c r="D3" s="174">
        <v>28135259</v>
      </c>
      <c r="E3" s="174">
        <v>30074159.880000003</v>
      </c>
      <c r="F3" s="175">
        <v>13294304.619999999</v>
      </c>
      <c r="G3" s="174">
        <v>13500244.51</v>
      </c>
      <c r="H3" s="175">
        <v>13778449.640000001</v>
      </c>
      <c r="I3" s="184">
        <f>H3</f>
        <v>13778449.640000001</v>
      </c>
      <c r="J3" s="90" t="s">
        <v>244</v>
      </c>
    </row>
    <row r="4" spans="1:10" s="82" customFormat="1" ht="17.25" x14ac:dyDescent="0.3">
      <c r="A4" s="90" t="s">
        <v>245</v>
      </c>
      <c r="B4" s="174"/>
      <c r="C4" s="174"/>
      <c r="D4" s="174"/>
      <c r="E4" s="174"/>
      <c r="F4" s="175">
        <v>14616141.960000001</v>
      </c>
      <c r="G4" s="174">
        <v>14404354.34</v>
      </c>
      <c r="H4" s="175">
        <v>15213334.890000001</v>
      </c>
      <c r="I4" s="184">
        <f>H4</f>
        <v>15213334.890000001</v>
      </c>
      <c r="J4" s="90" t="s">
        <v>275</v>
      </c>
    </row>
    <row r="5" spans="1:10" s="82" customFormat="1" ht="17.25" x14ac:dyDescent="0.3">
      <c r="A5" s="90" t="s">
        <v>44</v>
      </c>
      <c r="B5" s="84">
        <v>4199379.4000000004</v>
      </c>
      <c r="C5" s="84">
        <v>4319007</v>
      </c>
      <c r="D5" s="84">
        <v>4130748</v>
      </c>
      <c r="E5" s="84">
        <v>3980350.71</v>
      </c>
      <c r="F5" s="84">
        <v>4244806.68</v>
      </c>
      <c r="G5" s="84">
        <v>4077673.9</v>
      </c>
      <c r="H5" s="84">
        <v>4221434.1500000004</v>
      </c>
      <c r="I5" s="184">
        <f t="shared" ref="I5:I11" si="0">H5</f>
        <v>4221434.1500000004</v>
      </c>
      <c r="J5" s="90" t="s">
        <v>44</v>
      </c>
    </row>
    <row r="6" spans="1:10" s="82" customFormat="1" ht="17.25" x14ac:dyDescent="0.3">
      <c r="A6" s="90" t="s">
        <v>246</v>
      </c>
      <c r="B6" s="84">
        <v>80386908.619999975</v>
      </c>
      <c r="C6" s="84">
        <v>123373947</v>
      </c>
      <c r="D6" s="84">
        <v>122609228</v>
      </c>
      <c r="E6" s="84">
        <v>118831308.82000001</v>
      </c>
      <c r="F6" s="84">
        <v>102422790.40000001</v>
      </c>
      <c r="G6" s="84">
        <v>124435134.92</v>
      </c>
      <c r="H6" s="84">
        <v>117933009.17</v>
      </c>
      <c r="I6" s="184">
        <f t="shared" si="0"/>
        <v>117933009.17</v>
      </c>
      <c r="J6" s="90" t="s">
        <v>246</v>
      </c>
    </row>
    <row r="7" spans="1:10" s="82" customFormat="1" ht="36.75" customHeight="1" x14ac:dyDescent="0.3">
      <c r="A7" s="90" t="s">
        <v>43</v>
      </c>
      <c r="B7" s="84">
        <v>3241565.96</v>
      </c>
      <c r="C7" s="84">
        <v>3599302</v>
      </c>
      <c r="D7" s="84">
        <v>4429624</v>
      </c>
      <c r="E7" s="84">
        <v>4077995.11</v>
      </c>
      <c r="F7" s="84">
        <v>4062872.09</v>
      </c>
      <c r="G7" s="84">
        <v>4248774.49</v>
      </c>
      <c r="H7" s="84">
        <v>4206148.1500000004</v>
      </c>
      <c r="I7" s="184">
        <f t="shared" si="0"/>
        <v>4206148.1500000004</v>
      </c>
      <c r="J7" s="90" t="s">
        <v>43</v>
      </c>
    </row>
    <row r="8" spans="1:10" s="82" customFormat="1" ht="37.5" customHeight="1" x14ac:dyDescent="0.3">
      <c r="A8" s="90" t="s">
        <v>110</v>
      </c>
      <c r="B8" s="84">
        <v>45271831.170000017</v>
      </c>
      <c r="C8" s="84">
        <v>61846889</v>
      </c>
      <c r="D8" s="84">
        <v>53165835</v>
      </c>
      <c r="E8" s="84">
        <v>50024766.200000003</v>
      </c>
      <c r="F8" s="176">
        <v>45146278.850000001</v>
      </c>
      <c r="G8" s="84">
        <v>32202008.149999999</v>
      </c>
      <c r="H8" s="176">
        <v>31490426.289999999</v>
      </c>
      <c r="I8" s="184">
        <f t="shared" si="0"/>
        <v>31490426.289999999</v>
      </c>
      <c r="J8" s="90" t="s">
        <v>110</v>
      </c>
    </row>
    <row r="9" spans="1:10" s="82" customFormat="1" ht="17.25" x14ac:dyDescent="0.3">
      <c r="A9" s="90" t="s">
        <v>42</v>
      </c>
      <c r="B9" s="84">
        <v>656356.34</v>
      </c>
      <c r="C9" s="84">
        <v>805250</v>
      </c>
      <c r="D9" s="84">
        <v>853122</v>
      </c>
      <c r="E9" s="84">
        <v>750779.54</v>
      </c>
      <c r="F9" s="84">
        <v>883679.1</v>
      </c>
      <c r="G9" s="84">
        <v>865989.83</v>
      </c>
      <c r="H9" s="84">
        <v>800716.80000000005</v>
      </c>
      <c r="I9" s="184">
        <f t="shared" si="0"/>
        <v>800716.80000000005</v>
      </c>
      <c r="J9" s="90" t="s">
        <v>42</v>
      </c>
    </row>
    <row r="10" spans="1:10" s="82" customFormat="1" ht="17.25" x14ac:dyDescent="0.3">
      <c r="A10" s="90" t="s">
        <v>41</v>
      </c>
      <c r="B10" s="84">
        <v>3549111.76</v>
      </c>
      <c r="C10" s="84">
        <v>2983190</v>
      </c>
      <c r="D10" s="84">
        <v>3558732</v>
      </c>
      <c r="E10" s="84">
        <v>3309063.57</v>
      </c>
      <c r="F10" s="84">
        <v>3879435.13</v>
      </c>
      <c r="G10" s="84">
        <v>3614166.46</v>
      </c>
      <c r="H10" s="84">
        <v>4251762.13</v>
      </c>
      <c r="I10" s="184">
        <f t="shared" si="0"/>
        <v>4251762.13</v>
      </c>
      <c r="J10" s="90" t="s">
        <v>41</v>
      </c>
    </row>
    <row r="11" spans="1:10" s="82" customFormat="1" ht="17.25" x14ac:dyDescent="0.3">
      <c r="A11" s="89" t="s">
        <v>109</v>
      </c>
      <c r="B11" s="84">
        <v>79820205.509999946</v>
      </c>
      <c r="C11" s="84">
        <v>89101514</v>
      </c>
      <c r="D11" s="84">
        <v>89527224</v>
      </c>
      <c r="E11" s="84">
        <v>80053468.640000001</v>
      </c>
      <c r="F11" s="84">
        <v>80583800.829999998</v>
      </c>
      <c r="G11" s="84">
        <v>82202202.650000006</v>
      </c>
      <c r="H11" s="84">
        <v>82276892.640000001</v>
      </c>
      <c r="I11" s="184">
        <f t="shared" si="0"/>
        <v>82276892.640000001</v>
      </c>
      <c r="J11" s="89" t="s">
        <v>109</v>
      </c>
    </row>
    <row r="12" spans="1:10" s="85" customFormat="1" ht="15" x14ac:dyDescent="0.2">
      <c r="A12" s="88" t="s">
        <v>40</v>
      </c>
      <c r="B12" s="87">
        <f t="shared" ref="B12:H12" si="1">SUM(B3:B11)</f>
        <v>239587953.06999993</v>
      </c>
      <c r="C12" s="87">
        <f t="shared" si="1"/>
        <v>311214895</v>
      </c>
      <c r="D12" s="87">
        <f t="shared" si="1"/>
        <v>306409772</v>
      </c>
      <c r="E12" s="86">
        <f t="shared" si="1"/>
        <v>291101892.47000003</v>
      </c>
      <c r="F12" s="86">
        <f t="shared" si="1"/>
        <v>269134109.65999997</v>
      </c>
      <c r="G12" s="86">
        <f t="shared" si="1"/>
        <v>279550549.25000006</v>
      </c>
      <c r="H12" s="86">
        <f t="shared" si="1"/>
        <v>274172173.86000001</v>
      </c>
    </row>
    <row r="13" spans="1:10" s="82" customFormat="1" ht="17.25" x14ac:dyDescent="0.3">
      <c r="A13" s="83"/>
      <c r="B13" s="84"/>
      <c r="C13" s="83"/>
      <c r="D13" s="84"/>
      <c r="E13" s="83"/>
      <c r="F13" s="83"/>
    </row>
    <row r="14" spans="1:10" s="82" customFormat="1" ht="17.25" x14ac:dyDescent="0.3">
      <c r="A14" s="83"/>
      <c r="B14" s="84"/>
      <c r="C14" s="83"/>
      <c r="D14" s="84"/>
      <c r="E14" s="83"/>
      <c r="F14" s="83"/>
    </row>
    <row r="15" spans="1:10" ht="17.25" x14ac:dyDescent="0.3">
      <c r="A15" s="52" t="s">
        <v>2</v>
      </c>
      <c r="B15" s="54"/>
      <c r="C15" s="52"/>
      <c r="D15" s="54"/>
      <c r="E15" s="52"/>
      <c r="F15" s="52"/>
    </row>
    <row r="16" spans="1:10" ht="75" customHeight="1" x14ac:dyDescent="0.3">
      <c r="A16" s="206" t="s">
        <v>247</v>
      </c>
      <c r="B16" s="206"/>
      <c r="C16" s="206"/>
      <c r="D16" s="206"/>
      <c r="E16" s="206"/>
      <c r="F16" s="206"/>
      <c r="G16" s="206"/>
      <c r="H16" s="206"/>
      <c r="I16" s="206"/>
      <c r="J16" s="206"/>
    </row>
    <row r="17" spans="1:11" ht="35.25" customHeight="1" x14ac:dyDescent="0.3">
      <c r="A17" s="207" t="s">
        <v>108</v>
      </c>
      <c r="B17" s="207"/>
      <c r="C17" s="207"/>
      <c r="D17" s="207"/>
      <c r="E17" s="207"/>
      <c r="F17" s="207"/>
      <c r="G17" s="207"/>
      <c r="H17" s="207"/>
      <c r="I17" s="207"/>
      <c r="J17" s="207"/>
    </row>
    <row r="18" spans="1:11" ht="17.25" customHeight="1" x14ac:dyDescent="0.3">
      <c r="A18" s="207" t="s">
        <v>248</v>
      </c>
      <c r="B18" s="207"/>
      <c r="C18" s="207"/>
      <c r="D18" s="207"/>
      <c r="E18" s="207"/>
      <c r="F18" s="207"/>
      <c r="G18" s="207"/>
      <c r="H18" s="207"/>
      <c r="I18" s="207"/>
      <c r="J18" s="207"/>
    </row>
    <row r="19" spans="1:11" ht="17.25" customHeight="1" x14ac:dyDescent="0.3">
      <c r="A19" s="207" t="s">
        <v>290</v>
      </c>
      <c r="B19" s="207"/>
      <c r="C19" s="207"/>
      <c r="D19" s="207"/>
      <c r="E19" s="207"/>
      <c r="F19" s="207"/>
      <c r="G19" s="207"/>
      <c r="H19" s="207"/>
      <c r="I19" s="207"/>
      <c r="J19" s="207"/>
      <c r="K19" s="207"/>
    </row>
    <row r="20" spans="1:11" ht="17.25" x14ac:dyDescent="0.3">
      <c r="A20" s="145"/>
      <c r="B20" s="145"/>
      <c r="C20" s="145"/>
      <c r="D20" s="145"/>
      <c r="E20" s="145"/>
      <c r="F20" s="145"/>
      <c r="G20" s="145"/>
      <c r="H20" s="145"/>
      <c r="I20" s="145"/>
      <c r="J20" s="145"/>
    </row>
    <row r="21" spans="1:11" ht="17.25" x14ac:dyDescent="0.3">
      <c r="A21" s="93" t="s">
        <v>107</v>
      </c>
      <c r="B21" s="94" t="str">
        <f>subtitle</f>
        <v>Total: $274.2 million includes $16.0 million in obligations to capital projects</v>
      </c>
      <c r="C21" s="93"/>
      <c r="D21" s="93"/>
      <c r="E21" s="93"/>
      <c r="F21" s="93"/>
      <c r="G21" s="93"/>
      <c r="H21" s="93"/>
    </row>
    <row r="22" spans="1:11" x14ac:dyDescent="0.2">
      <c r="A22" s="81"/>
    </row>
  </sheetData>
  <mergeCells count="5">
    <mergeCell ref="A1:H1"/>
    <mergeCell ref="A16:J16"/>
    <mergeCell ref="A17:J17"/>
    <mergeCell ref="A18:J18"/>
    <mergeCell ref="A19:K19"/>
  </mergeCells>
  <pageMargins left="0.41" right="0.39" top="0.55000000000000004" bottom="0.27" header="0.16" footer="0.16"/>
  <pageSetup scale="9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zoomScale="70" zoomScaleNormal="70" workbookViewId="0">
      <selection activeCell="A15" sqref="A15"/>
    </sheetView>
  </sheetViews>
  <sheetFormatPr defaultRowHeight="12.75" x14ac:dyDescent="0.2"/>
  <cols>
    <col min="1" max="1" width="41.85546875" style="1" customWidth="1"/>
    <col min="2" max="2" width="15.42578125" style="80" customWidth="1"/>
    <col min="3" max="3" width="15.42578125" style="1" bestFit="1" customWidth="1"/>
    <col min="4" max="4" width="15.42578125" style="79" bestFit="1" customWidth="1"/>
    <col min="5" max="6" width="15.42578125" style="1" bestFit="1" customWidth="1"/>
    <col min="7" max="8" width="15.42578125" style="1" customWidth="1"/>
    <col min="9" max="9" width="17.7109375" style="1" customWidth="1"/>
    <col min="10" max="16384" width="9.140625" style="1"/>
  </cols>
  <sheetData>
    <row r="1" spans="1:10" s="82" customFormat="1" ht="30.75" customHeight="1" x14ac:dyDescent="0.2">
      <c r="A1" s="183" t="s">
        <v>310</v>
      </c>
      <c r="B1" s="183"/>
      <c r="C1" s="183"/>
      <c r="D1" s="183"/>
      <c r="E1" s="183"/>
      <c r="F1" s="183"/>
      <c r="G1" s="183"/>
      <c r="H1" s="183"/>
      <c r="I1" s="183"/>
      <c r="J1" s="183"/>
    </row>
    <row r="2" spans="1:10" s="91" customFormat="1" ht="19.5" x14ac:dyDescent="0.3">
      <c r="A2" s="92" t="s">
        <v>14</v>
      </c>
      <c r="B2" s="173">
        <v>2010</v>
      </c>
      <c r="C2" s="173">
        <v>2011</v>
      </c>
      <c r="D2" s="173">
        <v>2012</v>
      </c>
      <c r="E2" s="173">
        <v>2013</v>
      </c>
      <c r="F2" s="173">
        <v>2014</v>
      </c>
      <c r="G2" s="173" t="s">
        <v>289</v>
      </c>
      <c r="H2" s="173">
        <v>2016</v>
      </c>
      <c r="I2" s="95" t="s">
        <v>111</v>
      </c>
    </row>
    <row r="3" spans="1:10" s="82" customFormat="1" ht="17.25" x14ac:dyDescent="0.3">
      <c r="A3" s="90" t="s">
        <v>244</v>
      </c>
      <c r="B3" s="47">
        <v>640554</v>
      </c>
      <c r="C3" s="47">
        <v>684891</v>
      </c>
      <c r="D3" s="47">
        <v>664088</v>
      </c>
      <c r="E3" s="47">
        <v>785308.52</v>
      </c>
      <c r="F3" s="47">
        <v>633508.71</v>
      </c>
      <c r="G3" s="47">
        <v>618853.43999999994</v>
      </c>
      <c r="H3" s="47">
        <v>703885.61</v>
      </c>
      <c r="I3" s="184">
        <f>H3</f>
        <v>703885.61</v>
      </c>
    </row>
    <row r="4" spans="1:10" s="82" customFormat="1" ht="17.25" x14ac:dyDescent="0.3">
      <c r="A4" s="164" t="s">
        <v>43</v>
      </c>
      <c r="B4" s="47">
        <v>3241566</v>
      </c>
      <c r="C4" s="47">
        <v>3599302</v>
      </c>
      <c r="D4" s="47">
        <v>4429624</v>
      </c>
      <c r="E4" s="47">
        <v>4077995.11</v>
      </c>
      <c r="F4" s="47">
        <v>4062872.09</v>
      </c>
      <c r="G4" s="47">
        <v>4248774.49</v>
      </c>
      <c r="H4" s="47">
        <v>4206148.1500000004</v>
      </c>
      <c r="I4" s="184">
        <f>H4</f>
        <v>4206148.1500000004</v>
      </c>
    </row>
    <row r="5" spans="1:10" s="82" customFormat="1" ht="17.25" x14ac:dyDescent="0.3">
      <c r="A5" s="164" t="s">
        <v>305</v>
      </c>
      <c r="B5" s="47">
        <v>22318040</v>
      </c>
      <c r="C5" s="47">
        <v>22583163</v>
      </c>
      <c r="D5" s="47">
        <v>25176585</v>
      </c>
      <c r="E5" s="47">
        <v>23588530.18</v>
      </c>
      <c r="F5" s="47">
        <v>24046105.84</v>
      </c>
      <c r="G5" s="47">
        <v>24079654.359999999</v>
      </c>
      <c r="H5" s="47">
        <v>24391057.350000001</v>
      </c>
      <c r="I5" s="184">
        <f t="shared" ref="I5:I6" si="0">H5</f>
        <v>24391057.350000001</v>
      </c>
    </row>
    <row r="6" spans="1:10" s="82" customFormat="1" ht="17.25" x14ac:dyDescent="0.3">
      <c r="A6" s="164" t="s">
        <v>306</v>
      </c>
      <c r="B6" s="47">
        <v>45271831</v>
      </c>
      <c r="C6" s="47">
        <v>61846889</v>
      </c>
      <c r="D6" s="47">
        <v>53165835</v>
      </c>
      <c r="E6" s="47">
        <f>21326284.81+28698481.39</f>
        <v>50024766.200000003</v>
      </c>
      <c r="F6" s="47">
        <f>14595131.65+30551147.2</f>
        <v>45146278.850000001</v>
      </c>
      <c r="G6" s="47">
        <v>32202008.149999999</v>
      </c>
      <c r="H6" s="47">
        <v>31490426.289999999</v>
      </c>
      <c r="I6" s="184">
        <f t="shared" si="0"/>
        <v>31490426.289999999</v>
      </c>
    </row>
    <row r="7" spans="1:10" s="85" customFormat="1" ht="15" x14ac:dyDescent="0.2">
      <c r="A7" s="88" t="s">
        <v>40</v>
      </c>
      <c r="B7" s="87">
        <f t="shared" ref="B7:H7" si="1">SUM(B3:B6)</f>
        <v>71471991</v>
      </c>
      <c r="C7" s="87">
        <f t="shared" si="1"/>
        <v>88714245</v>
      </c>
      <c r="D7" s="87">
        <f t="shared" si="1"/>
        <v>83436132</v>
      </c>
      <c r="E7" s="86">
        <f t="shared" si="1"/>
        <v>78476600.010000005</v>
      </c>
      <c r="F7" s="86">
        <f t="shared" si="1"/>
        <v>73888765.49000001</v>
      </c>
      <c r="G7" s="86">
        <f t="shared" si="1"/>
        <v>61149290.439999998</v>
      </c>
      <c r="H7" s="86">
        <f t="shared" si="1"/>
        <v>60791517.400000006</v>
      </c>
    </row>
    <row r="8" spans="1:10" s="82" customFormat="1" ht="17.25" x14ac:dyDescent="0.3">
      <c r="A8" s="83"/>
      <c r="B8" s="84"/>
      <c r="C8" s="83"/>
      <c r="D8" s="84"/>
      <c r="E8" s="83"/>
      <c r="F8" s="83"/>
    </row>
    <row r="9" spans="1:10" ht="17.25" x14ac:dyDescent="0.3">
      <c r="A9" s="52" t="s">
        <v>2</v>
      </c>
      <c r="B9" s="54"/>
      <c r="C9" s="52"/>
      <c r="D9" s="54"/>
      <c r="E9" s="52"/>
      <c r="F9" s="52"/>
    </row>
    <row r="10" spans="1:10" ht="42" customHeight="1" x14ac:dyDescent="0.3">
      <c r="A10" s="194" t="s">
        <v>307</v>
      </c>
      <c r="B10" s="194"/>
      <c r="C10" s="194"/>
      <c r="D10" s="194"/>
      <c r="E10" s="194"/>
      <c r="F10" s="194"/>
      <c r="G10" s="194"/>
      <c r="H10" s="194"/>
      <c r="I10" s="194"/>
      <c r="J10" s="194"/>
    </row>
    <row r="11" spans="1:10" ht="21.75" customHeight="1" x14ac:dyDescent="0.3">
      <c r="A11" s="199" t="s">
        <v>308</v>
      </c>
      <c r="B11" s="199"/>
      <c r="C11" s="199"/>
      <c r="D11" s="199"/>
      <c r="E11" s="199"/>
      <c r="F11" s="199"/>
      <c r="G11" s="199"/>
      <c r="H11" s="199"/>
      <c r="I11" s="199"/>
      <c r="J11" s="199"/>
    </row>
    <row r="12" spans="1:10" ht="17.25" x14ac:dyDescent="0.3">
      <c r="A12" s="165"/>
      <c r="B12" s="165"/>
      <c r="C12" s="165"/>
      <c r="D12" s="165"/>
      <c r="E12" s="165"/>
      <c r="F12" s="165"/>
      <c r="G12" s="165"/>
      <c r="H12" s="165"/>
      <c r="I12" s="165"/>
    </row>
    <row r="13" spans="1:10" ht="17.25" x14ac:dyDescent="0.3">
      <c r="A13" s="93"/>
      <c r="B13" s="94"/>
      <c r="C13" s="93"/>
      <c r="D13" s="93"/>
      <c r="E13" s="93"/>
      <c r="F13" s="93"/>
      <c r="G13" s="93"/>
      <c r="H13" s="93"/>
    </row>
    <row r="14" spans="1:10" x14ac:dyDescent="0.2">
      <c r="A14" s="81"/>
    </row>
  </sheetData>
  <mergeCells count="2">
    <mergeCell ref="A10:J10"/>
    <mergeCell ref="A11:J11"/>
  </mergeCells>
  <pageMargins left="0.41" right="0.39" top="0.55000000000000004" bottom="0.27" header="0.16" footer="0.16"/>
  <pageSetup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topLeftCell="A13" workbookViewId="0">
      <selection activeCell="F31" sqref="F31"/>
    </sheetView>
  </sheetViews>
  <sheetFormatPr defaultRowHeight="16.5" x14ac:dyDescent="0.3"/>
  <cols>
    <col min="1" max="1" width="31.7109375" style="146" customWidth="1"/>
    <col min="2" max="2" width="16.140625" style="147" bestFit="1" customWidth="1"/>
    <col min="3" max="3" width="14.5703125" style="147" customWidth="1"/>
    <col min="4" max="4" width="12.28515625" style="147" customWidth="1"/>
    <col min="5" max="5" width="20.140625" style="147" customWidth="1"/>
    <col min="6" max="16384" width="9.140625" style="146"/>
  </cols>
  <sheetData>
    <row r="1" spans="1:5" x14ac:dyDescent="0.3">
      <c r="A1" s="208" t="s">
        <v>250</v>
      </c>
      <c r="B1" s="208"/>
      <c r="C1" s="208"/>
      <c r="D1" s="208"/>
      <c r="E1" s="208"/>
    </row>
    <row r="3" spans="1:5" x14ac:dyDescent="0.3">
      <c r="A3" s="151" t="s">
        <v>50</v>
      </c>
      <c r="B3" s="177">
        <v>24391057.350000001</v>
      </c>
      <c r="C3" s="116">
        <f>B3</f>
        <v>24391057.350000001</v>
      </c>
    </row>
    <row r="4" spans="1:5" x14ac:dyDescent="0.3">
      <c r="A4" s="150" t="s">
        <v>49</v>
      </c>
      <c r="B4" s="177">
        <v>13332982.800000001</v>
      </c>
      <c r="C4" s="116">
        <f t="shared" ref="C4:C8" si="0">B4</f>
        <v>13332982.800000001</v>
      </c>
    </row>
    <row r="5" spans="1:5" x14ac:dyDescent="0.3">
      <c r="A5" s="150" t="s">
        <v>48</v>
      </c>
      <c r="B5" s="177">
        <v>1216118.1000000001</v>
      </c>
      <c r="C5" s="116">
        <f t="shared" si="0"/>
        <v>1216118.1000000001</v>
      </c>
    </row>
    <row r="6" spans="1:5" x14ac:dyDescent="0.3">
      <c r="A6" s="150" t="s">
        <v>47</v>
      </c>
      <c r="B6" s="177">
        <v>7908829.1200000001</v>
      </c>
      <c r="C6" s="116">
        <f t="shared" si="0"/>
        <v>7908829.1200000001</v>
      </c>
    </row>
    <row r="7" spans="1:5" x14ac:dyDescent="0.3">
      <c r="A7" s="150" t="s">
        <v>46</v>
      </c>
      <c r="B7" s="177">
        <v>1264151.55</v>
      </c>
      <c r="C7" s="116">
        <f t="shared" si="0"/>
        <v>1264151.55</v>
      </c>
    </row>
    <row r="8" spans="1:5" x14ac:dyDescent="0.3">
      <c r="A8" s="150" t="s">
        <v>45</v>
      </c>
      <c r="B8" s="177">
        <v>34163753.719999999</v>
      </c>
      <c r="C8" s="116">
        <f t="shared" si="0"/>
        <v>34163753.719999999</v>
      </c>
    </row>
    <row r="9" spans="1:5" ht="17.25" thickBot="1" x14ac:dyDescent="0.35">
      <c r="B9" s="149">
        <f>SUM(B3:B8)</f>
        <v>82276892.640000001</v>
      </c>
    </row>
    <row r="11" spans="1:5" x14ac:dyDescent="0.3">
      <c r="A11" s="148" t="s">
        <v>2</v>
      </c>
    </row>
    <row r="12" spans="1:5" ht="51" customHeight="1" x14ac:dyDescent="0.3">
      <c r="A12" s="209" t="s">
        <v>249</v>
      </c>
      <c r="B12" s="209"/>
      <c r="C12" s="209"/>
      <c r="D12" s="209"/>
      <c r="E12" s="209"/>
    </row>
    <row r="14" spans="1:5" x14ac:dyDescent="0.3">
      <c r="A14" s="146" t="s">
        <v>107</v>
      </c>
      <c r="B14" s="178" t="str">
        <f>"Total: $" &amp; TEXT(B9,"#0.0,,") &amp; " million does not include obligations to capital projects"</f>
        <v>Total: $82.3 million does not include obligations to capital projects</v>
      </c>
    </row>
  </sheetData>
  <mergeCells count="2">
    <mergeCell ref="A1:E1"/>
    <mergeCell ref="A12:E12"/>
  </mergeCells>
  <pageMargins left="0.7" right="0.7" top="0.75" bottom="0.75" header="0.3" footer="0.3"/>
  <pageSetup scale="97"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topLeftCell="A16" zoomScaleNormal="100" workbookViewId="0">
      <selection activeCell="A24" sqref="A24"/>
    </sheetView>
  </sheetViews>
  <sheetFormatPr defaultRowHeight="16.5" x14ac:dyDescent="0.3"/>
  <cols>
    <col min="1" max="1" width="51.85546875" style="32" customWidth="1"/>
    <col min="2" max="2" width="14.5703125" style="33" customWidth="1"/>
    <col min="3" max="3" width="14.5703125" style="34" customWidth="1"/>
    <col min="4" max="6" width="14.5703125" style="33" customWidth="1"/>
    <col min="7" max="7" width="14.5703125" style="32" bestFit="1" customWidth="1"/>
    <col min="8" max="8" width="17.85546875" style="32" customWidth="1"/>
    <col min="9" max="16384" width="9.140625" style="32"/>
  </cols>
  <sheetData>
    <row r="1" spans="1:8" ht="30" customHeight="1" x14ac:dyDescent="0.3">
      <c r="A1" s="42" t="str">
        <f>"Table/Figure 8: Direct Program Expenditures by Province, FY" &amp; B2 &amp; "-" &amp; H2</f>
        <v>Table/Figure 8: Direct Program Expenditures by Province, FY2010-2016</v>
      </c>
      <c r="B1" s="41"/>
      <c r="G1" s="34"/>
    </row>
    <row r="2" spans="1:8" ht="18" x14ac:dyDescent="0.3">
      <c r="A2" s="40" t="s">
        <v>54</v>
      </c>
      <c r="B2" s="107">
        <v>2010</v>
      </c>
      <c r="C2" s="107">
        <v>2011</v>
      </c>
      <c r="D2" s="107">
        <v>2012</v>
      </c>
      <c r="E2" s="107">
        <v>2013</v>
      </c>
      <c r="F2" s="107">
        <v>2014</v>
      </c>
      <c r="G2" s="107" t="s">
        <v>291</v>
      </c>
      <c r="H2" s="107">
        <v>2016</v>
      </c>
    </row>
    <row r="3" spans="1:8" x14ac:dyDescent="0.3">
      <c r="A3" s="35" t="s">
        <v>251</v>
      </c>
      <c r="B3" s="109">
        <v>12243309</v>
      </c>
      <c r="C3" s="109">
        <v>13045831</v>
      </c>
      <c r="D3" s="109">
        <v>13498753.4</v>
      </c>
      <c r="E3" s="109">
        <v>13359733.73</v>
      </c>
      <c r="F3" s="109">
        <v>14630130</v>
      </c>
      <c r="G3" s="109">
        <v>16928838.199999999</v>
      </c>
      <c r="H3" s="109">
        <v>17902245.260000002</v>
      </c>
    </row>
    <row r="4" spans="1:8" x14ac:dyDescent="0.3">
      <c r="A4" s="35" t="s">
        <v>252</v>
      </c>
      <c r="B4" s="109">
        <v>26543346</v>
      </c>
      <c r="C4" s="109">
        <v>52343560</v>
      </c>
      <c r="D4" s="109">
        <v>51216105.399999999</v>
      </c>
      <c r="E4" s="109">
        <v>36245776.280000001</v>
      </c>
      <c r="F4" s="109">
        <v>26801554</v>
      </c>
      <c r="G4" s="109">
        <v>28292736.699999999</v>
      </c>
      <c r="H4" s="109">
        <v>27092251.879999999</v>
      </c>
    </row>
    <row r="5" spans="1:8" x14ac:dyDescent="0.3">
      <c r="A5" s="35" t="s">
        <v>253</v>
      </c>
      <c r="B5" s="109">
        <v>16165914</v>
      </c>
      <c r="C5" s="109">
        <v>19962308</v>
      </c>
      <c r="D5" s="109">
        <v>13560427.4</v>
      </c>
      <c r="E5" s="109">
        <v>14326142.01</v>
      </c>
      <c r="F5" s="109">
        <v>10014903</v>
      </c>
      <c r="G5" s="109">
        <v>11744583.01</v>
      </c>
      <c r="H5" s="109">
        <v>9718140.5299999993</v>
      </c>
    </row>
    <row r="6" spans="1:8" x14ac:dyDescent="0.3">
      <c r="A6" s="35" t="s">
        <v>254</v>
      </c>
      <c r="B6" s="109">
        <f>-376+50405685</f>
        <v>50405309</v>
      </c>
      <c r="C6" s="109">
        <v>59165613</v>
      </c>
      <c r="D6" s="109">
        <v>61637074.399999999</v>
      </c>
      <c r="E6" s="109">
        <v>61223676.229999997</v>
      </c>
      <c r="F6" s="109">
        <v>57654085</v>
      </c>
      <c r="G6" s="109">
        <v>67777655.400000006</v>
      </c>
      <c r="H6" s="109">
        <v>61768581.469999999</v>
      </c>
    </row>
    <row r="7" spans="1:8" x14ac:dyDescent="0.3">
      <c r="A7" s="35" t="s">
        <v>255</v>
      </c>
      <c r="B7" s="109">
        <v>6848834</v>
      </c>
      <c r="C7" s="109">
        <v>9469437</v>
      </c>
      <c r="D7" s="109">
        <v>11109892</v>
      </c>
      <c r="E7" s="109">
        <v>15336657.32</v>
      </c>
      <c r="F7" s="109">
        <v>10819987</v>
      </c>
      <c r="G7" s="109">
        <v>11165031.380000001</v>
      </c>
      <c r="H7" s="109">
        <v>11335523.130000001</v>
      </c>
    </row>
    <row r="8" spans="1:8" x14ac:dyDescent="0.3">
      <c r="A8" s="35" t="s">
        <v>256</v>
      </c>
      <c r="B8" s="109">
        <f>63881+15638403</f>
        <v>15702284</v>
      </c>
      <c r="C8" s="109">
        <v>17198718</v>
      </c>
      <c r="D8" s="109">
        <v>19784368</v>
      </c>
      <c r="E8" s="109">
        <v>16144887.76</v>
      </c>
      <c r="F8" s="109">
        <v>17769309</v>
      </c>
      <c r="G8" s="109">
        <v>17220237.800000001</v>
      </c>
      <c r="H8" s="109">
        <v>18009485.280000001</v>
      </c>
    </row>
    <row r="9" spans="1:8" x14ac:dyDescent="0.3">
      <c r="A9" s="35" t="s">
        <v>257</v>
      </c>
      <c r="B9" s="109">
        <v>15259843</v>
      </c>
      <c r="C9" s="109">
        <v>41609286</v>
      </c>
      <c r="D9" s="109">
        <v>33899854</v>
      </c>
      <c r="E9" s="109">
        <v>44562895.789999999</v>
      </c>
      <c r="F9" s="109">
        <v>13867496</v>
      </c>
      <c r="G9" s="109">
        <v>39453337.270000003</v>
      </c>
      <c r="H9" s="109">
        <v>40899829.880000003</v>
      </c>
    </row>
    <row r="10" spans="1:8" x14ac:dyDescent="0.3">
      <c r="A10" s="35" t="s">
        <v>258</v>
      </c>
      <c r="B10" s="109">
        <v>5224071</v>
      </c>
      <c r="C10" s="109">
        <v>4433754</v>
      </c>
      <c r="D10" s="109">
        <v>13235463</v>
      </c>
      <c r="E10" s="109">
        <v>3315759.24</v>
      </c>
      <c r="F10" s="109">
        <v>3817058</v>
      </c>
      <c r="G10" s="109">
        <v>4600725.0999999996</v>
      </c>
      <c r="H10" s="109">
        <v>4492669.7</v>
      </c>
    </row>
    <row r="11" spans="1:8" x14ac:dyDescent="0.3">
      <c r="A11" s="36" t="s">
        <v>259</v>
      </c>
      <c r="B11" s="109">
        <v>11427897</v>
      </c>
      <c r="C11" s="109">
        <v>24894377</v>
      </c>
      <c r="D11" s="109">
        <v>22160067</v>
      </c>
      <c r="E11" s="109">
        <v>20849802.890000001</v>
      </c>
      <c r="F11" s="109">
        <v>29293225</v>
      </c>
      <c r="G11" s="109">
        <v>19225549.199999999</v>
      </c>
      <c r="H11" s="109">
        <v>21255931.059999999</v>
      </c>
    </row>
    <row r="12" spans="1:8" x14ac:dyDescent="0.3">
      <c r="A12" s="35" t="s">
        <v>260</v>
      </c>
      <c r="B12" s="109">
        <v>22917641</v>
      </c>
      <c r="C12" s="109">
        <v>28149960</v>
      </c>
      <c r="D12" s="109">
        <v>30311321</v>
      </c>
      <c r="E12" s="109">
        <v>28453558.780000001</v>
      </c>
      <c r="F12" s="109">
        <v>28224756</v>
      </c>
      <c r="G12" s="109">
        <v>40285555.630000003</v>
      </c>
      <c r="H12" s="109">
        <v>29086789.109999999</v>
      </c>
    </row>
    <row r="13" spans="1:8" x14ac:dyDescent="0.3">
      <c r="A13" s="35" t="s">
        <v>261</v>
      </c>
      <c r="B13" s="109">
        <v>7248075</v>
      </c>
      <c r="C13" s="109">
        <v>4904675</v>
      </c>
      <c r="D13" s="109">
        <v>13213441</v>
      </c>
      <c r="E13" s="109">
        <v>10805581.939999999</v>
      </c>
      <c r="F13" s="109">
        <v>19886298</v>
      </c>
      <c r="G13" s="109">
        <v>3761184.08</v>
      </c>
      <c r="H13" s="109">
        <v>5063743.83</v>
      </c>
    </row>
    <row r="14" spans="1:8" ht="18" x14ac:dyDescent="0.3">
      <c r="A14" s="35" t="s">
        <v>262</v>
      </c>
      <c r="B14" s="109">
        <v>6826368</v>
      </c>
      <c r="C14" s="109">
        <v>7722192</v>
      </c>
      <c r="D14" s="109">
        <v>6872463</v>
      </c>
      <c r="E14" s="109">
        <v>4578007.34</v>
      </c>
      <c r="F14" s="109">
        <v>4892097</v>
      </c>
      <c r="G14" s="109">
        <v>5062472.42</v>
      </c>
      <c r="H14" s="109">
        <v>6855562.4800000004</v>
      </c>
    </row>
    <row r="15" spans="1:8" ht="18" x14ac:dyDescent="0.3">
      <c r="A15" s="35" t="s">
        <v>263</v>
      </c>
      <c r="B15" s="109">
        <v>42775062</v>
      </c>
      <c r="C15" s="109">
        <v>28315184</v>
      </c>
      <c r="D15" s="109">
        <v>15910542</v>
      </c>
      <c r="E15" s="109">
        <v>21899413.120000001</v>
      </c>
      <c r="F15" s="109">
        <v>31463212</v>
      </c>
      <c r="G15" s="109">
        <v>14032643.140000001</v>
      </c>
      <c r="H15" s="109">
        <v>20691420.34</v>
      </c>
    </row>
    <row r="16" spans="1:8" x14ac:dyDescent="0.3">
      <c r="A16" s="39" t="s">
        <v>40</v>
      </c>
      <c r="B16" s="110">
        <f t="shared" ref="B16:H16" si="0">SUM(B3:B15)</f>
        <v>239587953</v>
      </c>
      <c r="C16" s="111">
        <f t="shared" si="0"/>
        <v>311214895</v>
      </c>
      <c r="D16" s="111">
        <f t="shared" si="0"/>
        <v>306409771.60000002</v>
      </c>
      <c r="E16" s="111">
        <f t="shared" si="0"/>
        <v>291101892.43000001</v>
      </c>
      <c r="F16" s="111">
        <f t="shared" si="0"/>
        <v>269134110</v>
      </c>
      <c r="G16" s="111">
        <f t="shared" si="0"/>
        <v>279550549.32999998</v>
      </c>
      <c r="H16" s="111">
        <f t="shared" si="0"/>
        <v>274172173.94999999</v>
      </c>
    </row>
    <row r="17" spans="1:10" x14ac:dyDescent="0.3">
      <c r="A17" s="35"/>
      <c r="C17" s="33"/>
      <c r="G17" s="37"/>
    </row>
    <row r="18" spans="1:10" x14ac:dyDescent="0.3">
      <c r="A18" s="38" t="s">
        <v>2</v>
      </c>
    </row>
    <row r="19" spans="1:10" ht="16.5" customHeight="1" x14ac:dyDescent="0.3">
      <c r="A19" s="211" t="s">
        <v>53</v>
      </c>
      <c r="B19" s="211"/>
      <c r="C19" s="211"/>
      <c r="D19" s="211"/>
      <c r="E19" s="211"/>
      <c r="F19" s="211"/>
      <c r="G19" s="211"/>
      <c r="H19" s="211"/>
      <c r="I19" s="211"/>
      <c r="J19" s="211"/>
    </row>
    <row r="20" spans="1:10" ht="17.25" customHeight="1" x14ac:dyDescent="0.3">
      <c r="A20" s="212" t="s">
        <v>52</v>
      </c>
      <c r="B20" s="212"/>
      <c r="C20" s="212"/>
      <c r="D20" s="212"/>
      <c r="E20" s="212"/>
      <c r="F20" s="212"/>
      <c r="G20" s="212"/>
      <c r="H20" s="212"/>
      <c r="I20" s="212"/>
      <c r="J20" s="212"/>
    </row>
    <row r="21" spans="1:10" ht="35.25" customHeight="1" x14ac:dyDescent="0.3">
      <c r="A21" s="213" t="s">
        <v>51</v>
      </c>
      <c r="B21" s="213"/>
      <c r="C21" s="213"/>
      <c r="D21" s="213"/>
      <c r="E21" s="213"/>
      <c r="F21" s="213"/>
      <c r="G21" s="213"/>
      <c r="H21" s="213"/>
      <c r="I21" s="213"/>
      <c r="J21" s="213"/>
    </row>
    <row r="22" spans="1:10" ht="17.25" customHeight="1" x14ac:dyDescent="0.3">
      <c r="A22" s="210" t="s">
        <v>292</v>
      </c>
      <c r="B22" s="210"/>
      <c r="C22" s="210"/>
      <c r="D22" s="210"/>
      <c r="E22" s="210"/>
      <c r="F22" s="210"/>
      <c r="G22" s="210"/>
      <c r="H22" s="210"/>
      <c r="I22" s="210"/>
      <c r="J22" s="210"/>
    </row>
    <row r="23" spans="1:10" ht="26.25" customHeight="1" x14ac:dyDescent="0.3">
      <c r="A23" s="152" t="s">
        <v>107</v>
      </c>
      <c r="B23" s="108"/>
      <c r="C23" s="113"/>
      <c r="D23" s="108"/>
      <c r="E23" s="108"/>
      <c r="F23" s="108"/>
      <c r="G23" s="112"/>
      <c r="H23" s="112"/>
    </row>
    <row r="24" spans="1:10" ht="17.25" customHeight="1" x14ac:dyDescent="0.3">
      <c r="A24" s="36" t="str">
        <f>subtitle</f>
        <v>Total: $274.2 million includes $16.0 million in obligations to capital projects</v>
      </c>
      <c r="B24" s="108"/>
      <c r="C24" s="113"/>
      <c r="D24" s="108"/>
      <c r="E24" s="108"/>
      <c r="F24" s="108"/>
      <c r="G24" s="112"/>
      <c r="H24" s="112"/>
    </row>
    <row r="25" spans="1:10" x14ac:dyDescent="0.3">
      <c r="E25" s="115" t="s">
        <v>123</v>
      </c>
    </row>
    <row r="26" spans="1:10" x14ac:dyDescent="0.3">
      <c r="E26" s="114" t="str">
        <f>PROPER(A3)</f>
        <v>Blue Mountain</v>
      </c>
      <c r="F26" s="116">
        <f>H3</f>
        <v>17902245.260000002</v>
      </c>
    </row>
    <row r="27" spans="1:10" x14ac:dyDescent="0.3">
      <c r="E27" s="114" t="str">
        <f t="shared" ref="E27:E36" si="1">PROPER(A4)</f>
        <v>Columbia Cascade</v>
      </c>
      <c r="F27" s="116">
        <f t="shared" ref="F27:F37" si="2">H4</f>
        <v>27092251.879999999</v>
      </c>
    </row>
    <row r="28" spans="1:10" x14ac:dyDescent="0.3">
      <c r="B28" s="32"/>
      <c r="C28" s="32"/>
      <c r="E28" s="114" t="str">
        <f t="shared" si="1"/>
        <v>Columbia Gorge</v>
      </c>
      <c r="F28" s="116">
        <f t="shared" si="2"/>
        <v>9718140.5299999993</v>
      </c>
    </row>
    <row r="29" spans="1:10" x14ac:dyDescent="0.3">
      <c r="B29" s="32"/>
      <c r="C29" s="32"/>
      <c r="E29" s="114" t="str">
        <f t="shared" si="1"/>
        <v>Columbia Plateau</v>
      </c>
      <c r="F29" s="116">
        <f t="shared" si="2"/>
        <v>61768581.469999999</v>
      </c>
    </row>
    <row r="30" spans="1:10" x14ac:dyDescent="0.3">
      <c r="B30" s="32"/>
      <c r="C30" s="32"/>
      <c r="E30" s="114" t="str">
        <f t="shared" si="1"/>
        <v>Columbia Estuary</v>
      </c>
      <c r="F30" s="116">
        <f t="shared" si="2"/>
        <v>11335523.130000001</v>
      </c>
    </row>
    <row r="31" spans="1:10" x14ac:dyDescent="0.3">
      <c r="B31" s="32"/>
      <c r="C31" s="32"/>
      <c r="E31" s="114" t="str">
        <f t="shared" si="1"/>
        <v>Intermountain</v>
      </c>
      <c r="F31" s="116">
        <f t="shared" si="2"/>
        <v>18009485.280000001</v>
      </c>
    </row>
    <row r="32" spans="1:10" x14ac:dyDescent="0.3">
      <c r="B32" s="32"/>
      <c r="C32" s="32"/>
      <c r="E32" s="114" t="str">
        <f t="shared" si="1"/>
        <v>Lower Columbia</v>
      </c>
      <c r="F32" s="116">
        <f t="shared" si="2"/>
        <v>40899829.880000003</v>
      </c>
    </row>
    <row r="33" spans="5:6" x14ac:dyDescent="0.3">
      <c r="E33" s="114" t="str">
        <f t="shared" si="1"/>
        <v>Middle Snake</v>
      </c>
      <c r="F33" s="116">
        <f t="shared" si="2"/>
        <v>4492669.7</v>
      </c>
    </row>
    <row r="34" spans="5:6" x14ac:dyDescent="0.3">
      <c r="E34" s="114" t="str">
        <f t="shared" si="1"/>
        <v>Mountain Columbia</v>
      </c>
      <c r="F34" s="116">
        <f t="shared" si="2"/>
        <v>21255931.059999999</v>
      </c>
    </row>
    <row r="35" spans="5:6" x14ac:dyDescent="0.3">
      <c r="E35" s="114" t="str">
        <f t="shared" si="1"/>
        <v>Mountain Snake</v>
      </c>
      <c r="F35" s="116">
        <f t="shared" si="2"/>
        <v>29086789.109999999</v>
      </c>
    </row>
    <row r="36" spans="5:6" x14ac:dyDescent="0.3">
      <c r="E36" s="114" t="str">
        <f t="shared" si="1"/>
        <v>Upper Snake</v>
      </c>
      <c r="F36" s="116">
        <f t="shared" si="2"/>
        <v>5063743.83</v>
      </c>
    </row>
    <row r="37" spans="5:6" x14ac:dyDescent="0.3">
      <c r="E37" s="114" t="s">
        <v>55</v>
      </c>
      <c r="F37" s="116">
        <f t="shared" si="2"/>
        <v>6855562.4800000004</v>
      </c>
    </row>
    <row r="38" spans="5:6" x14ac:dyDescent="0.3">
      <c r="E38" s="114" t="s">
        <v>5</v>
      </c>
      <c r="F38" s="116">
        <f>H15</f>
        <v>20691420.34</v>
      </c>
    </row>
    <row r="40" spans="5:6" x14ac:dyDescent="0.3">
      <c r="E40" s="43"/>
    </row>
    <row r="41" spans="5:6" x14ac:dyDescent="0.3">
      <c r="E41" s="43"/>
    </row>
    <row r="42" spans="5:6" x14ac:dyDescent="0.3">
      <c r="E42" s="43"/>
    </row>
    <row r="43" spans="5:6" x14ac:dyDescent="0.3">
      <c r="E43" s="43"/>
    </row>
    <row r="44" spans="5:6" x14ac:dyDescent="0.3">
      <c r="E44" s="43"/>
    </row>
    <row r="45" spans="5:6" x14ac:dyDescent="0.3">
      <c r="E45" s="43"/>
    </row>
    <row r="46" spans="5:6" x14ac:dyDescent="0.3">
      <c r="E46" s="43"/>
    </row>
    <row r="60" spans="1:6" x14ac:dyDescent="0.3">
      <c r="E60" s="32"/>
      <c r="F60" s="32"/>
    </row>
    <row r="61" spans="1:6" x14ac:dyDescent="0.3">
      <c r="A61" s="35"/>
      <c r="B61" s="32"/>
      <c r="C61" s="32"/>
      <c r="D61" s="32"/>
      <c r="E61" s="32"/>
      <c r="F61" s="32"/>
    </row>
    <row r="62" spans="1:6" x14ac:dyDescent="0.3">
      <c r="A62" s="35"/>
      <c r="B62" s="32"/>
      <c r="C62" s="32"/>
      <c r="D62" s="32"/>
      <c r="E62" s="32"/>
      <c r="F62" s="32"/>
    </row>
    <row r="63" spans="1:6" x14ac:dyDescent="0.3">
      <c r="A63" s="35"/>
      <c r="B63" s="32"/>
      <c r="C63" s="32"/>
      <c r="D63" s="32"/>
      <c r="E63" s="32"/>
      <c r="F63" s="32"/>
    </row>
    <row r="64" spans="1:6" x14ac:dyDescent="0.3">
      <c r="A64" s="36"/>
      <c r="B64" s="32"/>
      <c r="C64" s="32"/>
      <c r="D64" s="32"/>
      <c r="E64" s="32"/>
      <c r="F64" s="32"/>
    </row>
    <row r="65" spans="1:6" x14ac:dyDescent="0.3">
      <c r="A65" s="35"/>
      <c r="B65" s="32"/>
      <c r="C65" s="32"/>
      <c r="D65" s="32"/>
      <c r="E65" s="32"/>
      <c r="F65" s="32"/>
    </row>
    <row r="66" spans="1:6" x14ac:dyDescent="0.3">
      <c r="A66" s="35"/>
      <c r="B66" s="32"/>
      <c r="C66" s="32"/>
      <c r="D66" s="32"/>
      <c r="E66" s="32"/>
      <c r="F66" s="32"/>
    </row>
    <row r="67" spans="1:6" x14ac:dyDescent="0.3">
      <c r="A67" s="35"/>
      <c r="B67" s="32"/>
      <c r="C67" s="32"/>
      <c r="D67" s="32"/>
      <c r="E67" s="32"/>
      <c r="F67" s="32"/>
    </row>
    <row r="68" spans="1:6" x14ac:dyDescent="0.3">
      <c r="A68" s="35"/>
      <c r="B68" s="32"/>
      <c r="C68" s="32"/>
      <c r="D68" s="32"/>
      <c r="E68" s="32"/>
      <c r="F68" s="32"/>
    </row>
    <row r="69" spans="1:6" x14ac:dyDescent="0.3">
      <c r="A69" s="35"/>
      <c r="B69" s="32"/>
      <c r="C69" s="32"/>
      <c r="D69" s="32"/>
      <c r="E69" s="32"/>
      <c r="F69" s="32"/>
    </row>
    <row r="70" spans="1:6" x14ac:dyDescent="0.3">
      <c r="A70" s="35"/>
      <c r="B70" s="32"/>
      <c r="C70" s="32"/>
      <c r="D70" s="32"/>
      <c r="E70" s="32"/>
      <c r="F70" s="32"/>
    </row>
    <row r="71" spans="1:6" x14ac:dyDescent="0.3">
      <c r="A71" s="35"/>
      <c r="B71" s="32"/>
      <c r="C71" s="32"/>
      <c r="D71" s="32"/>
      <c r="E71" s="32"/>
      <c r="F71" s="32"/>
    </row>
    <row r="72" spans="1:6" x14ac:dyDescent="0.3">
      <c r="A72" s="35"/>
      <c r="B72" s="32"/>
      <c r="C72" s="32"/>
      <c r="D72" s="32"/>
    </row>
    <row r="73" spans="1:6" x14ac:dyDescent="0.3">
      <c r="E73" s="32"/>
      <c r="F73" s="32"/>
    </row>
    <row r="74" spans="1:6" x14ac:dyDescent="0.3">
      <c r="A74" s="35"/>
      <c r="B74" s="32"/>
      <c r="C74" s="32"/>
      <c r="D74" s="32"/>
      <c r="E74" s="32"/>
      <c r="F74" s="32"/>
    </row>
    <row r="75" spans="1:6" x14ac:dyDescent="0.3">
      <c r="A75" s="35"/>
      <c r="B75" s="32"/>
      <c r="C75" s="32"/>
      <c r="D75" s="32"/>
      <c r="E75" s="32"/>
      <c r="F75" s="32"/>
    </row>
    <row r="76" spans="1:6" x14ac:dyDescent="0.3">
      <c r="A76" s="35"/>
      <c r="B76" s="32"/>
      <c r="C76" s="32"/>
      <c r="D76" s="32"/>
    </row>
  </sheetData>
  <mergeCells count="4">
    <mergeCell ref="A22:J22"/>
    <mergeCell ref="A19:J19"/>
    <mergeCell ref="A20:J20"/>
    <mergeCell ref="A21:J21"/>
  </mergeCells>
  <pageMargins left="0.27" right="0.27" top="0.55000000000000004" bottom="0.32" header="0.21" footer="0.22"/>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T o u r   x m l n s : x s i = " h t t p : / / w w w . w 3 . o r g / 2 0 0 1 / X M L S c h e m a - i n s t a n c e "   x m l n s : x s d = " h t t p : / / w w w . w 3 . o r g / 2 0 0 1 / X M L S c h e m a "   N a m e = " T o u r   1 "   D e s c r i p t i o n = " S o m e   d e s c r i p t i o n   f o r   t h e   t o u r   g o e s   h e r e "   x m l n s = " h t t p : / / m i c r o s o f t . d a t a . v i s u a l i z a t i o n . e n g i n e . t o u r s / 1 . 0 " > < S c e n e s > < S c e n e > < T r a n s i t i o n > M o v e T o < / T r a n s i t i o n > < E f f e c t > S t a t i o n < / E f f e c t > < T h e m e > B i n g R o a d < / T h e m e > < T h e m e W i t h L a b e l > f a l s e < / T h e m e W i t h L a b e l > < F l a t M o d e E n a b l e d > f a l s e < / F l a t M o d e E n a b l e d > < D u r a t i o n > 6 0 0 0 0 0 0 0 < / D u r a t i o n > < T r a n s i t i o n D u r a t i o n > 3 0 0 0 0 0 0 0 < / T r a n s i t i o n D u r a t i o n > < S p e e d > 0 . 5 < / S p e e d > < F r a m e > < C a m e r a > < L a t i t u d e > 4 4 . 3 8 8 3 6 6 2 1 1 4 7 9 4 1 5 < / L a t i t u d e > < L o n g i t u d e > - 1 1 6 . 6 0 9 9 5 4 2 3 0 8 0 4 1 2 < / L o n g i t u d e > < R o t a t i o n > 0 < / R o t a t i o n > < P i v o t A n g l e > - 0 . 1 4 3 3 7 2 4 5 2 8 5 3 6 4 7 3 9 < / P i v o t A n g l e > < D i s t a n c e > 0 . 7 5 < / D i s t a n c e > < / C a m e r a > < 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 N a m e = " A r e a s "   G u i d = " 3 e 7 d 8 4 d d - 4 8 a 9 - 4 f 2 7 - b 8 7 0 - 9 f 7 1 9 5 3 c 5 d 9 e "   R e v = " 8 "   R e v G u i d = " 5 4 6 2 b 6 2 9 - 6 c 4 3 - 4 1 6 5 - a 7 8 f - d 6 c b 7 7 2 9 2 1 b 7 "   V i s i b l e = " t r u e "   I n s t O n l y = " f a l s e "   G e o D a t a G u i d = " 6 a 9 2 4 f 1 c - 2 8 a 3 - 4 8 6 0 - 9 e 1 c - 4 e 8 4 a d a 0 a 3 7 2 " & g t ; & l t ; G e o V i s   V i s i b l e = " t r u e "   L a y e r C o l o r S e t = " f a l s e "   R e g i o n S h a d i n g M o d e S e t = " f a l s e "   R e g i o n S h a d i n g M o d e = " G l o b a l "   V i s u a l T y p e = " P o i n t M a r k e r C h a r t "   N u l l s = " f a l s e "   Z e r o s = " t r u e "   N e g a t i v e s = " t r u e " 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 A c c u m u l a t e = " f a l s e "   D e c a y = " N o n e "   D e c a y T i m e I s N u l l = " t r u e "   D e c a y T i m e T i c k s = " 0 "   V M T i m e A c c u m u l a t e = " f a l s e "   V M T i m e P e r s i s t = " f a l s e "   U s e r N o t M a p B y = " t r u e "   S e l T i m e S t g = " N o n e "   C h o o s i n g G e o F i e l d s = " t r u e " & g t ; & l t ; G e o E n t i t y   N a m e = " G e o E n t i t y "   V i s i b l e = " f a l s e " & g t ; & l t ; G e o C o l u m n s & g t ; & l t ; G e o C o l u m n   N a m e = " W a s h i n g t o n "   V i s i b l e = " t r u e "   D a t a T y p e = " S t r i n g "   M o d e l Q u e r y N a m e = " ' R a n g e ' [ W a s h i n g t o n ] " & g t ; & l t ; T a b l e   M o d e l N a m e = " R a n g e "   N a m e I n S o u r c e = " R a n g e "   V i s i b l e = " t r u e "   L a s t R e f r e s h = " 0 0 0 1 - 0 1 - 0 1 T 0 0 : 0 0 : 0 0 "   / & g t ; & l t ; / G e o C o l u m n & g t ; & l t ; / G e o C o l u m n s & g t ; & l t ; A d m i n D i s t r i c t   N a m e = " W a s h i n g t o n "   V i s i b l e = " t r u e "   D a t a T y p e = " S t r i n g "   M o d e l Q u e r y N a m e = " ' R a n g e ' [ W a s h i n g t o n ] " & g t ; & l t ; T a b l e   M o d e l N a m e = " R a n g e "   N a m e I n S o u r c e = " R a n g e "   V i s i b l e = " t r u e "   L a s t R e f r e s h = " 0 0 0 1 - 0 1 - 0 1 T 0 0 : 0 0 : 0 0 "   / & g t ; & l t ; / A d m i n D i s t r i c t & g t ; & l t ; / G e o E n t i t y & g t ; & l t ; M e a s u r e s   / & g t ; & l t ; M e a s u r e A F s   / & g t ; & l t ; C o l o r A F & g t ; N o n e & l t ; / C o l o r A F & g t ; & l t ; C h o s e n F i e l d s   / & g t ; & l t ; C h u n k B y & g t ; N o n e & l t ; / C h u n k B y & g t ; & l t ; C h o s e n G e o M a p p i n g s & g t ; & l t ; G e o M a p p i n g T y p e & g t ; S t a t e & l t ; / G e o M a p p i n g T y p e & g t ; & l t ; / C h o s e n G e o M a p p i n g s & 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1 & 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2.xml>��< ? x m l   v e r s i o n = " 1 . 0 "   e n c o d i n g = " u t f - 1 6 " ? > < V i s u a l i z a t i o n L S t a t e   x m l n s : x s i = " h t t p : / / w w w . w 3 . o r g / 2 0 0 1 / X M L S c h e m a - i n s t a n c e "   x m l n s : x s d = " h t t p : / / w w w . w 3 . o r g / 2 0 0 1 / X M L S c h e m a "   x m l n s = " h t t p : / / m i c r o s o f t . d a t a . v i s u a l i z a t i o n . C l i e n t . E x c e l . L S t a t e / 1 . 0 " > < c g > H 4 s I A A A A A A A E A N V Y 3 W 7 T M B h 9 l S g S l 3 N s f / 6 d 2 k x b E a h o W 6 U N E L e m C a 1 F m q D E 3 R C v x g W P x C v w t e l W b e u 0 r F o p X F V N 7 P j 0 n O P j k / 7 + + a t 3 9 H 1 W R F d 5 3 f i q 7 M e M 0 D j K y 3 G V + X L S j + f h y 4 G J j 9 L e C X 4 9 d e G 0 K g d u P M 0 j n F Q 2 h 9 8 b 3 4 + n I X w 7 T J L r 6 2 t y D a S q J w m n l C W f z k 4 v c e T M H f i y C a 4 c 5 / H t r O z p W X H a G z b t h N v B M z + u q 6 b 6 E k j m g i N X v p m 7 w v 9 w A a G T S V 5 B l i z w 4 8 z o a z 8 + c t n M l 6 9 9 E 2 o / D v 3 z / M p l D m 9 + d M U 8 j 6 b j f h z q e Y 4 X 3 u b V R d 5 U x X z x n O b e 9 6 g I / R g s A a n A W g m K A T e M x 1 G B b B 0 w p o i S E q y U V O N l i e T h + O N 2 Z Q S I T 2 S 4 x J u q n r k Q 8 u w 4 y + q 8 a d I W T S 9 5 c K O 3 G v H G 5 0 W G Y B b o y 0 m E T B + W v l h h j p L t b 6 T n H 3 t J + 9 Q n H 5 J + K D 2 C j i 6 D C 3 m z n p b c A 5 n c o f A x B i k T j C o t q T C G m x s G O S V a G a 4 5 0 m s p B 7 G B Q r 4 X C l c i R Y O K r H / 6 i r n B 8 f 1 L j 0 r 0 g i Q C U U p Q y a i U l p o b E 1 o g Q D V T m k r g n C u p / g s K j y 9 2 T u F d X + J u S p a b H z + H m 0 P i p P b B N 9 N X n A 4 w D 2 a f / Z a B I Q W R i h n F r Z B S o m j s 1 u 6 S M I o a a m C c M q Z R x G 6 J s Y K G b m y B 7 S U 7 T g b d N R u 4 E g N 3 P f 6 p 0 H i 2 W M P M T a v t A l 0 I A s Z S E F w z L t r U W Q W 6 w E C 3 g i l m j Q Y q d F d 9 l m j 2 I s r w 9 Z r k J 4 6 L l 8 s i I Y k R g j M m t Q F l M d p v H M 4 k E U o L z o W R I F n 3 N N o 1 g + l y g Y 1 x / h c o f L a 9 R 3 U + q c o t / Q 3 E g s F C w q U 0 0 o L G Y t L 6 G 4 / b 9 a V u y d M C 2 Y u 1 R 7 s / I + 5 U l 7 b t Y a c z S j M K U i u l K M P z d E m e Z U R Q w O B W B v A M F s p u C I e N X W X n F K b t C h v N f T b a e T 4 8 3 9 z j 3 G 3 p b S z j G C x A r Q I G Q i / r z l I e L Q i W S C 7 Q 8 4 D q 4 Q b o L M 8 C z Q 4 N n o 4 W C 2 w U 5 / z d v y f O W V X i C 9 u W 1 U d o g n t E G C a t t p S C v T 0 Y q C V K S G r o o h B R 1 f 1 l a Y V n h w I 9 X t 7 P 3 u 9 c n 4 c J J I B I p E 6 j u S X l F t r 8 4 U D 4 g j u m N S j D l q W y W 4 L v l c D W T N 1 Z P J k X E 1 f 7 l 2 q O y X D R + + / 9 f 5 H + A a x 4 n m X 6 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3.xml>��< ? x m l   v e r s i o n = " 1 . 0 "   e n c o d i n g = " u t f - 1 6 " ? > < V i s u a l i z a t i o n   x m l n s : x s i = " h t t p : / / w w w . w 3 . o r g / 2 0 0 1 / X M L S c h e m a - i n s t a n c e "   x m l n s : x s d = " h t t p : / / w w w . w 3 . o r g / 2 0 0 1 / X M L S c h e m a "   x m l n s = " h t t p : / / m i c r o s o f t . d a t a . v i s u a l i z a t i o n . C l i e n t . E x c e l / 1 . 0 " > < T o u r s > < T o u r   N a m e = " T o u r   1 "   I d = " { F 9 F 5 8 C A 3 - E B 4 E - 4 6 A 6 - A 5 B 0 - C 1 8 5 6 D B 5 B D C A } "   T o u r I d = " e 2 6 0 1 2 e 5 - 0 e d b - 4 4 5 b - 9 5 1 9 - 1 4 b 5 e e 8 6 c 6 8 6 "   X m l V e r = " 1 "   M i n X m l V e r = " 1 " > < D e s c r i p t i o n > S o m e   d e s c r i p t i o n   f o r   t h e   t o u r   g o e s   h e r e < / D e s c r i p t i o n > < 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T o u r > < / T o u r s > < / V i s u a l i z a t i o n > 
</file>

<file path=customXml/itemProps1.xml><?xml version="1.0" encoding="utf-8"?>
<ds:datastoreItem xmlns:ds="http://schemas.openxmlformats.org/officeDocument/2006/customXml" ds:itemID="{F9F58CA3-EB4E-46A6-A5B0-C1856DB5BDCA}">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C86DD62C-05C4-4497-BBE2-859ADE86C3AE}">
  <ds:schemaRefs>
    <ds:schemaRef ds:uri="http://www.w3.org/2001/XMLSchema"/>
    <ds:schemaRef ds:uri="http://microsoft.data.visualization.Client.Excel.LState/1.0"/>
  </ds:schemaRefs>
</ds:datastoreItem>
</file>

<file path=customXml/itemProps3.xml><?xml version="1.0" encoding="utf-8"?>
<ds:datastoreItem xmlns:ds="http://schemas.openxmlformats.org/officeDocument/2006/customXml" ds:itemID="{7DCED80D-14BF-4C09-AFDF-8872F77B7C07}">
  <ds:schemaRefs>
    <ds:schemaRef ds:uri="http://www.w3.org/2001/XMLSchema"/>
    <ds:schemaRef ds:uri="http://microsoft.data.visualization.Client.Exc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1_CostsByArea</vt:lpstr>
      <vt:lpstr>2_SpeciesType</vt:lpstr>
      <vt:lpstr>3_FCRPS</vt:lpstr>
      <vt:lpstr>4_ESASpecies</vt:lpstr>
      <vt:lpstr>5_Fund</vt:lpstr>
      <vt:lpstr>6a_Category</vt:lpstr>
      <vt:lpstr>6b_ArtProd</vt:lpstr>
      <vt:lpstr>7_RME</vt:lpstr>
      <vt:lpstr>8_Province</vt:lpstr>
      <vt:lpstr>9_Location</vt:lpstr>
      <vt:lpstr>10_Contractor</vt:lpstr>
      <vt:lpstr>11_LandPurchases</vt:lpstr>
      <vt:lpstr>12_Cumulative</vt:lpstr>
      <vt:lpstr>'10_Contractor'!Print_Titles</vt:lpstr>
      <vt:lpstr>subtitle</vt:lpstr>
    </vt:vector>
  </TitlesOfParts>
  <Company>Bonneville Power Administration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Lefler</dc:creator>
  <cp:lastModifiedBy>Eric Schrepel</cp:lastModifiedBy>
  <cp:lastPrinted>2017-04-27T16:31:20Z</cp:lastPrinted>
  <dcterms:created xsi:type="dcterms:W3CDTF">2004-12-27T17:27:22Z</dcterms:created>
  <dcterms:modified xsi:type="dcterms:W3CDTF">2017-10-10T18:29:21Z</dcterms:modified>
</cp:coreProperties>
</file>