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theme/themeOverride7.xml" ContentType="application/vnd.openxmlformats-officedocument.themeOverride+xml"/>
  <Override PartName="/xl/drawings/drawing13.xml" ContentType="application/vnd.openxmlformats-officedocument.drawing+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4.xml" ContentType="application/vnd.openxmlformats-officedocument.drawingml.chartshapes+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5.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mc:AlternateContent xmlns:mc="http://schemas.openxmlformats.org/markup-compatibility/2006">
    <mc:Choice Requires="x15">
      <x15ac:absPath xmlns:x15ac="http://schemas.microsoft.com/office/spreadsheetml/2010/11/ac" url="P:\Projects\GovernorsReports\2018\Links\"/>
    </mc:Choice>
  </mc:AlternateContent>
  <bookViews>
    <workbookView xWindow="-15" yWindow="5745" windowWidth="19170" windowHeight="5805" tabRatio="712" firstSheet="8" activeTab="13"/>
  </bookViews>
  <sheets>
    <sheet name="1_CostsByArea" sheetId="36" r:id="rId1"/>
    <sheet name="2_SpeciesType" sheetId="15" r:id="rId2"/>
    <sheet name="3_FCRPS" sheetId="16" r:id="rId3"/>
    <sheet name="4_ESASpecies" sheetId="17" r:id="rId4"/>
    <sheet name="5_Fund" sheetId="23" r:id="rId5"/>
    <sheet name="6a_Category" sheetId="24" r:id="rId6"/>
    <sheet name="6b_ArtProd" sheetId="34" r:id="rId7"/>
    <sheet name="7_RME" sheetId="33" r:id="rId8"/>
    <sheet name="7_RME_Projects" sheetId="37" r:id="rId9"/>
    <sheet name="8_Province" sheetId="19" r:id="rId10"/>
    <sheet name="9_Location" sheetId="27" r:id="rId11"/>
    <sheet name="10_Contractor" sheetId="28" r:id="rId12"/>
    <sheet name="11_LandPurchases" sheetId="20" r:id="rId13"/>
    <sheet name="12_Cumulative" sheetId="21" r:id="rId14"/>
    <sheet name="CostsHistory" sheetId="38" r:id="rId15"/>
  </sheets>
  <externalReferences>
    <externalReference r:id="rId16"/>
    <externalReference r:id="rId17"/>
    <externalReference r:id="rId18"/>
    <externalReference r:id="rId19"/>
  </externalReferences>
  <definedNames>
    <definedName name="_xlnm._FilterDatabase" localSheetId="11" hidden="1">'10_Contractor'!$A$2:$E$2</definedName>
    <definedName name="_xlcn.WorksheetConnection_4_CostsByLocationA3E91" hidden="1">'9_Location'!$A$4:$G$10</definedName>
    <definedName name="ASD">[1]nVision!$E$3</definedName>
    <definedName name="CreditPercent">[1]nVision!$E$9</definedName>
    <definedName name="dsa" localSheetId="0">[2]IS!#REF!</definedName>
    <definedName name="dsa" localSheetId="6">[2]IS!#REF!</definedName>
    <definedName name="dsa">[2]IS!#REF!</definedName>
    <definedName name="dsb">[2]IS!#REF!</definedName>
    <definedName name="dsc">[2]IS!#REF!</definedName>
    <definedName name="f" localSheetId="0">#REF!</definedName>
    <definedName name="f" localSheetId="6">#REF!</definedName>
    <definedName name="f">#REF!</definedName>
    <definedName name="FY">[1]nVision!$E$8</definedName>
    <definedName name="g">#REF!</definedName>
    <definedName name="h">#REF!</definedName>
    <definedName name="layout">[3]Layout!$E$4</definedName>
    <definedName name="NvsASD">"V2014-09-30"</definedName>
    <definedName name="NvsAutoDrillOk">"VN"</definedName>
    <definedName name="NvsElapsedTime">0.000127314815472346</definedName>
    <definedName name="NvsEndTime">41127.4998842593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"VCORPT"</definedName>
    <definedName name="NvsPanelEffdt">"V2013-10-01"</definedName>
    <definedName name="NvsPanelSetid">"VFCRPS"</definedName>
    <definedName name="NvsReqBU">"VCORPT"</definedName>
    <definedName name="NvsReqBUOnly">"VN"</definedName>
    <definedName name="NvsTransLed">"VN"</definedName>
    <definedName name="NvsTreeASD">"V2013-10-01"</definedName>
    <definedName name="NvsValTbl.ACCOUNT">"GL_ACCOUNT_TBL"</definedName>
    <definedName name="NvsValTbl.ANALYSIS_TYPE">"GL_ACCOUNT_TBL"</definedName>
    <definedName name="NvsValTbl.BUSINESS_UNIT">"BUS_UNIT_TBL_GL"</definedName>
    <definedName name="NvsValTbl.PROJECT_ID">"PROJECT_VW"</definedName>
    <definedName name="NvsValTbl.SCENARIO">"BD_SCENARIO_TBL"</definedName>
    <definedName name="_xlnm.Print_Area" localSheetId="14">CostsHistory!$A$1:$AC$60</definedName>
    <definedName name="_xlnm.Print_Titles" localSheetId="11">'10_Contractor'!$2:$2</definedName>
    <definedName name="_xlnm.Print_Titles" localSheetId="14">CostsHistory!$A:$A</definedName>
    <definedName name="RID">[1]nVision!$E$7</definedName>
    <definedName name="StartOfYear">[1]nVision!$E$10</definedName>
    <definedName name="subtitle">'2_SpeciesType'!$D$34</definedName>
  </definedNames>
  <calcPr calcId="171027"/>
  <extLst>
    <ext xmlns:x15="http://schemas.microsoft.com/office/spreadsheetml/2010/11/main" uri="{FCE2AD5D-F65C-4FA6-A056-5C36A1767C68}">
      <x15:dataModel>
        <x15:modelTables>
          <x15:modelTable id="Range-5170fc5c-6da7-4755-86ea-689762ede593" name="Range" connection="WorksheetConnection_4_CostsByLocation!$A$3:$E$9"/>
        </x15:modelTables>
      </x15:dataModel>
    </ext>
  </extLst>
</workbook>
</file>

<file path=xl/calcChain.xml><?xml version="1.0" encoding="utf-8"?>
<calcChain xmlns="http://schemas.openxmlformats.org/spreadsheetml/2006/main">
  <c r="AN4" i="38" l="1"/>
  <c r="AN5" i="38"/>
  <c r="AN6" i="38"/>
  <c r="AN7" i="38"/>
  <c r="AN9" i="38"/>
  <c r="AN10" i="38"/>
  <c r="AN11" i="38"/>
  <c r="AN13" i="38"/>
  <c r="AN14" i="38"/>
  <c r="AN15" i="38"/>
  <c r="AN16" i="38"/>
  <c r="AN17" i="38"/>
  <c r="AN18" i="38"/>
  <c r="AN20" i="38"/>
  <c r="AN21" i="38"/>
  <c r="AN22" i="38"/>
  <c r="AN23" i="38"/>
  <c r="AN24" i="38"/>
  <c r="AN26" i="38"/>
  <c r="AN27" i="38"/>
  <c r="AN28" i="38"/>
  <c r="AN29" i="38"/>
  <c r="AN31" i="38"/>
  <c r="AN32" i="38"/>
  <c r="AN33" i="38"/>
  <c r="N10" i="33" l="1"/>
  <c r="M10" i="33"/>
  <c r="L10" i="33"/>
  <c r="K10" i="33"/>
  <c r="J10" i="33"/>
  <c r="I10" i="33"/>
  <c r="H10" i="33"/>
  <c r="C8" i="16" l="1"/>
  <c r="B8" i="16"/>
  <c r="E5" i="16"/>
  <c r="D5" i="16"/>
  <c r="C5" i="16"/>
  <c r="B5" i="16"/>
  <c r="E8" i="16" l="1"/>
  <c r="D8" i="16"/>
  <c r="AD16" i="21" l="1"/>
  <c r="AM12" i="21" l="1"/>
  <c r="A26" i="36"/>
  <c r="AM9" i="21" l="1"/>
  <c r="E11" i="36"/>
  <c r="E7" i="36"/>
  <c r="E6" i="34" l="1"/>
  <c r="D6" i="34"/>
  <c r="A54" i="20" l="1"/>
  <c r="B6" i="20"/>
  <c r="B7" i="20"/>
  <c r="B10" i="20"/>
  <c r="B15" i="20"/>
  <c r="H75" i="28" l="1"/>
  <c r="C108" i="28"/>
  <c r="C105" i="28"/>
  <c r="I58" i="28"/>
  <c r="H58" i="28"/>
  <c r="G58" i="28"/>
  <c r="C58" i="28"/>
  <c r="I57" i="28"/>
  <c r="H57" i="28"/>
  <c r="G57" i="28"/>
  <c r="C57" i="28"/>
  <c r="E34" i="28"/>
  <c r="D34" i="28"/>
  <c r="I8" i="28"/>
  <c r="H8" i="28"/>
  <c r="A22" i="27" l="1"/>
  <c r="F12" i="27"/>
  <c r="B11" i="27"/>
  <c r="G19" i="17" l="1"/>
  <c r="H19" i="17" s="1"/>
  <c r="D19" i="17"/>
  <c r="G18" i="17"/>
  <c r="D18" i="17"/>
  <c r="H18" i="17" s="1"/>
  <c r="G17" i="17"/>
  <c r="D17" i="17"/>
  <c r="H17" i="17" s="1"/>
  <c r="H16" i="17"/>
  <c r="G16" i="17"/>
  <c r="D16" i="17"/>
  <c r="G15" i="17"/>
  <c r="H15" i="17" s="1"/>
  <c r="D15" i="17"/>
  <c r="G14" i="17"/>
  <c r="D14" i="17"/>
  <c r="H14" i="17" s="1"/>
  <c r="G13" i="17"/>
  <c r="D13" i="17"/>
  <c r="H13" i="17" s="1"/>
  <c r="H12" i="17"/>
  <c r="G12" i="17"/>
  <c r="D12" i="17"/>
  <c r="G11" i="17"/>
  <c r="H11" i="17" s="1"/>
  <c r="D11" i="17"/>
  <c r="G10" i="17"/>
  <c r="D10" i="17"/>
  <c r="H10" i="17" s="1"/>
  <c r="G9" i="17"/>
  <c r="D9" i="17"/>
  <c r="H9" i="17" s="1"/>
  <c r="H8" i="17"/>
  <c r="G8" i="17"/>
  <c r="D8" i="17"/>
  <c r="G7" i="17"/>
  <c r="H7" i="17" s="1"/>
  <c r="D7" i="17"/>
  <c r="G6" i="17"/>
  <c r="D6" i="17"/>
  <c r="H6" i="17" s="1"/>
  <c r="G5" i="17"/>
  <c r="D5" i="17"/>
  <c r="H5" i="17" s="1"/>
  <c r="H4" i="17"/>
  <c r="G4" i="17"/>
  <c r="D4" i="17"/>
  <c r="G3" i="17"/>
  <c r="H3" i="17" s="1"/>
  <c r="D3" i="17"/>
  <c r="AL12" i="21" l="1"/>
  <c r="AK12" i="21"/>
  <c r="AJ12" i="21"/>
  <c r="AI12" i="21"/>
  <c r="B14" i="36" l="1"/>
  <c r="F7" i="34" l="1"/>
  <c r="E7" i="34"/>
  <c r="H7" i="34"/>
  <c r="B13" i="34" s="1"/>
  <c r="G7" i="34"/>
  <c r="D7" i="34"/>
  <c r="C7" i="34"/>
  <c r="B7" i="34"/>
  <c r="I6" i="34"/>
  <c r="I5" i="34"/>
  <c r="I4" i="34"/>
  <c r="I3" i="34"/>
  <c r="AL9" i="21" l="1"/>
  <c r="AK9" i="21"/>
  <c r="I28" i="28" l="1"/>
  <c r="H28" i="28"/>
  <c r="G28" i="28"/>
  <c r="F28" i="28"/>
  <c r="E28" i="28"/>
  <c r="D28" i="28"/>
  <c r="C28" i="28"/>
  <c r="I25" i="28"/>
  <c r="H25" i="28"/>
  <c r="G25" i="28"/>
  <c r="F25" i="28"/>
  <c r="E25" i="28"/>
  <c r="D25" i="28"/>
  <c r="C25" i="28"/>
  <c r="I21" i="28"/>
  <c r="H21" i="28"/>
  <c r="G21" i="28"/>
  <c r="F21" i="28"/>
  <c r="E21" i="28"/>
  <c r="D21" i="28"/>
  <c r="C21" i="28"/>
  <c r="I16" i="28"/>
  <c r="H16" i="28"/>
  <c r="G16" i="28"/>
  <c r="F16" i="28"/>
  <c r="E16" i="28"/>
  <c r="D16" i="28"/>
  <c r="C16" i="28"/>
  <c r="B12" i="24" l="1"/>
  <c r="C12" i="24"/>
  <c r="D12" i="24"/>
  <c r="E12" i="24"/>
  <c r="F12" i="24"/>
  <c r="G12" i="24"/>
  <c r="H12" i="24"/>
  <c r="L8" i="16" l="1"/>
  <c r="L5" i="16"/>
  <c r="AH12" i="21" l="1"/>
  <c r="AG12" i="21"/>
  <c r="AF12" i="21"/>
  <c r="AE12" i="21"/>
  <c r="AD12" i="21"/>
  <c r="AC12" i="21"/>
  <c r="AB12" i="21"/>
  <c r="AA12" i="21"/>
  <c r="Z12" i="21"/>
  <c r="Y12" i="21"/>
  <c r="X12" i="21"/>
  <c r="W12" i="21"/>
  <c r="V12" i="21"/>
  <c r="U12" i="21"/>
  <c r="T12" i="21"/>
  <c r="S12" i="21"/>
  <c r="R12" i="21"/>
  <c r="Q12" i="21"/>
  <c r="P12" i="21"/>
  <c r="O12" i="21"/>
  <c r="N12" i="21"/>
  <c r="M12" i="21"/>
  <c r="L12" i="21"/>
  <c r="K12" i="21"/>
  <c r="J12" i="21"/>
  <c r="I12" i="21"/>
  <c r="H12" i="21"/>
  <c r="G12" i="21"/>
  <c r="F12" i="21"/>
  <c r="E12" i="21"/>
  <c r="D12" i="21"/>
  <c r="C12" i="21"/>
  <c r="I13" i="15" l="1"/>
  <c r="I4" i="24"/>
  <c r="A20" i="23" l="1"/>
  <c r="A1" i="23"/>
  <c r="A1" i="20" l="1"/>
  <c r="E12" i="27" l="1"/>
  <c r="E36" i="19" l="1"/>
  <c r="E35" i="19"/>
  <c r="E34" i="19"/>
  <c r="E33" i="19"/>
  <c r="E32" i="19"/>
  <c r="E31" i="19"/>
  <c r="E30" i="19"/>
  <c r="E29" i="19"/>
  <c r="E28" i="19"/>
  <c r="E27" i="19"/>
  <c r="E26" i="19"/>
  <c r="F37" i="19" l="1"/>
  <c r="A1" i="19"/>
  <c r="F26" i="19"/>
  <c r="C9" i="33" l="1"/>
  <c r="C8" i="33"/>
  <c r="C7" i="33"/>
  <c r="C6" i="33"/>
  <c r="C5" i="33"/>
  <c r="C4" i="33"/>
  <c r="B10" i="33"/>
  <c r="B16" i="33" s="1"/>
  <c r="I3" i="24" l="1"/>
  <c r="I5" i="24"/>
  <c r="I6" i="24"/>
  <c r="I7" i="24"/>
  <c r="I8" i="24"/>
  <c r="I9" i="24"/>
  <c r="I10" i="24"/>
  <c r="I11" i="24"/>
  <c r="H17" i="15" l="1"/>
  <c r="B31" i="15" s="1"/>
  <c r="G17" i="15"/>
  <c r="F17" i="15"/>
  <c r="E17" i="15"/>
  <c r="D17" i="15"/>
  <c r="C17" i="15"/>
  <c r="B17" i="15"/>
  <c r="H14" i="15"/>
  <c r="G14" i="15"/>
  <c r="F14" i="15"/>
  <c r="E14" i="15"/>
  <c r="D14" i="15"/>
  <c r="C14" i="15"/>
  <c r="B14" i="15"/>
  <c r="F38" i="19" l="1"/>
  <c r="F36" i="19"/>
  <c r="F35" i="19"/>
  <c r="F34" i="19"/>
  <c r="F33" i="19"/>
  <c r="F32" i="19"/>
  <c r="F31" i="19"/>
  <c r="F30" i="19"/>
  <c r="F29" i="19"/>
  <c r="F28" i="19"/>
  <c r="F27" i="19"/>
  <c r="AI9" i="21" l="1"/>
  <c r="AJ9" i="21"/>
  <c r="H38" i="20" l="1"/>
  <c r="G38" i="20"/>
  <c r="F38" i="20"/>
  <c r="D38" i="20"/>
  <c r="C38" i="20"/>
  <c r="B38" i="20"/>
  <c r="E38" i="20" l="1"/>
  <c r="C12" i="28"/>
  <c r="D12" i="28"/>
  <c r="E12" i="28"/>
  <c r="F12" i="28"/>
  <c r="G12" i="28"/>
  <c r="H12" i="28"/>
  <c r="I12" i="28"/>
  <c r="C29" i="28"/>
  <c r="G29" i="28"/>
  <c r="D29" i="28"/>
  <c r="E29" i="28"/>
  <c r="H29" i="28"/>
  <c r="I29" i="28"/>
  <c r="F29" i="28"/>
  <c r="C51" i="28"/>
  <c r="D51" i="28"/>
  <c r="E51" i="28"/>
  <c r="F51" i="28"/>
  <c r="G51" i="28"/>
  <c r="H51" i="28"/>
  <c r="I51" i="28"/>
  <c r="C64" i="28"/>
  <c r="D64" i="28"/>
  <c r="G64" i="28"/>
  <c r="H64" i="28"/>
  <c r="I64" i="28"/>
  <c r="F64" i="28" l="1"/>
  <c r="F66" i="28" s="1"/>
  <c r="E64" i="28"/>
  <c r="E66" i="28" s="1"/>
  <c r="I66" i="28"/>
  <c r="H66" i="28"/>
  <c r="D66" i="28"/>
  <c r="G66" i="28"/>
  <c r="C66" i="28"/>
  <c r="H16" i="19" l="1"/>
  <c r="G16" i="19"/>
  <c r="F16" i="19"/>
  <c r="E16" i="19"/>
  <c r="C16" i="19"/>
  <c r="B16" i="19"/>
  <c r="D16" i="19"/>
  <c r="H11" i="27" l="1"/>
  <c r="H10" i="27"/>
  <c r="H9" i="27"/>
  <c r="H8" i="27"/>
  <c r="H7" i="27"/>
  <c r="H6" i="27"/>
  <c r="H5" i="27"/>
  <c r="H4" i="27"/>
  <c r="B12" i="27" l="1"/>
  <c r="C12" i="27"/>
  <c r="D12" i="27"/>
  <c r="G12" i="27"/>
  <c r="B25" i="23" l="1"/>
  <c r="B24" i="23"/>
  <c r="B23" i="23"/>
  <c r="B22" i="23"/>
  <c r="B21" i="23"/>
  <c r="B11" i="23"/>
  <c r="C11" i="23"/>
  <c r="D11" i="23"/>
  <c r="E11" i="23"/>
  <c r="F11" i="23"/>
  <c r="G11" i="23"/>
  <c r="H11" i="23"/>
  <c r="M8" i="16" l="1"/>
  <c r="K8" i="16"/>
  <c r="J8" i="16"/>
  <c r="I8" i="16"/>
  <c r="H8" i="16"/>
  <c r="G8" i="16"/>
  <c r="F8" i="16"/>
  <c r="M5" i="16"/>
  <c r="H23" i="15" l="1"/>
  <c r="D34" i="15" s="1"/>
  <c r="G23" i="15"/>
  <c r="F23" i="15"/>
  <c r="E23" i="15"/>
  <c r="D23" i="15"/>
  <c r="C23" i="15"/>
  <c r="B23" i="15"/>
  <c r="H22" i="15"/>
  <c r="G22" i="15"/>
  <c r="F22" i="15"/>
  <c r="E22" i="15"/>
  <c r="D22" i="15"/>
  <c r="C22" i="15"/>
  <c r="B22" i="15"/>
  <c r="H21" i="15"/>
  <c r="B35" i="15" s="1"/>
  <c r="G21" i="15"/>
  <c r="F21" i="15"/>
  <c r="E21" i="15"/>
  <c r="D21" i="15"/>
  <c r="C21" i="15"/>
  <c r="B21" i="15"/>
  <c r="H20" i="15"/>
  <c r="B34" i="15" s="1"/>
  <c r="G20" i="15"/>
  <c r="F20" i="15"/>
  <c r="E20" i="15"/>
  <c r="D20" i="15"/>
  <c r="C20" i="15"/>
  <c r="B20" i="15"/>
  <c r="H19" i="15"/>
  <c r="B33" i="15" s="1"/>
  <c r="G19" i="15"/>
  <c r="F19" i="15"/>
  <c r="E19" i="15"/>
  <c r="D19" i="15"/>
  <c r="C19" i="15"/>
  <c r="B19" i="15"/>
  <c r="H18" i="15"/>
  <c r="B32" i="15" s="1"/>
  <c r="G18" i="15"/>
  <c r="F18" i="15"/>
  <c r="E18" i="15"/>
  <c r="D18" i="15"/>
  <c r="C18" i="15"/>
  <c r="B18" i="15"/>
  <c r="A28" i="23" l="1"/>
  <c r="A24" i="19"/>
  <c r="B21" i="24"/>
  <c r="B9" i="21"/>
  <c r="AH9" i="21"/>
  <c r="B20" i="17" l="1"/>
  <c r="C20" i="17"/>
  <c r="E20" i="17"/>
  <c r="F20" i="17"/>
  <c r="D20" i="17" l="1"/>
  <c r="G20" i="17"/>
  <c r="K5" i="16"/>
  <c r="F5" i="16"/>
  <c r="G5" i="16"/>
  <c r="H5" i="16"/>
  <c r="I5" i="16"/>
  <c r="J5" i="16"/>
  <c r="H20" i="17" l="1"/>
  <c r="A29" i="17" s="1"/>
</calcChain>
</file>

<file path=xl/comments1.xml><?xml version="1.0" encoding="utf-8"?>
<comments xmlns="http://schemas.openxmlformats.org/spreadsheetml/2006/main">
  <authors>
    <author>A satisfied Microsoft Office user</author>
  </authors>
  <commentList>
    <comment ref="O2" authorId="0" shapeId="0">
      <text>
        <r>
          <rPr>
            <sz val="8"/>
            <color indexed="81"/>
            <rFont val="Tahoma"/>
            <family val="2"/>
          </rPr>
          <t>updated to FY 95 Congressional actual to the budget document. 3/23/94</t>
        </r>
      </text>
    </comment>
    <comment ref="P2" authorId="0" shapeId="0">
      <text>
        <r>
          <rPr>
            <sz val="8"/>
            <color indexed="81"/>
            <rFont val="Tahoma"/>
            <family val="2"/>
          </rPr>
          <t>Based on the FY 1995 Cong. Budget document for all Budget accounts.  PowPurch. are changed to reflect the 1994 NMFS BO.  Basis for $350 million number in the Cong. Testimony.  DOES NOT INCLUDE ANY $ FOR $40 MILLION ESA FUND.</t>
        </r>
      </text>
    </comment>
  </commentList>
</comments>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4_CostsByLocation!$A$3:$E$9" type="102" refreshedVersion="5" minRefreshableVersion="5">
    <extLst>
      <ext xmlns:x15="http://schemas.microsoft.com/office/spreadsheetml/2010/11/main" uri="{DE250136-89BD-433C-8126-D09CA5730AF9}">
        <x15:connection id="Range-5170fc5c-6da7-4755-86ea-689762ede593">
          <x15:rangePr sourceName="_xlcn.WorksheetConnection_4_CostsByLocationA3E91"/>
        </x15:connection>
      </ext>
    </extLst>
  </connection>
</connections>
</file>

<file path=xl/sharedStrings.xml><?xml version="1.0" encoding="utf-8"?>
<sst xmlns="http://schemas.openxmlformats.org/spreadsheetml/2006/main" count="604" uniqueCount="485">
  <si>
    <t>2) Program Support includes includes contracts that contain only administrative work elements or program level spending that could not be mapped to a specific project, as well as BPA internal overhead such as personnel costs.</t>
  </si>
  <si>
    <t xml:space="preserve">1) Starting in 2008, Spending can be tracked back to a work element where the contractor explicitly identified the "Primary Focal Species" benefiting from the work.  </t>
  </si>
  <si>
    <t>Notes:</t>
  </si>
  <si>
    <t>TOTAL</t>
  </si>
  <si>
    <t>CJH Cost Share</t>
  </si>
  <si>
    <t>Program Support</t>
  </si>
  <si>
    <t>Wildlife</t>
  </si>
  <si>
    <t>Resident Fish</t>
  </si>
  <si>
    <t>Anadromous Fish</t>
  </si>
  <si>
    <t>Capital Expenditures</t>
  </si>
  <si>
    <t>Expense Expenditures</t>
  </si>
  <si>
    <t>Species type</t>
  </si>
  <si>
    <t>Capital</t>
  </si>
  <si>
    <t>Expense</t>
  </si>
  <si>
    <t>Category</t>
  </si>
  <si>
    <t>2) Contract Administration spending can be tracked back to a work element that did not require the contractor to identify the "Primary Focal Species" benefiting from the work.</t>
  </si>
  <si>
    <t>Trout, Bull (threatened)</t>
  </si>
  <si>
    <t>Sturgeon, White - Kootenai River DPS (endangered)</t>
  </si>
  <si>
    <t>Cutthroat Trout, Lahontan (threatened)</t>
  </si>
  <si>
    <t>Steelhead - Upper Willamette River DPS (threatened)</t>
  </si>
  <si>
    <t>Steelhead - Snake River DPS (threatened)</t>
  </si>
  <si>
    <t>Steelhead - Middle Columbia River DPS (threatened)</t>
  </si>
  <si>
    <t>Steelhead - Lower Columbia River DPS (threatened)</t>
  </si>
  <si>
    <t>Sockeye - Snake River ESU (endangered)</t>
  </si>
  <si>
    <t>Coho - Lower Columbia River ESU (threatened)</t>
  </si>
  <si>
    <t>Chum - Columbia River ESU (threatened)</t>
  </si>
  <si>
    <t>Chinook - Upper Willamette River ESU (threatened)</t>
  </si>
  <si>
    <t>Chinook - Upper Columbia River Spring ESU (endangered)</t>
  </si>
  <si>
    <t>Chinook - Snake River Spring/Summer ESU (threatened)</t>
  </si>
  <si>
    <t>Chinook - Snake River Fall ESU (threatened)</t>
  </si>
  <si>
    <t>Chinook - Lower Columbia River ESU (threatened)</t>
  </si>
  <si>
    <t>Total Spending</t>
  </si>
  <si>
    <t>Capital Total Spending</t>
  </si>
  <si>
    <t>Capital "Contract Administration" Spending</t>
  </si>
  <si>
    <t>Capital "Direct" Spending</t>
  </si>
  <si>
    <t>Expense Total Spending</t>
  </si>
  <si>
    <t>Expense "Contract Administration" Spending</t>
  </si>
  <si>
    <t>Expense "Direct" Spending</t>
  </si>
  <si>
    <t>ESA Listed Focal Species Name</t>
  </si>
  <si>
    <t>Total</t>
  </si>
  <si>
    <t>Predator Removal</t>
  </si>
  <si>
    <t>Law Enforcement</t>
  </si>
  <si>
    <t>Harvest Augmentation</t>
  </si>
  <si>
    <t>Data Management</t>
  </si>
  <si>
    <t>Programmatic</t>
  </si>
  <si>
    <t>Predation</t>
  </si>
  <si>
    <t>Hydrosystem</t>
  </si>
  <si>
    <t>Harvest</t>
  </si>
  <si>
    <t>Habitat</t>
  </si>
  <si>
    <t>Artificial Production</t>
  </si>
  <si>
    <t>2) Other includes "Undetermined" locations such as Ocean, Canada; and provinces not recognized by NPCC.</t>
  </si>
  <si>
    <t>1) Starting in 2008, spending by province is tracked in Pisces based on where the contractor explicitly identified work location.</t>
  </si>
  <si>
    <t>Province</t>
  </si>
  <si>
    <t>Other</t>
  </si>
  <si>
    <t>Project Proponent(s)</t>
  </si>
  <si>
    <t>City of Eugene</t>
  </si>
  <si>
    <t>Columbia Land Trust</t>
  </si>
  <si>
    <t>Colville Confederated Tribes</t>
  </si>
  <si>
    <t>Confederated Tribes of the Grande Ronde</t>
  </si>
  <si>
    <t>Greenbelt Land Trust</t>
  </si>
  <si>
    <t>Idaho Department of Fish and Game (IDFG)</t>
  </si>
  <si>
    <t>Idaho Office of Species Conservation</t>
  </si>
  <si>
    <t>Kittitas Conservation Trust</t>
  </si>
  <si>
    <t>Lower Columbia River Estuary Partnership (LCREP)</t>
  </si>
  <si>
    <t>Methow Salmon Recovery Foundation</t>
  </si>
  <si>
    <t>National Fish and Wildlife Foundation</t>
  </si>
  <si>
    <t>Nature Conservancy</t>
  </si>
  <si>
    <t>Nez Perce Tribe</t>
  </si>
  <si>
    <t>Oregon Watershed Enhancement Board</t>
  </si>
  <si>
    <t>S Central Washington Resource Conservation and Development</t>
  </si>
  <si>
    <t>Salish and Kootenai Confederated Tribes</t>
  </si>
  <si>
    <t>Shoshone-Bannock Tribes</t>
  </si>
  <si>
    <t>Shoshone-Paiute Tribes</t>
  </si>
  <si>
    <t>Umatilla Confederated Tribes (CTUIR)</t>
  </si>
  <si>
    <t>US Fish and Wildlife Service (USFWS)</t>
  </si>
  <si>
    <t>Willamalane Parks and Recreation District</t>
  </si>
  <si>
    <t>Yakama Confederated Tribes</t>
  </si>
  <si>
    <t>Yamhill Soil and Water Conservation District</t>
  </si>
  <si>
    <t>Ducks Unlimited</t>
  </si>
  <si>
    <t>City of Salem</t>
  </si>
  <si>
    <t>McKenzie River Trust</t>
  </si>
  <si>
    <t>Fixed Expenses</t>
  </si>
  <si>
    <t>Direct Program</t>
  </si>
  <si>
    <t>Reimbursable Expenses</t>
  </si>
  <si>
    <t>Forgone Revenues</t>
  </si>
  <si>
    <t>Power Purchases</t>
  </si>
  <si>
    <t>1978-80</t>
  </si>
  <si>
    <r>
      <t>Program Support</t>
    </r>
    <r>
      <rPr>
        <vertAlign val="superscript"/>
        <sz val="12"/>
        <rFont val="Century Gothic"/>
        <family val="2"/>
      </rPr>
      <t xml:space="preserve"> 2</t>
    </r>
  </si>
  <si>
    <t>(Use this in InDesign footnote, total capital expense for final year)</t>
  </si>
  <si>
    <t>(remove footnote marks from graph X-axis labels)</t>
  </si>
  <si>
    <t>2)  Spending is estimated based on the % of funding towards a project.  For example, if a project budget is 70% BiOp and 30% General, the project expenditures will be prorated 70% towards BiOp and 30% General.</t>
  </si>
  <si>
    <t>1)  BiOp tracking at fund level began in 2009, Accords began in 2008.</t>
  </si>
  <si>
    <t>TOTAL PROGRAM</t>
  </si>
  <si>
    <t>Total BPA Overhead</t>
  </si>
  <si>
    <t>Total General</t>
  </si>
  <si>
    <t>Total Accords - BiOp</t>
  </si>
  <si>
    <r>
      <t>Total Accords</t>
    </r>
    <r>
      <rPr>
        <vertAlign val="superscript"/>
        <sz val="12"/>
        <rFont val="Century Gothic"/>
        <family val="2"/>
      </rPr>
      <t>1</t>
    </r>
  </si>
  <si>
    <t>Total BiOp (non Accord)</t>
  </si>
  <si>
    <t>FUND</t>
  </si>
  <si>
    <t>Accords - BiOp</t>
  </si>
  <si>
    <t>Accords - non-BiOp</t>
  </si>
  <si>
    <t>Figure subtitle (range named "subtitle" because it's used on many figures)</t>
  </si>
  <si>
    <t>Figure subtitle:</t>
  </si>
  <si>
    <t>Subtitle:</t>
  </si>
  <si>
    <r>
      <t xml:space="preserve">2) Estimated spending is based at the </t>
    </r>
    <r>
      <rPr>
        <u/>
        <sz val="12"/>
        <rFont val="Century Gothic"/>
        <family val="2"/>
      </rPr>
      <t>project level</t>
    </r>
    <r>
      <rPr>
        <sz val="12"/>
        <rFont val="Century Gothic"/>
        <family val="2"/>
      </rPr>
      <t>.  Therefore if a project is assigned an emphasis of Habitat, but also does RME, all expenditures for the project are included under Habitat.</t>
    </r>
  </si>
  <si>
    <t>Research, Monitoring and Evaluation</t>
  </si>
  <si>
    <t>Production (Supplementation)</t>
  </si>
  <si>
    <t>for graph</t>
  </si>
  <si>
    <t>Grand Total</t>
  </si>
  <si>
    <t>Ocean</t>
  </si>
  <si>
    <t>1) Starting in 2008, spending by state is tracked in Pisces based on where the contractor explicitly identified work location.</t>
  </si>
  <si>
    <r>
      <t xml:space="preserve">Program Support/Admin/Overhead/Other </t>
    </r>
    <r>
      <rPr>
        <vertAlign val="superscript"/>
        <sz val="12"/>
        <color theme="1"/>
        <rFont val="Century Gothic"/>
        <family val="2"/>
      </rPr>
      <t>2</t>
    </r>
  </si>
  <si>
    <t>Nevada</t>
  </si>
  <si>
    <t>British Columbia</t>
  </si>
  <si>
    <t>Montana</t>
  </si>
  <si>
    <t>Oregon</t>
  </si>
  <si>
    <t>Idaho</t>
  </si>
  <si>
    <t>Washington</t>
  </si>
  <si>
    <t>STATE</t>
  </si>
  <si>
    <t>Format for pie, and remove Systemwide</t>
  </si>
  <si>
    <t>1)  Values above include accruals.</t>
  </si>
  <si>
    <t>NOTES:</t>
  </si>
  <si>
    <t>GRAND TOTAL</t>
  </si>
  <si>
    <t>OTHER TOTAL</t>
  </si>
  <si>
    <t>CHIEF JOSEPH HATCHERY COST SHARE (GRANT PUD)</t>
  </si>
  <si>
    <t>NATIONAL FISH &amp; WILDLIFE FOUNDATION</t>
  </si>
  <si>
    <t>UTILITY</t>
  </si>
  <si>
    <r>
      <t>LAND ACQUISITIONS</t>
    </r>
    <r>
      <rPr>
        <vertAlign val="superscript"/>
        <sz val="11"/>
        <rFont val="Century Gothic"/>
        <family val="2"/>
      </rPr>
      <t>2</t>
    </r>
  </si>
  <si>
    <t>COLUMBIA BASIN FISH &amp; WILDLIFE AUTHORITY</t>
  </si>
  <si>
    <t>LOCAL/SEMI GOVERNMENT</t>
  </si>
  <si>
    <t>PRIVATE/NON-PROFIT/OTHER</t>
  </si>
  <si>
    <t>OTHER</t>
  </si>
  <si>
    <t>UNIVERSITY</t>
  </si>
  <si>
    <t>PACIFIC STATES MARINE FISHERIES COMMISSION (PSMFC)</t>
  </si>
  <si>
    <t>INTERSTATE COMPACT</t>
  </si>
  <si>
    <t>TRIBE TOTAL</t>
  </si>
  <si>
    <t>YAKAMA CONFEDERATED TRIBES</t>
  </si>
  <si>
    <t>UPPER SNAKE RIVER TRIBES FOUNDATION</t>
  </si>
  <si>
    <t>UPPER COLUMBIA UNITED TRIBES (UCUT)</t>
  </si>
  <si>
    <t>UMATILLA CONFEDERATED TRIBES</t>
  </si>
  <si>
    <t>SPOKANE TRIBE OF INDIANS</t>
  </si>
  <si>
    <t>SHOSHONE-PAUITE TRIBES</t>
  </si>
  <si>
    <t>SHOSHONE-BANNOCK TRIBES</t>
  </si>
  <si>
    <t>SALISH AND KOOTENAI TRIBES CONFEDERATED TRIBES</t>
  </si>
  <si>
    <t>NEZ PERCE TRIBE</t>
  </si>
  <si>
    <t>KOOTENAI TRIBE</t>
  </si>
  <si>
    <t>KALISPEL TRIBE OF INDIANS</t>
  </si>
  <si>
    <t>COWLITZ INDIAN TRIBE</t>
  </si>
  <si>
    <t>CONFEDERATED TRIBES OF WARM SPRINGS</t>
  </si>
  <si>
    <t>CONFEDERATED TRIBES OF SILETZ INDIANS</t>
  </si>
  <si>
    <t>CONFEDERATED TRIBES OF GRAND RONDE</t>
  </si>
  <si>
    <t>COLVILLE CONFEDERATED TRIBES</t>
  </si>
  <si>
    <t>COLUMBIA RIVER INTERTRIBAL FISH COMMISSION</t>
  </si>
  <si>
    <t>COEUR D'ALENE TRIBE OF IDAHO</t>
  </si>
  <si>
    <t>BURNS PAIUTE TRIBE</t>
  </si>
  <si>
    <t>TRIBE</t>
  </si>
  <si>
    <t>STATE TOTAL</t>
  </si>
  <si>
    <t>MONTANA Subtotal</t>
  </si>
  <si>
    <t>MONTANA FISH, WILDLIFE AND PARKS (MFWP)</t>
  </si>
  <si>
    <t>WASHINGTON Subtotal</t>
  </si>
  <si>
    <t>WASHINGTON DEPARTMENT OF ECOLOGY</t>
  </si>
  <si>
    <t>WASHINGTON DEPARTMENT OF FISH &amp; WILDLIFE</t>
  </si>
  <si>
    <t>IDAHO Subtotal</t>
  </si>
  <si>
    <t>IDAHO STATE OFFICE OF SPECIES CONSERVATION</t>
  </si>
  <si>
    <t>IDAHO SOIL &amp; WATER CONSERVATION COMMISSION</t>
  </si>
  <si>
    <t>IDAHO DEPARTMENT OF FISH &amp; WILDLIFE</t>
  </si>
  <si>
    <t>OREGON Subtotal</t>
  </si>
  <si>
    <t>OREGON WATERSHED ENHANCEMENT BOARD</t>
  </si>
  <si>
    <t>OREGON DEPARTMENT OF FISH &amp; WILDLIFE</t>
  </si>
  <si>
    <t>FEDERAL TOTAL</t>
  </si>
  <si>
    <t>US GEOLOGICAL SURVEY (USGS)</t>
  </si>
  <si>
    <t>US FOREST SERVICE (USFS)</t>
  </si>
  <si>
    <t>US ARMY CORP OF ENGINEERS (COE)</t>
  </si>
  <si>
    <t>US BUREAU OF RECLAMATION (BOR)</t>
  </si>
  <si>
    <t>US FISH &amp; WILDLIFE SERVICE (USFWS)</t>
  </si>
  <si>
    <t>BPA OVERHEAD (&amp; NON-CONTRACTED PROJECT COSTS)</t>
  </si>
  <si>
    <t>NATIONAL MARINE FISHERIES (NOAA)</t>
  </si>
  <si>
    <t>FEDERAL</t>
  </si>
  <si>
    <t>Prime Contractor</t>
  </si>
  <si>
    <t>Contractor Type</t>
  </si>
  <si>
    <t>FOR CHART:</t>
  </si>
  <si>
    <t>Federal</t>
  </si>
  <si>
    <t>State</t>
  </si>
  <si>
    <t>Tribe</t>
  </si>
  <si>
    <t>Interstate</t>
  </si>
  <si>
    <t>University</t>
  </si>
  <si>
    <t>Federal: BPA Overhead (&amp; Non-Contracted Project Costs)</t>
  </si>
  <si>
    <t>Federal: National Marine Fisheries</t>
  </si>
  <si>
    <t>Federal: US Fish &amp; Wildlife Service</t>
  </si>
  <si>
    <t>Federal: US Geological Survey</t>
  </si>
  <si>
    <t>Federal: Other</t>
  </si>
  <si>
    <t>State: Oregon Department of Fish &amp; Wildlife</t>
  </si>
  <si>
    <t>State: Idaho Department of Fish &amp; Wildlife</t>
  </si>
  <si>
    <t>State: Washington Department of Fish &amp; Wildlife</t>
  </si>
  <si>
    <t>State: Montana Fish, Wildlife And Parks</t>
  </si>
  <si>
    <t>State: Idaho State Office of Species Conservation</t>
  </si>
  <si>
    <t>Tribe: Yakama Confederated Tribes</t>
  </si>
  <si>
    <t>Tribe: Kootenai Tribe</t>
  </si>
  <si>
    <t>Tribe: Nez Perce Tribe</t>
  </si>
  <si>
    <t>Tribe: Colville Confederated Tribes</t>
  </si>
  <si>
    <t>Tribe: Umatilla Confederated Tribes</t>
  </si>
  <si>
    <t>Tribe: Columbia River Intertribal Fish Commission</t>
  </si>
  <si>
    <t>Tribe: Confederated Tribes of Warm Springs</t>
  </si>
  <si>
    <t>Tribe: Shoshone-Bannock Tribes</t>
  </si>
  <si>
    <t>Tribe: Spokane Tribe of Indians</t>
  </si>
  <si>
    <t>Tribe: Kalispel Tribe of Indians</t>
  </si>
  <si>
    <t>Tribe: Coeur D'Alene Tribe of Idaho</t>
  </si>
  <si>
    <t>Tribe: Other</t>
  </si>
  <si>
    <t>Interstate: Pacific States Marine Fisheries Commission</t>
  </si>
  <si>
    <t>Other: Private/Non-Profit/Other</t>
  </si>
  <si>
    <t>Other: Land Acquisitions</t>
  </si>
  <si>
    <t>Other: Local/Semi Government</t>
  </si>
  <si>
    <t>Other: National Fish &amp; Wildlife Foundation</t>
  </si>
  <si>
    <t>Montana Fish, Wildlife and Parks (MFWP)</t>
  </si>
  <si>
    <t>Oregon Department Of Fish and Wildlife (ODFW)</t>
  </si>
  <si>
    <t>Washington Department of Fish and Wildlife (WDFW)</t>
  </si>
  <si>
    <t>1) Values above include bank fees, permits, etc.</t>
  </si>
  <si>
    <t>Notes</t>
  </si>
  <si>
    <t>For chart, copy from above, sort largest to smallest</t>
  </si>
  <si>
    <t>Direct F&amp;W Program</t>
  </si>
  <si>
    <t>Lower Snake Comp Plan</t>
  </si>
  <si>
    <t>Corps of Engineers O&amp;M (est.)</t>
  </si>
  <si>
    <t>Bureau of Reclamation O&amp;M (est.)</t>
  </si>
  <si>
    <t>NW Power &amp; Conservation Council</t>
  </si>
  <si>
    <t>Interest Expense (est.)</t>
  </si>
  <si>
    <t>Amoritization/Depreciation (est.)</t>
  </si>
  <si>
    <t>Power Purchases for Fish Enhancement (est.)</t>
  </si>
  <si>
    <t>Program Support 2</t>
  </si>
  <si>
    <t>Table 3: Direct Program Expenditures of FCRPS BiOp Projects</t>
  </si>
  <si>
    <t>1) Estimated spending is based at the project level.  Therefore, if a project partially supports the FCRPS BiOp, all expenditures for the project are included.</t>
  </si>
  <si>
    <t>Table 2: Direct Program Expenditures by Types of Species</t>
  </si>
  <si>
    <t xml:space="preserve">FIGURE 2. </t>
  </si>
  <si>
    <t>Total BiOp (non-Accord)</t>
  </si>
  <si>
    <t>Total Accords - Non-BiOp</t>
  </si>
  <si>
    <t>Coordination (Local/Regional)</t>
  </si>
  <si>
    <t>Habitat (Restoration/Protection)</t>
  </si>
  <si>
    <t>3) Starting in Fiscal Year 2015 (and revised for FY2014), Costs by Category will now separate Coordination costs between Regional/Local Coordination and BPA Overhead.</t>
  </si>
  <si>
    <t>BLUE MOUNTAIN</t>
  </si>
  <si>
    <t>COLUMBIA CASCADE</t>
  </si>
  <si>
    <t>COLUMBIA GORGE</t>
  </si>
  <si>
    <t>COLUMBIA PLATEAU</t>
  </si>
  <si>
    <t>COLUMBIA ESTUARY</t>
  </si>
  <si>
    <t>INTERMOUNTAIN</t>
  </si>
  <si>
    <t>LOWER COLUMBIA</t>
  </si>
  <si>
    <t>MIDDLE SNAKE</t>
  </si>
  <si>
    <t>MOUNTAIN COLUMBIA</t>
  </si>
  <si>
    <t>MOUNTAIN SNAKE</t>
  </si>
  <si>
    <t>UPPER SNAKE</t>
  </si>
  <si>
    <r>
      <t>OTHER</t>
    </r>
    <r>
      <rPr>
        <vertAlign val="superscript"/>
        <sz val="11"/>
        <rFont val="Century Gothic"/>
        <family val="2"/>
      </rPr>
      <t xml:space="preserve"> 2</t>
    </r>
  </si>
  <si>
    <r>
      <t>PROGRAM SUPPORT/ADMIN/ OVERHEAD/OTHER</t>
    </r>
    <r>
      <rPr>
        <vertAlign val="superscript"/>
        <sz val="11"/>
        <rFont val="Century Gothic"/>
        <family val="2"/>
      </rPr>
      <t xml:space="preserve"> 3</t>
    </r>
  </si>
  <si>
    <t>Compiles program spending by work element location</t>
  </si>
  <si>
    <t>Table/Figure 9: Direct Program Expenditures by State, FY2015</t>
  </si>
  <si>
    <t>2) Program Support/Admin/Other includes spending that cannot be traced back to a contract that has at least one work element requiring location; contracts without any work elements; program level spending not mapped to a specific project or NPCC province; and BPA Overhead.</t>
  </si>
  <si>
    <t>Table/Figure 10: Direct Program Expenditures by Contractor Type, FY2015</t>
  </si>
  <si>
    <t>Friends of Buford Park</t>
  </si>
  <si>
    <t>Confederated Tribes of the Warm Springs</t>
  </si>
  <si>
    <t>Blue Mountain Land Trust</t>
  </si>
  <si>
    <t>Totals</t>
  </si>
  <si>
    <t>Tribe: Shoshone-Paiute Tribes</t>
  </si>
  <si>
    <t>Tribe: Burns-Paiute</t>
  </si>
  <si>
    <t>for graph (footnote marks removed)</t>
  </si>
  <si>
    <t>Coordination (BPA Overhead)</t>
  </si>
  <si>
    <t>Direct Program (non-cumulative)</t>
  </si>
  <si>
    <t>(Figure is a map, plus InDesign text boxes overlaid)</t>
  </si>
  <si>
    <t>PACIFIC NW NATIONAL LABORATORY/DEPT. OF ENERGY</t>
  </si>
  <si>
    <t>FORT McDERMITT TRIBE</t>
  </si>
  <si>
    <t>UNIVERSITIES</t>
  </si>
  <si>
    <t>3)  FY2015 reviewed as of March 10, 2017, no changes.</t>
  </si>
  <si>
    <t>Federal: US Forest Service</t>
  </si>
  <si>
    <t>Other: Utility</t>
  </si>
  <si>
    <t>Coeur D'Alene Tribe, Idaho Department of Fish and Game, Kalispel Tribe, Kootenai Tribe</t>
  </si>
  <si>
    <t>Table/Figure 12: Cumulative Costs 1978-2016, by Major Spending Area</t>
  </si>
  <si>
    <t>RM and E</t>
  </si>
  <si>
    <t>Supplementation</t>
  </si>
  <si>
    <t>1) Estimated spending is based at the project level.  Therefore if a project is assigned an emphasis of Habitat, but also does RME, all expenditures for the project are included under Habitat.</t>
  </si>
  <si>
    <t>Table 6A: Direct Program Expenditures by Category, FY2015</t>
  </si>
  <si>
    <t>Table 6B: Direct Program Expenditures for Artificial Production, FY2016</t>
  </si>
  <si>
    <t>Table/Figure 1A: Fish &amp; Wildlife Costs Comprise 22% of Total Power Services Costs</t>
  </si>
  <si>
    <t>Forgone Revenue</t>
  </si>
  <si>
    <t>THIS TABLE FEEDS GRAPH BELOW (sums above figures)</t>
  </si>
  <si>
    <t>2) Passage projects were moved from Capital to Expense funding starting with FY16 contracts.</t>
  </si>
  <si>
    <t>3)  FY2016 revised as of February 21, 2018.</t>
  </si>
  <si>
    <r>
      <t>2016</t>
    </r>
    <r>
      <rPr>
        <b/>
        <vertAlign val="superscript"/>
        <sz val="12"/>
        <rFont val="Century Gothic"/>
        <family val="2"/>
      </rPr>
      <t xml:space="preserve"> 3 </t>
    </r>
  </si>
  <si>
    <r>
      <t>2016</t>
    </r>
    <r>
      <rPr>
        <vertAlign val="superscript"/>
        <sz val="12"/>
        <rFont val="Century Gothic"/>
        <family val="2"/>
      </rPr>
      <t xml:space="preserve"> 2, 3</t>
    </r>
  </si>
  <si>
    <t>3) FY2016 reviewed as of February 21, 2018; no changes.</t>
  </si>
  <si>
    <t>3) FY2016 revised as of February 21, 2018.</t>
  </si>
  <si>
    <r>
      <t>2016</t>
    </r>
    <r>
      <rPr>
        <b/>
        <vertAlign val="superscript"/>
        <sz val="12"/>
        <rFont val="Century Gothic"/>
        <family val="2"/>
      </rPr>
      <t xml:space="preserve"> 3</t>
    </r>
  </si>
  <si>
    <t>Table 4: Direct Program Expenditures on ESA Listed Fish, 2017</t>
  </si>
  <si>
    <t>Steelhead - Upper Columbia River DPS (endangered)</t>
  </si>
  <si>
    <t>1) Direct spending can be tracked back to a work element where the contractor explicitly identified the "Primary Focal Species" benefiting from the work.</t>
  </si>
  <si>
    <t>3) Negative values for Capital Spending are a result of over-accruing costs in the previous year.</t>
  </si>
  <si>
    <r>
      <t>Coordination (BPA Overhead)</t>
    </r>
    <r>
      <rPr>
        <vertAlign val="superscript"/>
        <sz val="12"/>
        <rFont val="Century Gothic"/>
        <family val="2"/>
      </rPr>
      <t xml:space="preserve"> 3</t>
    </r>
  </si>
  <si>
    <r>
      <t>2016</t>
    </r>
    <r>
      <rPr>
        <b/>
        <vertAlign val="superscript"/>
        <sz val="12"/>
        <rFont val="Century Gothic"/>
        <family val="2"/>
      </rPr>
      <t xml:space="preserve"> 4</t>
    </r>
  </si>
  <si>
    <t>4) FY2016 revised as of February 21, 2018.</t>
  </si>
  <si>
    <t>Table/Figure 7: Direct Program Expenditures for Research, Monitoring and Evaluation (RM&amp;E), FY2017</t>
  </si>
  <si>
    <r>
      <t xml:space="preserve">2016 </t>
    </r>
    <r>
      <rPr>
        <b/>
        <vertAlign val="superscript"/>
        <sz val="11"/>
        <rFont val="Century Gothic"/>
        <family val="2"/>
      </rPr>
      <t>4</t>
    </r>
  </si>
  <si>
    <t>3) Program Support/Admin includes spending that cannot be traced back to a contract that has at least one work element requiring location; contracts without any work elements at all; program level spending not mapped to a specific project; and BPA Overhead.</t>
  </si>
  <si>
    <r>
      <t xml:space="preserve">2016 </t>
    </r>
    <r>
      <rPr>
        <b/>
        <vertAlign val="superscript"/>
        <sz val="12"/>
        <rFont val="Century Gothic"/>
        <family val="2"/>
      </rPr>
      <t>3</t>
    </r>
  </si>
  <si>
    <t>3) FY2016 revised as of February 22, 2018.</t>
  </si>
  <si>
    <t>4) FY2016 revised as of February 22, 2018.</t>
  </si>
  <si>
    <r>
      <t xml:space="preserve">2016 </t>
    </r>
    <r>
      <rPr>
        <b/>
        <vertAlign val="superscript"/>
        <sz val="11"/>
        <rFont val="Century Gothic"/>
        <family val="2"/>
      </rPr>
      <t>3</t>
    </r>
  </si>
  <si>
    <t>2)  Starting in FY2013, land acquisition values may include stewardship costs for long-term operations and maintenance (O&amp;M).</t>
  </si>
  <si>
    <t>Copy Contractor and latest FY column from rows above, then manually sort each section largest-to-smallest, sum all the smallest into "other"</t>
  </si>
  <si>
    <t>SUBTITLE:</t>
  </si>
  <si>
    <t>Spokane Tribe</t>
  </si>
  <si>
    <t>2) Starting in FY2013, land acquisition values may include stewardship costs for long-term operations and maintenance (O&amp;M).</t>
  </si>
  <si>
    <t>3) FY2016, no changes as of February 22, 2018.</t>
  </si>
  <si>
    <r>
      <t>2016</t>
    </r>
    <r>
      <rPr>
        <b/>
        <vertAlign val="superscript"/>
        <sz val="12"/>
        <rFont val="Century Gothic"/>
        <family val="2"/>
      </rPr>
      <t xml:space="preserve"> 2</t>
    </r>
  </si>
  <si>
    <t>2) FY2016 reviewed on February 22, 2018; no changes.</t>
  </si>
  <si>
    <t>BPA Power Business Line Costs, FY 2017</t>
  </si>
  <si>
    <t>This information has been made publicly available by BPA on 3/20/2018.  The figures shown are consistent with audited actuals that contain Agency approved financial information, except for forgone revenues and power purchases which are estimates and do not contain Agency approved financial information</t>
  </si>
  <si>
    <t>1/  Capital Investments include both BPA's direct Fish and Wildlife Program capital investments, funded by BPA's Treasury borrowing, and "Associated Projects", which include capital investments at Corps of Engineers' and Bureau of Reclamation projects, funded by appropriations and repaid by BPA.  The negative amount in FY 1997 reflects a decision to reverse "plant-in-service" investment that was never actually placed into service.   The annual expenses associated with these investments are included in "Program-Related Fixed Expenses", below.</t>
  </si>
  <si>
    <t xml:space="preserve">2/ Includes High Priority and Action Plan Expenses and other supplemental programs. </t>
  </si>
  <si>
    <t>3/ "Reimbursable/Direct-Funded Projects" includes the portion of costs BPA pays to or on behalf of other entities that is determined to be for fish and wildlife purposes.</t>
  </si>
  <si>
    <t xml:space="preserve">4/  "Fixed Expenses" include depreciation, amortization and interest on investments on the Corps of Engineers' projects, and amortization and interest on the investments associated with BPA's direct Fish and Wildlife Program.                         
</t>
  </si>
  <si>
    <t>Total fixed costs</t>
  </si>
  <si>
    <t>Total reimburseable costs</t>
  </si>
  <si>
    <t>◄</t>
  </si>
  <si>
    <t>Capital investments</t>
  </si>
  <si>
    <t>Federal credits from U.S. Treasury 4(h)(10)(C)</t>
  </si>
  <si>
    <t>4) Negative values for Capital Spending are a result of over-accruing costs in the previous year.</t>
  </si>
  <si>
    <r>
      <t>Chub, Oregon (delisted)</t>
    </r>
    <r>
      <rPr>
        <vertAlign val="superscript"/>
        <sz val="11"/>
        <color theme="1"/>
        <rFont val="Century Gothic"/>
        <family val="2"/>
      </rPr>
      <t xml:space="preserve"> 4</t>
    </r>
  </si>
  <si>
    <t>4) Oregon Chub, once an endangered species, have rebounded and were delisted in 2015.</t>
  </si>
  <si>
    <t>4) In this figure and the corresponding table, overhead is reported two ways: BPA internal support ($14,542,931) and technical support ($2,023,130) for a total of $16,566,061, rounded up to $17 million.</t>
  </si>
  <si>
    <t>1) BPA’s database identifies projects by their “Purpose” (general goal) and “Emphasis” (primary type of work, e.g., habitat restoration). BPA does not track its project management overhead against individual projects or contracts, so there is no easy or accurate way to allocate BPA overhead to specific purposes or emphases.  Thus, in the above report, BPA includes its staffing to manage the 600-plus contracts in its fish and wildlife program in the category identified as Coordination (BPA Overhead), and its direct technical services contracts for Data Management and Research, Monitoring, and Evaluation in those respective categories.  This differs from the BPA overhead amount reported in Figure and Table 5, which includes internal support plus technical support. Here, Figure and Table 6 only reports internal support as BPA overhead. Technical support is included in the amounts reported in the individual categories.</t>
  </si>
  <si>
    <t>1) Estimated spending is based at the project level.  Therefore if a project is labeled Artificial Production, but also supports Habitat, the expenditures are counted as Artificial Production.</t>
  </si>
  <si>
    <t>2) The term “Programmatic” is used to describe projects whose purpose is broader than a specific project or region, but falls under the larger umbrella of the overall Fish and Wildlife Program. Examples include projects such as Coded Wire Tags, Climate Change Impacts, the Integrated Status and Effectiveness Monitoring Program, the Comparative Survival Study, and the Fish Passage Center.</t>
  </si>
  <si>
    <t>4) Local/Semi Government means city, county, soil and water conservation districts, and watershed council entities.</t>
  </si>
  <si>
    <t>5) “Federal: BPA Overhead (and Non-contractoed Project Costs)” refers to BPA overhead costs and also non-contracted project costs such as PIT tag costs, utilities, advertising, NEPA, and expenses involving ancillary land acquisition expenses.</t>
  </si>
  <si>
    <r>
      <t xml:space="preserve">2016 </t>
    </r>
    <r>
      <rPr>
        <b/>
        <vertAlign val="superscript"/>
        <sz val="12"/>
        <rFont val="Century Gothic"/>
        <family val="2"/>
      </rPr>
      <t>2</t>
    </r>
  </si>
  <si>
    <t>Yakama Nation Ceded Lands Lamprey Evaluation and Restoration</t>
  </si>
  <si>
    <t>2008-470-00</t>
  </si>
  <si>
    <t>Willamette Falls Lamprey Escapement Estimate</t>
  </si>
  <si>
    <t>2008-308-00</t>
  </si>
  <si>
    <t>Walla Walla River Basin Monitoring and Evaluation (M&amp;E)</t>
  </si>
  <si>
    <t>2000-039-00</t>
  </si>
  <si>
    <t>Upstream Migration Timing</t>
  </si>
  <si>
    <t>2008-518-00</t>
  </si>
  <si>
    <t>Upper Columbia Spring Chinook and Steelhead Juvenile and Adult Abundance, Productivity and Spatial Structure Monitoring</t>
  </si>
  <si>
    <t>2010-034-00</t>
  </si>
  <si>
    <t>Technical and Analytical Support for ESA Activities/Issues</t>
  </si>
  <si>
    <t>1996-017-00</t>
  </si>
  <si>
    <t>Sturgeon Genetics</t>
  </si>
  <si>
    <t>2008-504-00</t>
  </si>
  <si>
    <t>Studies into Factors Limiting the Abundance of Okanagan and Wenatchee Sockeye Salmon</t>
  </si>
  <si>
    <t>2008-503-00</t>
  </si>
  <si>
    <t>Status and Trend Annual Reporting</t>
  </si>
  <si>
    <t>2009-002-00</t>
  </si>
  <si>
    <t>Statistical Support For Salmon</t>
  </si>
  <si>
    <t>1989-107-00</t>
  </si>
  <si>
    <t>Snake River Chinook and Steelhead Parental Based Tagging</t>
  </si>
  <si>
    <t>2010-031-00</t>
  </si>
  <si>
    <t>Smolt Monitoring by Non-Federal Entities</t>
  </si>
  <si>
    <t>1987-127-00</t>
  </si>
  <si>
    <t>Resident Fish Research, Monitoring and Evaluation (RM&amp;E)</t>
  </si>
  <si>
    <t>2008-109-00</t>
  </si>
  <si>
    <t>Research, monitoring, and evaluation of emerging issues and measures to recover the Snake River fall Chinook salmon ESU</t>
  </si>
  <si>
    <t>1991-029-00</t>
  </si>
  <si>
    <t>Project to provided VSP Estimates for Yakima Steelhead MPG</t>
  </si>
  <si>
    <t>2010-030-00</t>
  </si>
  <si>
    <t>Pit Tag purchase for RFP</t>
  </si>
  <si>
    <t>2011-015-00</t>
  </si>
  <si>
    <t xml:space="preserve">Pacific Lamprey Research and Restoration Project </t>
  </si>
  <si>
    <t>1994-026-00</t>
  </si>
  <si>
    <t>Okanogan Basin Monitoring &amp; Evaluation Program (OBMEP)</t>
  </si>
  <si>
    <t>2003-022-00</t>
  </si>
  <si>
    <t>Ocean Survival Of Salmonids</t>
  </si>
  <si>
    <t>1998-014-00</t>
  </si>
  <si>
    <t>Natural Production Management and Monitoring</t>
  </si>
  <si>
    <t>2008-311-00</t>
  </si>
  <si>
    <t>Modeling and Evaluation Statistical Support for Life-Cycle Studies</t>
  </si>
  <si>
    <t>1991-051-00</t>
  </si>
  <si>
    <t>Lower Columbia Coded Wire Tag (CWT) Recovery Project</t>
  </si>
  <si>
    <t>2010-036-00</t>
  </si>
  <si>
    <t>Lake Roosevelt Burbot Population Assessment</t>
  </si>
  <si>
    <t>2008-115-00</t>
  </si>
  <si>
    <t>Investigation of Relative Reproductive Success of Stray Hatchery &amp; Wild Steelhead &amp; Influence of Hatchery Strays on Natural Productivity in Deschutes</t>
  </si>
  <si>
    <t>2007-299-00</t>
  </si>
  <si>
    <t>Integrated Status and Effectiveness Monitoring Program (ISEMP)</t>
  </si>
  <si>
    <t>2003-017-00</t>
  </si>
  <si>
    <t>Influence of Environment and Landscape on Salmonid Genetics</t>
  </si>
  <si>
    <t>2009-005-00</t>
  </si>
  <si>
    <t>Imnaha River Steelhead Status Monitoring</t>
  </si>
  <si>
    <t>2010-032-00</t>
  </si>
  <si>
    <t>Genetic Assessment of Columbia River Stocks</t>
  </si>
  <si>
    <t>2008-907-00</t>
  </si>
  <si>
    <t>Fish Passage Center</t>
  </si>
  <si>
    <t>1994-033-00</t>
  </si>
  <si>
    <t>Evaluate Stream Habitat- Nez Perce Tribe Watershed Monitoring and Evaluation (M&amp;E) Plan</t>
  </si>
  <si>
    <t>2002-068-00</t>
  </si>
  <si>
    <t>Evaluate Status &amp; Limiting Factors of Pacific Lamprey in the lower Deschutes River, Fifteenmile Creek and Hood River Subbasins</t>
  </si>
  <si>
    <t>2011-014-00</t>
  </si>
  <si>
    <t>Develop a Master Plan for a Rearing Facility to Enhance Selected Populations of White Sturgeon in the Columbia River Basin</t>
  </si>
  <si>
    <t>2007-155-00</t>
  </si>
  <si>
    <t>Deschutes River Sockeye Development</t>
  </si>
  <si>
    <t>2008-307-00</t>
  </si>
  <si>
    <t>Deschutes River Fall Chinook Research and Monitoring</t>
  </si>
  <si>
    <t>2008-306-00</t>
  </si>
  <si>
    <t>Cultural Resource Work</t>
  </si>
  <si>
    <t>2008-002-00</t>
  </si>
  <si>
    <t>Comparative Survival Study (CSS)</t>
  </si>
  <si>
    <t>1996-020-00</t>
  </si>
  <si>
    <t>Columbia Basin Pit-Tag Information</t>
  </si>
  <si>
    <t>1990-080-00</t>
  </si>
  <si>
    <t>Coded Wire-Tag Pacific States Marine Fisheries Commission (PSMFC)</t>
  </si>
  <si>
    <t>1982-013-01</t>
  </si>
  <si>
    <t>Coded Wire Tag US Fish and Wildlife Service (USFWS)</t>
  </si>
  <si>
    <t>1982-013-03</t>
  </si>
  <si>
    <t>Climate Change Impacts</t>
  </si>
  <si>
    <t>2009-008-00</t>
  </si>
  <si>
    <t>Chinook and Steelhead Genotyping for Genetic Stock Identification (GSI) at Lower Granite Dam</t>
  </si>
  <si>
    <t>2010-026-00</t>
  </si>
  <si>
    <t>Bull Trout Status and Abundance on Warm Springs Reservation</t>
  </si>
  <si>
    <t>2007-157-00</t>
  </si>
  <si>
    <t>BPA Project Action Effectiveness Monitoring (AEM) Programmatic</t>
  </si>
  <si>
    <t>2016-001-00</t>
  </si>
  <si>
    <t>Assess Reintroduction of Steelhead in Butte, McKay &amp; Willow Creeks</t>
  </si>
  <si>
    <t>2008-203-00</t>
  </si>
  <si>
    <t>Assess Reintroduction of Anadromous Fish in Burnt, Powder &amp; Malheur Rivers</t>
  </si>
  <si>
    <t>2008-204-00</t>
  </si>
  <si>
    <t>Analyze Persistence and Dynamics in Chinook Redds</t>
  </si>
  <si>
    <t>1999-020-00</t>
  </si>
  <si>
    <t>AMIP Salmonid Life Cycle Model Support</t>
  </si>
  <si>
    <t>2012-001-00</t>
  </si>
  <si>
    <t>Abundance, Productivity and Life History of Fifteenmile Creek Winter Steelhead</t>
  </si>
  <si>
    <t>2010-035-00</t>
  </si>
  <si>
    <t>Expenditures</t>
  </si>
  <si>
    <t>Project Title</t>
  </si>
  <si>
    <t>Project Number</t>
  </si>
  <si>
    <t>Programmatic Category Projects Only</t>
  </si>
  <si>
    <t>Direct Program Expenditures for Research, Monitoring and Evaluation (RM&amp;E), FY2017</t>
  </si>
  <si>
    <t>(These projects comprise the current year totals on the 7_RME [Figure 7] sheet)</t>
  </si>
  <si>
    <t>Cumulative</t>
  </si>
  <si>
    <t>BPA Fish and Wildlife Credits</t>
  </si>
  <si>
    <t>Total BPA F&amp;W Ops Costs (not adjusted for Fish Credits</t>
  </si>
  <si>
    <t>Total BPA F&amp;W Costs (not adjusted for Fish Credits</t>
  </si>
  <si>
    <t>Net BPA F&amp;W Costs (adjusted for Fish Credits)</t>
  </si>
  <si>
    <t xml:space="preserve"> 1991</t>
  </si>
  <si>
    <t xml:space="preserve"> 1990</t>
  </si>
  <si>
    <t xml:space="preserve"> 1989</t>
  </si>
  <si>
    <t xml:space="preserve"> 1988</t>
  </si>
  <si>
    <t xml:space="preserve"> 1987</t>
  </si>
  <si>
    <t xml:space="preserve"> 1986</t>
  </si>
  <si>
    <t xml:space="preserve"> 1985</t>
  </si>
  <si>
    <t xml:space="preserve"> 1984</t>
  </si>
  <si>
    <t xml:space="preserve"> 1983</t>
  </si>
  <si>
    <t xml:space="preserve"> 1982</t>
  </si>
  <si>
    <t xml:space="preserve"> 1981</t>
  </si>
  <si>
    <t xml:space="preserve"> 1978-1980</t>
  </si>
  <si>
    <t xml:space="preserve"> ($millions)</t>
  </si>
  <si>
    <t>TOTAL CREDITS</t>
  </si>
  <si>
    <t>FISH COST CONTINGENCY FUND</t>
  </si>
  <si>
    <t>4(h)(10)(C)</t>
  </si>
  <si>
    <t>CREDITS</t>
  </si>
  <si>
    <t>TOTAL PROGRAM EXPENSES, FOREGONE REVENUES, &amp; POWER PURCHASES</t>
  </si>
  <si>
    <t>TOTAL FOREGONE REVENUES AND POWER PURCHASES</t>
  </si>
  <si>
    <t xml:space="preserve">BPA POWER PURCH. FOR FISH ENHANCEMENT  </t>
  </si>
  <si>
    <t xml:space="preserve">FOREGONE REVENUES </t>
  </si>
  <si>
    <t xml:space="preserve">FORGONE REVENUES AND POWER PURCHASES </t>
  </si>
  <si>
    <t xml:space="preserve"> GRAND TOTAL PROGRAM  EXPENSES</t>
  </si>
  <si>
    <t xml:space="preserve">    TOTAL FIXED EXPENSES</t>
  </si>
  <si>
    <t xml:space="preserve">        DEPRECIATION EXPENSE  </t>
  </si>
  <si>
    <t xml:space="preserve">        AMORTIZATION EXPENSE  </t>
  </si>
  <si>
    <t xml:space="preserve">         INTEREST EXPENSE  </t>
  </si>
  <si>
    <r>
      <t xml:space="preserve">PROGRAM RELATED FIXED EXPENSES   </t>
    </r>
    <r>
      <rPr>
        <b/>
        <vertAlign val="superscript"/>
        <sz val="12"/>
        <rFont val="Arial"/>
        <family val="2"/>
      </rPr>
      <t>4/</t>
    </r>
  </si>
  <si>
    <t xml:space="preserve">      TOTAL OPERATING EXPENSES</t>
  </si>
  <si>
    <t>SUBTOTAL (REIMB/DIRECT-FUNDED)</t>
  </si>
  <si>
    <t xml:space="preserve">        NW POWER AND CONSERVATION COUNCIL ALLOCATED @ 50%</t>
  </si>
  <si>
    <t xml:space="preserve">        O &amp; M BUREAU OF RECLAMATION</t>
  </si>
  <si>
    <t xml:space="preserve">        O &amp; M CORPS OF ENGINEERS</t>
  </si>
  <si>
    <t xml:space="preserve">        O &amp; M  LOWER SNAKE RIVER HATCHERIES</t>
  </si>
  <si>
    <r>
      <t xml:space="preserve">REIMBURSABLE/DIRECT-FUNDED PROJECTS </t>
    </r>
    <r>
      <rPr>
        <b/>
        <vertAlign val="superscript"/>
        <sz val="12"/>
        <rFont val="Arial"/>
        <family val="2"/>
      </rPr>
      <t>3/</t>
    </r>
  </si>
  <si>
    <r>
      <t xml:space="preserve">SUPPLEMENTAL MITIGATION PROGRAM EXPENSES </t>
    </r>
    <r>
      <rPr>
        <b/>
        <vertAlign val="superscript"/>
        <sz val="12"/>
        <rFont val="Arial"/>
        <family val="2"/>
      </rPr>
      <t>2/</t>
    </r>
  </si>
  <si>
    <t>FISH &amp; WILDLIFE SOFTWARE EXPENSE COSTS</t>
  </si>
  <si>
    <t xml:space="preserve">BPA  DIRECT FISH AND WILDLIFE PROGRAM  </t>
  </si>
  <si>
    <t>PROGRAM EXPENSES</t>
  </si>
  <si>
    <t xml:space="preserve">     TOTAL  CAPITAL  INVESTMENTS</t>
  </si>
  <si>
    <t xml:space="preserve">         ASSOCIATED PROJECTS (FEDERAL HYDRO) </t>
  </si>
  <si>
    <t xml:space="preserve">         BPA  SOFTWARE DEVELOPMENT COSTS </t>
  </si>
  <si>
    <t xml:space="preserve">         BPA  FISH AND WILDLIFE  </t>
  </si>
  <si>
    <r>
      <t xml:space="preserve">CAPITAL  INVESTMENTS </t>
    </r>
    <r>
      <rPr>
        <b/>
        <u/>
        <vertAlign val="superscript"/>
        <sz val="12"/>
        <rFont val="Arial"/>
        <family val="2"/>
      </rPr>
      <t xml:space="preserve"> 1/</t>
    </r>
  </si>
  <si>
    <t>1980 through 2017</t>
  </si>
  <si>
    <t>COST ELEMENT</t>
  </si>
  <si>
    <r>
      <t xml:space="preserve">                      </t>
    </r>
    <r>
      <rPr>
        <b/>
        <sz val="20"/>
        <rFont val="Arial"/>
        <family val="2"/>
      </rPr>
      <t>Total Cost of BPA Fish &amp; Wildlife Actions</t>
    </r>
  </si>
  <si>
    <t>Note: Create legend for this chart in InDesign so that the top-to-bottom order matches (Excel reverses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</si>
</sst>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 &quot;million&quot;"/>
    <numFmt numFmtId="167" formatCode="_(&quot;$&quot;* #,##0_);_(&quot;$&quot;* \(#,##0\);_(&quot;$&quot;* &quot;-&quot;??_);_(@_)"/>
    <numFmt numFmtId="168" formatCode="&quot;$&quot;#,,\ &quot;million&quot;"/>
    <numFmt numFmtId="169" formatCode="&quot;$&quot;#,##0.0"/>
    <numFmt numFmtId="170" formatCode="&quot;$&quot;#.0,,\ &quot;million&quot;"/>
    <numFmt numFmtId="171" formatCode="_(* #,##0.0_);_(* \(#,##0.0\);_(* &quot;-&quot;??_);_(@_)"/>
    <numFmt numFmtId="172" formatCode="0.0_);\(0.0\)"/>
    <numFmt numFmtId="173" formatCode="0.000"/>
    <numFmt numFmtId="174" formatCode="_(* #,##0_);_(* \(#,##0\);_(* &quot;-&quot;??_);_(@_)"/>
    <numFmt numFmtId="175" formatCode="0_);\(0\)"/>
    <numFmt numFmtId="176" formatCode="_(* #,##0.0_);_(* \(#,##0.0\);_(* &quot;-&quot;?_);_(@_)"/>
    <numFmt numFmtId="177" formatCode="0.0"/>
  </numFmts>
  <fonts count="55">
    <font>
      <sz val="10"/>
      <name val="Helv"/>
    </font>
    <font>
      <sz val="10"/>
      <name val="Helv"/>
    </font>
    <font>
      <sz val="10"/>
      <name val="Arial"/>
      <family val="2"/>
    </font>
    <font>
      <sz val="8"/>
      <name val="Arial"/>
      <family val="2"/>
    </font>
    <font>
      <sz val="12"/>
      <name val="Century Gothic"/>
      <family val="2"/>
    </font>
    <font>
      <sz val="12"/>
      <name val="Times New Roman"/>
      <family val="1"/>
    </font>
    <font>
      <b/>
      <sz val="10"/>
      <name val="Arial"/>
      <family val="2"/>
    </font>
    <font>
      <b/>
      <sz val="12"/>
      <name val="Century Gothic"/>
      <family val="2"/>
    </font>
    <font>
      <sz val="10"/>
      <name val="Arial"/>
      <family val="2"/>
    </font>
    <font>
      <b/>
      <i/>
      <sz val="12"/>
      <name val="Century Gothic"/>
      <family val="2"/>
    </font>
    <font>
      <b/>
      <vertAlign val="superscript"/>
      <sz val="12"/>
      <name val="Century Gothic"/>
      <family val="2"/>
    </font>
    <font>
      <sz val="10"/>
      <name val="Arial Unicode MS"/>
      <family val="2"/>
    </font>
    <font>
      <sz val="11"/>
      <color theme="1"/>
      <name val="Calibri"/>
      <family val="2"/>
      <scheme val="minor"/>
    </font>
    <font>
      <sz val="11"/>
      <color theme="1"/>
      <name val="Century Gothic"/>
      <family val="2"/>
    </font>
    <font>
      <b/>
      <sz val="11"/>
      <color theme="1"/>
      <name val="Century Gothic"/>
      <family val="2"/>
    </font>
    <font>
      <i/>
      <sz val="11"/>
      <color theme="1"/>
      <name val="Century Gothic"/>
      <family val="2"/>
    </font>
    <font>
      <b/>
      <i/>
      <sz val="11"/>
      <color theme="1"/>
      <name val="Century Gothic"/>
      <family val="2"/>
    </font>
    <font>
      <b/>
      <sz val="14"/>
      <color theme="1"/>
      <name val="Century Gothic"/>
      <family val="2"/>
    </font>
    <font>
      <sz val="11"/>
      <name val="Century Gothic"/>
      <family val="2"/>
    </font>
    <font>
      <b/>
      <sz val="11"/>
      <name val="Century Gothic"/>
      <family val="2"/>
    </font>
    <font>
      <b/>
      <i/>
      <sz val="11"/>
      <name val="Century Gothic"/>
      <family val="2"/>
    </font>
    <font>
      <vertAlign val="superscript"/>
      <sz val="12"/>
      <name val="Century Gothic"/>
      <family val="2"/>
    </font>
    <font>
      <b/>
      <sz val="12"/>
      <color rgb="FFFF0000"/>
      <name val="Century Gothic"/>
      <family val="2"/>
    </font>
    <font>
      <sz val="10"/>
      <color rgb="FFFF0000"/>
      <name val="Arial"/>
      <family val="2"/>
    </font>
    <font>
      <sz val="12"/>
      <color rgb="FFFF0000"/>
      <name val="Century Gothic"/>
      <family val="2"/>
    </font>
    <font>
      <sz val="9"/>
      <name val="Arial"/>
      <family val="2"/>
    </font>
    <font>
      <u/>
      <sz val="12"/>
      <name val="Century Gothic"/>
      <family val="2"/>
    </font>
    <font>
      <b/>
      <sz val="8"/>
      <name val="Arial"/>
      <family val="2"/>
    </font>
    <font>
      <b/>
      <sz val="12"/>
      <color theme="1"/>
      <name val="Century Gothic"/>
      <family val="2"/>
    </font>
    <font>
      <sz val="12"/>
      <color theme="1"/>
      <name val="Century Gothic"/>
      <family val="2"/>
    </font>
    <font>
      <vertAlign val="superscript"/>
      <sz val="12"/>
      <color theme="1"/>
      <name val="Century Gothic"/>
      <family val="2"/>
    </font>
    <font>
      <b/>
      <vertAlign val="superscript"/>
      <sz val="11"/>
      <name val="Century Gothic"/>
      <family val="2"/>
    </font>
    <font>
      <vertAlign val="superscript"/>
      <sz val="11"/>
      <name val="Century Gothic"/>
      <family val="2"/>
    </font>
    <font>
      <b/>
      <sz val="14"/>
      <name val="Century Gothic"/>
      <family val="2"/>
    </font>
    <font>
      <sz val="10"/>
      <name val="Arial"/>
      <family val="2"/>
    </font>
    <font>
      <sz val="10"/>
      <name val="Century Gothic"/>
      <family val="2"/>
    </font>
    <font>
      <b/>
      <sz val="10"/>
      <name val="Century Gothic"/>
      <family val="2"/>
    </font>
    <font>
      <vertAlign val="superscript"/>
      <sz val="11"/>
      <color theme="1"/>
      <name val="Century Gothic"/>
      <family val="2"/>
    </font>
    <font>
      <b/>
      <sz val="11"/>
      <color theme="0"/>
      <name val="Century Gothic"/>
      <family val="2"/>
    </font>
    <font>
      <sz val="11"/>
      <color theme="1"/>
      <name val="Arial"/>
      <family val="2"/>
    </font>
    <font>
      <sz val="10"/>
      <name val="Arial"/>
    </font>
    <font>
      <sz val="12"/>
      <name val="Arial"/>
      <family val="2"/>
    </font>
    <font>
      <b/>
      <sz val="14"/>
      <name val="Arial"/>
      <family val="2"/>
    </font>
    <font>
      <b/>
      <sz val="16"/>
      <name val="Arial"/>
      <family val="2"/>
    </font>
    <font>
      <sz val="16"/>
      <name val="Arial"/>
      <family val="2"/>
    </font>
    <font>
      <b/>
      <sz val="12"/>
      <name val="Arial"/>
      <family val="2"/>
    </font>
    <font>
      <b/>
      <sz val="12"/>
      <color theme="1" tint="4.9989318521683403E-2"/>
      <name val="Arial"/>
      <family val="2"/>
    </font>
    <font>
      <sz val="12"/>
      <color theme="1" tint="4.9989318521683403E-2"/>
      <name val="Arial"/>
      <family val="2"/>
    </font>
    <font>
      <b/>
      <u/>
      <sz val="12"/>
      <name val="Arial"/>
      <family val="2"/>
    </font>
    <font>
      <b/>
      <vertAlign val="superscript"/>
      <sz val="12"/>
      <name val="Arial"/>
      <family val="2"/>
    </font>
    <font>
      <b/>
      <u/>
      <vertAlign val="superscript"/>
      <sz val="12"/>
      <name val="Arial"/>
      <family val="2"/>
    </font>
    <font>
      <b/>
      <sz val="20"/>
      <name val="Arial"/>
      <family val="2"/>
    </font>
    <font>
      <b/>
      <sz val="12"/>
      <color indexed="10"/>
      <name val="Arial"/>
      <family val="2"/>
    </font>
    <font>
      <b/>
      <sz val="10"/>
      <color indexed="10"/>
      <name val="Arial"/>
      <family val="2"/>
    </font>
    <font>
      <sz val="8"/>
      <color indexed="81"/>
      <name val="Tahoma"/>
      <family val="2"/>
    </font>
  </fonts>
  <fills count="18">
    <fill>
      <patternFill patternType="none"/>
    </fill>
    <fill>
      <patternFill patternType="gray125"/>
    </fill>
    <fill>
      <patternFill patternType="solid">
        <fgColor rgb="FFFFFFCC"/>
      </patternFill>
    </fill>
    <fill>
      <patternFill patternType="solid">
        <fgColor theme="6"/>
        <bgColor indexed="64"/>
      </patternFill>
    </fill>
    <fill>
      <patternFill patternType="solid">
        <fgColor theme="6" tint="0.39997558519241921"/>
        <bgColor indexed="64"/>
      </patternFill>
    </fill>
    <fill>
      <patternFill patternType="solid">
        <fgColor rgb="FF9BBB59"/>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9"/>
        <bgColor indexed="64"/>
      </patternFill>
    </fill>
    <fill>
      <patternFill patternType="solid">
        <fgColor theme="0"/>
        <bgColor indexed="64"/>
      </patternFill>
    </fill>
    <fill>
      <patternFill patternType="solid">
        <fgColor indexed="52"/>
        <bgColor indexed="64"/>
      </patternFill>
    </fill>
    <fill>
      <patternFill patternType="solid">
        <fgColor indexed="46"/>
        <bgColor indexed="64"/>
      </patternFill>
    </fill>
    <fill>
      <patternFill patternType="solid">
        <fgColor indexed="21"/>
        <bgColor indexed="64"/>
      </patternFill>
    </fill>
    <fill>
      <patternFill patternType="solid">
        <fgColor indexed="49"/>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theme="0" tint="-0.24994659260841701"/>
      </top>
      <bottom style="double">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top/>
      <bottom style="medium">
        <color indexed="64"/>
      </bottom>
      <diagonal/>
    </border>
  </borders>
  <cellStyleXfs count="19">
    <xf numFmtId="0" fontId="0" fillId="0" borderId="0"/>
    <xf numFmtId="9" fontId="1" fillId="0" borderId="0" applyFont="0" applyFill="0" applyBorder="0" applyAlignment="0" applyProtection="0"/>
    <xf numFmtId="0" fontId="2" fillId="0" borderId="0"/>
    <xf numFmtId="0" fontId="5" fillId="0" borderId="0"/>
    <xf numFmtId="0" fontId="2" fillId="0" borderId="0"/>
    <xf numFmtId="44" fontId="2" fillId="0" borderId="0" applyFont="0" applyFill="0" applyBorder="0" applyAlignment="0" applyProtection="0"/>
    <xf numFmtId="0" fontId="8" fillId="0" borderId="0"/>
    <xf numFmtId="0" fontId="11" fillId="0" borderId="0"/>
    <xf numFmtId="0" fontId="12" fillId="0" borderId="0"/>
    <xf numFmtId="0" fontId="12" fillId="2" borderId="4" applyNumberFormat="0" applyFont="0" applyAlignment="0" applyProtection="0"/>
    <xf numFmtId="0" fontId="8" fillId="0" borderId="0"/>
    <xf numFmtId="44" fontId="8"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1" fillId="0" borderId="0"/>
    <xf numFmtId="43" fontId="12" fillId="0" borderId="0" applyFont="0" applyFill="0" applyBorder="0" applyAlignment="0" applyProtection="0"/>
    <xf numFmtId="0" fontId="34" fillId="0" borderId="0"/>
    <xf numFmtId="0" fontId="40" fillId="0" borderId="0"/>
  </cellStyleXfs>
  <cellXfs count="465">
    <xf numFmtId="0" fontId="0" fillId="0" borderId="0" xfId="0"/>
    <xf numFmtId="0" fontId="3" fillId="0" borderId="0" xfId="2" applyFont="1" applyFill="1"/>
    <xf numFmtId="0" fontId="3" fillId="0" borderId="0" xfId="2" applyFont="1" applyFill="1" applyAlignment="1">
      <alignment horizontal="left"/>
    </xf>
    <xf numFmtId="0" fontId="4" fillId="0" borderId="0" xfId="2" applyFont="1" applyFill="1" applyBorder="1"/>
    <xf numFmtId="0" fontId="4" fillId="0" borderId="0" xfId="2" applyFont="1" applyFill="1" applyBorder="1" applyAlignment="1">
      <alignment horizontal="left"/>
    </xf>
    <xf numFmtId="0" fontId="7" fillId="0" borderId="1" xfId="4" applyFont="1" applyFill="1" applyBorder="1" applyAlignment="1">
      <alignment horizontal="left" wrapText="1"/>
    </xf>
    <xf numFmtId="164" fontId="8" fillId="0" borderId="0" xfId="5" applyNumberFormat="1" applyFont="1" applyBorder="1"/>
    <xf numFmtId="164" fontId="4" fillId="0" borderId="0" xfId="2" applyNumberFormat="1" applyFont="1" applyFill="1" applyBorder="1"/>
    <xf numFmtId="0" fontId="4" fillId="0" borderId="0" xfId="4" applyFont="1" applyFill="1" applyBorder="1" applyAlignment="1">
      <alignment horizontal="right" wrapText="1"/>
    </xf>
    <xf numFmtId="0" fontId="9" fillId="0" borderId="0" xfId="4" applyFont="1" applyFill="1" applyBorder="1" applyAlignment="1">
      <alignment horizontal="left"/>
    </xf>
    <xf numFmtId="0" fontId="4" fillId="0" borderId="0" xfId="4" applyFont="1" applyFill="1" applyBorder="1" applyAlignment="1">
      <alignment horizontal="left" wrapText="1" indent="1"/>
    </xf>
    <xf numFmtId="0" fontId="8" fillId="0" borderId="0" xfId="4" applyFont="1" applyFill="1" applyBorder="1" applyAlignment="1">
      <alignment horizontal="center" wrapText="1"/>
    </xf>
    <xf numFmtId="0" fontId="8" fillId="0" borderId="0" xfId="2" applyFont="1" applyFill="1" applyBorder="1" applyAlignment="1" applyProtection="1">
      <alignment horizontal="center"/>
      <protection locked="0"/>
    </xf>
    <xf numFmtId="0" fontId="7" fillId="3" borderId="0" xfId="4" applyFont="1" applyFill="1" applyBorder="1" applyAlignment="1">
      <alignment horizontal="left" wrapText="1"/>
    </xf>
    <xf numFmtId="0" fontId="8" fillId="0" borderId="0" xfId="6"/>
    <xf numFmtId="0" fontId="4" fillId="0" borderId="0" xfId="6" applyFont="1" applyBorder="1"/>
    <xf numFmtId="0" fontId="7" fillId="0" borderId="0" xfId="6" applyFont="1" applyBorder="1"/>
    <xf numFmtId="0" fontId="6" fillId="0" borderId="0" xfId="6" applyFont="1"/>
    <xf numFmtId="164" fontId="7" fillId="0" borderId="3" xfId="6" applyNumberFormat="1" applyFont="1" applyBorder="1"/>
    <xf numFmtId="164" fontId="7" fillId="0" borderId="2" xfId="6" applyNumberFormat="1" applyFont="1" applyBorder="1"/>
    <xf numFmtId="0" fontId="7" fillId="0" borderId="1" xfId="6" applyFont="1" applyBorder="1"/>
    <xf numFmtId="0" fontId="7" fillId="0" borderId="0" xfId="6" applyFont="1" applyBorder="1" applyAlignment="1">
      <alignment vertical="top"/>
    </xf>
    <xf numFmtId="0" fontId="13" fillId="0" borderId="0" xfId="8" applyFont="1"/>
    <xf numFmtId="0" fontId="14" fillId="0" borderId="0" xfId="8" applyFont="1" applyAlignment="1">
      <alignment horizontal="center"/>
    </xf>
    <xf numFmtId="0" fontId="15" fillId="0" borderId="0" xfId="8" applyFont="1" applyAlignment="1">
      <alignment horizontal="center"/>
    </xf>
    <xf numFmtId="0" fontId="13" fillId="0" borderId="0" xfId="8" applyFont="1" applyAlignment="1">
      <alignment horizontal="center"/>
    </xf>
    <xf numFmtId="0" fontId="14" fillId="0" borderId="0" xfId="8" applyFont="1"/>
    <xf numFmtId="6" fontId="14" fillId="0" borderId="0" xfId="8" applyNumberFormat="1" applyFont="1" applyAlignment="1"/>
    <xf numFmtId="0" fontId="13" fillId="0" borderId="0" xfId="8" applyFont="1" applyAlignment="1">
      <alignment wrapText="1"/>
    </xf>
    <xf numFmtId="0" fontId="14" fillId="3" borderId="0" xfId="8" applyFont="1" applyFill="1" applyAlignment="1">
      <alignment horizontal="center" wrapText="1"/>
    </xf>
    <xf numFmtId="0" fontId="16" fillId="3" borderId="0" xfId="8" applyFont="1" applyFill="1" applyAlignment="1">
      <alignment horizontal="center" wrapText="1"/>
    </xf>
    <xf numFmtId="0" fontId="14" fillId="3" borderId="0" xfId="8" applyFont="1" applyFill="1" applyAlignment="1">
      <alignment wrapText="1"/>
    </xf>
    <xf numFmtId="0" fontId="18" fillId="0" borderId="0" xfId="10" applyFont="1" applyFill="1" applyBorder="1"/>
    <xf numFmtId="164" fontId="18" fillId="0" borderId="0" xfId="10" applyNumberFormat="1" applyFont="1" applyFill="1" applyBorder="1" applyAlignment="1">
      <alignment horizontal="center"/>
    </xf>
    <xf numFmtId="0" fontId="18" fillId="0" borderId="0" xfId="10" applyFont="1" applyFill="1" applyBorder="1" applyAlignment="1">
      <alignment horizontal="center"/>
    </xf>
    <xf numFmtId="0" fontId="18" fillId="0" borderId="0" xfId="3" applyFont="1" applyFill="1" applyBorder="1" applyAlignment="1">
      <alignment horizontal="left"/>
    </xf>
    <xf numFmtId="0" fontId="18" fillId="0" borderId="0" xfId="3" applyFont="1" applyFill="1" applyBorder="1"/>
    <xf numFmtId="164" fontId="18" fillId="0" borderId="0" xfId="10" applyNumberFormat="1" applyFont="1" applyFill="1" applyBorder="1"/>
    <xf numFmtId="0" fontId="19" fillId="0" borderId="0" xfId="3" applyFont="1" applyFill="1" applyBorder="1"/>
    <xf numFmtId="0" fontId="19" fillId="0" borderId="1" xfId="3" applyFont="1" applyFill="1" applyBorder="1" applyAlignment="1">
      <alignment horizontal="left"/>
    </xf>
    <xf numFmtId="0" fontId="19" fillId="4" borderId="0" xfId="3" applyFont="1" applyFill="1" applyBorder="1"/>
    <xf numFmtId="164" fontId="20" fillId="0" borderId="0" xfId="10" applyNumberFormat="1" applyFont="1" applyFill="1" applyBorder="1" applyAlignment="1">
      <alignment horizontal="center"/>
    </xf>
    <xf numFmtId="0" fontId="19" fillId="0" borderId="0" xfId="3" applyFont="1" applyFill="1" applyBorder="1" applyAlignment="1">
      <alignment vertical="top"/>
    </xf>
    <xf numFmtId="165" fontId="18" fillId="0" borderId="0" xfId="1" applyNumberFormat="1" applyFont="1" applyFill="1" applyBorder="1" applyAlignment="1">
      <alignment horizontal="center"/>
    </xf>
    <xf numFmtId="0" fontId="2" fillId="0" borderId="0" xfId="2"/>
    <xf numFmtId="0" fontId="7" fillId="3" borderId="0" xfId="0" applyFont="1" applyFill="1" applyBorder="1" applyAlignment="1" applyProtection="1">
      <alignment horizontal="center"/>
      <protection locked="0"/>
    </xf>
    <xf numFmtId="164" fontId="4" fillId="0" borderId="0" xfId="11" applyNumberFormat="1" applyFont="1" applyBorder="1"/>
    <xf numFmtId="164" fontId="4" fillId="0" borderId="0" xfId="0" applyNumberFormat="1" applyFont="1" applyBorder="1"/>
    <xf numFmtId="164" fontId="7" fillId="0" borderId="2" xfId="0" applyNumberFormat="1" applyFont="1" applyFill="1" applyBorder="1"/>
    <xf numFmtId="0" fontId="4" fillId="0" borderId="0" xfId="0" applyFont="1" applyFill="1" applyBorder="1" applyAlignment="1">
      <alignment horizontal="left"/>
    </xf>
    <xf numFmtId="0" fontId="4" fillId="0" borderId="0" xfId="0" applyFont="1" applyFill="1" applyBorder="1"/>
    <xf numFmtId="0" fontId="3" fillId="0" borderId="0" xfId="0" applyFont="1" applyFill="1"/>
    <xf numFmtId="0" fontId="4" fillId="0" borderId="0" xfId="2" applyFont="1" applyFill="1"/>
    <xf numFmtId="0" fontId="7" fillId="0" borderId="0" xfId="2" applyFont="1" applyFill="1" applyAlignment="1">
      <alignment horizontal="right"/>
    </xf>
    <xf numFmtId="164" fontId="4" fillId="0" borderId="0" xfId="2" applyNumberFormat="1" applyFont="1" applyFill="1"/>
    <xf numFmtId="0" fontId="22" fillId="0" borderId="0" xfId="2" applyFont="1" applyFill="1" applyBorder="1" applyAlignment="1">
      <alignment horizontal="left"/>
    </xf>
    <xf numFmtId="0" fontId="22" fillId="0" borderId="0" xfId="2" applyFont="1" applyFill="1"/>
    <xf numFmtId="164" fontId="23" fillId="0" borderId="0" xfId="5" applyNumberFormat="1" applyFont="1" applyBorder="1"/>
    <xf numFmtId="0" fontId="4" fillId="3" borderId="0" xfId="0" applyFont="1" applyFill="1" applyBorder="1"/>
    <xf numFmtId="0" fontId="4" fillId="3" borderId="0" xfId="0" applyFont="1" applyFill="1" applyBorder="1" applyAlignment="1">
      <alignment horizontal="center"/>
    </xf>
    <xf numFmtId="0" fontId="4" fillId="0" borderId="0" xfId="0" applyFont="1" applyBorder="1"/>
    <xf numFmtId="164" fontId="7" fillId="0" borderId="0" xfId="6" applyNumberFormat="1" applyFont="1" applyBorder="1"/>
    <xf numFmtId="0" fontId="13" fillId="0" borderId="0" xfId="0" applyFont="1" applyFill="1"/>
    <xf numFmtId="6" fontId="13" fillId="0" borderId="0" xfId="0" applyNumberFormat="1" applyFont="1" applyAlignment="1"/>
    <xf numFmtId="6" fontId="15" fillId="0" borderId="0" xfId="0" applyNumberFormat="1" applyFont="1" applyAlignment="1"/>
    <xf numFmtId="6" fontId="14" fillId="0" borderId="0" xfId="0" applyNumberFormat="1" applyFont="1" applyAlignment="1"/>
    <xf numFmtId="6" fontId="14" fillId="0" borderId="0" xfId="0" applyNumberFormat="1" applyFont="1" applyFill="1" applyAlignment="1"/>
    <xf numFmtId="6" fontId="13" fillId="0" borderId="0" xfId="0" applyNumberFormat="1" applyFont="1" applyFill="1" applyAlignment="1"/>
    <xf numFmtId="0" fontId="4" fillId="0" borderId="0" xfId="2" applyFont="1"/>
    <xf numFmtId="0" fontId="4" fillId="0" borderId="0" xfId="2" applyFont="1" applyBorder="1"/>
    <xf numFmtId="0" fontId="7" fillId="0" borderId="0" xfId="2" applyFont="1" applyBorder="1"/>
    <xf numFmtId="167" fontId="7" fillId="0" borderId="2" xfId="5" applyNumberFormat="1" applyFont="1" applyFill="1" applyBorder="1"/>
    <xf numFmtId="0" fontId="7" fillId="0" borderId="1" xfId="2" applyFont="1" applyFill="1" applyBorder="1"/>
    <xf numFmtId="167" fontId="4" fillId="0" borderId="0" xfId="5" applyNumberFormat="1" applyFont="1" applyFill="1" applyBorder="1"/>
    <xf numFmtId="0" fontId="4" fillId="0" borderId="0" xfId="2" applyFont="1" applyFill="1" applyBorder="1" applyAlignment="1">
      <alignment horizontal="left" indent="1"/>
    </xf>
    <xf numFmtId="0" fontId="24" fillId="0" borderId="0" xfId="2" applyFont="1"/>
    <xf numFmtId="0" fontId="7" fillId="3" borderId="0" xfId="2" applyFont="1" applyFill="1" applyBorder="1"/>
    <xf numFmtId="168" fontId="4" fillId="0" borderId="0" xfId="2" applyNumberFormat="1" applyFont="1"/>
    <xf numFmtId="164" fontId="19" fillId="0" borderId="2" xfId="0" applyNumberFormat="1" applyFont="1" applyBorder="1" applyAlignment="1"/>
    <xf numFmtId="164" fontId="25" fillId="0" borderId="0" xfId="2" applyNumberFormat="1" applyFont="1" applyFill="1"/>
    <xf numFmtId="164" fontId="2" fillId="0" borderId="0" xfId="2" applyNumberFormat="1" applyFont="1" applyFill="1"/>
    <xf numFmtId="169" fontId="3" fillId="0" borderId="0" xfId="2" applyNumberFormat="1" applyFont="1" applyFill="1"/>
    <xf numFmtId="0" fontId="3" fillId="0" borderId="0" xfId="3" applyFont="1" applyFill="1"/>
    <xf numFmtId="0" fontId="4" fillId="0" borderId="0" xfId="3" applyFont="1" applyFill="1"/>
    <xf numFmtId="164" fontId="4" fillId="0" borderId="0" xfId="3" applyNumberFormat="1" applyFont="1" applyFill="1"/>
    <xf numFmtId="0" fontId="27" fillId="0" borderId="0" xfId="3" applyFont="1" applyFill="1"/>
    <xf numFmtId="164" fontId="7" fillId="0" borderId="3" xfId="3" applyNumberFormat="1" applyFont="1" applyFill="1" applyBorder="1"/>
    <xf numFmtId="164" fontId="7" fillId="0" borderId="2" xfId="3" applyNumberFormat="1" applyFont="1" applyFill="1" applyBorder="1"/>
    <xf numFmtId="0" fontId="7" fillId="0" borderId="1" xfId="3" applyFont="1" applyFill="1" applyBorder="1" applyAlignment="1">
      <alignment horizontal="left"/>
    </xf>
    <xf numFmtId="0" fontId="4" fillId="0" borderId="5" xfId="3" applyFont="1" applyFill="1" applyBorder="1"/>
    <xf numFmtId="0" fontId="4" fillId="0" borderId="0" xfId="3" applyFont="1" applyFill="1" applyBorder="1"/>
    <xf numFmtId="0" fontId="3" fillId="0" borderId="0" xfId="3" applyFont="1" applyFill="1" applyAlignment="1">
      <alignment horizontal="center"/>
    </xf>
    <xf numFmtId="0" fontId="4" fillId="3" borderId="0" xfId="3" applyFont="1" applyFill="1" applyBorder="1" applyAlignment="1">
      <alignment horizontal="center"/>
    </xf>
    <xf numFmtId="0" fontId="4" fillId="0" borderId="0" xfId="2" applyFont="1" applyFill="1" applyAlignment="1">
      <alignment wrapText="1"/>
    </xf>
    <xf numFmtId="0" fontId="4" fillId="0" borderId="0" xfId="2" applyFont="1" applyFill="1" applyAlignment="1">
      <alignment horizontal="left" vertical="top"/>
    </xf>
    <xf numFmtId="0" fontId="4" fillId="0" borderId="0" xfId="3" applyFont="1" applyFill="1" applyAlignment="1">
      <alignment horizontal="left"/>
    </xf>
    <xf numFmtId="0" fontId="12" fillId="0" borderId="0" xfId="8"/>
    <xf numFmtId="0" fontId="18" fillId="0" borderId="0" xfId="3" applyFont="1" applyFill="1" applyBorder="1" applyAlignment="1">
      <alignment horizontal="left" vertical="top" wrapText="1"/>
    </xf>
    <xf numFmtId="0" fontId="28" fillId="0" borderId="0" xfId="8" applyFont="1"/>
    <xf numFmtId="164" fontId="29" fillId="0" borderId="0" xfId="8" applyNumberFormat="1" applyFont="1" applyBorder="1"/>
    <xf numFmtId="0" fontId="29" fillId="0" borderId="0" xfId="8" applyFont="1"/>
    <xf numFmtId="164" fontId="29" fillId="0" borderId="6" xfId="8" applyNumberFormat="1" applyFont="1" applyBorder="1"/>
    <xf numFmtId="0" fontId="29" fillId="0" borderId="0" xfId="8" applyFont="1" applyAlignment="1"/>
    <xf numFmtId="0" fontId="7" fillId="3" borderId="0" xfId="12" applyFont="1" applyFill="1" applyBorder="1" applyAlignment="1">
      <alignment horizontal="center"/>
    </xf>
    <xf numFmtId="0" fontId="7" fillId="3" borderId="0" xfId="12" applyFont="1" applyFill="1" applyBorder="1"/>
    <xf numFmtId="0" fontId="28" fillId="0" borderId="0" xfId="8" applyFont="1"/>
    <xf numFmtId="165" fontId="12" fillId="0" borderId="0" xfId="1" applyNumberFormat="1" applyFont="1"/>
    <xf numFmtId="0" fontId="19" fillId="4" borderId="0" xfId="5" applyNumberFormat="1" applyFont="1" applyFill="1" applyBorder="1" applyAlignment="1">
      <alignment horizontal="center"/>
    </xf>
    <xf numFmtId="164" fontId="18" fillId="0" borderId="0" xfId="0" applyNumberFormat="1" applyFont="1" applyFill="1" applyBorder="1" applyAlignment="1">
      <alignment horizontal="center"/>
    </xf>
    <xf numFmtId="164" fontId="18" fillId="0" borderId="0" xfId="0" applyNumberFormat="1" applyFont="1" applyFill="1" applyBorder="1" applyAlignment="1"/>
    <xf numFmtId="6" fontId="19" fillId="0" borderId="2" xfId="0" applyNumberFormat="1" applyFont="1" applyFill="1" applyBorder="1" applyAlignment="1">
      <alignment horizontal="center"/>
    </xf>
    <xf numFmtId="6" fontId="19" fillId="0" borderId="2" xfId="0" applyNumberFormat="1" applyFont="1" applyFill="1" applyBorder="1" applyAlignment="1"/>
    <xf numFmtId="0" fontId="18" fillId="0" borderId="0" xfId="0" applyFont="1" applyFill="1" applyBorder="1"/>
    <xf numFmtId="0" fontId="18" fillId="0" borderId="0" xfId="0" applyFont="1" applyFill="1" applyBorder="1" applyAlignment="1">
      <alignment horizontal="center"/>
    </xf>
    <xf numFmtId="166" fontId="18" fillId="0" borderId="0" xfId="10" applyNumberFormat="1" applyFont="1" applyFill="1" applyBorder="1" applyAlignment="1">
      <alignment horizontal="left"/>
    </xf>
    <xf numFmtId="164" fontId="19" fillId="0" borderId="0" xfId="10" applyNumberFormat="1" applyFont="1" applyFill="1" applyBorder="1" applyAlignment="1">
      <alignment horizontal="left"/>
    </xf>
    <xf numFmtId="170" fontId="18" fillId="0" borderId="0" xfId="10" applyNumberFormat="1" applyFont="1" applyFill="1" applyBorder="1" applyAlignment="1">
      <alignment horizontal="center"/>
    </xf>
    <xf numFmtId="0" fontId="18" fillId="0" borderId="0" xfId="13" applyFont="1" applyBorder="1"/>
    <xf numFmtId="164" fontId="18" fillId="0" borderId="0" xfId="13" applyNumberFormat="1" applyFont="1" applyFill="1" applyBorder="1"/>
    <xf numFmtId="0" fontId="18" fillId="0" borderId="0" xfId="13" applyFont="1" applyFill="1" applyBorder="1" applyAlignment="1">
      <alignment wrapText="1"/>
    </xf>
    <xf numFmtId="0" fontId="19" fillId="0" borderId="0" xfId="13" applyFont="1" applyBorder="1" applyAlignment="1">
      <alignment wrapText="1"/>
    </xf>
    <xf numFmtId="0" fontId="18" fillId="0" borderId="0" xfId="13" applyFont="1" applyBorder="1" applyAlignment="1"/>
    <xf numFmtId="164" fontId="19" fillId="0" borderId="3" xfId="13" applyNumberFormat="1" applyFont="1" applyFill="1" applyBorder="1"/>
    <xf numFmtId="164" fontId="19" fillId="0" borderId="2" xfId="13" applyNumberFormat="1" applyFont="1" applyFill="1" applyBorder="1"/>
    <xf numFmtId="0" fontId="19" fillId="0" borderId="5" xfId="13" applyFont="1" applyBorder="1" applyAlignment="1">
      <alignment wrapText="1"/>
    </xf>
    <xf numFmtId="164" fontId="18" fillId="0" borderId="0" xfId="5" applyNumberFormat="1" applyFont="1" applyFill="1" applyBorder="1"/>
    <xf numFmtId="0" fontId="18" fillId="0" borderId="2" xfId="13" applyFont="1" applyFill="1" applyBorder="1" applyAlignment="1">
      <alignment wrapText="1"/>
    </xf>
    <xf numFmtId="0" fontId="19" fillId="0" borderId="1" xfId="13" applyFont="1" applyBorder="1" applyAlignment="1">
      <alignment wrapText="1"/>
    </xf>
    <xf numFmtId="164" fontId="18" fillId="0" borderId="0" xfId="13" applyNumberFormat="1" applyFont="1" applyFill="1" applyBorder="1" applyAlignment="1">
      <alignment wrapText="1"/>
    </xf>
    <xf numFmtId="0" fontId="19" fillId="0" borderId="0" xfId="13" applyFont="1" applyFill="1" applyBorder="1" applyAlignment="1">
      <alignment wrapText="1"/>
    </xf>
    <xf numFmtId="164" fontId="20" fillId="0" borderId="0" xfId="13" applyNumberFormat="1" applyFont="1" applyFill="1" applyBorder="1"/>
    <xf numFmtId="0" fontId="20" fillId="0" borderId="0" xfId="13" applyFont="1" applyFill="1" applyBorder="1" applyAlignment="1">
      <alignment horizontal="right" wrapText="1"/>
    </xf>
    <xf numFmtId="0" fontId="18" fillId="0" borderId="0" xfId="13" applyFont="1" applyBorder="1" applyAlignment="1">
      <alignment horizontal="center"/>
    </xf>
    <xf numFmtId="0" fontId="19" fillId="4" borderId="0" xfId="13" applyNumberFormat="1" applyFont="1" applyFill="1" applyBorder="1" applyAlignment="1">
      <alignment horizontal="center"/>
    </xf>
    <xf numFmtId="0" fontId="19" fillId="4" borderId="0" xfId="13" applyFont="1" applyFill="1" applyBorder="1" applyAlignment="1">
      <alignment horizontal="center" wrapText="1"/>
    </xf>
    <xf numFmtId="9" fontId="18" fillId="0" borderId="0" xfId="1" applyFont="1" applyFill="1" applyBorder="1"/>
    <xf numFmtId="0" fontId="19" fillId="4" borderId="0" xfId="0" applyFont="1" applyFill="1" applyBorder="1" applyAlignment="1">
      <alignment wrapText="1"/>
    </xf>
    <xf numFmtId="0" fontId="19" fillId="4" borderId="0" xfId="0" applyFont="1" applyFill="1" applyBorder="1" applyAlignment="1">
      <alignment horizontal="center"/>
    </xf>
    <xf numFmtId="0" fontId="18" fillId="0" borderId="0" xfId="0" applyFont="1" applyBorder="1" applyAlignment="1">
      <alignment wrapText="1"/>
    </xf>
    <xf numFmtId="0" fontId="19" fillId="0" borderId="1" xfId="0" applyFont="1" applyBorder="1" applyAlignment="1">
      <alignment wrapText="1"/>
    </xf>
    <xf numFmtId="0" fontId="33" fillId="0" borderId="0" xfId="0" applyFont="1" applyBorder="1" applyAlignment="1"/>
    <xf numFmtId="0" fontId="19" fillId="0" borderId="0" xfId="0" applyFont="1" applyFill="1" applyBorder="1" applyAlignment="1">
      <alignment wrapText="1"/>
    </xf>
    <xf numFmtId="0" fontId="28" fillId="0" borderId="0" xfId="8" applyFont="1"/>
    <xf numFmtId="0" fontId="13" fillId="0" borderId="0" xfId="0" applyFont="1" applyAlignment="1">
      <alignment horizontal="left"/>
    </xf>
    <xf numFmtId="0" fontId="4" fillId="0" borderId="0" xfId="0" applyFont="1" applyFill="1" applyAlignment="1">
      <alignment wrapText="1"/>
    </xf>
    <xf numFmtId="0" fontId="18" fillId="0" borderId="0" xfId="2" applyFont="1"/>
    <xf numFmtId="0" fontId="18" fillId="0" borderId="0" xfId="2" applyFont="1" applyAlignment="1">
      <alignment horizontal="center"/>
    </xf>
    <xf numFmtId="0" fontId="19" fillId="0" borderId="0" xfId="2" applyFont="1"/>
    <xf numFmtId="6" fontId="19" fillId="0" borderId="7" xfId="2" applyNumberFormat="1" applyFont="1" applyBorder="1" applyAlignment="1"/>
    <xf numFmtId="0" fontId="18" fillId="0" borderId="0" xfId="2" applyFont="1" applyFill="1" applyAlignment="1">
      <alignment horizontal="left"/>
    </xf>
    <xf numFmtId="0" fontId="18" fillId="0" borderId="0" xfId="2" applyFont="1" applyFill="1" applyAlignment="1">
      <alignment horizontal="left" wrapText="1"/>
    </xf>
    <xf numFmtId="0" fontId="19" fillId="0" borderId="0" xfId="0" applyFont="1" applyFill="1" applyBorder="1"/>
    <xf numFmtId="0" fontId="7" fillId="0" borderId="0" xfId="2" applyFont="1"/>
    <xf numFmtId="0" fontId="35" fillId="0" borderId="0" xfId="2" applyFont="1"/>
    <xf numFmtId="171" fontId="35" fillId="0" borderId="0" xfId="14" applyNumberFormat="1" applyFont="1"/>
    <xf numFmtId="0" fontId="36" fillId="0" borderId="0" xfId="2" applyFont="1"/>
    <xf numFmtId="0" fontId="36" fillId="0" borderId="0" xfId="2" applyFont="1" applyAlignment="1">
      <alignment horizontal="right"/>
    </xf>
    <xf numFmtId="0" fontId="4" fillId="0" borderId="0" xfId="0" applyFont="1" applyBorder="1"/>
    <xf numFmtId="0" fontId="28" fillId="0" borderId="0" xfId="8" applyFont="1"/>
    <xf numFmtId="43" fontId="35" fillId="0" borderId="0" xfId="2" applyNumberFormat="1" applyFont="1"/>
    <xf numFmtId="171" fontId="35" fillId="0" borderId="0" xfId="2" applyNumberFormat="1" applyFont="1"/>
    <xf numFmtId="0" fontId="4" fillId="0" borderId="0" xfId="0" applyFont="1" applyBorder="1"/>
    <xf numFmtId="0" fontId="4" fillId="0" borderId="0" xfId="0" applyFont="1" applyFill="1" applyAlignment="1">
      <alignment wrapText="1"/>
    </xf>
    <xf numFmtId="164" fontId="4" fillId="0" borderId="0" xfId="5" applyNumberFormat="1" applyFont="1" applyBorder="1"/>
    <xf numFmtId="164" fontId="4" fillId="0" borderId="0" xfId="5" applyNumberFormat="1" applyFont="1" applyFill="1" applyBorder="1"/>
    <xf numFmtId="0" fontId="7" fillId="3" borderId="0" xfId="0" applyFont="1" applyFill="1" applyBorder="1" applyAlignment="1">
      <alignment horizontal="center"/>
    </xf>
    <xf numFmtId="164" fontId="4" fillId="0" borderId="0" xfId="0" applyNumberFormat="1" applyFont="1" applyFill="1" applyBorder="1"/>
    <xf numFmtId="6" fontId="13" fillId="0" borderId="5" xfId="0" applyNumberFormat="1" applyFont="1" applyBorder="1" applyAlignment="1"/>
    <xf numFmtId="6" fontId="14" fillId="0" borderId="5" xfId="0" applyNumberFormat="1" applyFont="1" applyBorder="1" applyAlignment="1"/>
    <xf numFmtId="6" fontId="4" fillId="0" borderId="0" xfId="0" applyNumberFormat="1" applyFont="1" applyFill="1"/>
    <xf numFmtId="0" fontId="7" fillId="3" borderId="0" xfId="3" applyFont="1" applyFill="1" applyBorder="1" applyAlignment="1">
      <alignment horizontal="center"/>
    </xf>
    <xf numFmtId="164" fontId="4" fillId="0" borderId="0" xfId="0" applyNumberFormat="1" applyFont="1"/>
    <xf numFmtId="164" fontId="4" fillId="0" borderId="0" xfId="0" applyNumberFormat="1" applyFont="1" applyFill="1"/>
    <xf numFmtId="164" fontId="4" fillId="0" borderId="0" xfId="0" quotePrefix="1" applyNumberFormat="1" applyFont="1" applyFill="1" applyAlignment="1">
      <alignment horizontal="center"/>
    </xf>
    <xf numFmtId="0" fontId="18" fillId="0" borderId="0" xfId="2" applyFont="1" applyAlignment="1">
      <alignment horizontal="left"/>
    </xf>
    <xf numFmtId="6" fontId="29" fillId="0" borderId="0" xfId="0" applyNumberFormat="1" applyFont="1" applyAlignment="1"/>
    <xf numFmtId="164" fontId="29" fillId="0" borderId="0" xfId="0" applyNumberFormat="1" applyFont="1" applyAlignment="1"/>
    <xf numFmtId="6" fontId="29" fillId="0" borderId="0" xfId="0" applyNumberFormat="1" applyFont="1"/>
    <xf numFmtId="164" fontId="29" fillId="0" borderId="0" xfId="0" applyNumberFormat="1" applyFont="1"/>
    <xf numFmtId="0" fontId="7" fillId="0" borderId="0" xfId="0" applyFont="1" applyBorder="1" applyAlignment="1">
      <alignment vertical="top"/>
    </xf>
    <xf numFmtId="170" fontId="4" fillId="0" borderId="0" xfId="2" applyNumberFormat="1" applyFont="1"/>
    <xf numFmtId="0" fontId="4" fillId="0" borderId="0" xfId="0" applyFont="1" applyBorder="1" applyAlignment="1">
      <alignment wrapText="1"/>
    </xf>
    <xf numFmtId="0" fontId="4" fillId="0" borderId="0" xfId="0" applyFont="1" applyBorder="1"/>
    <xf numFmtId="6" fontId="15" fillId="0" borderId="5" xfId="0" applyNumberFormat="1" applyFont="1" applyBorder="1" applyAlignment="1"/>
    <xf numFmtId="0" fontId="13" fillId="0" borderId="0" xfId="0" applyFont="1"/>
    <xf numFmtId="0" fontId="13"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xf>
    <xf numFmtId="0" fontId="7" fillId="0" borderId="0" xfId="2" applyFont="1" applyAlignment="1">
      <alignment vertical="top"/>
    </xf>
    <xf numFmtId="6" fontId="18" fillId="0" borderId="0" xfId="0" applyNumberFormat="1" applyFont="1" applyFill="1" applyAlignment="1"/>
    <xf numFmtId="164" fontId="29" fillId="0" borderId="0" xfId="0" applyNumberFormat="1" applyFont="1" applyFill="1" applyAlignment="1"/>
    <xf numFmtId="164" fontId="29" fillId="0" borderId="0" xfId="0" applyNumberFormat="1" applyFont="1" applyFill="1"/>
    <xf numFmtId="0" fontId="18" fillId="0" borderId="0" xfId="13" applyFont="1" applyFill="1" applyBorder="1" applyAlignment="1"/>
    <xf numFmtId="171" fontId="38" fillId="5" borderId="0" xfId="14" applyNumberFormat="1" applyFont="1" applyFill="1"/>
    <xf numFmtId="0" fontId="18" fillId="0" borderId="0" xfId="0" applyFont="1" applyAlignment="1">
      <alignment wrapText="1"/>
    </xf>
    <xf numFmtId="173" fontId="18" fillId="0" borderId="0" xfId="0" applyNumberFormat="1" applyFont="1" applyFill="1" applyBorder="1" applyAlignment="1">
      <alignment horizontal="center" wrapText="1"/>
    </xf>
    <xf numFmtId="172" fontId="18" fillId="0" borderId="0" xfId="0" applyNumberFormat="1" applyFont="1" applyBorder="1" applyAlignment="1"/>
    <xf numFmtId="173" fontId="18" fillId="0" borderId="0" xfId="0" applyNumberFormat="1" applyFont="1" applyAlignment="1">
      <alignment horizontal="center"/>
    </xf>
    <xf numFmtId="172" fontId="18" fillId="0" borderId="0" xfId="0" applyNumberFormat="1" applyFont="1" applyFill="1" applyAlignment="1">
      <alignment wrapText="1"/>
    </xf>
    <xf numFmtId="171" fontId="38" fillId="6" borderId="0" xfId="14" applyNumberFormat="1" applyFont="1" applyFill="1"/>
    <xf numFmtId="171" fontId="38" fillId="9" borderId="0" xfId="14" applyNumberFormat="1" applyFont="1" applyFill="1"/>
    <xf numFmtId="171" fontId="38" fillId="10" borderId="0" xfId="14" applyNumberFormat="1" applyFont="1" applyFill="1"/>
    <xf numFmtId="171" fontId="38" fillId="11" borderId="0" xfId="14" applyNumberFormat="1" applyFont="1" applyFill="1"/>
    <xf numFmtId="0" fontId="4" fillId="0" borderId="0" xfId="0" applyFont="1" applyBorder="1"/>
    <xf numFmtId="174" fontId="35" fillId="0" borderId="0" xfId="16" applyNumberFormat="1" applyFont="1"/>
    <xf numFmtId="0" fontId="4" fillId="0" borderId="0" xfId="0" applyFont="1" applyBorder="1"/>
    <xf numFmtId="0" fontId="18" fillId="0" borderId="0" xfId="13" applyFont="1" applyBorder="1" applyAlignment="1"/>
    <xf numFmtId="164" fontId="18" fillId="0" borderId="3" xfId="13" applyNumberFormat="1" applyFont="1" applyFill="1" applyBorder="1"/>
    <xf numFmtId="0" fontId="4" fillId="0" borderId="0" xfId="0" applyFont="1" applyBorder="1"/>
    <xf numFmtId="0" fontId="18" fillId="0" borderId="0" xfId="13" applyFont="1" applyBorder="1" applyAlignment="1">
      <alignment horizontal="left" vertical="top" wrapText="1"/>
    </xf>
    <xf numFmtId="6" fontId="18" fillId="0" borderId="0" xfId="0" applyNumberFormat="1" applyFont="1" applyAlignment="1"/>
    <xf numFmtId="0" fontId="18" fillId="0" borderId="0" xfId="0" applyFont="1" applyFill="1" applyAlignment="1">
      <alignment horizontal="left"/>
    </xf>
    <xf numFmtId="6" fontId="19" fillId="0" borderId="7" xfId="0" applyNumberFormat="1" applyFont="1" applyBorder="1" applyAlignment="1"/>
    <xf numFmtId="0" fontId="18" fillId="0" borderId="0" xfId="0" applyFont="1" applyAlignment="1"/>
    <xf numFmtId="0" fontId="40" fillId="0" borderId="0" xfId="18"/>
    <xf numFmtId="0" fontId="40" fillId="0" borderId="0" xfId="18" applyAlignment="1">
      <alignment wrapText="1"/>
    </xf>
    <xf numFmtId="164" fontId="7" fillId="0" borderId="8" xfId="18" applyNumberFormat="1" applyFont="1" applyBorder="1"/>
    <xf numFmtId="0" fontId="7" fillId="0" borderId="0" xfId="18" applyFont="1" applyAlignment="1">
      <alignment horizontal="right" wrapText="1" indent="1"/>
    </xf>
    <xf numFmtId="0" fontId="18" fillId="0" borderId="0" xfId="18" applyFont="1"/>
    <xf numFmtId="164" fontId="18" fillId="0" borderId="9" xfId="18" applyNumberFormat="1" applyFont="1" applyBorder="1"/>
    <xf numFmtId="0" fontId="18" fillId="0" borderId="9" xfId="18" applyFont="1" applyBorder="1" applyAlignment="1">
      <alignment wrapText="1"/>
    </xf>
    <xf numFmtId="0" fontId="18" fillId="0" borderId="9" xfId="18" applyFont="1" applyBorder="1"/>
    <xf numFmtId="0" fontId="19" fillId="0" borderId="9" xfId="18" applyFont="1" applyBorder="1" applyAlignment="1">
      <alignment horizontal="right"/>
    </xf>
    <xf numFmtId="0" fontId="19" fillId="0" borderId="9" xfId="18" applyFont="1" applyBorder="1" applyAlignment="1">
      <alignment wrapText="1"/>
    </xf>
    <xf numFmtId="0" fontId="19" fillId="0" borderId="9" xfId="18" applyFont="1" applyBorder="1"/>
    <xf numFmtId="0" fontId="7" fillId="0" borderId="0" xfId="18" applyFont="1" applyAlignment="1">
      <alignment horizontal="left" vertical="top" wrapText="1"/>
    </xf>
    <xf numFmtId="0" fontId="4" fillId="0" borderId="0" xfId="18" applyFont="1" applyAlignment="1">
      <alignment horizontal="left" vertical="top"/>
    </xf>
    <xf numFmtId="172" fontId="41" fillId="0" borderId="0" xfId="0" applyNumberFormat="1" applyFont="1"/>
    <xf numFmtId="174" fontId="41" fillId="0" borderId="0" xfId="14" applyNumberFormat="1" applyFont="1"/>
    <xf numFmtId="172" fontId="41" fillId="12" borderId="0" xfId="0" applyNumberFormat="1" applyFont="1" applyFill="1"/>
    <xf numFmtId="173" fontId="41" fillId="0" borderId="0" xfId="0" applyNumberFormat="1" applyFont="1"/>
    <xf numFmtId="173" fontId="41" fillId="0" borderId="0" xfId="0" applyNumberFormat="1" applyFont="1" applyAlignment="1">
      <alignment horizontal="center"/>
    </xf>
    <xf numFmtId="172" fontId="41" fillId="0" borderId="0" xfId="0" applyNumberFormat="1" applyFont="1" applyFill="1"/>
    <xf numFmtId="172" fontId="41" fillId="0" borderId="0" xfId="0" applyNumberFormat="1" applyFont="1" applyFill="1" applyBorder="1"/>
    <xf numFmtId="172" fontId="41" fillId="13" borderId="0" xfId="0" applyNumberFormat="1" applyFont="1" applyFill="1"/>
    <xf numFmtId="172" fontId="42" fillId="13" borderId="0" xfId="0" applyNumberFormat="1" applyFont="1" applyFill="1" applyAlignment="1">
      <alignment horizontal="right"/>
    </xf>
    <xf numFmtId="172" fontId="43" fillId="13" borderId="0" xfId="0" applyNumberFormat="1" applyFont="1" applyFill="1" applyAlignment="1">
      <alignment horizontal="right" wrapText="1"/>
    </xf>
    <xf numFmtId="172" fontId="41" fillId="14" borderId="0" xfId="0" applyNumberFormat="1" applyFont="1" applyFill="1"/>
    <xf numFmtId="172" fontId="42" fillId="14" borderId="0" xfId="0" applyNumberFormat="1" applyFont="1" applyFill="1" applyAlignment="1">
      <alignment horizontal="right"/>
    </xf>
    <xf numFmtId="172" fontId="43" fillId="14" borderId="0" xfId="0" applyNumberFormat="1" applyFont="1" applyFill="1" applyAlignment="1">
      <alignment horizontal="right" wrapText="1"/>
    </xf>
    <xf numFmtId="172" fontId="41" fillId="15" borderId="0" xfId="0" applyNumberFormat="1" applyFont="1" applyFill="1"/>
    <xf numFmtId="172" fontId="42" fillId="15" borderId="0" xfId="0" applyNumberFormat="1" applyFont="1" applyFill="1" applyAlignment="1">
      <alignment horizontal="right"/>
    </xf>
    <xf numFmtId="172" fontId="41" fillId="15" borderId="0" xfId="0" applyNumberFormat="1" applyFont="1" applyFill="1" applyAlignment="1">
      <alignment horizontal="right"/>
    </xf>
    <xf numFmtId="172" fontId="43" fillId="15" borderId="0" xfId="0" applyNumberFormat="1" applyFont="1" applyFill="1" applyAlignment="1">
      <alignment horizontal="right" wrapText="1"/>
    </xf>
    <xf numFmtId="172" fontId="41" fillId="16" borderId="0" xfId="0" applyNumberFormat="1" applyFont="1" applyFill="1"/>
    <xf numFmtId="172" fontId="42" fillId="16" borderId="0" xfId="0" applyNumberFormat="1" applyFont="1" applyFill="1" applyAlignment="1">
      <alignment horizontal="right"/>
    </xf>
    <xf numFmtId="172" fontId="41" fillId="16" borderId="0" xfId="0" applyNumberFormat="1" applyFont="1" applyFill="1" applyAlignment="1"/>
    <xf numFmtId="172" fontId="43" fillId="16" borderId="0" xfId="0" applyNumberFormat="1" applyFont="1" applyFill="1" applyAlignment="1">
      <alignment horizontal="right" wrapText="1"/>
    </xf>
    <xf numFmtId="175" fontId="41" fillId="0" borderId="0" xfId="0" applyNumberFormat="1" applyFont="1" applyFill="1" applyAlignment="1">
      <alignment horizontal="right"/>
    </xf>
    <xf numFmtId="172" fontId="44" fillId="0" borderId="0" xfId="0" applyNumberFormat="1" applyFont="1" applyFill="1" applyAlignment="1">
      <alignment horizontal="right"/>
    </xf>
    <xf numFmtId="172" fontId="43" fillId="0" borderId="0" xfId="0" applyNumberFormat="1" applyFont="1" applyFill="1" applyAlignment="1">
      <alignment horizontal="center"/>
    </xf>
    <xf numFmtId="172" fontId="41" fillId="0" borderId="0" xfId="0" applyNumberFormat="1" applyFont="1" applyFill="1" applyAlignment="1">
      <alignment wrapText="1"/>
    </xf>
    <xf numFmtId="172" fontId="41" fillId="0" borderId="0" xfId="0" applyNumberFormat="1" applyFont="1" applyAlignment="1">
      <alignment wrapText="1"/>
    </xf>
    <xf numFmtId="172" fontId="41" fillId="0" borderId="0" xfId="0" applyNumberFormat="1" applyFont="1" applyFill="1" applyBorder="1" applyAlignment="1">
      <alignment wrapText="1"/>
    </xf>
    <xf numFmtId="175" fontId="41" fillId="0" borderId="0" xfId="0" applyNumberFormat="1" applyFont="1"/>
    <xf numFmtId="0" fontId="2" fillId="0" borderId="0" xfId="0" applyFont="1" applyAlignment="1">
      <alignment wrapText="1"/>
    </xf>
    <xf numFmtId="172" fontId="41" fillId="0" borderId="0" xfId="0" applyNumberFormat="1" applyFont="1" applyBorder="1" applyAlignment="1"/>
    <xf numFmtId="173" fontId="45" fillId="0" borderId="0" xfId="0" applyNumberFormat="1" applyFont="1" applyFill="1" applyBorder="1" applyAlignment="1">
      <alignment horizontal="center" wrapText="1"/>
    </xf>
    <xf numFmtId="175" fontId="45" fillId="0" borderId="0" xfId="0" applyNumberFormat="1" applyFont="1" applyFill="1" applyBorder="1" applyAlignment="1">
      <alignment horizontal="center" wrapText="1"/>
    </xf>
    <xf numFmtId="174" fontId="45" fillId="0" borderId="0" xfId="14" applyNumberFormat="1" applyFont="1" applyFill="1" applyBorder="1" applyAlignment="1">
      <alignment horizontal="center" wrapText="1"/>
    </xf>
    <xf numFmtId="175" fontId="45" fillId="17" borderId="0" xfId="0" applyNumberFormat="1" applyFont="1" applyFill="1" applyBorder="1" applyAlignment="1">
      <alignment horizontal="center" wrapText="1"/>
    </xf>
    <xf numFmtId="172" fontId="45" fillId="0" borderId="0" xfId="0" applyNumberFormat="1" applyFont="1" applyBorder="1"/>
    <xf numFmtId="174" fontId="45" fillId="0" borderId="10" xfId="14" applyNumberFormat="1" applyFont="1" applyFill="1" applyBorder="1"/>
    <xf numFmtId="176" fontId="45" fillId="17" borderId="10" xfId="0" applyNumberFormat="1" applyFont="1" applyFill="1" applyBorder="1"/>
    <xf numFmtId="176" fontId="45" fillId="0" borderId="11" xfId="0" applyNumberFormat="1" applyFont="1" applyFill="1" applyBorder="1"/>
    <xf numFmtId="176" fontId="45" fillId="0" borderId="12" xfId="0" applyNumberFormat="1" applyFont="1" applyFill="1" applyBorder="1"/>
    <xf numFmtId="176" fontId="46" fillId="0" borderId="12" xfId="0" applyNumberFormat="1" applyFont="1" applyFill="1" applyBorder="1"/>
    <xf numFmtId="176" fontId="45" fillId="0" borderId="11" xfId="0" applyNumberFormat="1" applyFont="1" applyFill="1" applyBorder="1" applyAlignment="1">
      <alignment horizontal="center"/>
    </xf>
    <xf numFmtId="176" fontId="45" fillId="0" borderId="13" xfId="0" applyNumberFormat="1" applyFont="1" applyFill="1" applyBorder="1"/>
    <xf numFmtId="176" fontId="45" fillId="0" borderId="13" xfId="0" applyNumberFormat="1" applyFont="1" applyBorder="1"/>
    <xf numFmtId="172" fontId="45" fillId="0" borderId="14" xfId="0" applyNumberFormat="1" applyFont="1" applyBorder="1" applyAlignment="1">
      <alignment horizontal="right"/>
    </xf>
    <xf numFmtId="172" fontId="41" fillId="0" borderId="0" xfId="0" applyNumberFormat="1" applyFont="1" applyBorder="1"/>
    <xf numFmtId="174" fontId="41" fillId="0" borderId="15" xfId="14" applyNumberFormat="1" applyFont="1" applyFill="1" applyBorder="1"/>
    <xf numFmtId="176" fontId="41" fillId="17" borderId="15" xfId="15" applyNumberFormat="1" applyFont="1" applyFill="1" applyBorder="1"/>
    <xf numFmtId="176" fontId="41" fillId="0" borderId="15" xfId="15" applyNumberFormat="1" applyFont="1" applyFill="1" applyBorder="1"/>
    <xf numFmtId="176" fontId="41" fillId="0" borderId="15" xfId="0" applyNumberFormat="1" applyFont="1" applyFill="1" applyBorder="1"/>
    <xf numFmtId="176" fontId="47" fillId="0" borderId="15" xfId="0" applyNumberFormat="1" applyFont="1" applyFill="1" applyBorder="1"/>
    <xf numFmtId="176" fontId="41" fillId="0" borderId="16" xfId="0" applyNumberFormat="1" applyFont="1" applyFill="1" applyBorder="1"/>
    <xf numFmtId="176" fontId="41" fillId="0" borderId="16" xfId="0" applyNumberFormat="1" applyFont="1" applyBorder="1"/>
    <xf numFmtId="172" fontId="41" fillId="0" borderId="17" xfId="0" applyNumberFormat="1" applyFont="1" applyFill="1" applyBorder="1" applyAlignment="1"/>
    <xf numFmtId="174" fontId="41" fillId="0" borderId="1" xfId="14" applyNumberFormat="1" applyFont="1" applyFill="1" applyBorder="1"/>
    <xf numFmtId="172" fontId="41" fillId="17" borderId="1" xfId="15" applyNumberFormat="1" applyFont="1" applyFill="1" applyBorder="1"/>
    <xf numFmtId="172" fontId="41" fillId="0" borderId="1" xfId="15" applyNumberFormat="1" applyFont="1" applyFill="1" applyBorder="1"/>
    <xf numFmtId="172" fontId="41" fillId="0" borderId="18" xfId="15" applyNumberFormat="1" applyFont="1" applyFill="1" applyBorder="1"/>
    <xf numFmtId="172" fontId="41" fillId="0" borderId="18" xfId="0" applyNumberFormat="1" applyFont="1" applyFill="1" applyBorder="1"/>
    <xf numFmtId="172" fontId="47" fillId="0" borderId="18" xfId="0" applyNumberFormat="1" applyFont="1" applyFill="1" applyBorder="1"/>
    <xf numFmtId="172" fontId="41" fillId="0" borderId="1" xfId="0" applyNumberFormat="1" applyFont="1" applyFill="1" applyBorder="1"/>
    <xf numFmtId="176" fontId="41" fillId="0" borderId="18" xfId="0" applyNumberFormat="1" applyFont="1" applyFill="1" applyBorder="1"/>
    <xf numFmtId="176" fontId="41" fillId="0" borderId="18" xfId="0" applyNumberFormat="1" applyFont="1" applyBorder="1"/>
    <xf numFmtId="172" fontId="41" fillId="0" borderId="19" xfId="0" applyNumberFormat="1" applyFont="1" applyFill="1" applyBorder="1" applyAlignment="1"/>
    <xf numFmtId="174" fontId="45" fillId="0" borderId="1" xfId="14" applyNumberFormat="1" applyFont="1" applyFill="1" applyBorder="1" applyAlignment="1">
      <alignment horizontal="center" wrapText="1"/>
    </xf>
    <xf numFmtId="173" fontId="45" fillId="17" borderId="1" xfId="15" applyNumberFormat="1" applyFont="1" applyFill="1" applyBorder="1" applyAlignment="1">
      <alignment horizontal="center" wrapText="1"/>
    </xf>
    <xf numFmtId="173" fontId="45" fillId="0" borderId="1" xfId="15" applyNumberFormat="1" applyFont="1" applyFill="1" applyBorder="1" applyAlignment="1">
      <alignment horizontal="center" wrapText="1"/>
    </xf>
    <xf numFmtId="173" fontId="45" fillId="0" borderId="18" xfId="15" applyNumberFormat="1" applyFont="1" applyFill="1" applyBorder="1" applyAlignment="1">
      <alignment horizontal="center" wrapText="1"/>
    </xf>
    <xf numFmtId="173" fontId="45" fillId="0" borderId="18" xfId="0" applyNumberFormat="1" applyFont="1" applyFill="1" applyBorder="1" applyAlignment="1">
      <alignment horizontal="center" wrapText="1"/>
    </xf>
    <xf numFmtId="173" fontId="46" fillId="0" borderId="18" xfId="0" applyNumberFormat="1" applyFont="1" applyFill="1" applyBorder="1" applyAlignment="1">
      <alignment horizontal="center" wrapText="1"/>
    </xf>
    <xf numFmtId="172" fontId="45" fillId="0" borderId="20" xfId="0" applyNumberFormat="1" applyFont="1" applyFill="1" applyBorder="1"/>
    <xf numFmtId="176" fontId="45" fillId="0" borderId="21" xfId="0" applyNumberFormat="1" applyFont="1" applyFill="1" applyBorder="1"/>
    <xf numFmtId="176" fontId="45" fillId="0" borderId="21" xfId="0" applyNumberFormat="1" applyFont="1" applyBorder="1"/>
    <xf numFmtId="172" fontId="48" fillId="0" borderId="22" xfId="0" applyNumberFormat="1" applyFont="1" applyFill="1" applyBorder="1" applyAlignment="1">
      <alignment horizontal="center"/>
    </xf>
    <xf numFmtId="172" fontId="45" fillId="0" borderId="0" xfId="0" applyNumberFormat="1" applyFont="1" applyFill="1" applyBorder="1"/>
    <xf numFmtId="174" fontId="45" fillId="0" borderId="23" xfId="14" applyNumberFormat="1" applyFont="1" applyFill="1" applyBorder="1" applyAlignment="1">
      <alignment horizontal="right"/>
    </xf>
    <xf numFmtId="177" fontId="45" fillId="17" borderId="23" xfId="15" applyNumberFormat="1" applyFont="1" applyFill="1" applyBorder="1" applyAlignment="1">
      <alignment horizontal="right"/>
    </xf>
    <xf numFmtId="177" fontId="45" fillId="0" borderId="24" xfId="15" applyNumberFormat="1" applyFont="1" applyFill="1" applyBorder="1" applyAlignment="1">
      <alignment horizontal="right"/>
    </xf>
    <xf numFmtId="177" fontId="45" fillId="0" borderId="25" xfId="15" applyNumberFormat="1" applyFont="1" applyFill="1" applyBorder="1" applyAlignment="1">
      <alignment horizontal="right"/>
    </xf>
    <xf numFmtId="177" fontId="45" fillId="0" borderId="25" xfId="0" applyNumberFormat="1" applyFont="1" applyFill="1" applyBorder="1" applyAlignment="1">
      <alignment horizontal="right"/>
    </xf>
    <xf numFmtId="177" fontId="46" fillId="0" borderId="25" xfId="0" applyNumberFormat="1" applyFont="1" applyFill="1" applyBorder="1" applyAlignment="1">
      <alignment horizontal="right"/>
    </xf>
    <xf numFmtId="172" fontId="45" fillId="0" borderId="26" xfId="0" applyNumberFormat="1" applyFont="1" applyFill="1" applyBorder="1" applyAlignment="1">
      <alignment horizontal="right"/>
    </xf>
    <xf numFmtId="174" fontId="45" fillId="0" borderId="27" xfId="14" applyNumberFormat="1" applyFont="1" applyFill="1" applyBorder="1"/>
    <xf numFmtId="176" fontId="45" fillId="17" borderId="27" xfId="15" applyNumberFormat="1" applyFont="1" applyFill="1" applyBorder="1"/>
    <xf numFmtId="176" fontId="45" fillId="0" borderId="28" xfId="15" applyNumberFormat="1" applyFont="1" applyFill="1" applyBorder="1"/>
    <xf numFmtId="176" fontId="45" fillId="0" borderId="29" xfId="15" applyNumberFormat="1" applyFont="1" applyFill="1" applyBorder="1"/>
    <xf numFmtId="176" fontId="45" fillId="0" borderId="29" xfId="0" applyNumberFormat="1" applyFont="1" applyFill="1" applyBorder="1"/>
    <xf numFmtId="176" fontId="46" fillId="0" borderId="29" xfId="0" applyNumberFormat="1" applyFont="1" applyFill="1" applyBorder="1"/>
    <xf numFmtId="176" fontId="45" fillId="0" borderId="30" xfId="0" applyNumberFormat="1" applyFont="1" applyFill="1" applyBorder="1"/>
    <xf numFmtId="172" fontId="45" fillId="0" borderId="31" xfId="0" applyNumberFormat="1" applyFont="1" applyFill="1" applyBorder="1" applyAlignment="1">
      <alignment horizontal="right"/>
    </xf>
    <xf numFmtId="174" fontId="41" fillId="0" borderId="32" xfId="14" applyNumberFormat="1" applyFont="1" applyFill="1" applyBorder="1" applyProtection="1">
      <protection locked="0"/>
    </xf>
    <xf numFmtId="172" fontId="41" fillId="17" borderId="32" xfId="15" applyNumberFormat="1" applyFont="1" applyFill="1" applyBorder="1" applyProtection="1">
      <protection locked="0"/>
    </xf>
    <xf numFmtId="172" fontId="41" fillId="0" borderId="33" xfId="15" applyNumberFormat="1" applyFont="1" applyFill="1" applyBorder="1" applyProtection="1">
      <protection locked="0"/>
    </xf>
    <xf numFmtId="172" fontId="41" fillId="0" borderId="32" xfId="15" applyNumberFormat="1" applyFont="1" applyFill="1" applyBorder="1" applyProtection="1">
      <protection locked="0"/>
    </xf>
    <xf numFmtId="172" fontId="41" fillId="0" borderId="32" xfId="0" applyNumberFormat="1" applyFont="1" applyFill="1" applyBorder="1" applyProtection="1">
      <protection locked="0"/>
    </xf>
    <xf numFmtId="172" fontId="47" fillId="0" borderId="32" xfId="0" applyNumberFormat="1" applyFont="1" applyFill="1" applyBorder="1" applyProtection="1">
      <protection locked="0"/>
    </xf>
    <xf numFmtId="172" fontId="41" fillId="0" borderId="32" xfId="0" applyNumberFormat="1" applyFont="1" applyFill="1" applyBorder="1"/>
    <xf numFmtId="172" fontId="41" fillId="0" borderId="15" xfId="0" applyNumberFormat="1" applyFont="1" applyFill="1" applyBorder="1"/>
    <xf numFmtId="176" fontId="41" fillId="0" borderId="16" xfId="0" quotePrefix="1" applyNumberFormat="1" applyFont="1" applyFill="1" applyBorder="1" applyAlignment="1">
      <alignment horizontal="right"/>
    </xf>
    <xf numFmtId="176" fontId="41" fillId="0" borderId="16" xfId="0" quotePrefix="1" applyNumberFormat="1" applyFont="1" applyBorder="1" applyAlignment="1">
      <alignment horizontal="right"/>
    </xf>
    <xf numFmtId="172" fontId="45" fillId="0" borderId="19" xfId="0" applyNumberFormat="1" applyFont="1" applyFill="1" applyBorder="1"/>
    <xf numFmtId="174" fontId="41" fillId="0" borderId="1" xfId="14" applyNumberFormat="1" applyFont="1" applyFill="1" applyBorder="1" applyProtection="1">
      <protection locked="0"/>
    </xf>
    <xf numFmtId="172" fontId="41" fillId="17" borderId="1" xfId="15" applyNumberFormat="1" applyFont="1" applyFill="1" applyBorder="1" applyProtection="1">
      <protection locked="0"/>
    </xf>
    <xf numFmtId="172" fontId="41" fillId="0" borderId="1" xfId="15" applyNumberFormat="1" applyFont="1" applyFill="1" applyBorder="1" applyProtection="1">
      <protection locked="0"/>
    </xf>
    <xf numFmtId="172" fontId="41" fillId="0" borderId="18" xfId="15" applyNumberFormat="1" applyFont="1" applyFill="1" applyBorder="1" applyProtection="1">
      <protection locked="0"/>
    </xf>
    <xf numFmtId="172" fontId="41" fillId="0" borderId="18" xfId="0" applyNumberFormat="1" applyFont="1" applyFill="1" applyBorder="1" applyProtection="1">
      <protection locked="0"/>
    </xf>
    <xf numFmtId="172" fontId="47" fillId="0" borderId="18" xfId="0" applyNumberFormat="1" applyFont="1" applyFill="1" applyBorder="1" applyProtection="1">
      <protection locked="0"/>
    </xf>
    <xf numFmtId="174" fontId="45" fillId="0" borderId="20" xfId="14" applyNumberFormat="1" applyFont="1" applyFill="1" applyBorder="1" applyAlignment="1">
      <alignment horizontal="center" wrapText="1"/>
    </xf>
    <xf numFmtId="177" fontId="45" fillId="17" borderId="20" xfId="15" applyNumberFormat="1" applyFont="1" applyFill="1" applyBorder="1" applyAlignment="1">
      <alignment horizontal="center" wrapText="1"/>
    </xf>
    <xf numFmtId="177" fontId="45" fillId="0" borderId="1" xfId="15" applyNumberFormat="1" applyFont="1" applyFill="1" applyBorder="1" applyAlignment="1">
      <alignment horizontal="center" wrapText="1"/>
    </xf>
    <xf numFmtId="177" fontId="45" fillId="0" borderId="18" xfId="15" applyNumberFormat="1" applyFont="1" applyFill="1" applyBorder="1" applyAlignment="1">
      <alignment horizontal="center" wrapText="1"/>
    </xf>
    <xf numFmtId="177" fontId="45" fillId="0" borderId="18" xfId="0" applyNumberFormat="1" applyFont="1" applyFill="1" applyBorder="1" applyAlignment="1">
      <alignment horizontal="center" wrapText="1"/>
    </xf>
    <xf numFmtId="177" fontId="46" fillId="0" borderId="18" xfId="0" applyNumberFormat="1" applyFont="1" applyFill="1" applyBorder="1" applyAlignment="1">
      <alignment horizontal="center" wrapText="1"/>
    </xf>
    <xf numFmtId="176" fontId="45" fillId="0" borderId="34" xfId="0" applyNumberFormat="1" applyFont="1" applyFill="1" applyBorder="1"/>
    <xf numFmtId="176" fontId="45" fillId="0" borderId="34" xfId="0" applyNumberFormat="1" applyFont="1" applyBorder="1"/>
    <xf numFmtId="172" fontId="48" fillId="0" borderId="35" xfId="0" applyNumberFormat="1" applyFont="1" applyFill="1" applyBorder="1" applyAlignment="1">
      <alignment horizontal="center"/>
    </xf>
    <xf numFmtId="176" fontId="45" fillId="17" borderId="10" xfId="15" applyNumberFormat="1" applyFont="1" applyFill="1" applyBorder="1"/>
    <xf numFmtId="176" fontId="45" fillId="0" borderId="11" xfId="15" applyNumberFormat="1" applyFont="1" applyFill="1" applyBorder="1"/>
    <xf numFmtId="176" fontId="45" fillId="0" borderId="12" xfId="15" applyNumberFormat="1" applyFont="1" applyFill="1" applyBorder="1"/>
    <xf numFmtId="174" fontId="45" fillId="0" borderId="15" xfId="14" applyNumberFormat="1" applyFont="1" applyFill="1" applyBorder="1"/>
    <xf numFmtId="176" fontId="45" fillId="17" borderId="15" xfId="15" applyNumberFormat="1" applyFont="1" applyFill="1" applyBorder="1"/>
    <xf numFmtId="176" fontId="45" fillId="0" borderId="36" xfId="15" applyNumberFormat="1" applyFont="1" applyFill="1" applyBorder="1"/>
    <xf numFmtId="176" fontId="45" fillId="0" borderId="37" xfId="15" applyNumberFormat="1" applyFont="1" applyFill="1" applyBorder="1"/>
    <xf numFmtId="176" fontId="45" fillId="0" borderId="37" xfId="0" applyNumberFormat="1" applyFont="1" applyFill="1" applyBorder="1"/>
    <xf numFmtId="176" fontId="46" fillId="0" borderId="37" xfId="0" applyNumberFormat="1" applyFont="1" applyFill="1" applyBorder="1"/>
    <xf numFmtId="176" fontId="45" fillId="0" borderId="38" xfId="0" applyNumberFormat="1" applyFont="1" applyFill="1" applyBorder="1"/>
    <xf numFmtId="172" fontId="41" fillId="0" borderId="17" xfId="0" quotePrefix="1" applyNumberFormat="1" applyFont="1" applyFill="1" applyBorder="1" applyAlignment="1">
      <alignment horizontal="left"/>
    </xf>
    <xf numFmtId="172" fontId="41" fillId="0" borderId="19" xfId="0" quotePrefix="1" applyNumberFormat="1" applyFont="1" applyFill="1" applyBorder="1" applyAlignment="1">
      <alignment horizontal="left"/>
    </xf>
    <xf numFmtId="177" fontId="45" fillId="0" borderId="39" xfId="15" applyNumberFormat="1" applyFont="1" applyFill="1" applyBorder="1" applyAlignment="1">
      <alignment horizontal="center" wrapText="1"/>
    </xf>
    <xf numFmtId="177" fontId="45" fillId="0" borderId="21" xfId="15" applyNumberFormat="1" applyFont="1" applyFill="1" applyBorder="1" applyAlignment="1">
      <alignment horizontal="center" wrapText="1"/>
    </xf>
    <xf numFmtId="177" fontId="45" fillId="0" borderId="21" xfId="0" applyNumberFormat="1" applyFont="1" applyFill="1" applyBorder="1" applyAlignment="1">
      <alignment horizontal="center" wrapText="1"/>
    </xf>
    <xf numFmtId="177" fontId="46" fillId="0" borderId="21" xfId="0" applyNumberFormat="1" applyFont="1" applyFill="1" applyBorder="1" applyAlignment="1">
      <alignment horizontal="center" wrapText="1"/>
    </xf>
    <xf numFmtId="172" fontId="41" fillId="0" borderId="20" xfId="0" applyNumberFormat="1" applyFont="1" applyFill="1" applyBorder="1"/>
    <xf numFmtId="176" fontId="41" fillId="0" borderId="34" xfId="0" applyNumberFormat="1" applyFont="1" applyFill="1" applyBorder="1"/>
    <xf numFmtId="176" fontId="41" fillId="0" borderId="34" xfId="0" applyNumberFormat="1" applyFont="1" applyBorder="1"/>
    <xf numFmtId="172" fontId="45" fillId="0" borderId="35" xfId="0" applyNumberFormat="1" applyFont="1" applyFill="1" applyBorder="1"/>
    <xf numFmtId="172" fontId="45" fillId="0" borderId="40" xfId="0" applyNumberFormat="1" applyFont="1" applyBorder="1"/>
    <xf numFmtId="43" fontId="45" fillId="17" borderId="10" xfId="15" applyNumberFormat="1" applyFont="1" applyFill="1" applyBorder="1"/>
    <xf numFmtId="43" fontId="45" fillId="0" borderId="11" xfId="15" applyNumberFormat="1" applyFont="1" applyFill="1" applyBorder="1"/>
    <xf numFmtId="43" fontId="45" fillId="0" borderId="12" xfId="15" applyNumberFormat="1" applyFont="1" applyFill="1" applyBorder="1"/>
    <xf numFmtId="43" fontId="45" fillId="0" borderId="12" xfId="0" applyNumberFormat="1" applyFont="1" applyFill="1" applyBorder="1"/>
    <xf numFmtId="174" fontId="41" fillId="0" borderId="23" xfId="14" applyNumberFormat="1" applyFont="1" applyFill="1" applyBorder="1"/>
    <xf numFmtId="176" fontId="41" fillId="17" borderId="23" xfId="15" applyNumberFormat="1" applyFont="1" applyFill="1" applyBorder="1"/>
    <xf numFmtId="176" fontId="41" fillId="0" borderId="41" xfId="15" applyNumberFormat="1" applyFont="1" applyFill="1" applyBorder="1"/>
    <xf numFmtId="176" fontId="41" fillId="0" borderId="42" xfId="15" applyNumberFormat="1" applyFont="1" applyFill="1" applyBorder="1"/>
    <xf numFmtId="176" fontId="41" fillId="0" borderId="42" xfId="0" applyNumberFormat="1" applyFont="1" applyFill="1" applyBorder="1"/>
    <xf numFmtId="176" fontId="47" fillId="0" borderId="42" xfId="0" applyNumberFormat="1" applyFont="1" applyFill="1" applyBorder="1"/>
    <xf numFmtId="176" fontId="41" fillId="0" borderId="43" xfId="0" applyNumberFormat="1" applyFont="1" applyFill="1" applyBorder="1"/>
    <xf numFmtId="176" fontId="41" fillId="0" borderId="43" xfId="0" applyNumberFormat="1" applyFont="1" applyBorder="1"/>
    <xf numFmtId="172" fontId="41" fillId="0" borderId="17" xfId="0" applyNumberFormat="1" applyFont="1" applyFill="1" applyBorder="1" applyAlignment="1">
      <alignment horizontal="right"/>
    </xf>
    <xf numFmtId="174" fontId="41" fillId="0" borderId="33" xfId="14" applyNumberFormat="1" applyFont="1" applyFill="1" applyBorder="1" applyProtection="1">
      <protection locked="0"/>
    </xf>
    <xf numFmtId="172" fontId="41" fillId="17" borderId="33" xfId="15" applyNumberFormat="1" applyFont="1" applyFill="1" applyBorder="1" applyProtection="1">
      <protection locked="0"/>
    </xf>
    <xf numFmtId="172" fontId="41" fillId="0" borderId="17" xfId="0" applyNumberFormat="1" applyFont="1" applyFill="1" applyBorder="1"/>
    <xf numFmtId="172" fontId="41" fillId="0" borderId="19" xfId="0" applyNumberFormat="1" applyFont="1" applyFill="1" applyBorder="1"/>
    <xf numFmtId="177" fontId="45" fillId="17" borderId="1" xfId="15" applyNumberFormat="1" applyFont="1" applyFill="1" applyBorder="1" applyAlignment="1">
      <alignment horizontal="center" wrapText="1"/>
    </xf>
    <xf numFmtId="172" fontId="45" fillId="0" borderId="19" xfId="0" applyNumberFormat="1" applyFont="1" applyFill="1" applyBorder="1" applyAlignment="1"/>
    <xf numFmtId="174" fontId="41" fillId="0" borderId="15" xfId="14" applyNumberFormat="1" applyFont="1" applyFill="1" applyBorder="1" applyProtection="1">
      <protection locked="0"/>
    </xf>
    <xf numFmtId="172" fontId="41" fillId="17" borderId="15" xfId="15" applyNumberFormat="1" applyFont="1" applyFill="1" applyBorder="1" applyProtection="1">
      <protection locked="0"/>
    </xf>
    <xf numFmtId="172" fontId="41" fillId="0" borderId="36" xfId="15" applyNumberFormat="1" applyFont="1" applyFill="1" applyBorder="1" applyProtection="1">
      <protection locked="0"/>
    </xf>
    <xf numFmtId="172" fontId="41" fillId="0" borderId="38" xfId="15" applyNumberFormat="1" applyFont="1" applyFill="1" applyBorder="1" applyProtection="1">
      <protection locked="0"/>
    </xf>
    <xf numFmtId="172" fontId="41" fillId="0" borderId="38" xfId="0" applyNumberFormat="1" applyFont="1" applyFill="1" applyBorder="1" applyProtection="1">
      <protection locked="0"/>
    </xf>
    <xf numFmtId="172" fontId="47" fillId="0" borderId="38" xfId="0" applyNumberFormat="1" applyFont="1" applyFill="1" applyBorder="1" applyProtection="1">
      <protection locked="0"/>
    </xf>
    <xf numFmtId="172" fontId="41" fillId="0" borderId="38" xfId="0" applyNumberFormat="1" applyFont="1" applyFill="1" applyBorder="1"/>
    <xf numFmtId="176" fontId="41" fillId="0" borderId="18" xfId="0" applyNumberFormat="1" applyFont="1" applyBorder="1" applyAlignment="1">
      <alignment horizontal="right"/>
    </xf>
    <xf numFmtId="177" fontId="45" fillId="17" borderId="0" xfId="0" applyNumberFormat="1" applyFont="1" applyFill="1" applyBorder="1" applyAlignment="1">
      <alignment horizontal="center" wrapText="1"/>
    </xf>
    <xf numFmtId="177" fontId="45" fillId="0" borderId="0" xfId="0" applyNumberFormat="1" applyFont="1" applyFill="1" applyBorder="1" applyAlignment="1">
      <alignment horizontal="center" wrapText="1"/>
    </xf>
    <xf numFmtId="172" fontId="41" fillId="0" borderId="39" xfId="0" applyNumberFormat="1" applyFont="1" applyFill="1" applyBorder="1"/>
    <xf numFmtId="172" fontId="41" fillId="0" borderId="34" xfId="0" applyNumberFormat="1" applyFont="1" applyFill="1" applyBorder="1"/>
    <xf numFmtId="172" fontId="41" fillId="0" borderId="34" xfId="0" applyNumberFormat="1" applyFont="1" applyBorder="1"/>
    <xf numFmtId="172" fontId="45" fillId="0" borderId="34" xfId="0" quotePrefix="1" applyNumberFormat="1" applyFont="1" applyBorder="1" applyAlignment="1">
      <alignment horizontal="left"/>
    </xf>
    <xf numFmtId="175" fontId="45" fillId="0" borderId="0" xfId="0" applyNumberFormat="1" applyFont="1" applyBorder="1" applyAlignment="1">
      <alignment horizontal="center" wrapText="1"/>
    </xf>
    <xf numFmtId="174" fontId="45" fillId="0" borderId="10" xfId="14" applyNumberFormat="1" applyFont="1" applyBorder="1" applyAlignment="1">
      <alignment horizontal="center"/>
    </xf>
    <xf numFmtId="175" fontId="45" fillId="17" borderId="12" xfId="0" applyNumberFormat="1" applyFont="1" applyFill="1" applyBorder="1" applyAlignment="1">
      <alignment horizontal="center" wrapText="1"/>
    </xf>
    <xf numFmtId="175" fontId="45" fillId="0" borderId="12" xfId="0" applyNumberFormat="1" applyFont="1" applyFill="1" applyBorder="1" applyAlignment="1">
      <alignment horizontal="center" wrapText="1"/>
    </xf>
    <xf numFmtId="175" fontId="45" fillId="0" borderId="13" xfId="0" applyNumberFormat="1" applyFont="1" applyFill="1" applyBorder="1" applyAlignment="1">
      <alignment horizontal="center" wrapText="1"/>
    </xf>
    <xf numFmtId="175" fontId="45" fillId="0" borderId="13" xfId="0" applyNumberFormat="1" applyFont="1" applyBorder="1" applyAlignment="1">
      <alignment horizontal="center" wrapText="1"/>
    </xf>
    <xf numFmtId="175" fontId="45" fillId="0" borderId="13" xfId="0" quotePrefix="1" applyNumberFormat="1" applyFont="1" applyBorder="1" applyAlignment="1">
      <alignment horizontal="center" wrapText="1"/>
    </xf>
    <xf numFmtId="175" fontId="45" fillId="0" borderId="26" xfId="0" applyNumberFormat="1" applyFont="1" applyBorder="1" applyAlignment="1">
      <alignment horizontal="center" wrapText="1"/>
    </xf>
    <xf numFmtId="0" fontId="51" fillId="0" borderId="0" xfId="0" applyFont="1" applyBorder="1" applyAlignment="1">
      <alignment horizontal="left"/>
    </xf>
    <xf numFmtId="0" fontId="12" fillId="7" borderId="0" xfId="8" applyFill="1" applyBorder="1" applyAlignment="1">
      <alignment horizontal="center" vertical="center" wrapText="1"/>
    </xf>
    <xf numFmtId="171" fontId="12" fillId="7" borderId="0" xfId="8" applyNumberFormat="1" applyFill="1" applyAlignment="1">
      <alignment horizontal="center" vertical="center"/>
    </xf>
    <xf numFmtId="0" fontId="12" fillId="8" borderId="0" xfId="8" applyFill="1" applyAlignment="1">
      <alignment horizontal="center" vertical="center" wrapText="1"/>
    </xf>
    <xf numFmtId="0" fontId="39" fillId="7" borderId="0" xfId="8" applyFont="1" applyFill="1" applyBorder="1" applyAlignment="1">
      <alignment horizontal="center" vertical="center"/>
    </xf>
    <xf numFmtId="0" fontId="12" fillId="7" borderId="0" xfId="8" applyFill="1" applyBorder="1" applyAlignment="1">
      <alignment horizontal="center" vertical="center"/>
    </xf>
    <xf numFmtId="0" fontId="39" fillId="8" borderId="0" xfId="8" applyFont="1" applyFill="1" applyAlignment="1">
      <alignment horizontal="center" vertical="center"/>
    </xf>
    <xf numFmtId="0" fontId="12" fillId="8" borderId="0" xfId="8" applyFill="1" applyAlignment="1">
      <alignment horizontal="center" vertical="center"/>
    </xf>
    <xf numFmtId="171" fontId="12" fillId="8" borderId="0" xfId="8" applyNumberFormat="1" applyFill="1" applyAlignment="1">
      <alignment horizontal="center" vertical="center"/>
    </xf>
    <xf numFmtId="172" fontId="18" fillId="0" borderId="0" xfId="0" applyNumberFormat="1" applyFont="1" applyAlignment="1">
      <alignment horizontal="left" vertical="top" wrapText="1"/>
    </xf>
    <xf numFmtId="0" fontId="18" fillId="0" borderId="0" xfId="0" applyFont="1" applyAlignment="1">
      <alignment horizontal="left" vertical="top" wrapText="1"/>
    </xf>
    <xf numFmtId="172" fontId="18" fillId="0" borderId="0" xfId="0" applyNumberFormat="1" applyFont="1" applyBorder="1" applyAlignment="1">
      <alignment wrapText="1"/>
    </xf>
    <xf numFmtId="0" fontId="18" fillId="0" borderId="0" xfId="0" applyFont="1" applyAlignment="1">
      <alignment wrapText="1"/>
    </xf>
    <xf numFmtId="172" fontId="18" fillId="0" borderId="0" xfId="0" applyNumberFormat="1" applyFont="1" applyAlignment="1">
      <alignment wrapText="1"/>
    </xf>
    <xf numFmtId="0" fontId="13" fillId="0" borderId="0" xfId="8" applyFont="1" applyAlignment="1">
      <alignment horizontal="left" vertical="top" wrapText="1"/>
    </xf>
    <xf numFmtId="0" fontId="24" fillId="0" borderId="0" xfId="3" applyFont="1" applyFill="1" applyBorder="1" applyAlignment="1">
      <alignment horizontal="left" wrapText="1"/>
    </xf>
    <xf numFmtId="0" fontId="24" fillId="0" borderId="0" xfId="0" applyFont="1" applyBorder="1" applyAlignment="1">
      <alignment horizontal="left" wrapText="1"/>
    </xf>
    <xf numFmtId="0" fontId="4" fillId="0" borderId="0" xfId="3" applyFont="1" applyFill="1" applyBorder="1" applyAlignment="1">
      <alignment horizontal="left" wrapText="1"/>
    </xf>
    <xf numFmtId="0" fontId="4" fillId="0" borderId="0" xfId="0" applyFont="1" applyBorder="1" applyAlignment="1">
      <alignment horizontal="left" wrapText="1"/>
    </xf>
    <xf numFmtId="0" fontId="7" fillId="0" borderId="0" xfId="4" applyFont="1" applyFill="1" applyBorder="1" applyAlignment="1">
      <alignment horizontal="left" vertical="top"/>
    </xf>
    <xf numFmtId="0" fontId="4" fillId="0" borderId="0" xfId="2" applyFont="1" applyBorder="1" applyAlignment="1">
      <alignment horizontal="left" wrapText="1"/>
    </xf>
    <xf numFmtId="0" fontId="4" fillId="0" borderId="0" xfId="3" applyFont="1" applyFill="1" applyBorder="1" applyAlignment="1">
      <alignment wrapText="1"/>
    </xf>
    <xf numFmtId="0" fontId="4" fillId="0" borderId="0" xfId="0" applyFont="1" applyBorder="1" applyAlignment="1">
      <alignment wrapText="1"/>
    </xf>
    <xf numFmtId="0" fontId="13" fillId="0" borderId="0" xfId="8" applyFont="1" applyAlignment="1">
      <alignment horizontal="left" wrapText="1"/>
    </xf>
    <xf numFmtId="0" fontId="17" fillId="0" borderId="0" xfId="8" applyFont="1" applyAlignment="1">
      <alignment vertical="top"/>
    </xf>
    <xf numFmtId="0" fontId="13" fillId="0" borderId="0" xfId="0" applyFont="1" applyAlignment="1">
      <alignment horizontal="left" wrapText="1"/>
    </xf>
    <xf numFmtId="0" fontId="7" fillId="0" borderId="0" xfId="2" applyFont="1"/>
    <xf numFmtId="0" fontId="4" fillId="0" borderId="0" xfId="0" applyFont="1" applyBorder="1"/>
    <xf numFmtId="0" fontId="4" fillId="0" borderId="0" xfId="0" applyFont="1"/>
    <xf numFmtId="0" fontId="7" fillId="0" borderId="0" xfId="3" applyFont="1" applyFill="1" applyBorder="1" applyAlignment="1">
      <alignment vertical="top"/>
    </xf>
    <xf numFmtId="0" fontId="4" fillId="0" borderId="0" xfId="0" applyFont="1" applyFill="1" applyAlignment="1">
      <alignment wrapText="1"/>
    </xf>
    <xf numFmtId="0" fontId="4" fillId="0" borderId="0" xfId="3" applyFont="1" applyFill="1" applyAlignment="1">
      <alignment horizontal="left" wrapText="1"/>
    </xf>
    <xf numFmtId="0" fontId="18" fillId="0" borderId="0" xfId="2" applyFont="1" applyAlignment="1">
      <alignment wrapText="1"/>
    </xf>
    <xf numFmtId="0" fontId="18" fillId="0" borderId="0" xfId="2" applyFont="1" applyAlignment="1">
      <alignment vertical="top" wrapText="1"/>
    </xf>
    <xf numFmtId="0" fontId="7" fillId="0" borderId="0" xfId="18" applyFont="1" applyAlignment="1">
      <alignment horizontal="left" vertical="top" wrapText="1"/>
    </xf>
    <xf numFmtId="0" fontId="18" fillId="0" borderId="0" xfId="0" applyFont="1" applyFill="1" applyBorder="1"/>
    <xf numFmtId="0" fontId="18" fillId="0" borderId="0" xfId="3" applyFont="1" applyFill="1" applyBorder="1" applyAlignment="1">
      <alignment horizontal="left" wrapText="1"/>
    </xf>
    <xf numFmtId="0" fontId="18" fillId="0" borderId="0" xfId="3" applyFont="1" applyFill="1" applyBorder="1" applyAlignment="1"/>
    <xf numFmtId="0" fontId="18" fillId="0" borderId="0" xfId="3" applyFont="1" applyFill="1" applyBorder="1" applyAlignment="1">
      <alignment horizontal="left" vertical="top" wrapText="1"/>
    </xf>
    <xf numFmtId="0" fontId="18" fillId="0" borderId="0" xfId="3" applyFont="1" applyFill="1" applyBorder="1" applyAlignment="1">
      <alignment horizontal="left" vertical="center" wrapText="1"/>
    </xf>
    <xf numFmtId="0" fontId="28" fillId="0" borderId="0" xfId="8" applyFont="1"/>
    <xf numFmtId="0" fontId="18" fillId="0" borderId="0" xfId="13" applyFont="1" applyBorder="1" applyAlignment="1">
      <alignment horizontal="left" vertical="top" wrapText="1"/>
    </xf>
    <xf numFmtId="0" fontId="18" fillId="0" borderId="0" xfId="13" applyFont="1" applyBorder="1" applyAlignment="1"/>
    <xf numFmtId="0" fontId="19" fillId="0" borderId="0" xfId="13" applyFont="1" applyBorder="1" applyAlignment="1">
      <alignment vertical="top"/>
    </xf>
    <xf numFmtId="0" fontId="19" fillId="0" borderId="1" xfId="13" applyFont="1" applyFill="1" applyBorder="1" applyAlignment="1">
      <alignment horizontal="left" wrapText="1"/>
    </xf>
    <xf numFmtId="0" fontId="19" fillId="0" borderId="2" xfId="13" applyFont="1" applyFill="1" applyBorder="1" applyAlignment="1">
      <alignment horizontal="left" wrapText="1"/>
    </xf>
    <xf numFmtId="0" fontId="19" fillId="0" borderId="1" xfId="13" applyFont="1" applyFill="1" applyBorder="1" applyAlignment="1">
      <alignment wrapText="1"/>
    </xf>
    <xf numFmtId="0" fontId="19" fillId="0" borderId="2" xfId="13" applyFont="1" applyFill="1" applyBorder="1" applyAlignment="1">
      <alignment wrapText="1"/>
    </xf>
    <xf numFmtId="0" fontId="19" fillId="0" borderId="1" xfId="13" applyFont="1" applyBorder="1" applyAlignment="1">
      <alignment wrapText="1"/>
    </xf>
    <xf numFmtId="0" fontId="19" fillId="0" borderId="2" xfId="13" applyFont="1" applyBorder="1" applyAlignment="1">
      <alignment wrapText="1"/>
    </xf>
    <xf numFmtId="0" fontId="18" fillId="0" borderId="0" xfId="0" applyFont="1" applyFill="1" applyBorder="1" applyAlignment="1">
      <alignment wrapText="1"/>
    </xf>
    <xf numFmtId="0" fontId="18" fillId="0" borderId="0" xfId="0" applyFont="1" applyFill="1" applyBorder="1" applyAlignment="1"/>
    <xf numFmtId="172" fontId="53" fillId="0" borderId="44" xfId="0" applyNumberFormat="1" applyFont="1" applyBorder="1" applyAlignment="1"/>
    <xf numFmtId="172" fontId="52" fillId="0" borderId="44" xfId="0" applyNumberFormat="1" applyFont="1" applyBorder="1" applyAlignment="1"/>
    <xf numFmtId="0" fontId="51" fillId="0" borderId="44" xfId="0" applyFont="1" applyBorder="1" applyAlignment="1"/>
    <xf numFmtId="172" fontId="45" fillId="0" borderId="0" xfId="0" applyNumberFormat="1" applyFont="1" applyAlignment="1">
      <alignment horizontal="left" vertical="top" wrapText="1"/>
    </xf>
    <xf numFmtId="0" fontId="2" fillId="0" borderId="0" xfId="0" applyFont="1" applyAlignment="1">
      <alignment horizontal="left" vertical="top" wrapText="1"/>
    </xf>
    <xf numFmtId="172" fontId="41" fillId="0" borderId="0" xfId="0" applyNumberFormat="1" applyFont="1" applyBorder="1" applyAlignment="1">
      <alignment wrapText="1"/>
    </xf>
    <xf numFmtId="0" fontId="2" fillId="0" borderId="0" xfId="0" applyFont="1" applyAlignment="1">
      <alignment wrapText="1"/>
    </xf>
    <xf numFmtId="172" fontId="41" fillId="0" borderId="0" xfId="0" applyNumberFormat="1" applyFont="1" applyAlignment="1">
      <alignment wrapText="1"/>
    </xf>
    <xf numFmtId="0" fontId="23" fillId="0" borderId="0" xfId="2" applyFont="1"/>
  </cellXfs>
  <cellStyles count="19">
    <cellStyle name="Comma" xfId="14" builtinId="3"/>
    <cellStyle name="Comma 2" xfId="16"/>
    <cellStyle name="Currency 2" xfId="5"/>
    <cellStyle name="Currency 3" xfId="11"/>
    <cellStyle name="Normal" xfId="0" builtinId="0"/>
    <cellStyle name="Normal 2" xfId="2"/>
    <cellStyle name="Normal 2 2" xfId="10"/>
    <cellStyle name="Normal 2 3" xfId="15"/>
    <cellStyle name="Normal 3" xfId="6"/>
    <cellStyle name="Normal 4" xfId="7"/>
    <cellStyle name="Normal 5" xfId="8"/>
    <cellStyle name="Normal 5 2" xfId="12"/>
    <cellStyle name="Normal 6" xfId="17"/>
    <cellStyle name="Normal 7" xfId="18"/>
    <cellStyle name="Normal_78 - 04 FW spending report Spring 05Revised" xfId="13"/>
    <cellStyle name="Normal_Gov Report File" xfId="3"/>
    <cellStyle name="Normal_Sheet1" xfId="4"/>
    <cellStyle name="Note 2" xfId="9"/>
    <cellStyle name="Percent" xfId="1" builtinId="5"/>
  </cellStyles>
  <dxfs count="0"/>
  <tableStyles count="0" defaultTableStyle="TableStyleMedium9" defaultPivotStyle="PivotStyleLight16"/>
  <colors>
    <mruColors>
      <color rgb="FFC3D69B"/>
      <color rgb="FF9AB9D2"/>
      <color rgb="FFFFFFFF"/>
      <color rgb="FF8064A2"/>
      <color rgb="FFF68B32"/>
      <color rgb="FF856BA5"/>
      <color rgb="FF9BBB59"/>
      <color rgb="FFC0504D"/>
      <color rgb="FF4F81BD"/>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3.xml"/><Relationship Id="rId1" Type="http://schemas.microsoft.com/office/2011/relationships/chartStyle" Target="style3.xml"/></Relationships>
</file>

<file path=xl/charts/_rels/chart1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0052726358132"/>
          <c:y val="2.6451465647437679E-3"/>
          <c:w val="0.73793696685066634"/>
          <c:h val="0.99113884874045965"/>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E64C-4B75-ACC6-D985A14E3F5E}"/>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E64C-4B75-ACC6-D985A14E3F5E}"/>
              </c:ext>
            </c:extLst>
          </c:dPt>
          <c:dPt>
            <c:idx val="2"/>
            <c:bubble3D val="0"/>
            <c:spPr>
              <a:solidFill>
                <a:schemeClr val="accent3">
                  <a:lumMod val="75000"/>
                </a:schemeClr>
              </a:solidFill>
              <a:ln w="19050">
                <a:noFill/>
              </a:ln>
              <a:effectLst/>
            </c:spPr>
            <c:extLst>
              <c:ext xmlns:c16="http://schemas.microsoft.com/office/drawing/2014/chart" uri="{C3380CC4-5D6E-409C-BE32-E72D297353CC}">
                <c16:uniqueId val="{00000005-E64C-4B75-ACC6-D985A14E3F5E}"/>
              </c:ext>
            </c:extLst>
          </c:dPt>
          <c:dPt>
            <c:idx val="3"/>
            <c:bubble3D val="0"/>
            <c:spPr>
              <a:solidFill>
                <a:srgbClr val="9BBB59"/>
              </a:solidFill>
              <a:ln w="19050">
                <a:noFill/>
              </a:ln>
              <a:effectLst/>
            </c:spPr>
            <c:extLst>
              <c:ext xmlns:c16="http://schemas.microsoft.com/office/drawing/2014/chart" uri="{C3380CC4-5D6E-409C-BE32-E72D297353CC}">
                <c16:uniqueId val="{00000007-E64C-4B75-ACC6-D985A14E3F5E}"/>
              </c:ext>
            </c:extLst>
          </c:dPt>
          <c:dPt>
            <c:idx val="4"/>
            <c:bubble3D val="0"/>
            <c:spPr>
              <a:solidFill>
                <a:schemeClr val="accent3">
                  <a:lumMod val="60000"/>
                  <a:lumOff val="40000"/>
                </a:schemeClr>
              </a:solidFill>
              <a:ln w="19050">
                <a:noFill/>
              </a:ln>
              <a:effectLst/>
            </c:spPr>
            <c:extLst>
              <c:ext xmlns:c16="http://schemas.microsoft.com/office/drawing/2014/chart" uri="{C3380CC4-5D6E-409C-BE32-E72D297353CC}">
                <c16:uniqueId val="{00000009-E64C-4B75-ACC6-D985A14E3F5E}"/>
              </c:ext>
            </c:extLst>
          </c:dPt>
          <c:dPt>
            <c:idx val="5"/>
            <c:bubble3D val="0"/>
            <c:spPr>
              <a:solidFill>
                <a:schemeClr val="accent3">
                  <a:lumMod val="40000"/>
                  <a:lumOff val="60000"/>
                </a:schemeClr>
              </a:solidFill>
              <a:ln w="19050">
                <a:noFill/>
              </a:ln>
              <a:effectLst/>
            </c:spPr>
            <c:extLst>
              <c:ext xmlns:c16="http://schemas.microsoft.com/office/drawing/2014/chart" uri="{C3380CC4-5D6E-409C-BE32-E72D297353CC}">
                <c16:uniqueId val="{0000000B-E64C-4B75-ACC6-D985A14E3F5E}"/>
              </c:ext>
            </c:extLst>
          </c:dPt>
          <c:dPt>
            <c:idx val="6"/>
            <c:bubble3D val="0"/>
            <c:spPr>
              <a:solidFill>
                <a:srgbClr val="856BA5"/>
              </a:solidFill>
              <a:ln w="19050">
                <a:noFill/>
              </a:ln>
              <a:effectLst/>
            </c:spPr>
            <c:extLst>
              <c:ext xmlns:c16="http://schemas.microsoft.com/office/drawing/2014/chart" uri="{C3380CC4-5D6E-409C-BE32-E72D297353CC}">
                <c16:uniqueId val="{0000000D-E64C-4B75-ACC6-D985A14E3F5E}"/>
              </c:ext>
            </c:extLst>
          </c:dPt>
          <c:dPt>
            <c:idx val="7"/>
            <c:bubble3D val="0"/>
            <c:spPr>
              <a:solidFill>
                <a:schemeClr val="accent4">
                  <a:lumMod val="40000"/>
                  <a:lumOff val="60000"/>
                </a:schemeClr>
              </a:solidFill>
              <a:ln w="19050">
                <a:noFill/>
              </a:ln>
              <a:effectLst/>
            </c:spPr>
            <c:extLst>
              <c:ext xmlns:c16="http://schemas.microsoft.com/office/drawing/2014/chart" uri="{C3380CC4-5D6E-409C-BE32-E72D297353CC}">
                <c16:uniqueId val="{0000000F-E64C-4B75-ACC6-D985A14E3F5E}"/>
              </c:ext>
            </c:extLst>
          </c:dPt>
          <c:dPt>
            <c:idx val="8"/>
            <c:bubble3D val="0"/>
            <c:spPr>
              <a:solidFill>
                <a:srgbClr val="F68B32"/>
              </a:solidFill>
              <a:ln w="19050">
                <a:noFill/>
              </a:ln>
              <a:effectLst/>
            </c:spPr>
            <c:extLst>
              <c:ext xmlns:c16="http://schemas.microsoft.com/office/drawing/2014/chart" uri="{C3380CC4-5D6E-409C-BE32-E72D297353CC}">
                <c16:uniqueId val="{00000011-E64C-4B75-ACC6-D985A14E3F5E}"/>
              </c:ext>
            </c:extLst>
          </c:dPt>
          <c:dPt>
            <c:idx val="9"/>
            <c:bubble3D val="0"/>
            <c:spPr>
              <a:solidFill>
                <a:schemeClr val="bg1">
                  <a:lumMod val="75000"/>
                </a:schemeClr>
              </a:solidFill>
              <a:ln w="19050">
                <a:noFill/>
              </a:ln>
              <a:effectLst/>
            </c:spPr>
            <c:extLst>
              <c:ext xmlns:c16="http://schemas.microsoft.com/office/drawing/2014/chart" uri="{C3380CC4-5D6E-409C-BE32-E72D297353CC}">
                <c16:uniqueId val="{00000013-E64C-4B75-ACC6-D985A14E3F5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E64C-4B75-ACC6-D985A14E3F5E}"/>
              </c:ext>
            </c:extLst>
          </c:dPt>
          <c:dPt>
            <c:idx val="11"/>
            <c:bubble3D val="0"/>
            <c:spPr>
              <a:solidFill>
                <a:schemeClr val="accent6">
                  <a:lumMod val="60000"/>
                </a:schemeClr>
              </a:solidFill>
              <a:ln w="19050">
                <a:noFill/>
              </a:ln>
              <a:effectLst/>
            </c:spPr>
            <c:extLst>
              <c:ext xmlns:c16="http://schemas.microsoft.com/office/drawing/2014/chart" uri="{C3380CC4-5D6E-409C-BE32-E72D297353CC}">
                <c16:uniqueId val="{00000017-E64C-4B75-ACC6-D985A14E3F5E}"/>
              </c:ext>
            </c:extLst>
          </c:dPt>
          <c:dLbls>
            <c:dLbl>
              <c:idx val="0"/>
              <c:layout>
                <c:manualLayout>
                  <c:x val="-0.11553955086926115"/>
                  <c:y val="6.9759071899922656E-2"/>
                </c:manualLayout>
              </c:layout>
              <c:showLegendKey val="0"/>
              <c:showVal val="1"/>
              <c:showCatName val="1"/>
              <c:showSerName val="0"/>
              <c:showPercent val="0"/>
              <c:showBubbleSize val="0"/>
              <c:extLst>
                <c:ext xmlns:c15="http://schemas.microsoft.com/office/drawing/2012/chart" uri="{CE6537A1-D6FC-4f65-9D91-7224C49458BB}">
                  <c15:layout>
                    <c:manualLayout>
                      <c:w val="0.16877614618960968"/>
                      <c:h val="5.7000763051284972E-2"/>
                    </c:manualLayout>
                  </c15:layout>
                </c:ext>
                <c:ext xmlns:c16="http://schemas.microsoft.com/office/drawing/2014/chart" uri="{C3380CC4-5D6E-409C-BE32-E72D297353CC}">
                  <c16:uniqueId val="{00000001-E64C-4B75-ACC6-D985A14E3F5E}"/>
                </c:ext>
              </c:extLst>
            </c:dLbl>
            <c:dLbl>
              <c:idx val="1"/>
              <c:layout>
                <c:manualLayout>
                  <c:x val="3.782464898582065E-2"/>
                  <c:y val="-3.4217229622966021E-2"/>
                </c:manualLayout>
              </c:layout>
              <c:numFmt formatCode="&quot;$&quot;#0.0\ &quot;million&quot;" sourceLinked="0"/>
              <c:spPr>
                <a:solidFill>
                  <a:srgbClr val="FFFFFF">
                    <a:alpha val="85098"/>
                  </a:srgbClr>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9.0899547542308584E-2"/>
                      <c:h val="9.4536458172732818E-2"/>
                    </c:manualLayout>
                  </c15:layout>
                </c:ext>
                <c:ext xmlns:c16="http://schemas.microsoft.com/office/drawing/2014/chart" uri="{C3380CC4-5D6E-409C-BE32-E72D297353CC}">
                  <c16:uniqueId val="{00000003-E64C-4B75-ACC6-D985A14E3F5E}"/>
                </c:ext>
              </c:extLst>
            </c:dLbl>
            <c:dLbl>
              <c:idx val="2"/>
              <c:layout>
                <c:manualLayout>
                  <c:x val="-0.14010641773007676"/>
                  <c:y val="-2.7084323448254524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8456765440082346"/>
                      <c:h val="5.7000763051284972E-2"/>
                    </c:manualLayout>
                  </c15:layout>
                </c:ext>
                <c:ext xmlns:c16="http://schemas.microsoft.com/office/drawing/2014/chart" uri="{C3380CC4-5D6E-409C-BE32-E72D297353CC}">
                  <c16:uniqueId val="{00000005-E64C-4B75-ACC6-D985A14E3F5E}"/>
                </c:ext>
              </c:extLst>
            </c:dLbl>
            <c:dLbl>
              <c:idx val="3"/>
              <c:layout>
                <c:manualLayout>
                  <c:x val="-7.4600670074533457E-2"/>
                  <c:y val="2.6428461535575043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4401122965498539"/>
                      <c:h val="5.7000763051284972E-2"/>
                    </c:manualLayout>
                  </c15:layout>
                </c:ext>
                <c:ext xmlns:c16="http://schemas.microsoft.com/office/drawing/2014/chart" uri="{C3380CC4-5D6E-409C-BE32-E72D297353CC}">
                  <c16:uniqueId val="{00000007-E64C-4B75-ACC6-D985A14E3F5E}"/>
                </c:ext>
              </c:extLst>
            </c:dLbl>
            <c:dLbl>
              <c:idx val="4"/>
              <c:layout>
                <c:manualLayout>
                  <c:x val="-1.752797846799066E-2"/>
                  <c:y val="2.6567791404586868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4C-4B75-ACC6-D985A14E3F5E}"/>
                </c:ext>
              </c:extLst>
            </c:dLbl>
            <c:dLbl>
              <c:idx val="5"/>
              <c:layout>
                <c:manualLayout>
                  <c:x val="-1.4994207144097082E-2"/>
                  <c:y val="-3.4611317794626721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023244631556063"/>
                      <c:h val="9.222478965513245E-2"/>
                    </c:manualLayout>
                  </c15:layout>
                </c:ext>
                <c:ext xmlns:c16="http://schemas.microsoft.com/office/drawing/2014/chart" uri="{C3380CC4-5D6E-409C-BE32-E72D297353CC}">
                  <c16:uniqueId val="{0000000B-E64C-4B75-ACC6-D985A14E3F5E}"/>
                </c:ext>
              </c:extLst>
            </c:dLbl>
            <c:dLbl>
              <c:idx val="6"/>
              <c:layout>
                <c:manualLayout>
                  <c:x val="-1.704203300680002E-2"/>
                  <c:y val="-0.10456519047159905"/>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1540056669604228"/>
                      <c:h val="9.222478965513245E-2"/>
                    </c:manualLayout>
                  </c15:layout>
                </c:ext>
                <c:ext xmlns:c16="http://schemas.microsoft.com/office/drawing/2014/chart" uri="{C3380CC4-5D6E-409C-BE32-E72D297353CC}">
                  <c16:uniqueId val="{0000000D-E64C-4B75-ACC6-D985A14E3F5E}"/>
                </c:ext>
              </c:extLst>
            </c:dLbl>
            <c:dLbl>
              <c:idx val="7"/>
              <c:layout>
                <c:manualLayout>
                  <c:x val="-2.2819637254635532E-2"/>
                  <c:y val="6.1334835616042777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t"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020817677278306"/>
                      <c:h val="5.9872850889794153E-2"/>
                    </c:manualLayout>
                  </c15:layout>
                </c:ext>
                <c:ext xmlns:c16="http://schemas.microsoft.com/office/drawing/2014/chart" uri="{C3380CC4-5D6E-409C-BE32-E72D297353CC}">
                  <c16:uniqueId val="{0000000F-E64C-4B75-ACC6-D985A14E3F5E}"/>
                </c:ext>
              </c:extLst>
            </c:dLbl>
            <c:dLbl>
              <c:idx val="8"/>
              <c:layout>
                <c:manualLayout>
                  <c:x val="5.1384545109256587E-2"/>
                  <c:y val="4.2879827661677708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216249577561959"/>
                      <c:h val="9.6416106206558327E-2"/>
                    </c:manualLayout>
                  </c15:layout>
                </c:ext>
                <c:ext xmlns:c16="http://schemas.microsoft.com/office/drawing/2014/chart" uri="{C3380CC4-5D6E-409C-BE32-E72D297353CC}">
                  <c16:uniqueId val="{00000011-E64C-4B75-ACC6-D985A14E3F5E}"/>
                </c:ext>
              </c:extLst>
            </c:dLbl>
            <c:dLbl>
              <c:idx val="9"/>
              <c:layout>
                <c:manualLayout>
                  <c:x val="0.20177349454630092"/>
                  <c:y val="-0.2152190918938548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64C-4B75-ACC6-D985A14E3F5E}"/>
                </c:ext>
              </c:extLst>
            </c:dLbl>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'1_CostsByArea'!$A$5:$A$13</c:f>
              <c:strCache>
                <c:ptCount val="9"/>
                <c:pt idx="0">
                  <c:v>Direct F&amp;W Program</c:v>
                </c:pt>
                <c:pt idx="1">
                  <c:v>Forgone Revenue</c:v>
                </c:pt>
                <c:pt idx="2">
                  <c:v>Corps of Engineers O&amp;M (est.)</c:v>
                </c:pt>
                <c:pt idx="3">
                  <c:v>Lower Snake Comp Plan</c:v>
                </c:pt>
                <c:pt idx="4">
                  <c:v>Bureau of Reclamation O&amp;M (est.)</c:v>
                </c:pt>
                <c:pt idx="5">
                  <c:v>NW Power &amp; Conservation Council</c:v>
                </c:pt>
                <c:pt idx="6">
                  <c:v>Interest Expense (est.)</c:v>
                </c:pt>
                <c:pt idx="7">
                  <c:v>Amoritization/Depreciation (est.)</c:v>
                </c:pt>
                <c:pt idx="8">
                  <c:v>Power Purchases for Fish Enhancement (est.)</c:v>
                </c:pt>
              </c:strCache>
            </c:strRef>
          </c:cat>
          <c:val>
            <c:numRef>
              <c:f>'1_CostsByArea'!$B$5:$B$13</c:f>
              <c:numCache>
                <c:formatCode>_(* #,##0.0_);_(* \(#,##0.0\);_(* "-"??_);_(@_)</c:formatCode>
                <c:ptCount val="9"/>
                <c:pt idx="0">
                  <c:v>254.7</c:v>
                </c:pt>
                <c:pt idx="1">
                  <c:v>9.6</c:v>
                </c:pt>
                <c:pt idx="2">
                  <c:v>46.8</c:v>
                </c:pt>
                <c:pt idx="3">
                  <c:v>26</c:v>
                </c:pt>
                <c:pt idx="4">
                  <c:v>7</c:v>
                </c:pt>
                <c:pt idx="5">
                  <c:v>5.36</c:v>
                </c:pt>
                <c:pt idx="6">
                  <c:v>58.6</c:v>
                </c:pt>
                <c:pt idx="7">
                  <c:v>62.8</c:v>
                </c:pt>
                <c:pt idx="8">
                  <c:v>-20.5</c:v>
                </c:pt>
              </c:numCache>
            </c:numRef>
          </c:val>
          <c:extLst>
            <c:ext xmlns:c16="http://schemas.microsoft.com/office/drawing/2014/chart" uri="{C3380CC4-5D6E-409C-BE32-E72D297353CC}">
              <c16:uniqueId val="{00000018-E64C-4B75-ACC6-D985A14E3F5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A-E64C-4B75-ACC6-D985A14E3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C-E64C-4B75-ACC6-D985A14E3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E-E64C-4B75-ACC6-D985A14E3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0-E64C-4B75-ACC6-D985A14E3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2-E64C-4B75-ACC6-D985A14E3F5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4-E64C-4B75-ACC6-D985A14E3F5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6-E64C-4B75-ACC6-D985A14E3F5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8-E64C-4B75-ACC6-D985A14E3F5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A-E64C-4B75-ACC6-D985A14E3F5E}"/>
              </c:ext>
            </c:extLst>
          </c:dPt>
          <c:cat>
            <c:strRef>
              <c:f>'1_CostsByArea'!$A$5:$A$13</c:f>
              <c:strCache>
                <c:ptCount val="9"/>
                <c:pt idx="0">
                  <c:v>Direct F&amp;W Program</c:v>
                </c:pt>
                <c:pt idx="1">
                  <c:v>Forgone Revenue</c:v>
                </c:pt>
                <c:pt idx="2">
                  <c:v>Corps of Engineers O&amp;M (est.)</c:v>
                </c:pt>
                <c:pt idx="3">
                  <c:v>Lower Snake Comp Plan</c:v>
                </c:pt>
                <c:pt idx="4">
                  <c:v>Bureau of Reclamation O&amp;M (est.)</c:v>
                </c:pt>
                <c:pt idx="5">
                  <c:v>NW Power &amp; Conservation Council</c:v>
                </c:pt>
                <c:pt idx="6">
                  <c:v>Interest Expense (est.)</c:v>
                </c:pt>
                <c:pt idx="7">
                  <c:v>Amoritization/Depreciation (est.)</c:v>
                </c:pt>
                <c:pt idx="8">
                  <c:v>Power Purchases for Fish Enhancement (est.)</c:v>
                </c:pt>
              </c:strCache>
            </c:strRef>
          </c:cat>
          <c:val>
            <c:numRef>
              <c:f>'1_CostsByArea'!$B$5:$B$13</c:f>
              <c:numCache>
                <c:formatCode>_(* #,##0.0_);_(* \(#,##0.0\);_(* "-"??_);_(@_)</c:formatCode>
                <c:ptCount val="9"/>
                <c:pt idx="0">
                  <c:v>254.7</c:v>
                </c:pt>
                <c:pt idx="1">
                  <c:v>9.6</c:v>
                </c:pt>
                <c:pt idx="2">
                  <c:v>46.8</c:v>
                </c:pt>
                <c:pt idx="3">
                  <c:v>26</c:v>
                </c:pt>
                <c:pt idx="4">
                  <c:v>7</c:v>
                </c:pt>
                <c:pt idx="5">
                  <c:v>5.36</c:v>
                </c:pt>
                <c:pt idx="6">
                  <c:v>58.6</c:v>
                </c:pt>
                <c:pt idx="7">
                  <c:v>62.8</c:v>
                </c:pt>
                <c:pt idx="8">
                  <c:v>-20.5</c:v>
                </c:pt>
              </c:numCache>
            </c:numRef>
          </c:val>
          <c:extLst>
            <c:ext xmlns:c16="http://schemas.microsoft.com/office/drawing/2014/chart" uri="{C3380CC4-5D6E-409C-BE32-E72D297353CC}">
              <c16:uniqueId val="{0000002B-E64C-4B75-ACC6-D985A14E3F5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'10_Contractor'!$B$78:$B$109</c:f>
              <c:strCache>
                <c:ptCount val="32"/>
                <c:pt idx="0">
                  <c:v>Federal: BPA Overhead (&amp; Non-Contracted Project Costs)</c:v>
                </c:pt>
                <c:pt idx="1">
                  <c:v>Federal: National Marine Fisheries</c:v>
                </c:pt>
                <c:pt idx="2">
                  <c:v>Federal: US Fish &amp; Wildlife Service</c:v>
                </c:pt>
                <c:pt idx="3">
                  <c:v>Federal: US Geological Survey</c:v>
                </c:pt>
                <c:pt idx="4">
                  <c:v>Federal: US Forest Service</c:v>
                </c:pt>
                <c:pt idx="5">
                  <c:v>Federal: Other</c:v>
                </c:pt>
                <c:pt idx="6">
                  <c:v>State: Oregon Department of Fish &amp; Wildlife</c:v>
                </c:pt>
                <c:pt idx="7">
                  <c:v>State: Idaho Department of Fish &amp; Wildlife</c:v>
                </c:pt>
                <c:pt idx="8">
                  <c:v>State: Washington Department of Fish &amp; Wildlife</c:v>
                </c:pt>
                <c:pt idx="9">
                  <c:v>State: Idaho State Office of Species Conservation</c:v>
                </c:pt>
                <c:pt idx="10">
                  <c:v>State: Montana Fish, Wildlife And Parks</c:v>
                </c:pt>
                <c:pt idx="11">
                  <c:v>Tribe: Yakama Confederated Tribes</c:v>
                </c:pt>
                <c:pt idx="12">
                  <c:v>Tribe: Colville Confederated Tribes</c:v>
                </c:pt>
                <c:pt idx="13">
                  <c:v>Tribe: Nez Perce Tribe</c:v>
                </c:pt>
                <c:pt idx="14">
                  <c:v>Tribe: Umatilla Confederated Tribes</c:v>
                </c:pt>
                <c:pt idx="15">
                  <c:v>Tribe: Kootenai Tribe</c:v>
                </c:pt>
                <c:pt idx="16">
                  <c:v>Tribe: Columbia River Intertribal Fish Commission</c:v>
                </c:pt>
                <c:pt idx="17">
                  <c:v>Tribe: Confederated Tribes of Warm Springs</c:v>
                </c:pt>
                <c:pt idx="18">
                  <c:v>Tribe: Kalispel Tribe of Indians</c:v>
                </c:pt>
                <c:pt idx="19">
                  <c:v>Tribe: Shoshone-Bannock Tribes</c:v>
                </c:pt>
                <c:pt idx="20">
                  <c:v>Tribe: Spokane Tribe of Indians</c:v>
                </c:pt>
                <c:pt idx="21">
                  <c:v>Tribe: Coeur D'Alene Tribe of Idaho</c:v>
                </c:pt>
                <c:pt idx="22">
                  <c:v>Tribe: Shoshone-Paiute Tribes</c:v>
                </c:pt>
                <c:pt idx="23">
                  <c:v>Tribe: Burns-Paiute</c:v>
                </c:pt>
                <c:pt idx="24">
                  <c:v>Tribe: Other</c:v>
                </c:pt>
                <c:pt idx="25">
                  <c:v>Interstate: Pacific States Marine Fisheries Commission</c:v>
                </c:pt>
                <c:pt idx="26">
                  <c:v>University</c:v>
                </c:pt>
                <c:pt idx="27">
                  <c:v>Other: Private/Non-Profit/Other</c:v>
                </c:pt>
                <c:pt idx="28">
                  <c:v>Other: Land Acquisitions</c:v>
                </c:pt>
                <c:pt idx="29">
                  <c:v>Other: National Fish &amp; Wildlife Foundation</c:v>
                </c:pt>
                <c:pt idx="30">
                  <c:v>Other: Local/Semi Government</c:v>
                </c:pt>
                <c:pt idx="31">
                  <c:v>Other: Utility</c:v>
                </c:pt>
              </c:strCache>
            </c:strRef>
          </c:cat>
          <c:val>
            <c:numRef>
              <c:f>'10_Contractor'!#REF!</c:f>
              <c:numCache>
                <c:formatCode>General</c:formatCode>
                <c:ptCount val="1"/>
                <c:pt idx="0">
                  <c:v>1</c:v>
                </c:pt>
              </c:numCache>
            </c:numRef>
          </c:val>
          <c:extLst>
            <c:ext xmlns:c16="http://schemas.microsoft.com/office/drawing/2014/chart" uri="{C3380CC4-5D6E-409C-BE32-E72D297353CC}">
              <c16:uniqueId val="{00000000-4A0C-442C-B05A-7D95BF9BA070}"/>
            </c:ext>
          </c:extLst>
        </c:ser>
        <c:ser>
          <c:idx val="1"/>
          <c:order val="1"/>
          <c:spPr>
            <a:solidFill>
              <a:schemeClr val="accent2"/>
            </a:solidFill>
            <a:ln>
              <a:noFill/>
            </a:ln>
            <a:effectLst/>
          </c:spPr>
          <c:invertIfNegative val="0"/>
          <c:dPt>
            <c:idx val="6"/>
            <c:invertIfNegative val="0"/>
            <c:bubble3D val="0"/>
            <c:spPr>
              <a:solidFill>
                <a:srgbClr val="9AB9D2"/>
              </a:solidFill>
              <a:ln>
                <a:noFill/>
              </a:ln>
              <a:effectLst/>
            </c:spPr>
            <c:extLst>
              <c:ext xmlns:c16="http://schemas.microsoft.com/office/drawing/2014/chart" uri="{C3380CC4-5D6E-409C-BE32-E72D297353CC}">
                <c16:uniqueId val="{00000002-4A0C-442C-B05A-7D95BF9BA070}"/>
              </c:ext>
            </c:extLst>
          </c:dPt>
          <c:dPt>
            <c:idx val="7"/>
            <c:invertIfNegative val="0"/>
            <c:bubble3D val="0"/>
            <c:spPr>
              <a:solidFill>
                <a:srgbClr val="9AB9D2"/>
              </a:solidFill>
              <a:ln>
                <a:noFill/>
              </a:ln>
              <a:effectLst/>
            </c:spPr>
            <c:extLst>
              <c:ext xmlns:c16="http://schemas.microsoft.com/office/drawing/2014/chart" uri="{C3380CC4-5D6E-409C-BE32-E72D297353CC}">
                <c16:uniqueId val="{00000004-4A0C-442C-B05A-7D95BF9BA070}"/>
              </c:ext>
            </c:extLst>
          </c:dPt>
          <c:dPt>
            <c:idx val="8"/>
            <c:invertIfNegative val="0"/>
            <c:bubble3D val="0"/>
            <c:spPr>
              <a:solidFill>
                <a:srgbClr val="9AB9D2"/>
              </a:solidFill>
              <a:ln>
                <a:noFill/>
              </a:ln>
              <a:effectLst/>
            </c:spPr>
            <c:extLst>
              <c:ext xmlns:c16="http://schemas.microsoft.com/office/drawing/2014/chart" uri="{C3380CC4-5D6E-409C-BE32-E72D297353CC}">
                <c16:uniqueId val="{00000006-4A0C-442C-B05A-7D95BF9BA070}"/>
              </c:ext>
            </c:extLst>
          </c:dPt>
          <c:dPt>
            <c:idx val="9"/>
            <c:invertIfNegative val="0"/>
            <c:bubble3D val="0"/>
            <c:spPr>
              <a:solidFill>
                <a:srgbClr val="9AB9D2"/>
              </a:solidFill>
              <a:ln>
                <a:noFill/>
              </a:ln>
              <a:effectLst/>
            </c:spPr>
            <c:extLst>
              <c:ext xmlns:c16="http://schemas.microsoft.com/office/drawing/2014/chart" uri="{C3380CC4-5D6E-409C-BE32-E72D297353CC}">
                <c16:uniqueId val="{00000008-4A0C-442C-B05A-7D95BF9BA070}"/>
              </c:ext>
            </c:extLst>
          </c:dPt>
          <c:dPt>
            <c:idx val="10"/>
            <c:invertIfNegative val="0"/>
            <c:bubble3D val="0"/>
            <c:spPr>
              <a:solidFill>
                <a:srgbClr val="9AB9D2"/>
              </a:solidFill>
              <a:ln>
                <a:noFill/>
              </a:ln>
              <a:effectLst/>
            </c:spPr>
            <c:extLst>
              <c:ext xmlns:c16="http://schemas.microsoft.com/office/drawing/2014/chart" uri="{C3380CC4-5D6E-409C-BE32-E72D297353CC}">
                <c16:uniqueId val="{0000000A-4A0C-442C-B05A-7D95BF9BA070}"/>
              </c:ext>
            </c:extLst>
          </c:dPt>
          <c:dPt>
            <c:idx val="11"/>
            <c:invertIfNegative val="0"/>
            <c:bubble3D val="0"/>
            <c:spPr>
              <a:solidFill>
                <a:srgbClr val="C3D69B"/>
              </a:solidFill>
              <a:ln>
                <a:noFill/>
              </a:ln>
              <a:effectLst/>
            </c:spPr>
            <c:extLst>
              <c:ext xmlns:c16="http://schemas.microsoft.com/office/drawing/2014/chart" uri="{C3380CC4-5D6E-409C-BE32-E72D297353CC}">
                <c16:uniqueId val="{0000000C-4A0C-442C-B05A-7D95BF9BA070}"/>
              </c:ext>
            </c:extLst>
          </c:dPt>
          <c:dPt>
            <c:idx val="12"/>
            <c:invertIfNegative val="0"/>
            <c:bubble3D val="0"/>
            <c:spPr>
              <a:solidFill>
                <a:srgbClr val="C3D69B"/>
              </a:solidFill>
              <a:ln>
                <a:noFill/>
              </a:ln>
              <a:effectLst/>
            </c:spPr>
            <c:extLst>
              <c:ext xmlns:c16="http://schemas.microsoft.com/office/drawing/2014/chart" uri="{C3380CC4-5D6E-409C-BE32-E72D297353CC}">
                <c16:uniqueId val="{0000000E-4A0C-442C-B05A-7D95BF9BA070}"/>
              </c:ext>
            </c:extLst>
          </c:dPt>
          <c:dPt>
            <c:idx val="1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0-4A0C-442C-B05A-7D95BF9BA070}"/>
              </c:ext>
            </c:extLst>
          </c:dPt>
          <c:dPt>
            <c:idx val="1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2-4A0C-442C-B05A-7D95BF9BA070}"/>
              </c:ext>
            </c:extLst>
          </c:dPt>
          <c:dPt>
            <c:idx val="1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4-4A0C-442C-B05A-7D95BF9BA070}"/>
              </c:ext>
            </c:extLst>
          </c:dPt>
          <c:dPt>
            <c:idx val="16"/>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6-4A0C-442C-B05A-7D95BF9BA070}"/>
              </c:ext>
            </c:extLst>
          </c:dPt>
          <c:dPt>
            <c:idx val="17"/>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8-4A0C-442C-B05A-7D95BF9BA070}"/>
              </c:ext>
            </c:extLst>
          </c:dPt>
          <c:dPt>
            <c:idx val="18"/>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A-4A0C-442C-B05A-7D95BF9BA070}"/>
              </c:ext>
            </c:extLst>
          </c:dPt>
          <c:dPt>
            <c:idx val="19"/>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C-4A0C-442C-B05A-7D95BF9BA070}"/>
              </c:ext>
            </c:extLst>
          </c:dPt>
          <c:dPt>
            <c:idx val="2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1E-4A0C-442C-B05A-7D95BF9BA070}"/>
              </c:ext>
            </c:extLst>
          </c:dPt>
          <c:dPt>
            <c:idx val="2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0-4A0C-442C-B05A-7D95BF9BA070}"/>
              </c:ext>
            </c:extLst>
          </c:dPt>
          <c:dPt>
            <c:idx val="2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2-4A0C-442C-B05A-7D95BF9BA070}"/>
              </c:ext>
            </c:extLst>
          </c:dPt>
          <c:dPt>
            <c:idx val="2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4-4A0C-442C-B05A-7D95BF9BA070}"/>
              </c:ext>
            </c:extLst>
          </c:dPt>
          <c:dPt>
            <c:idx val="24"/>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26-4A0C-442C-B05A-7D95BF9BA070}"/>
              </c:ext>
            </c:extLst>
          </c:dPt>
          <c:dPt>
            <c:idx val="25"/>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28-4A0C-442C-B05A-7D95BF9BA070}"/>
              </c:ext>
            </c:extLst>
          </c:dPt>
          <c:dPt>
            <c:idx val="26"/>
            <c:invertIfNegative val="0"/>
            <c:bubble3D val="0"/>
            <c:spPr>
              <a:solidFill>
                <a:srgbClr val="FFC000"/>
              </a:solidFill>
              <a:ln>
                <a:noFill/>
              </a:ln>
              <a:effectLst/>
            </c:spPr>
            <c:extLst>
              <c:ext xmlns:c16="http://schemas.microsoft.com/office/drawing/2014/chart" uri="{C3380CC4-5D6E-409C-BE32-E72D297353CC}">
                <c16:uniqueId val="{0000002A-4A0C-442C-B05A-7D95BF9BA070}"/>
              </c:ext>
            </c:extLst>
          </c:dPt>
          <c:dPt>
            <c:idx val="27"/>
            <c:invertIfNegative val="0"/>
            <c:bubble3D val="0"/>
            <c:spPr>
              <a:solidFill>
                <a:schemeClr val="bg1">
                  <a:lumMod val="65000"/>
                </a:schemeClr>
              </a:solidFill>
              <a:ln>
                <a:noFill/>
              </a:ln>
              <a:effectLst/>
            </c:spPr>
            <c:extLst>
              <c:ext xmlns:c16="http://schemas.microsoft.com/office/drawing/2014/chart" uri="{C3380CC4-5D6E-409C-BE32-E72D297353CC}">
                <c16:uniqueId val="{0000002C-4A0C-442C-B05A-7D95BF9BA070}"/>
              </c:ext>
            </c:extLst>
          </c:dPt>
          <c:dPt>
            <c:idx val="28"/>
            <c:invertIfNegative val="0"/>
            <c:bubble3D val="0"/>
            <c:spPr>
              <a:solidFill>
                <a:schemeClr val="bg1">
                  <a:lumMod val="65000"/>
                </a:schemeClr>
              </a:solidFill>
              <a:ln>
                <a:noFill/>
              </a:ln>
              <a:effectLst/>
            </c:spPr>
            <c:extLst>
              <c:ext xmlns:c16="http://schemas.microsoft.com/office/drawing/2014/chart" uri="{C3380CC4-5D6E-409C-BE32-E72D297353CC}">
                <c16:uniqueId val="{0000002E-4A0C-442C-B05A-7D95BF9BA070}"/>
              </c:ext>
            </c:extLst>
          </c:dPt>
          <c:dPt>
            <c:idx val="29"/>
            <c:invertIfNegative val="0"/>
            <c:bubble3D val="0"/>
            <c:spPr>
              <a:solidFill>
                <a:schemeClr val="bg1">
                  <a:lumMod val="65000"/>
                </a:schemeClr>
              </a:solidFill>
              <a:ln>
                <a:noFill/>
              </a:ln>
              <a:effectLst/>
            </c:spPr>
            <c:extLst>
              <c:ext xmlns:c16="http://schemas.microsoft.com/office/drawing/2014/chart" uri="{C3380CC4-5D6E-409C-BE32-E72D297353CC}">
                <c16:uniqueId val="{00000030-4A0C-442C-B05A-7D95BF9BA070}"/>
              </c:ext>
            </c:extLst>
          </c:dPt>
          <c:dPt>
            <c:idx val="30"/>
            <c:invertIfNegative val="0"/>
            <c:bubble3D val="0"/>
            <c:spPr>
              <a:solidFill>
                <a:schemeClr val="bg1">
                  <a:lumMod val="65000"/>
                </a:schemeClr>
              </a:solidFill>
              <a:ln>
                <a:noFill/>
              </a:ln>
              <a:effectLst/>
            </c:spPr>
            <c:extLst>
              <c:ext xmlns:c16="http://schemas.microsoft.com/office/drawing/2014/chart" uri="{C3380CC4-5D6E-409C-BE32-E72D297353CC}">
                <c16:uniqueId val="{00000032-4A0C-442C-B05A-7D95BF9BA070}"/>
              </c:ext>
            </c:extLst>
          </c:dPt>
          <c:dPt>
            <c:idx val="31"/>
            <c:invertIfNegative val="0"/>
            <c:bubble3D val="0"/>
            <c:spPr>
              <a:solidFill>
                <a:schemeClr val="bg1">
                  <a:lumMod val="65000"/>
                </a:schemeClr>
              </a:solidFill>
              <a:ln>
                <a:noFill/>
              </a:ln>
              <a:effectLst/>
            </c:spPr>
            <c:extLst>
              <c:ext xmlns:c16="http://schemas.microsoft.com/office/drawing/2014/chart" uri="{C3380CC4-5D6E-409C-BE32-E72D297353CC}">
                <c16:uniqueId val="{00000034-4A0C-442C-B05A-7D95BF9BA070}"/>
              </c:ext>
            </c:extLst>
          </c:dPt>
          <c:dPt>
            <c:idx val="32"/>
            <c:invertIfNegative val="0"/>
            <c:bubble3D val="0"/>
            <c:spPr>
              <a:solidFill>
                <a:schemeClr val="bg1">
                  <a:lumMod val="65000"/>
                </a:schemeClr>
              </a:solidFill>
              <a:ln>
                <a:noFill/>
              </a:ln>
              <a:effectLst/>
            </c:spPr>
            <c:extLst>
              <c:ext xmlns:c16="http://schemas.microsoft.com/office/drawing/2014/chart" uri="{C3380CC4-5D6E-409C-BE32-E72D297353CC}">
                <c16:uniqueId val="{00000036-4A0C-442C-B05A-7D95BF9BA070}"/>
              </c:ext>
            </c:extLst>
          </c:dPt>
          <c:cat>
            <c:strRef>
              <c:f>'10_Contractor'!$B$78:$B$109</c:f>
              <c:strCache>
                <c:ptCount val="32"/>
                <c:pt idx="0">
                  <c:v>Federal: BPA Overhead (&amp; Non-Contracted Project Costs)</c:v>
                </c:pt>
                <c:pt idx="1">
                  <c:v>Federal: National Marine Fisheries</c:v>
                </c:pt>
                <c:pt idx="2">
                  <c:v>Federal: US Fish &amp; Wildlife Service</c:v>
                </c:pt>
                <c:pt idx="3">
                  <c:v>Federal: US Geological Survey</c:v>
                </c:pt>
                <c:pt idx="4">
                  <c:v>Federal: US Forest Service</c:v>
                </c:pt>
                <c:pt idx="5">
                  <c:v>Federal: Other</c:v>
                </c:pt>
                <c:pt idx="6">
                  <c:v>State: Oregon Department of Fish &amp; Wildlife</c:v>
                </c:pt>
                <c:pt idx="7">
                  <c:v>State: Idaho Department of Fish &amp; Wildlife</c:v>
                </c:pt>
                <c:pt idx="8">
                  <c:v>State: Washington Department of Fish &amp; Wildlife</c:v>
                </c:pt>
                <c:pt idx="9">
                  <c:v>State: Idaho State Office of Species Conservation</c:v>
                </c:pt>
                <c:pt idx="10">
                  <c:v>State: Montana Fish, Wildlife And Parks</c:v>
                </c:pt>
                <c:pt idx="11">
                  <c:v>Tribe: Yakama Confederated Tribes</c:v>
                </c:pt>
                <c:pt idx="12">
                  <c:v>Tribe: Colville Confederated Tribes</c:v>
                </c:pt>
                <c:pt idx="13">
                  <c:v>Tribe: Nez Perce Tribe</c:v>
                </c:pt>
                <c:pt idx="14">
                  <c:v>Tribe: Umatilla Confederated Tribes</c:v>
                </c:pt>
                <c:pt idx="15">
                  <c:v>Tribe: Kootenai Tribe</c:v>
                </c:pt>
                <c:pt idx="16">
                  <c:v>Tribe: Columbia River Intertribal Fish Commission</c:v>
                </c:pt>
                <c:pt idx="17">
                  <c:v>Tribe: Confederated Tribes of Warm Springs</c:v>
                </c:pt>
                <c:pt idx="18">
                  <c:v>Tribe: Kalispel Tribe of Indians</c:v>
                </c:pt>
                <c:pt idx="19">
                  <c:v>Tribe: Shoshone-Bannock Tribes</c:v>
                </c:pt>
                <c:pt idx="20">
                  <c:v>Tribe: Spokane Tribe of Indians</c:v>
                </c:pt>
                <c:pt idx="21">
                  <c:v>Tribe: Coeur D'Alene Tribe of Idaho</c:v>
                </c:pt>
                <c:pt idx="22">
                  <c:v>Tribe: Shoshone-Paiute Tribes</c:v>
                </c:pt>
                <c:pt idx="23">
                  <c:v>Tribe: Burns-Paiute</c:v>
                </c:pt>
                <c:pt idx="24">
                  <c:v>Tribe: Other</c:v>
                </c:pt>
                <c:pt idx="25">
                  <c:v>Interstate: Pacific States Marine Fisheries Commission</c:v>
                </c:pt>
                <c:pt idx="26">
                  <c:v>University</c:v>
                </c:pt>
                <c:pt idx="27">
                  <c:v>Other: Private/Non-Profit/Other</c:v>
                </c:pt>
                <c:pt idx="28">
                  <c:v>Other: Land Acquisitions</c:v>
                </c:pt>
                <c:pt idx="29">
                  <c:v>Other: National Fish &amp; Wildlife Foundation</c:v>
                </c:pt>
                <c:pt idx="30">
                  <c:v>Other: Local/Semi Government</c:v>
                </c:pt>
                <c:pt idx="31">
                  <c:v>Other: Utility</c:v>
                </c:pt>
              </c:strCache>
            </c:strRef>
          </c:cat>
          <c:val>
            <c:numRef>
              <c:f>'10_Contractor'!$C$78:$C$109</c:f>
              <c:numCache>
                <c:formatCode>"$"#,##0</c:formatCode>
                <c:ptCount val="32"/>
                <c:pt idx="0">
                  <c:v>18817913.82</c:v>
                </c:pt>
                <c:pt idx="1">
                  <c:v>7239871.330000001</c:v>
                </c:pt>
                <c:pt idx="2">
                  <c:v>2289092.34</c:v>
                </c:pt>
                <c:pt idx="3">
                  <c:v>2014355.6099999999</c:v>
                </c:pt>
                <c:pt idx="4">
                  <c:v>814089.25</c:v>
                </c:pt>
                <c:pt idx="5">
                  <c:v>937544</c:v>
                </c:pt>
                <c:pt idx="6">
                  <c:v>14664699</c:v>
                </c:pt>
                <c:pt idx="7">
                  <c:v>12451687</c:v>
                </c:pt>
                <c:pt idx="8">
                  <c:v>10976873</c:v>
                </c:pt>
                <c:pt idx="9">
                  <c:v>4013413</c:v>
                </c:pt>
                <c:pt idx="10">
                  <c:v>3076776</c:v>
                </c:pt>
                <c:pt idx="11">
                  <c:v>23095849.280000001</c:v>
                </c:pt>
                <c:pt idx="12">
                  <c:v>20566434.849999998</c:v>
                </c:pt>
                <c:pt idx="13">
                  <c:v>18138282.009999998</c:v>
                </c:pt>
                <c:pt idx="14">
                  <c:v>11987367.720000001</c:v>
                </c:pt>
                <c:pt idx="15">
                  <c:v>11041579.77</c:v>
                </c:pt>
                <c:pt idx="16">
                  <c:v>9740397.0799999982</c:v>
                </c:pt>
                <c:pt idx="17">
                  <c:v>8271585.4100000001</c:v>
                </c:pt>
                <c:pt idx="18">
                  <c:v>4505004.3800000008</c:v>
                </c:pt>
                <c:pt idx="19">
                  <c:v>3912663.8599999994</c:v>
                </c:pt>
                <c:pt idx="20">
                  <c:v>3673493.3099999996</c:v>
                </c:pt>
                <c:pt idx="21">
                  <c:v>2717874.71</c:v>
                </c:pt>
                <c:pt idx="22">
                  <c:v>1023666</c:v>
                </c:pt>
                <c:pt idx="23">
                  <c:v>811009.52</c:v>
                </c:pt>
                <c:pt idx="24">
                  <c:v>2414297</c:v>
                </c:pt>
                <c:pt idx="25">
                  <c:v>14114665.6</c:v>
                </c:pt>
                <c:pt idx="26">
                  <c:v>3102343.58</c:v>
                </c:pt>
                <c:pt idx="27">
                  <c:v>24010159.039999999</c:v>
                </c:pt>
                <c:pt idx="28">
                  <c:v>8998595</c:v>
                </c:pt>
                <c:pt idx="29">
                  <c:v>4538278</c:v>
                </c:pt>
                <c:pt idx="30">
                  <c:v>4497166.07</c:v>
                </c:pt>
                <c:pt idx="31">
                  <c:v>2318310.46</c:v>
                </c:pt>
              </c:numCache>
            </c:numRef>
          </c:val>
          <c:extLst>
            <c:ext xmlns:c16="http://schemas.microsoft.com/office/drawing/2014/chart" uri="{C3380CC4-5D6E-409C-BE32-E72D297353CC}">
              <c16:uniqueId val="{00000037-4A0C-442C-B05A-7D95BF9BA070}"/>
            </c:ext>
          </c:extLst>
        </c:ser>
        <c:dLbls>
          <c:showLegendKey val="0"/>
          <c:showVal val="0"/>
          <c:showCatName val="0"/>
          <c:showSerName val="0"/>
          <c:showPercent val="0"/>
          <c:showBubbleSize val="0"/>
        </c:dLbls>
        <c:gapWidth val="52"/>
        <c:axId val="483680552"/>
        <c:axId val="483680944"/>
      </c:barChart>
      <c:catAx>
        <c:axId val="483680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944"/>
        <c:crosses val="autoZero"/>
        <c:auto val="1"/>
        <c:lblAlgn val="ctr"/>
        <c:lblOffset val="100"/>
        <c:noMultiLvlLbl val="0"/>
      </c:catAx>
      <c:valAx>
        <c:axId val="483680944"/>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94"/>
          <c:y val="1.1144733600781059E-2"/>
          <c:w val="0.59880164245374745"/>
          <c:h val="0.94507048763721402"/>
        </c:manualLayout>
      </c:layout>
      <c:barChart>
        <c:barDir val="bar"/>
        <c:grouping val="stacked"/>
        <c:varyColors val="0"/>
        <c:ser>
          <c:idx val="0"/>
          <c:order val="0"/>
          <c:spPr>
            <a:effectLst>
              <a:outerShdw blurRad="50800" dist="38100" dir="5400000" algn="t" rotWithShape="0">
                <a:prstClr val="black">
                  <a:alpha val="40000"/>
                </a:prstClr>
              </a:outerShdw>
            </a:effectLst>
          </c:spPr>
          <c:invertIfNegative val="0"/>
          <c:cat>
            <c:strRef>
              <c:f>'11_LandPurchases'!$A$47:$A$51</c:f>
              <c:strCache>
                <c:ptCount val="5"/>
                <c:pt idx="0">
                  <c:v>Oregon Department Of Fish and Wildlife (ODFW)</c:v>
                </c:pt>
                <c:pt idx="1">
                  <c:v>Idaho Office of Species Conservation</c:v>
                </c:pt>
                <c:pt idx="2">
                  <c:v>Yakama Confederated Tribes</c:v>
                </c:pt>
                <c:pt idx="3">
                  <c:v>Salish and Kootenai Confederated Tribes</c:v>
                </c:pt>
                <c:pt idx="4">
                  <c:v>Columbia Land Trust</c:v>
                </c:pt>
              </c:strCache>
            </c:strRef>
          </c:cat>
          <c:val>
            <c:numRef>
              <c:f>'11_LandPurchases'!$B$47:$B$51</c:f>
              <c:numCache>
                <c:formatCode>"$"#,##0</c:formatCode>
                <c:ptCount val="5"/>
                <c:pt idx="0">
                  <c:v>5038680</c:v>
                </c:pt>
                <c:pt idx="1">
                  <c:v>2438220</c:v>
                </c:pt>
                <c:pt idx="2">
                  <c:v>866530</c:v>
                </c:pt>
                <c:pt idx="3">
                  <c:v>476466</c:v>
                </c:pt>
                <c:pt idx="4">
                  <c:v>99543</c:v>
                </c:pt>
              </c:numCache>
            </c:numRef>
          </c:val>
          <c:extLst>
            <c:ext xmlns:c16="http://schemas.microsoft.com/office/drawing/2014/chart" uri="{C3380CC4-5D6E-409C-BE32-E72D297353CC}">
              <c16:uniqueId val="{00000000-F94D-4F3D-9B49-91469C917D6C}"/>
            </c:ext>
          </c:extLst>
        </c:ser>
        <c:dLbls>
          <c:showLegendKey val="0"/>
          <c:showVal val="0"/>
          <c:showCatName val="0"/>
          <c:showSerName val="0"/>
          <c:showPercent val="0"/>
          <c:showBubbleSize val="0"/>
        </c:dLbls>
        <c:gapWidth val="76"/>
        <c:overlap val="100"/>
        <c:axId val="483681728"/>
        <c:axId val="483682120"/>
      </c:barChart>
      <c:catAx>
        <c:axId val="483681728"/>
        <c:scaling>
          <c:orientation val="maxMin"/>
        </c:scaling>
        <c:delete val="0"/>
        <c:axPos val="l"/>
        <c:numFmt formatCode="General" sourceLinked="0"/>
        <c:majorTickMark val="out"/>
        <c:minorTickMark val="none"/>
        <c:tickLblPos val="nextTo"/>
        <c:txPr>
          <a:bodyPr rot="0" vert="horz" anchor="ctr" anchorCtr="1"/>
          <a:lstStyle/>
          <a:p>
            <a:pPr>
              <a:defRPr sz="1050">
                <a:solidFill>
                  <a:schemeClr val="bg1">
                    <a:lumMod val="50000"/>
                  </a:schemeClr>
                </a:solidFill>
                <a:latin typeface="Century Gothic" pitchFamily="34" charset="0"/>
              </a:defRPr>
            </a:pPr>
            <a:endParaRPr lang="en-US"/>
          </a:p>
        </c:txPr>
        <c:crossAx val="483682120"/>
        <c:crosses val="autoZero"/>
        <c:auto val="1"/>
        <c:lblAlgn val="ctr"/>
        <c:lblOffset val="100"/>
        <c:noMultiLvlLbl val="0"/>
      </c:catAx>
      <c:valAx>
        <c:axId val="483682120"/>
        <c:scaling>
          <c:orientation val="minMax"/>
        </c:scaling>
        <c:delete val="0"/>
        <c:axPos val="t"/>
        <c:majorGridlines>
          <c:spPr>
            <a:ln>
              <a:solidFill>
                <a:schemeClr val="bg1">
                  <a:lumMod val="65000"/>
                </a:schemeClr>
              </a:solidFill>
            </a:ln>
          </c:spPr>
        </c:majorGridlines>
        <c:numFmt formatCode="&quot;$&quot;#0,,\ &quot;mil&quot;" sourceLinked="0"/>
        <c:majorTickMark val="out"/>
        <c:minorTickMark val="none"/>
        <c:tickLblPos val="nextTo"/>
        <c:spPr>
          <a:ln>
            <a:solidFill>
              <a:schemeClr val="bg1">
                <a:lumMod val="65000"/>
              </a:schemeClr>
            </a:solidFill>
          </a:ln>
        </c:spPr>
        <c:txPr>
          <a:bodyPr/>
          <a:lstStyle/>
          <a:p>
            <a:pPr>
              <a:defRPr sz="1050">
                <a:solidFill>
                  <a:schemeClr val="bg1">
                    <a:lumMod val="50000"/>
                  </a:schemeClr>
                </a:solidFill>
                <a:latin typeface="Century Gothic" pitchFamily="34" charset="0"/>
              </a:defRPr>
            </a:pPr>
            <a:endParaRPr lang="en-US"/>
          </a:p>
        </c:txPr>
        <c:crossAx val="483681728"/>
        <c:crosses val="autoZero"/>
        <c:crossBetween val="between"/>
      </c:valAx>
      <c:spPr>
        <a:ln>
          <a:solidFill>
            <a:sysClr val="window" lastClr="FFFFFF">
              <a:lumMod val="65000"/>
            </a:sysClr>
          </a:solidFill>
        </a:ln>
      </c:spPr>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7065669533049459"/>
          <c:h val="0.86161656411805998"/>
        </c:manualLayout>
      </c:layout>
      <c:areaChart>
        <c:grouping val="stacked"/>
        <c:varyColors val="0"/>
        <c:ser>
          <c:idx val="0"/>
          <c:order val="0"/>
          <c:tx>
            <c:strRef>
              <c:f>'12_Cumulative'!$A$4</c:f>
              <c:strCache>
                <c:ptCount val="1"/>
                <c:pt idx="0">
                  <c:v>Power Purchases</c:v>
                </c:pt>
              </c:strCache>
            </c:strRef>
          </c:tx>
          <c:spPr>
            <a:solidFill>
              <a:srgbClr val="4F81BD"/>
            </a:solidFill>
            <a:ln>
              <a:noFill/>
            </a:ln>
            <a:effectLst/>
          </c:spPr>
          <c:cat>
            <c:numRef>
              <c:f>'12_Cumulative'!$C$3:$AM$3</c:f>
              <c:numCache>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Cache>
            </c:numRef>
          </c:cat>
          <c:val>
            <c:numRef>
              <c:f>'12_Cumulative'!$C$4:$AM$4</c:f>
              <c:numCache>
                <c:formatCode>_(* #,##0.0_);_(* \(#,##0.0\);_(* "-"??_);_(@_)</c:formatCode>
                <c:ptCount val="37"/>
                <c:pt idx="0">
                  <c:v>0</c:v>
                </c:pt>
                <c:pt idx="1">
                  <c:v>0</c:v>
                </c:pt>
                <c:pt idx="2">
                  <c:v>0</c:v>
                </c:pt>
                <c:pt idx="3">
                  <c:v>12</c:v>
                </c:pt>
                <c:pt idx="4">
                  <c:v>29</c:v>
                </c:pt>
                <c:pt idx="5">
                  <c:v>103</c:v>
                </c:pt>
                <c:pt idx="6">
                  <c:v>114</c:v>
                </c:pt>
                <c:pt idx="7">
                  <c:v>154</c:v>
                </c:pt>
                <c:pt idx="8">
                  <c:v>194</c:v>
                </c:pt>
                <c:pt idx="9">
                  <c:v>234</c:v>
                </c:pt>
                <c:pt idx="10">
                  <c:v>274</c:v>
                </c:pt>
                <c:pt idx="11">
                  <c:v>333</c:v>
                </c:pt>
                <c:pt idx="12">
                  <c:v>437</c:v>
                </c:pt>
                <c:pt idx="13">
                  <c:v>548.70000000000005</c:v>
                </c:pt>
                <c:pt idx="14">
                  <c:v>612.20000000000005</c:v>
                </c:pt>
                <c:pt idx="15">
                  <c:v>612.20000000000005</c:v>
                </c:pt>
                <c:pt idx="16">
                  <c:v>612.20000000000005</c:v>
                </c:pt>
                <c:pt idx="17">
                  <c:v>617.6</c:v>
                </c:pt>
                <c:pt idx="18">
                  <c:v>665.2</c:v>
                </c:pt>
                <c:pt idx="19">
                  <c:v>730</c:v>
                </c:pt>
                <c:pt idx="20">
                  <c:v>2119.6</c:v>
                </c:pt>
                <c:pt idx="21">
                  <c:v>2267.4</c:v>
                </c:pt>
                <c:pt idx="22">
                  <c:v>2438.5</c:v>
                </c:pt>
                <c:pt idx="23">
                  <c:v>2629.5</c:v>
                </c:pt>
                <c:pt idx="24">
                  <c:v>2740.3</c:v>
                </c:pt>
                <c:pt idx="25">
                  <c:v>2908.5</c:v>
                </c:pt>
                <c:pt idx="26">
                  <c:v>3029.2</c:v>
                </c:pt>
                <c:pt idx="27">
                  <c:v>3304.1</c:v>
                </c:pt>
                <c:pt idx="28">
                  <c:v>3544.4</c:v>
                </c:pt>
                <c:pt idx="29">
                  <c:v>3854.5</c:v>
                </c:pt>
                <c:pt idx="30">
                  <c:v>3925.2</c:v>
                </c:pt>
                <c:pt idx="31">
                  <c:v>3963.7</c:v>
                </c:pt>
                <c:pt idx="32">
                  <c:v>4049.8</c:v>
                </c:pt>
                <c:pt idx="33">
                  <c:v>4246</c:v>
                </c:pt>
                <c:pt idx="34">
                  <c:v>4313.2</c:v>
                </c:pt>
                <c:pt idx="35">
                  <c:v>4363.5</c:v>
                </c:pt>
                <c:pt idx="36">
                  <c:v>4343</c:v>
                </c:pt>
              </c:numCache>
            </c:numRef>
          </c:val>
          <c:extLst>
            <c:ext xmlns:c16="http://schemas.microsoft.com/office/drawing/2014/chart" uri="{C3380CC4-5D6E-409C-BE32-E72D297353CC}">
              <c16:uniqueId val="{00000000-46E4-4212-9DDA-669CB35B2756}"/>
            </c:ext>
          </c:extLst>
        </c:ser>
        <c:ser>
          <c:idx val="1"/>
          <c:order val="1"/>
          <c:tx>
            <c:strRef>
              <c:f>'12_Cumulative'!$A$5</c:f>
              <c:strCache>
                <c:ptCount val="1"/>
                <c:pt idx="0">
                  <c:v>Forgone Revenues</c:v>
                </c:pt>
              </c:strCache>
            </c:strRef>
          </c:tx>
          <c:spPr>
            <a:solidFill>
              <a:srgbClr val="C0504D"/>
            </a:solidFill>
            <a:ln>
              <a:noFill/>
            </a:ln>
            <a:effectLst/>
          </c:spPr>
          <c:cat>
            <c:numRef>
              <c:f>'12_Cumulative'!$C$3:$AM$3</c:f>
              <c:numCache>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Cache>
            </c:numRef>
          </c:cat>
          <c:val>
            <c:numRef>
              <c:f>'12_Cumulative'!$C$5:$AM$5</c:f>
              <c:numCache>
                <c:formatCode>_(* #,##0.0_);_(* \(#,##0.0\);_(* "-"??_);_(@_)</c:formatCode>
                <c:ptCount val="37"/>
                <c:pt idx="0">
                  <c:v>3</c:v>
                </c:pt>
                <c:pt idx="1">
                  <c:v>17</c:v>
                </c:pt>
                <c:pt idx="2">
                  <c:v>18</c:v>
                </c:pt>
                <c:pt idx="3">
                  <c:v>26</c:v>
                </c:pt>
                <c:pt idx="4">
                  <c:v>53</c:v>
                </c:pt>
                <c:pt idx="5">
                  <c:v>72</c:v>
                </c:pt>
                <c:pt idx="6">
                  <c:v>79</c:v>
                </c:pt>
                <c:pt idx="7">
                  <c:v>89</c:v>
                </c:pt>
                <c:pt idx="8">
                  <c:v>104</c:v>
                </c:pt>
                <c:pt idx="9">
                  <c:v>119</c:v>
                </c:pt>
                <c:pt idx="10">
                  <c:v>134</c:v>
                </c:pt>
                <c:pt idx="11">
                  <c:v>137</c:v>
                </c:pt>
                <c:pt idx="12">
                  <c:v>182</c:v>
                </c:pt>
                <c:pt idx="13">
                  <c:v>244</c:v>
                </c:pt>
                <c:pt idx="14">
                  <c:v>251.1</c:v>
                </c:pt>
                <c:pt idx="15">
                  <c:v>332.8</c:v>
                </c:pt>
                <c:pt idx="16">
                  <c:v>440.6</c:v>
                </c:pt>
                <c:pt idx="17">
                  <c:v>557.1</c:v>
                </c:pt>
                <c:pt idx="18">
                  <c:v>754.9</c:v>
                </c:pt>
                <c:pt idx="19">
                  <c:v>948</c:v>
                </c:pt>
                <c:pt idx="20">
                  <c:v>1063.9000000000001</c:v>
                </c:pt>
                <c:pt idx="21">
                  <c:v>1076.5</c:v>
                </c:pt>
                <c:pt idx="22">
                  <c:v>1155.7</c:v>
                </c:pt>
                <c:pt idx="23">
                  <c:v>1177.4000000000001</c:v>
                </c:pt>
                <c:pt idx="24">
                  <c:v>1359.5</c:v>
                </c:pt>
                <c:pt idx="25">
                  <c:v>1756.9</c:v>
                </c:pt>
                <c:pt idx="26">
                  <c:v>2039.5</c:v>
                </c:pt>
                <c:pt idx="27">
                  <c:v>2335</c:v>
                </c:pt>
                <c:pt idx="28">
                  <c:v>2477.8000000000002</c:v>
                </c:pt>
                <c:pt idx="29">
                  <c:v>2577.4</c:v>
                </c:pt>
                <c:pt idx="30">
                  <c:v>2734.1</c:v>
                </c:pt>
                <c:pt idx="31">
                  <c:v>2886.3</c:v>
                </c:pt>
                <c:pt idx="32">
                  <c:v>3021.3</c:v>
                </c:pt>
                <c:pt idx="33">
                  <c:v>3144</c:v>
                </c:pt>
                <c:pt idx="34">
                  <c:v>3340.1</c:v>
                </c:pt>
                <c:pt idx="35">
                  <c:v>3407.6</c:v>
                </c:pt>
                <c:pt idx="36">
                  <c:v>3417.2</c:v>
                </c:pt>
              </c:numCache>
            </c:numRef>
          </c:val>
          <c:extLst>
            <c:ext xmlns:c16="http://schemas.microsoft.com/office/drawing/2014/chart" uri="{C3380CC4-5D6E-409C-BE32-E72D297353CC}">
              <c16:uniqueId val="{00000001-46E4-4212-9DDA-669CB35B2756}"/>
            </c:ext>
          </c:extLst>
        </c:ser>
        <c:ser>
          <c:idx val="2"/>
          <c:order val="2"/>
          <c:tx>
            <c:strRef>
              <c:f>'12_Cumulative'!$A$6</c:f>
              <c:strCache>
                <c:ptCount val="1"/>
                <c:pt idx="0">
                  <c:v>Reimbursable Expenses</c:v>
                </c:pt>
              </c:strCache>
            </c:strRef>
          </c:tx>
          <c:spPr>
            <a:solidFill>
              <a:srgbClr val="9BBB59"/>
            </a:solidFill>
            <a:ln>
              <a:noFill/>
            </a:ln>
            <a:effectLst/>
          </c:spPr>
          <c:cat>
            <c:numRef>
              <c:f>'12_Cumulative'!$C$3:$AM$3</c:f>
              <c:numCache>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Cache>
            </c:numRef>
          </c:cat>
          <c:val>
            <c:numRef>
              <c:f>'12_Cumulative'!$C$6:$AM$6</c:f>
              <c:numCache>
                <c:formatCode>_(* #,##0.0_);_(* \(#,##0.0\);_(* "-"??_);_(@_)</c:formatCode>
                <c:ptCount val="37"/>
                <c:pt idx="0">
                  <c:v>21</c:v>
                </c:pt>
                <c:pt idx="1">
                  <c:v>32.5</c:v>
                </c:pt>
                <c:pt idx="2">
                  <c:v>46.7</c:v>
                </c:pt>
                <c:pt idx="3">
                  <c:v>62.7</c:v>
                </c:pt>
                <c:pt idx="4">
                  <c:v>82.6</c:v>
                </c:pt>
                <c:pt idx="5">
                  <c:v>106.3</c:v>
                </c:pt>
                <c:pt idx="6">
                  <c:v>136</c:v>
                </c:pt>
                <c:pt idx="7">
                  <c:v>155</c:v>
                </c:pt>
                <c:pt idx="8">
                  <c:v>178.6</c:v>
                </c:pt>
                <c:pt idx="9">
                  <c:v>202</c:v>
                </c:pt>
                <c:pt idx="10">
                  <c:v>226.3</c:v>
                </c:pt>
                <c:pt idx="11">
                  <c:v>254.7</c:v>
                </c:pt>
                <c:pt idx="12">
                  <c:v>285.2</c:v>
                </c:pt>
                <c:pt idx="13">
                  <c:v>320.10000000000002</c:v>
                </c:pt>
                <c:pt idx="14">
                  <c:v>356.2</c:v>
                </c:pt>
                <c:pt idx="15">
                  <c:v>391.6</c:v>
                </c:pt>
                <c:pt idx="16">
                  <c:v>427.5</c:v>
                </c:pt>
                <c:pt idx="17">
                  <c:v>463.9</c:v>
                </c:pt>
                <c:pt idx="18">
                  <c:v>502.8</c:v>
                </c:pt>
                <c:pt idx="19">
                  <c:v>540.4</c:v>
                </c:pt>
                <c:pt idx="20">
                  <c:v>582.9</c:v>
                </c:pt>
                <c:pt idx="21">
                  <c:v>633.79999999999995</c:v>
                </c:pt>
                <c:pt idx="22">
                  <c:v>686.4</c:v>
                </c:pt>
                <c:pt idx="23">
                  <c:v>743.6</c:v>
                </c:pt>
                <c:pt idx="24">
                  <c:v>801.5</c:v>
                </c:pt>
                <c:pt idx="25">
                  <c:v>862.2</c:v>
                </c:pt>
                <c:pt idx="26">
                  <c:v>922.5</c:v>
                </c:pt>
                <c:pt idx="27">
                  <c:v>984.7</c:v>
                </c:pt>
                <c:pt idx="28">
                  <c:v>1049</c:v>
                </c:pt>
                <c:pt idx="29">
                  <c:v>1114</c:v>
                </c:pt>
                <c:pt idx="30">
                  <c:v>1188.3</c:v>
                </c:pt>
                <c:pt idx="31">
                  <c:v>1261.3</c:v>
                </c:pt>
                <c:pt idx="32">
                  <c:v>1344.7</c:v>
                </c:pt>
                <c:pt idx="33">
                  <c:v>1435</c:v>
                </c:pt>
                <c:pt idx="34">
                  <c:v>1515</c:v>
                </c:pt>
                <c:pt idx="35">
                  <c:v>1603.2</c:v>
                </c:pt>
                <c:pt idx="36">
                  <c:v>1688.3600000000001</c:v>
                </c:pt>
              </c:numCache>
            </c:numRef>
          </c:val>
          <c:extLst>
            <c:ext xmlns:c16="http://schemas.microsoft.com/office/drawing/2014/chart" uri="{C3380CC4-5D6E-409C-BE32-E72D297353CC}">
              <c16:uniqueId val="{00000002-46E4-4212-9DDA-669CB35B2756}"/>
            </c:ext>
          </c:extLst>
        </c:ser>
        <c:ser>
          <c:idx val="3"/>
          <c:order val="3"/>
          <c:tx>
            <c:strRef>
              <c:f>'12_Cumulative'!$A$7</c:f>
              <c:strCache>
                <c:ptCount val="1"/>
                <c:pt idx="0">
                  <c:v>Direct Program</c:v>
                </c:pt>
              </c:strCache>
            </c:strRef>
          </c:tx>
          <c:spPr>
            <a:solidFill>
              <a:srgbClr val="8064A2"/>
            </a:solidFill>
            <a:ln>
              <a:noFill/>
            </a:ln>
            <a:effectLst/>
          </c:spPr>
          <c:cat>
            <c:numRef>
              <c:f>'12_Cumulative'!$C$3:$AM$3</c:f>
              <c:numCache>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Cache>
            </c:numRef>
          </c:cat>
          <c:val>
            <c:numRef>
              <c:f>'12_Cumulative'!$C$7:$AM$7</c:f>
              <c:numCache>
                <c:formatCode>_(* #,##0.0_);_(* \(#,##0.0\);_(* "-"??_);_(@_)</c:formatCode>
                <c:ptCount val="37"/>
                <c:pt idx="0">
                  <c:v>4.5999999999999996</c:v>
                </c:pt>
                <c:pt idx="1">
                  <c:v>9.1999999999999993</c:v>
                </c:pt>
                <c:pt idx="2">
                  <c:v>18.3</c:v>
                </c:pt>
                <c:pt idx="3">
                  <c:v>37.9</c:v>
                </c:pt>
                <c:pt idx="4">
                  <c:v>53.8</c:v>
                </c:pt>
                <c:pt idx="5">
                  <c:v>73.400000000000006</c:v>
                </c:pt>
                <c:pt idx="6">
                  <c:v>95.6</c:v>
                </c:pt>
                <c:pt idx="7">
                  <c:v>114.4</c:v>
                </c:pt>
                <c:pt idx="8">
                  <c:v>137.4</c:v>
                </c:pt>
                <c:pt idx="9">
                  <c:v>170.2</c:v>
                </c:pt>
                <c:pt idx="10">
                  <c:v>203.2</c:v>
                </c:pt>
                <c:pt idx="11">
                  <c:v>270.2</c:v>
                </c:pt>
                <c:pt idx="12">
                  <c:v>319.8</c:v>
                </c:pt>
                <c:pt idx="13">
                  <c:v>375.7</c:v>
                </c:pt>
                <c:pt idx="14">
                  <c:v>447.1</c:v>
                </c:pt>
                <c:pt idx="15">
                  <c:v>515.6</c:v>
                </c:pt>
                <c:pt idx="16">
                  <c:v>597.79999999999995</c:v>
                </c:pt>
                <c:pt idx="17">
                  <c:v>702.7</c:v>
                </c:pt>
                <c:pt idx="18">
                  <c:v>810.9</c:v>
                </c:pt>
                <c:pt idx="19">
                  <c:v>919.1</c:v>
                </c:pt>
                <c:pt idx="20">
                  <c:v>1020.2</c:v>
                </c:pt>
                <c:pt idx="21">
                  <c:v>1157.3</c:v>
                </c:pt>
                <c:pt idx="22">
                  <c:v>1298</c:v>
                </c:pt>
                <c:pt idx="23">
                  <c:v>1435.9</c:v>
                </c:pt>
                <c:pt idx="24">
                  <c:v>1571.7</c:v>
                </c:pt>
                <c:pt idx="25">
                  <c:v>1709.3</c:v>
                </c:pt>
                <c:pt idx="26">
                  <c:v>1848.8</c:v>
                </c:pt>
                <c:pt idx="27">
                  <c:v>1998</c:v>
                </c:pt>
                <c:pt idx="28">
                  <c:v>2175.9</c:v>
                </c:pt>
                <c:pt idx="29">
                  <c:v>2375.5</c:v>
                </c:pt>
                <c:pt idx="30">
                  <c:v>2596.6</c:v>
                </c:pt>
                <c:pt idx="31">
                  <c:v>2845.5</c:v>
                </c:pt>
                <c:pt idx="32">
                  <c:v>3084.2</c:v>
                </c:pt>
                <c:pt idx="33">
                  <c:v>3316</c:v>
                </c:pt>
                <c:pt idx="34">
                  <c:v>3574.5</c:v>
                </c:pt>
                <c:pt idx="35">
                  <c:v>3832.6</c:v>
                </c:pt>
                <c:pt idx="36">
                  <c:v>4087.2999999999997</c:v>
                </c:pt>
              </c:numCache>
            </c:numRef>
          </c:val>
          <c:extLst>
            <c:ext xmlns:c16="http://schemas.microsoft.com/office/drawing/2014/chart" uri="{C3380CC4-5D6E-409C-BE32-E72D297353CC}">
              <c16:uniqueId val="{00000003-46E4-4212-9DDA-669CB35B2756}"/>
            </c:ext>
          </c:extLst>
        </c:ser>
        <c:ser>
          <c:idx val="4"/>
          <c:order val="4"/>
          <c:tx>
            <c:strRef>
              <c:f>'12_Cumulative'!$A$8</c:f>
              <c:strCache>
                <c:ptCount val="1"/>
                <c:pt idx="0">
                  <c:v>Fixed Expenses</c:v>
                </c:pt>
              </c:strCache>
            </c:strRef>
          </c:tx>
          <c:spPr>
            <a:solidFill>
              <a:srgbClr val="4BACC6"/>
            </a:solidFill>
            <a:ln>
              <a:noFill/>
            </a:ln>
            <a:effectLst/>
          </c:spPr>
          <c:cat>
            <c:numRef>
              <c:f>'12_Cumulative'!$C$3:$AM$3</c:f>
              <c:numCache>
                <c:formatCode>General</c:formatCode>
                <c:ptCount val="37"/>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numCache>
            </c:numRef>
          </c:cat>
          <c:val>
            <c:numRef>
              <c:f>'12_Cumulative'!$C$8:$AM$8</c:f>
              <c:numCache>
                <c:formatCode>_(* #,##0.0_);_(* \(#,##0.0\);_(* "-"??_);_(@_)</c:formatCode>
                <c:ptCount val="37"/>
                <c:pt idx="0">
                  <c:v>32.799999999999997</c:v>
                </c:pt>
                <c:pt idx="1">
                  <c:v>61.1</c:v>
                </c:pt>
                <c:pt idx="2">
                  <c:v>77</c:v>
                </c:pt>
                <c:pt idx="3">
                  <c:v>93.6</c:v>
                </c:pt>
                <c:pt idx="4">
                  <c:v>113.8</c:v>
                </c:pt>
                <c:pt idx="5">
                  <c:v>135.4</c:v>
                </c:pt>
                <c:pt idx="6">
                  <c:v>163.9</c:v>
                </c:pt>
                <c:pt idx="7">
                  <c:v>194.9</c:v>
                </c:pt>
                <c:pt idx="8">
                  <c:v>226.8</c:v>
                </c:pt>
                <c:pt idx="9">
                  <c:v>261.10000000000002</c:v>
                </c:pt>
                <c:pt idx="10">
                  <c:v>299.3</c:v>
                </c:pt>
                <c:pt idx="11">
                  <c:v>341.2</c:v>
                </c:pt>
                <c:pt idx="12">
                  <c:v>394.8</c:v>
                </c:pt>
                <c:pt idx="13">
                  <c:v>456.1</c:v>
                </c:pt>
                <c:pt idx="14">
                  <c:v>519.70000000000005</c:v>
                </c:pt>
                <c:pt idx="15">
                  <c:v>592.79999999999995</c:v>
                </c:pt>
                <c:pt idx="16">
                  <c:v>669.1</c:v>
                </c:pt>
                <c:pt idx="17">
                  <c:v>743.2</c:v>
                </c:pt>
                <c:pt idx="18">
                  <c:v>819.3</c:v>
                </c:pt>
                <c:pt idx="19">
                  <c:v>895.6</c:v>
                </c:pt>
                <c:pt idx="20">
                  <c:v>973.8</c:v>
                </c:pt>
                <c:pt idx="21">
                  <c:v>1052</c:v>
                </c:pt>
                <c:pt idx="22">
                  <c:v>1132.5</c:v>
                </c:pt>
                <c:pt idx="23">
                  <c:v>1217.9000000000001</c:v>
                </c:pt>
                <c:pt idx="24">
                  <c:v>1307.5999999999999</c:v>
                </c:pt>
                <c:pt idx="25">
                  <c:v>1395.1</c:v>
                </c:pt>
                <c:pt idx="26">
                  <c:v>1508</c:v>
                </c:pt>
                <c:pt idx="27">
                  <c:v>1620.9</c:v>
                </c:pt>
                <c:pt idx="28">
                  <c:v>1740.9</c:v>
                </c:pt>
                <c:pt idx="29">
                  <c:v>1863.9</c:v>
                </c:pt>
                <c:pt idx="30">
                  <c:v>1991.1</c:v>
                </c:pt>
                <c:pt idx="31">
                  <c:v>2122.6</c:v>
                </c:pt>
                <c:pt idx="32">
                  <c:v>2253.6999999999998</c:v>
                </c:pt>
                <c:pt idx="33">
                  <c:v>2395</c:v>
                </c:pt>
                <c:pt idx="34">
                  <c:v>2557.9</c:v>
                </c:pt>
                <c:pt idx="35">
                  <c:v>2706.1</c:v>
                </c:pt>
                <c:pt idx="36">
                  <c:v>2827.5</c:v>
                </c:pt>
              </c:numCache>
            </c:numRef>
          </c:val>
          <c:extLst>
            <c:ext xmlns:c16="http://schemas.microsoft.com/office/drawing/2014/chart" uri="{C3380CC4-5D6E-409C-BE32-E72D297353CC}">
              <c16:uniqueId val="{00000004-46E4-4212-9DDA-669CB35B2756}"/>
            </c:ext>
          </c:extLst>
        </c:ser>
        <c:dLbls>
          <c:showLegendKey val="0"/>
          <c:showVal val="0"/>
          <c:showCatName val="0"/>
          <c:showSerName val="0"/>
          <c:showPercent val="0"/>
          <c:showBubbleSize val="0"/>
        </c:dLbls>
        <c:axId val="483682904"/>
        <c:axId val="483683296"/>
      </c:areaChart>
      <c:catAx>
        <c:axId val="483682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3296"/>
        <c:crosses val="autoZero"/>
        <c:auto val="1"/>
        <c:lblAlgn val="ctr"/>
        <c:lblOffset val="100"/>
        <c:noMultiLvlLbl val="0"/>
      </c:catAx>
      <c:valAx>
        <c:axId val="483683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2904"/>
        <c:crosses val="autoZero"/>
        <c:crossBetween val="midCat"/>
      </c:valAx>
      <c:spPr>
        <a:noFill/>
        <a:ln>
          <a:noFill/>
        </a:ln>
        <a:effectLst/>
      </c:spPr>
    </c:plotArea>
    <c:legend>
      <c:legendPos val="b"/>
      <c:layout>
        <c:manualLayout>
          <c:xMode val="edge"/>
          <c:yMode val="edge"/>
          <c:x val="0.20807984800716478"/>
          <c:y val="5.7048944676536463E-2"/>
          <c:w val="0.34189400881102877"/>
          <c:h val="0.30073426640740808"/>
        </c:manualLayout>
      </c:layout>
      <c:overlay val="1"/>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87779334245867058"/>
          <c:h val="0.86161656411805998"/>
        </c:manualLayout>
      </c:layout>
      <c:barChart>
        <c:barDir val="col"/>
        <c:grouping val="clustered"/>
        <c:varyColors val="0"/>
        <c:ser>
          <c:idx val="0"/>
          <c:order val="0"/>
          <c:spPr>
            <a:solidFill>
              <a:schemeClr val="accent1"/>
            </a:solidFill>
            <a:ln w="25400">
              <a:noFill/>
            </a:ln>
            <a:effectLst/>
          </c:spPr>
          <c:invertIfNegative val="0"/>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'12_Cumulative'!$C$12:$AL$12</c:f>
              <c:numCache>
                <c:formatCode>_(* #,##0.00_);_(* \(#,##0.00\);_(* "-"??_);_(@_)</c:formatCode>
                <c:ptCount val="36"/>
                <c:pt idx="0">
                  <c:v>2.2999999999999998</c:v>
                </c:pt>
                <c:pt idx="1">
                  <c:v>4.5999999999999996</c:v>
                </c:pt>
                <c:pt idx="2">
                  <c:v>9.1000000000000014</c:v>
                </c:pt>
                <c:pt idx="3">
                  <c:v>19.599999999999998</c:v>
                </c:pt>
                <c:pt idx="4">
                  <c:v>15.899999999999999</c:v>
                </c:pt>
                <c:pt idx="5">
                  <c:v>19.600000000000009</c:v>
                </c:pt>
                <c:pt idx="6">
                  <c:v>22.199999999999989</c:v>
                </c:pt>
                <c:pt idx="7">
                  <c:v>18.800000000000011</c:v>
                </c:pt>
                <c:pt idx="8">
                  <c:v>23</c:v>
                </c:pt>
                <c:pt idx="9">
                  <c:v>32.799999999999983</c:v>
                </c:pt>
                <c:pt idx="10">
                  <c:v>33</c:v>
                </c:pt>
                <c:pt idx="11">
                  <c:v>67</c:v>
                </c:pt>
                <c:pt idx="12">
                  <c:v>49.600000000000023</c:v>
                </c:pt>
                <c:pt idx="13">
                  <c:v>55.899999999999977</c:v>
                </c:pt>
                <c:pt idx="14">
                  <c:v>71.400000000000034</c:v>
                </c:pt>
                <c:pt idx="15">
                  <c:v>68.5</c:v>
                </c:pt>
                <c:pt idx="16">
                  <c:v>82.199999999999932</c:v>
                </c:pt>
                <c:pt idx="17">
                  <c:v>104.90000000000009</c:v>
                </c:pt>
                <c:pt idx="18">
                  <c:v>108.19999999999993</c:v>
                </c:pt>
                <c:pt idx="19">
                  <c:v>108.20000000000005</c:v>
                </c:pt>
                <c:pt idx="20">
                  <c:v>101.10000000000002</c:v>
                </c:pt>
                <c:pt idx="21">
                  <c:v>137.09999999999991</c:v>
                </c:pt>
                <c:pt idx="22">
                  <c:v>140.70000000000005</c:v>
                </c:pt>
                <c:pt idx="23">
                  <c:v>137.90000000000009</c:v>
                </c:pt>
                <c:pt idx="24">
                  <c:v>135.79999999999995</c:v>
                </c:pt>
                <c:pt idx="25">
                  <c:v>137.59999999999991</c:v>
                </c:pt>
                <c:pt idx="26">
                  <c:v>139.5</c:v>
                </c:pt>
                <c:pt idx="27">
                  <c:v>149.20000000000005</c:v>
                </c:pt>
                <c:pt idx="28">
                  <c:v>177.90000000000009</c:v>
                </c:pt>
                <c:pt idx="29">
                  <c:v>199.59999999999991</c:v>
                </c:pt>
                <c:pt idx="30">
                  <c:v>221.09999999999991</c:v>
                </c:pt>
                <c:pt idx="31">
                  <c:v>248.90000000000009</c:v>
                </c:pt>
                <c:pt idx="32">
                  <c:v>238.69999999999982</c:v>
                </c:pt>
                <c:pt idx="33">
                  <c:v>231.80000000000018</c:v>
                </c:pt>
                <c:pt idx="34">
                  <c:v>258.5</c:v>
                </c:pt>
                <c:pt idx="35">
                  <c:v>258.09999999999991</c:v>
                </c:pt>
              </c:numCache>
            </c:numRef>
          </c:val>
          <c:extLst>
            <c:ext xmlns:c16="http://schemas.microsoft.com/office/drawing/2014/chart" uri="{C3380CC4-5D6E-409C-BE32-E72D297353CC}">
              <c16:uniqueId val="{00000000-DB5B-4111-BAA9-CF9105314152}"/>
            </c:ext>
          </c:extLst>
        </c:ser>
        <c:dLbls>
          <c:showLegendKey val="0"/>
          <c:showVal val="0"/>
          <c:showCatName val="0"/>
          <c:showSerName val="0"/>
          <c:showPercent val="0"/>
          <c:showBubbleSize val="0"/>
        </c:dLbls>
        <c:gapWidth val="150"/>
        <c:axId val="625337248"/>
        <c:axId val="625337640"/>
      </c:barChart>
      <c:catAx>
        <c:axId val="625337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640"/>
        <c:crosses val="autoZero"/>
        <c:auto val="1"/>
        <c:lblAlgn val="ctr"/>
        <c:lblOffset val="100"/>
        <c:noMultiLvlLbl val="0"/>
      </c:catAx>
      <c:valAx>
        <c:axId val="625337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248"/>
        <c:crosses val="autoZero"/>
        <c:crossBetween val="between"/>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7065669533049459"/>
          <c:h val="0.86161656411805998"/>
        </c:manualLayout>
      </c:layout>
      <c:areaChart>
        <c:grouping val="stacked"/>
        <c:varyColors val="0"/>
        <c:ser>
          <c:idx val="0"/>
          <c:order val="0"/>
          <c:tx>
            <c:strRef>
              <c:f>'12_Cumulative'!$A$4</c:f>
              <c:strCache>
                <c:ptCount val="1"/>
                <c:pt idx="0">
                  <c:v>Power Purchases</c:v>
                </c:pt>
              </c:strCache>
            </c:strRef>
          </c:tx>
          <c:spPr>
            <a:solidFill>
              <a:srgbClr val="4F81BD"/>
            </a:solidFill>
            <a:ln>
              <a:noFill/>
            </a:ln>
            <a:effectLst/>
          </c:spPr>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'12_Cumulative'!$C$4:$AL$4</c:f>
              <c:numCache>
                <c:formatCode>_(* #,##0.0_);_(* \(#,##0.0\);_(* "-"??_);_(@_)</c:formatCode>
                <c:ptCount val="36"/>
                <c:pt idx="0">
                  <c:v>0</c:v>
                </c:pt>
                <c:pt idx="1">
                  <c:v>0</c:v>
                </c:pt>
                <c:pt idx="2">
                  <c:v>0</c:v>
                </c:pt>
                <c:pt idx="3">
                  <c:v>12</c:v>
                </c:pt>
                <c:pt idx="4">
                  <c:v>29</c:v>
                </c:pt>
                <c:pt idx="5">
                  <c:v>103</c:v>
                </c:pt>
                <c:pt idx="6">
                  <c:v>114</c:v>
                </c:pt>
                <c:pt idx="7">
                  <c:v>154</c:v>
                </c:pt>
                <c:pt idx="8">
                  <c:v>194</c:v>
                </c:pt>
                <c:pt idx="9">
                  <c:v>234</c:v>
                </c:pt>
                <c:pt idx="10">
                  <c:v>274</c:v>
                </c:pt>
                <c:pt idx="11">
                  <c:v>333</c:v>
                </c:pt>
                <c:pt idx="12">
                  <c:v>437</c:v>
                </c:pt>
                <c:pt idx="13">
                  <c:v>548.70000000000005</c:v>
                </c:pt>
                <c:pt idx="14">
                  <c:v>612.20000000000005</c:v>
                </c:pt>
                <c:pt idx="15">
                  <c:v>612.20000000000005</c:v>
                </c:pt>
                <c:pt idx="16">
                  <c:v>612.20000000000005</c:v>
                </c:pt>
                <c:pt idx="17">
                  <c:v>617.6</c:v>
                </c:pt>
                <c:pt idx="18">
                  <c:v>665.2</c:v>
                </c:pt>
                <c:pt idx="19">
                  <c:v>730</c:v>
                </c:pt>
                <c:pt idx="20">
                  <c:v>2119.6</c:v>
                </c:pt>
                <c:pt idx="21">
                  <c:v>2267.4</c:v>
                </c:pt>
                <c:pt idx="22">
                  <c:v>2438.5</c:v>
                </c:pt>
                <c:pt idx="23">
                  <c:v>2629.5</c:v>
                </c:pt>
                <c:pt idx="24">
                  <c:v>2740.3</c:v>
                </c:pt>
                <c:pt idx="25">
                  <c:v>2908.5</c:v>
                </c:pt>
                <c:pt idx="26">
                  <c:v>3029.2</c:v>
                </c:pt>
                <c:pt idx="27">
                  <c:v>3304.1</c:v>
                </c:pt>
                <c:pt idx="28">
                  <c:v>3544.4</c:v>
                </c:pt>
                <c:pt idx="29">
                  <c:v>3854.5</c:v>
                </c:pt>
                <c:pt idx="30">
                  <c:v>3925.2</c:v>
                </c:pt>
                <c:pt idx="31">
                  <c:v>3963.7</c:v>
                </c:pt>
                <c:pt idx="32">
                  <c:v>4049.8</c:v>
                </c:pt>
                <c:pt idx="33">
                  <c:v>4246</c:v>
                </c:pt>
                <c:pt idx="34">
                  <c:v>4313.2</c:v>
                </c:pt>
                <c:pt idx="35">
                  <c:v>4363.5</c:v>
                </c:pt>
              </c:numCache>
            </c:numRef>
          </c:val>
          <c:extLst>
            <c:ext xmlns:c16="http://schemas.microsoft.com/office/drawing/2014/chart" uri="{C3380CC4-5D6E-409C-BE32-E72D297353CC}">
              <c16:uniqueId val="{00000000-575D-460B-AEE9-BAF0696656B2}"/>
            </c:ext>
          </c:extLst>
        </c:ser>
        <c:ser>
          <c:idx val="1"/>
          <c:order val="1"/>
          <c:tx>
            <c:strRef>
              <c:f>'12_Cumulative'!$A$5</c:f>
              <c:strCache>
                <c:ptCount val="1"/>
                <c:pt idx="0">
                  <c:v>Forgone Revenues</c:v>
                </c:pt>
              </c:strCache>
            </c:strRef>
          </c:tx>
          <c:spPr>
            <a:solidFill>
              <a:srgbClr val="C0504D"/>
            </a:solidFill>
            <a:ln>
              <a:noFill/>
            </a:ln>
            <a:effectLst/>
          </c:spPr>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'12_Cumulative'!$C$5:$AL$5</c:f>
              <c:numCache>
                <c:formatCode>_(* #,##0.0_);_(* \(#,##0.0\);_(* "-"??_);_(@_)</c:formatCode>
                <c:ptCount val="36"/>
                <c:pt idx="0">
                  <c:v>3</c:v>
                </c:pt>
                <c:pt idx="1">
                  <c:v>17</c:v>
                </c:pt>
                <c:pt idx="2">
                  <c:v>18</c:v>
                </c:pt>
                <c:pt idx="3">
                  <c:v>26</c:v>
                </c:pt>
                <c:pt idx="4">
                  <c:v>53</c:v>
                </c:pt>
                <c:pt idx="5">
                  <c:v>72</c:v>
                </c:pt>
                <c:pt idx="6">
                  <c:v>79</c:v>
                </c:pt>
                <c:pt idx="7">
                  <c:v>89</c:v>
                </c:pt>
                <c:pt idx="8">
                  <c:v>104</c:v>
                </c:pt>
                <c:pt idx="9">
                  <c:v>119</c:v>
                </c:pt>
                <c:pt idx="10">
                  <c:v>134</c:v>
                </c:pt>
                <c:pt idx="11">
                  <c:v>137</c:v>
                </c:pt>
                <c:pt idx="12">
                  <c:v>182</c:v>
                </c:pt>
                <c:pt idx="13">
                  <c:v>244</c:v>
                </c:pt>
                <c:pt idx="14">
                  <c:v>251.1</c:v>
                </c:pt>
                <c:pt idx="15">
                  <c:v>332.8</c:v>
                </c:pt>
                <c:pt idx="16">
                  <c:v>440.6</c:v>
                </c:pt>
                <c:pt idx="17">
                  <c:v>557.1</c:v>
                </c:pt>
                <c:pt idx="18">
                  <c:v>754.9</c:v>
                </c:pt>
                <c:pt idx="19">
                  <c:v>948</c:v>
                </c:pt>
                <c:pt idx="20">
                  <c:v>1063.9000000000001</c:v>
                </c:pt>
                <c:pt idx="21">
                  <c:v>1076.5</c:v>
                </c:pt>
                <c:pt idx="22">
                  <c:v>1155.7</c:v>
                </c:pt>
                <c:pt idx="23">
                  <c:v>1177.4000000000001</c:v>
                </c:pt>
                <c:pt idx="24">
                  <c:v>1359.5</c:v>
                </c:pt>
                <c:pt idx="25">
                  <c:v>1756.9</c:v>
                </c:pt>
                <c:pt idx="26">
                  <c:v>2039.5</c:v>
                </c:pt>
                <c:pt idx="27">
                  <c:v>2335</c:v>
                </c:pt>
                <c:pt idx="28">
                  <c:v>2477.8000000000002</c:v>
                </c:pt>
                <c:pt idx="29">
                  <c:v>2577.4</c:v>
                </c:pt>
                <c:pt idx="30">
                  <c:v>2734.1</c:v>
                </c:pt>
                <c:pt idx="31">
                  <c:v>2886.3</c:v>
                </c:pt>
                <c:pt idx="32">
                  <c:v>3021.3</c:v>
                </c:pt>
                <c:pt idx="33">
                  <c:v>3144</c:v>
                </c:pt>
                <c:pt idx="34">
                  <c:v>3340.1</c:v>
                </c:pt>
                <c:pt idx="35">
                  <c:v>3407.6</c:v>
                </c:pt>
              </c:numCache>
            </c:numRef>
          </c:val>
          <c:extLst>
            <c:ext xmlns:c16="http://schemas.microsoft.com/office/drawing/2014/chart" uri="{C3380CC4-5D6E-409C-BE32-E72D297353CC}">
              <c16:uniqueId val="{00000001-575D-460B-AEE9-BAF0696656B2}"/>
            </c:ext>
          </c:extLst>
        </c:ser>
        <c:ser>
          <c:idx val="2"/>
          <c:order val="2"/>
          <c:tx>
            <c:strRef>
              <c:f>'12_Cumulative'!$A$6</c:f>
              <c:strCache>
                <c:ptCount val="1"/>
                <c:pt idx="0">
                  <c:v>Reimbursable Expenses</c:v>
                </c:pt>
              </c:strCache>
            </c:strRef>
          </c:tx>
          <c:spPr>
            <a:solidFill>
              <a:srgbClr val="9BBB59"/>
            </a:solidFill>
            <a:ln>
              <a:noFill/>
            </a:ln>
            <a:effectLst/>
          </c:spPr>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'12_Cumulative'!$C$6:$AL$6</c:f>
              <c:numCache>
                <c:formatCode>_(* #,##0.0_);_(* \(#,##0.0\);_(* "-"??_);_(@_)</c:formatCode>
                <c:ptCount val="36"/>
                <c:pt idx="0">
                  <c:v>21</c:v>
                </c:pt>
                <c:pt idx="1">
                  <c:v>32.5</c:v>
                </c:pt>
                <c:pt idx="2">
                  <c:v>46.7</c:v>
                </c:pt>
                <c:pt idx="3">
                  <c:v>62.7</c:v>
                </c:pt>
                <c:pt idx="4">
                  <c:v>82.6</c:v>
                </c:pt>
                <c:pt idx="5">
                  <c:v>106.3</c:v>
                </c:pt>
                <c:pt idx="6">
                  <c:v>136</c:v>
                </c:pt>
                <c:pt idx="7">
                  <c:v>155</c:v>
                </c:pt>
                <c:pt idx="8">
                  <c:v>178.6</c:v>
                </c:pt>
                <c:pt idx="9">
                  <c:v>202</c:v>
                </c:pt>
                <c:pt idx="10">
                  <c:v>226.3</c:v>
                </c:pt>
                <c:pt idx="11">
                  <c:v>254.7</c:v>
                </c:pt>
                <c:pt idx="12">
                  <c:v>285.2</c:v>
                </c:pt>
                <c:pt idx="13">
                  <c:v>320.10000000000002</c:v>
                </c:pt>
                <c:pt idx="14">
                  <c:v>356.2</c:v>
                </c:pt>
                <c:pt idx="15">
                  <c:v>391.6</c:v>
                </c:pt>
                <c:pt idx="16">
                  <c:v>427.5</c:v>
                </c:pt>
                <c:pt idx="17">
                  <c:v>463.9</c:v>
                </c:pt>
                <c:pt idx="18">
                  <c:v>502.8</c:v>
                </c:pt>
                <c:pt idx="19">
                  <c:v>540.4</c:v>
                </c:pt>
                <c:pt idx="20">
                  <c:v>582.9</c:v>
                </c:pt>
                <c:pt idx="21">
                  <c:v>633.79999999999995</c:v>
                </c:pt>
                <c:pt idx="22">
                  <c:v>686.4</c:v>
                </c:pt>
                <c:pt idx="23">
                  <c:v>743.6</c:v>
                </c:pt>
                <c:pt idx="24">
                  <c:v>801.5</c:v>
                </c:pt>
                <c:pt idx="25">
                  <c:v>862.2</c:v>
                </c:pt>
                <c:pt idx="26">
                  <c:v>922.5</c:v>
                </c:pt>
                <c:pt idx="27">
                  <c:v>984.7</c:v>
                </c:pt>
                <c:pt idx="28">
                  <c:v>1049</c:v>
                </c:pt>
                <c:pt idx="29">
                  <c:v>1114</c:v>
                </c:pt>
                <c:pt idx="30">
                  <c:v>1188.3</c:v>
                </c:pt>
                <c:pt idx="31">
                  <c:v>1261.3</c:v>
                </c:pt>
                <c:pt idx="32">
                  <c:v>1344.7</c:v>
                </c:pt>
                <c:pt idx="33">
                  <c:v>1435</c:v>
                </c:pt>
                <c:pt idx="34">
                  <c:v>1515</c:v>
                </c:pt>
                <c:pt idx="35">
                  <c:v>1603.2</c:v>
                </c:pt>
              </c:numCache>
            </c:numRef>
          </c:val>
          <c:extLst>
            <c:ext xmlns:c16="http://schemas.microsoft.com/office/drawing/2014/chart" uri="{C3380CC4-5D6E-409C-BE32-E72D297353CC}">
              <c16:uniqueId val="{00000002-575D-460B-AEE9-BAF0696656B2}"/>
            </c:ext>
          </c:extLst>
        </c:ser>
        <c:ser>
          <c:idx val="3"/>
          <c:order val="3"/>
          <c:tx>
            <c:strRef>
              <c:f>'12_Cumulative'!$A$7</c:f>
              <c:strCache>
                <c:ptCount val="1"/>
                <c:pt idx="0">
                  <c:v>Direct Program</c:v>
                </c:pt>
              </c:strCache>
            </c:strRef>
          </c:tx>
          <c:spPr>
            <a:solidFill>
              <a:srgbClr val="8064A2"/>
            </a:solidFill>
            <a:ln>
              <a:noFill/>
            </a:ln>
            <a:effectLst/>
          </c:spPr>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'12_Cumulative'!$C$7:$AL$7</c:f>
              <c:numCache>
                <c:formatCode>_(* #,##0.0_);_(* \(#,##0.0\);_(* "-"??_);_(@_)</c:formatCode>
                <c:ptCount val="36"/>
                <c:pt idx="0">
                  <c:v>4.5999999999999996</c:v>
                </c:pt>
                <c:pt idx="1">
                  <c:v>9.1999999999999993</c:v>
                </c:pt>
                <c:pt idx="2">
                  <c:v>18.3</c:v>
                </c:pt>
                <c:pt idx="3">
                  <c:v>37.9</c:v>
                </c:pt>
                <c:pt idx="4">
                  <c:v>53.8</c:v>
                </c:pt>
                <c:pt idx="5">
                  <c:v>73.400000000000006</c:v>
                </c:pt>
                <c:pt idx="6">
                  <c:v>95.6</c:v>
                </c:pt>
                <c:pt idx="7">
                  <c:v>114.4</c:v>
                </c:pt>
                <c:pt idx="8">
                  <c:v>137.4</c:v>
                </c:pt>
                <c:pt idx="9">
                  <c:v>170.2</c:v>
                </c:pt>
                <c:pt idx="10">
                  <c:v>203.2</c:v>
                </c:pt>
                <c:pt idx="11">
                  <c:v>270.2</c:v>
                </c:pt>
                <c:pt idx="12">
                  <c:v>319.8</c:v>
                </c:pt>
                <c:pt idx="13">
                  <c:v>375.7</c:v>
                </c:pt>
                <c:pt idx="14">
                  <c:v>447.1</c:v>
                </c:pt>
                <c:pt idx="15">
                  <c:v>515.6</c:v>
                </c:pt>
                <c:pt idx="16">
                  <c:v>597.79999999999995</c:v>
                </c:pt>
                <c:pt idx="17">
                  <c:v>702.7</c:v>
                </c:pt>
                <c:pt idx="18">
                  <c:v>810.9</c:v>
                </c:pt>
                <c:pt idx="19">
                  <c:v>919.1</c:v>
                </c:pt>
                <c:pt idx="20">
                  <c:v>1020.2</c:v>
                </c:pt>
                <c:pt idx="21">
                  <c:v>1157.3</c:v>
                </c:pt>
                <c:pt idx="22">
                  <c:v>1298</c:v>
                </c:pt>
                <c:pt idx="23">
                  <c:v>1435.9</c:v>
                </c:pt>
                <c:pt idx="24">
                  <c:v>1571.7</c:v>
                </c:pt>
                <c:pt idx="25">
                  <c:v>1709.3</c:v>
                </c:pt>
                <c:pt idx="26">
                  <c:v>1848.8</c:v>
                </c:pt>
                <c:pt idx="27">
                  <c:v>1998</c:v>
                </c:pt>
                <c:pt idx="28">
                  <c:v>2175.9</c:v>
                </c:pt>
                <c:pt idx="29">
                  <c:v>2375.5</c:v>
                </c:pt>
                <c:pt idx="30">
                  <c:v>2596.6</c:v>
                </c:pt>
                <c:pt idx="31">
                  <c:v>2845.5</c:v>
                </c:pt>
                <c:pt idx="32">
                  <c:v>3084.2</c:v>
                </c:pt>
                <c:pt idx="33">
                  <c:v>3316</c:v>
                </c:pt>
                <c:pt idx="34">
                  <c:v>3574.5</c:v>
                </c:pt>
                <c:pt idx="35">
                  <c:v>3832.6</c:v>
                </c:pt>
              </c:numCache>
            </c:numRef>
          </c:val>
          <c:extLst>
            <c:ext xmlns:c16="http://schemas.microsoft.com/office/drawing/2014/chart" uri="{C3380CC4-5D6E-409C-BE32-E72D297353CC}">
              <c16:uniqueId val="{00000003-575D-460B-AEE9-BAF0696656B2}"/>
            </c:ext>
          </c:extLst>
        </c:ser>
        <c:ser>
          <c:idx val="4"/>
          <c:order val="4"/>
          <c:tx>
            <c:strRef>
              <c:f>'12_Cumulative'!$A$8</c:f>
              <c:strCache>
                <c:ptCount val="1"/>
                <c:pt idx="0">
                  <c:v>Fixed Expenses</c:v>
                </c:pt>
              </c:strCache>
            </c:strRef>
          </c:tx>
          <c:spPr>
            <a:solidFill>
              <a:srgbClr val="4BACC6"/>
            </a:solidFill>
            <a:ln>
              <a:noFill/>
            </a:ln>
            <a:effectLst/>
          </c:spPr>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'12_Cumulative'!$C$8:$AL$8</c:f>
              <c:numCache>
                <c:formatCode>_(* #,##0.0_);_(* \(#,##0.0\);_(* "-"??_);_(@_)</c:formatCode>
                <c:ptCount val="36"/>
                <c:pt idx="0">
                  <c:v>32.799999999999997</c:v>
                </c:pt>
                <c:pt idx="1">
                  <c:v>61.1</c:v>
                </c:pt>
                <c:pt idx="2">
                  <c:v>77</c:v>
                </c:pt>
                <c:pt idx="3">
                  <c:v>93.6</c:v>
                </c:pt>
                <c:pt idx="4">
                  <c:v>113.8</c:v>
                </c:pt>
                <c:pt idx="5">
                  <c:v>135.4</c:v>
                </c:pt>
                <c:pt idx="6">
                  <c:v>163.9</c:v>
                </c:pt>
                <c:pt idx="7">
                  <c:v>194.9</c:v>
                </c:pt>
                <c:pt idx="8">
                  <c:v>226.8</c:v>
                </c:pt>
                <c:pt idx="9">
                  <c:v>261.10000000000002</c:v>
                </c:pt>
                <c:pt idx="10">
                  <c:v>299.3</c:v>
                </c:pt>
                <c:pt idx="11">
                  <c:v>341.2</c:v>
                </c:pt>
                <c:pt idx="12">
                  <c:v>394.8</c:v>
                </c:pt>
                <c:pt idx="13">
                  <c:v>456.1</c:v>
                </c:pt>
                <c:pt idx="14">
                  <c:v>519.70000000000005</c:v>
                </c:pt>
                <c:pt idx="15">
                  <c:v>592.79999999999995</c:v>
                </c:pt>
                <c:pt idx="16">
                  <c:v>669.1</c:v>
                </c:pt>
                <c:pt idx="17">
                  <c:v>743.2</c:v>
                </c:pt>
                <c:pt idx="18">
                  <c:v>819.3</c:v>
                </c:pt>
                <c:pt idx="19">
                  <c:v>895.6</c:v>
                </c:pt>
                <c:pt idx="20">
                  <c:v>973.8</c:v>
                </c:pt>
                <c:pt idx="21">
                  <c:v>1052</c:v>
                </c:pt>
                <c:pt idx="22">
                  <c:v>1132.5</c:v>
                </c:pt>
                <c:pt idx="23">
                  <c:v>1217.9000000000001</c:v>
                </c:pt>
                <c:pt idx="24">
                  <c:v>1307.5999999999999</c:v>
                </c:pt>
                <c:pt idx="25">
                  <c:v>1395.1</c:v>
                </c:pt>
                <c:pt idx="26">
                  <c:v>1508</c:v>
                </c:pt>
                <c:pt idx="27">
                  <c:v>1620.9</c:v>
                </c:pt>
                <c:pt idx="28">
                  <c:v>1740.9</c:v>
                </c:pt>
                <c:pt idx="29">
                  <c:v>1863.9</c:v>
                </c:pt>
                <c:pt idx="30">
                  <c:v>1991.1</c:v>
                </c:pt>
                <c:pt idx="31">
                  <c:v>2122.6</c:v>
                </c:pt>
                <c:pt idx="32">
                  <c:v>2253.6999999999998</c:v>
                </c:pt>
                <c:pt idx="33">
                  <c:v>2395</c:v>
                </c:pt>
                <c:pt idx="34">
                  <c:v>2557.9</c:v>
                </c:pt>
                <c:pt idx="35">
                  <c:v>2706.1</c:v>
                </c:pt>
              </c:numCache>
            </c:numRef>
          </c:val>
          <c:extLst>
            <c:ext xmlns:c16="http://schemas.microsoft.com/office/drawing/2014/chart" uri="{C3380CC4-5D6E-409C-BE32-E72D297353CC}">
              <c16:uniqueId val="{00000004-575D-460B-AEE9-BAF0696656B2}"/>
            </c:ext>
          </c:extLst>
        </c:ser>
        <c:dLbls>
          <c:showLegendKey val="0"/>
          <c:showVal val="0"/>
          <c:showCatName val="0"/>
          <c:showSerName val="0"/>
          <c:showPercent val="0"/>
          <c:showBubbleSize val="0"/>
        </c:dLbls>
        <c:axId val="483682904"/>
        <c:axId val="483683296"/>
      </c:areaChart>
      <c:catAx>
        <c:axId val="483682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3296"/>
        <c:crosses val="autoZero"/>
        <c:auto val="1"/>
        <c:lblAlgn val="ctr"/>
        <c:lblOffset val="100"/>
        <c:noMultiLvlLbl val="0"/>
      </c:catAx>
      <c:valAx>
        <c:axId val="483683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2904"/>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57AC-4531-B5AE-729C85665BAF}"/>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57AC-4531-B5AE-729C85665BAF}"/>
              </c:ext>
            </c:extLst>
          </c:dPt>
          <c:dPt>
            <c:idx val="2"/>
            <c:bubble3D val="0"/>
            <c:extLst>
              <c:ext xmlns:c16="http://schemas.microsoft.com/office/drawing/2014/chart" uri="{C3380CC4-5D6E-409C-BE32-E72D297353CC}">
                <c16:uniqueId val="{00000004-57AC-4531-B5AE-729C85665BAF}"/>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57AC-4531-B5AE-729C85665BAF}"/>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57AC-4531-B5AE-729C85665BAF}"/>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57AC-4531-B5AE-729C85665BAF}"/>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57AC-4531-B5AE-729C85665BAF}"/>
              </c:ext>
            </c:extLst>
          </c:dPt>
          <c:dLbls>
            <c:dLbl>
              <c:idx val="0"/>
              <c:layout>
                <c:manualLayout>
                  <c:x val="-0.17993872279909234"/>
                  <c:y val="-0.17573434683508365"/>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7AC-4531-B5AE-729C85665BAF}"/>
                </c:ext>
              </c:extLst>
            </c:dLbl>
            <c:dLbl>
              <c:idx val="1"/>
              <c:layout>
                <c:manualLayout>
                  <c:x val="8.5034482385315815E-2"/>
                  <c:y val="-6.6119787860855761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7AC-4531-B5AE-729C85665BAF}"/>
                </c:ext>
              </c:extLst>
            </c:dLbl>
            <c:dLbl>
              <c:idx val="2"/>
              <c:layout>
                <c:manualLayout>
                  <c:x val="0.14473256579979293"/>
                  <c:y val="0.118354637843922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57AC-4531-B5AE-729C85665BAF}"/>
                </c:ext>
              </c:extLst>
            </c:dLbl>
            <c:dLbl>
              <c:idx val="3"/>
              <c:layout>
                <c:manualLayout>
                  <c:x val="0.10152078082626982"/>
                  <c:y val="7.566481152725969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57AC-4531-B5AE-729C85665BAF}"/>
                </c:ext>
              </c:extLst>
            </c:dLbl>
            <c:dLbl>
              <c:idx val="4"/>
              <c:layout>
                <c:manualLayout>
                  <c:x val="9.8877342934363843E-2"/>
                  <c:y val="0.1050437764622488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57AC-4531-B5AE-729C85665BAF}"/>
                </c:ext>
              </c:extLst>
            </c:dLbl>
            <c:dLbl>
              <c:idx val="5"/>
              <c:layout>
                <c:manualLayout>
                  <c:x val="5.1961478792846072E-2"/>
                  <c:y val="0.1046619537521314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57AC-4531-B5AE-729C85665BAF}"/>
                </c:ext>
              </c:extLst>
            </c:dLbl>
            <c:dLbl>
              <c:idx val="6"/>
              <c:layout>
                <c:manualLayout>
                  <c:x val="2.227195113621952E-2"/>
                  <c:y val="9.433779719140955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7AC-4531-B5AE-729C85665BAF}"/>
                </c:ext>
              </c:extLst>
            </c:dLbl>
            <c:numFmt formatCode="&quot;$&quot;#,,\ &quot;million&quot;"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'2_SpeciesType'!$A$32:$A$35</c:f>
              <c:strCache>
                <c:ptCount val="4"/>
                <c:pt idx="0">
                  <c:v>Anadromous Fish</c:v>
                </c:pt>
                <c:pt idx="1">
                  <c:v>Resident Fish</c:v>
                </c:pt>
                <c:pt idx="2">
                  <c:v>Wildlife</c:v>
                </c:pt>
                <c:pt idx="3">
                  <c:v>Program Support</c:v>
                </c:pt>
              </c:strCache>
            </c:strRef>
          </c:cat>
          <c:val>
            <c:numRef>
              <c:f>'2_SpeciesType'!$B$32:$B$35</c:f>
              <c:numCache>
                <c:formatCode>"$"#,##0</c:formatCode>
                <c:ptCount val="4"/>
                <c:pt idx="0">
                  <c:v>175128390</c:v>
                </c:pt>
                <c:pt idx="1">
                  <c:v>41934781</c:v>
                </c:pt>
                <c:pt idx="2">
                  <c:v>17510758</c:v>
                </c:pt>
                <c:pt idx="3">
                  <c:v>25383607</c:v>
                </c:pt>
              </c:numCache>
            </c:numRef>
          </c:val>
          <c:extLst>
            <c:ext xmlns:c16="http://schemas.microsoft.com/office/drawing/2014/chart" uri="{C3380CC4-5D6E-409C-BE32-E72D297353CC}">
              <c16:uniqueId val="{0000000D-57AC-4531-B5AE-729C85665BAF}"/>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797519336631601"/>
          <c:y val="4.6024135251250015E-2"/>
          <c:w val="0.82606610456878748"/>
          <c:h val="0.84602442851068216"/>
        </c:manualLayout>
      </c:layout>
      <c:barChart>
        <c:barDir val="col"/>
        <c:grouping val="stacked"/>
        <c:varyColors val="0"/>
        <c:ser>
          <c:idx val="0"/>
          <c:order val="0"/>
          <c:tx>
            <c:strRef>
              <c:f>'3_FCRPS'!$A$3</c:f>
              <c:strCache>
                <c:ptCount val="1"/>
                <c:pt idx="0">
                  <c:v>Expense</c:v>
                </c:pt>
              </c:strCache>
            </c:strRef>
          </c:tx>
          <c:spPr>
            <a:effectLst>
              <a:outerShdw blurRad="50800" dist="38100" algn="l" rotWithShape="0">
                <a:prstClr val="black">
                  <a:alpha val="40000"/>
                </a:prstClr>
              </a:outerShdw>
            </a:effectLst>
          </c:spPr>
          <c:invertIfNegative val="0"/>
          <c:dLbls>
            <c:numFmt formatCode="&quot;$&quot;#,," sourceLinked="0"/>
            <c:spPr>
              <a:solidFill>
                <a:sysClr val="window" lastClr="FFFFFF">
                  <a:alpha val="63000"/>
                </a:sysClr>
              </a:solidFill>
            </c:spPr>
            <c:txPr>
              <a:bodyPr/>
              <a:lstStyle/>
              <a:p>
                <a:pPr>
                  <a:defRPr sz="1200">
                    <a:solidFill>
                      <a:schemeClr val="bg1">
                        <a:lumMod val="50000"/>
                      </a:schemeClr>
                    </a:solidFill>
                    <a:latin typeface="Century Gothic"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'3_FCRPS'!$B$8:$M$8</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'3_FCRPS'!$B$3:$M$3</c:f>
              <c:numCache>
                <c:formatCode>"$"#,##0</c:formatCode>
                <c:ptCount val="12"/>
                <c:pt idx="0">
                  <c:v>74024959.329999998</c:v>
                </c:pt>
                <c:pt idx="1">
                  <c:v>78219265.00000003</c:v>
                </c:pt>
                <c:pt idx="2">
                  <c:v>91806508</c:v>
                </c:pt>
                <c:pt idx="3">
                  <c:v>113900603</c:v>
                </c:pt>
                <c:pt idx="4">
                  <c:v>129758323</c:v>
                </c:pt>
                <c:pt idx="5">
                  <c:v>143477289</c:v>
                </c:pt>
                <c:pt idx="6">
                  <c:v>162060445</c:v>
                </c:pt>
                <c:pt idx="7">
                  <c:v>151177409</c:v>
                </c:pt>
                <c:pt idx="8">
                  <c:v>143128947.90000001</c:v>
                </c:pt>
                <c:pt idx="9">
                  <c:v>165362220.78999999</c:v>
                </c:pt>
                <c:pt idx="10">
                  <c:v>159987743.56999999</c:v>
                </c:pt>
                <c:pt idx="11">
                  <c:v>156828472.72999999</c:v>
                </c:pt>
              </c:numCache>
            </c:numRef>
          </c:val>
          <c:extLst>
            <c:ext xmlns:c16="http://schemas.microsoft.com/office/drawing/2014/chart" uri="{C3380CC4-5D6E-409C-BE32-E72D297353CC}">
              <c16:uniqueId val="{00000000-2023-496B-9A95-548D7717997D}"/>
            </c:ext>
          </c:extLst>
        </c:ser>
        <c:ser>
          <c:idx val="1"/>
          <c:order val="1"/>
          <c:tx>
            <c:strRef>
              <c:f>'3_FCRPS'!$A$4</c:f>
              <c:strCache>
                <c:ptCount val="1"/>
                <c:pt idx="0">
                  <c:v>Capital</c:v>
                </c:pt>
              </c:strCache>
            </c:strRef>
          </c:tx>
          <c:spPr>
            <a:effectLst>
              <a:outerShdw blurRad="50800" dist="38100" algn="l" rotWithShape="0">
                <a:prstClr val="black">
                  <a:alpha val="40000"/>
                </a:prstClr>
              </a:outerShdw>
            </a:effectLst>
          </c:spPr>
          <c:invertIfNegative val="0"/>
          <c:dLbls>
            <c:dLbl>
              <c:idx val="0"/>
              <c:layout>
                <c:manualLayout>
                  <c:x val="0"/>
                  <c:y val="-4.15738678544914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23-496B-9A95-548D7717997D}"/>
                </c:ext>
              </c:extLst>
            </c:dLbl>
            <c:dLbl>
              <c:idx val="1"/>
              <c:layout>
                <c:manualLayout>
                  <c:x val="2.133332974978188E-3"/>
                  <c:y val="-5.04827876470897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23-496B-9A95-548D7717997D}"/>
                </c:ext>
              </c:extLst>
            </c:dLbl>
            <c:dLbl>
              <c:idx val="2"/>
              <c:layout>
                <c:manualLayout>
                  <c:x val="0"/>
                  <c:y val="-4.15738678544914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23-496B-9A95-548D7717997D}"/>
                </c:ext>
              </c:extLst>
            </c:dLbl>
            <c:dLbl>
              <c:idx val="3"/>
              <c:layout>
                <c:manualLayout>
                  <c:x val="2.133332974978188E-3"/>
                  <c:y val="-5.34521158129176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23-496B-9A95-548D7717997D}"/>
                </c:ext>
              </c:extLst>
            </c:dLbl>
            <c:dLbl>
              <c:idx val="4"/>
              <c:layout>
                <c:manualLayout>
                  <c:x val="0"/>
                  <c:y val="-6.53303637713437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023-496B-9A95-548D7717997D}"/>
                </c:ext>
              </c:extLst>
            </c:dLbl>
            <c:dLbl>
              <c:idx val="5"/>
              <c:layout>
                <c:manualLayout>
                  <c:x val="-7.8221305463337962E-17"/>
                  <c:y val="-7.12694877505567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023-496B-9A95-548D7717997D}"/>
                </c:ext>
              </c:extLst>
            </c:dLbl>
            <c:dLbl>
              <c:idx val="6"/>
              <c:layout>
                <c:manualLayout>
                  <c:x val="-7.8221305463337962E-17"/>
                  <c:y val="-8.31477357089829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23-496B-9A95-548D7717997D}"/>
                </c:ext>
              </c:extLst>
            </c:dLbl>
            <c:dLbl>
              <c:idx val="7"/>
              <c:layout>
                <c:manualLayout>
                  <c:x val="-7.8221305463337962E-17"/>
                  <c:y val="-7.126948775055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023-496B-9A95-548D7717997D}"/>
                </c:ext>
              </c:extLst>
            </c:dLbl>
            <c:dLbl>
              <c:idx val="8"/>
              <c:layout>
                <c:manualLayout>
                  <c:x val="0"/>
                  <c:y val="-4.15738678544914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D-4EE7-8732-4420A3787B3E}"/>
                </c:ext>
              </c:extLst>
            </c:dLbl>
            <c:dLbl>
              <c:idx val="9"/>
              <c:layout>
                <c:manualLayout>
                  <c:x val="-1.5644261092667592E-16"/>
                  <c:y val="-5.04825538233110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D-4EE7-8732-4420A3787B3E}"/>
                </c:ext>
              </c:extLst>
            </c:dLbl>
            <c:dLbl>
              <c:idx val="10"/>
              <c:layout>
                <c:manualLayout>
                  <c:x val="-1.5644261092667592E-16"/>
                  <c:y val="-2.969561989606532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39-43CB-9B4E-22808F2210B8}"/>
                </c:ext>
              </c:extLst>
            </c:dLbl>
            <c:numFmt formatCode="&quot;$&quot;#,," sourceLinked="0"/>
            <c:spPr>
              <a:noFill/>
              <a:ln>
                <a:noFill/>
              </a:ln>
              <a:effectLst/>
            </c:spPr>
            <c:txPr>
              <a:bodyPr/>
              <a:lstStyle/>
              <a:p>
                <a:pPr>
                  <a:defRPr sz="1200">
                    <a:solidFill>
                      <a:schemeClr val="bg1">
                        <a:lumMod val="50000"/>
                      </a:schemeClr>
                    </a:solidFill>
                    <a:latin typeface="Century Gothic"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'3_FCRPS'!$B$8:$M$8</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'3_FCRPS'!$B$4:$M$4</c:f>
              <c:numCache>
                <c:formatCode>"$"#,##0</c:formatCode>
                <c:ptCount val="12"/>
                <c:pt idx="0">
                  <c:v>5086155.01</c:v>
                </c:pt>
                <c:pt idx="1">
                  <c:v>8839587.0300000012</c:v>
                </c:pt>
                <c:pt idx="2">
                  <c:v>9869097</c:v>
                </c:pt>
                <c:pt idx="3">
                  <c:v>11668863</c:v>
                </c:pt>
                <c:pt idx="4">
                  <c:v>21761323</c:v>
                </c:pt>
                <c:pt idx="5">
                  <c:v>31297548</c:v>
                </c:pt>
                <c:pt idx="6">
                  <c:v>29240867</c:v>
                </c:pt>
                <c:pt idx="7">
                  <c:v>29683425</c:v>
                </c:pt>
                <c:pt idx="8">
                  <c:v>5925196.1100000003</c:v>
                </c:pt>
                <c:pt idx="9">
                  <c:v>7703153.2699999996</c:v>
                </c:pt>
                <c:pt idx="10">
                  <c:v>1249955.1399999999</c:v>
                </c:pt>
                <c:pt idx="11">
                  <c:v>-396792.47</c:v>
                </c:pt>
              </c:numCache>
            </c:numRef>
          </c:val>
          <c:extLst>
            <c:ext xmlns:c16="http://schemas.microsoft.com/office/drawing/2014/chart" uri="{C3380CC4-5D6E-409C-BE32-E72D297353CC}">
              <c16:uniqueId val="{00000009-2023-496B-9A95-548D7717997D}"/>
            </c:ext>
          </c:extLst>
        </c:ser>
        <c:dLbls>
          <c:showLegendKey val="0"/>
          <c:showVal val="0"/>
          <c:showCatName val="0"/>
          <c:showSerName val="0"/>
          <c:showPercent val="0"/>
          <c:showBubbleSize val="0"/>
        </c:dLbls>
        <c:gapWidth val="76"/>
        <c:overlap val="100"/>
        <c:axId val="483676240"/>
        <c:axId val="483676632"/>
      </c:barChart>
      <c:catAx>
        <c:axId val="483676240"/>
        <c:scaling>
          <c:orientation val="minMax"/>
        </c:scaling>
        <c:delete val="0"/>
        <c:axPos val="b"/>
        <c:numFmt formatCode="General" sourceLinked="1"/>
        <c:majorTickMark val="out"/>
        <c:minorTickMark val="none"/>
        <c:tickLblPos val="nextTo"/>
        <c:txPr>
          <a:bodyPr/>
          <a:lstStyle/>
          <a:p>
            <a:pPr>
              <a:defRPr sz="1200">
                <a:solidFill>
                  <a:schemeClr val="bg1">
                    <a:lumMod val="50000"/>
                  </a:schemeClr>
                </a:solidFill>
                <a:latin typeface="Century Gothic" pitchFamily="34" charset="0"/>
              </a:defRPr>
            </a:pPr>
            <a:endParaRPr lang="en-US"/>
          </a:p>
        </c:txPr>
        <c:crossAx val="483676632"/>
        <c:crosses val="autoZero"/>
        <c:auto val="1"/>
        <c:lblAlgn val="ctr"/>
        <c:lblOffset val="100"/>
        <c:noMultiLvlLbl val="0"/>
      </c:catAx>
      <c:valAx>
        <c:axId val="483676632"/>
        <c:scaling>
          <c:orientation val="minMax"/>
          <c:min val="0"/>
        </c:scaling>
        <c:delete val="0"/>
        <c:axPos val="l"/>
        <c:majorGridlines>
          <c:spPr>
            <a:ln>
              <a:solidFill>
                <a:schemeClr val="bg1">
                  <a:lumMod val="65000"/>
                </a:schemeClr>
              </a:solidFill>
            </a:ln>
          </c:spPr>
        </c:majorGridlines>
        <c:title>
          <c:tx>
            <c:rich>
              <a:bodyPr rot="-540000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6240"/>
        <c:crosses val="autoZero"/>
        <c:crossBetween val="between"/>
      </c:valAx>
    </c:plotArea>
    <c:legend>
      <c:legendPos val="l"/>
      <c:layout>
        <c:manualLayout>
          <c:xMode val="edge"/>
          <c:yMode val="edge"/>
          <c:x val="0.15811205742999559"/>
          <c:y val="6.4691791031688969E-2"/>
          <c:w val="0.3111032448377582"/>
          <c:h val="8.843916782117156E-2"/>
        </c:manualLayout>
      </c:layout>
      <c:overlay val="0"/>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83"/>
          <c:y val="1.1144733600781056E-2"/>
          <c:w val="0.59880164245374734"/>
          <c:h val="0.90996883140904061"/>
        </c:manualLayout>
      </c:layout>
      <c:barChart>
        <c:barDir val="bar"/>
        <c:grouping val="stacked"/>
        <c:varyColors val="0"/>
        <c:ser>
          <c:idx val="0"/>
          <c:order val="0"/>
          <c:tx>
            <c:v>Expense Total Spending</c:v>
          </c:tx>
          <c:spPr>
            <a:effectLst>
              <a:outerShdw blurRad="50800" dist="38100" dir="5400000" algn="t" rotWithShape="0">
                <a:prstClr val="black">
                  <a:alpha val="40000"/>
                </a:prstClr>
              </a:outerShdw>
            </a:effectLst>
          </c:spPr>
          <c:invertIfNegative val="0"/>
          <c:cat>
            <c:strRef>
              <c:f>'4_ESASpecies'!$A$3:$A$19</c:f>
              <c:strCache>
                <c:ptCount val="17"/>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(endangered)</c:v>
                </c:pt>
                <c:pt idx="12">
                  <c:v>Steelhead - Upper Willamette River DPS (threatened)</c:v>
                </c:pt>
                <c:pt idx="13">
                  <c:v>Chub, Oregon (delisted) 4</c:v>
                </c:pt>
                <c:pt idx="14">
                  <c:v>Cutthroat Trout, Lahontan (threatened)</c:v>
                </c:pt>
                <c:pt idx="15">
                  <c:v>Sturgeon, White - Kootenai River DPS (endangered)</c:v>
                </c:pt>
                <c:pt idx="16">
                  <c:v>Trout, Bull (threatened)</c:v>
                </c:pt>
              </c:strCache>
            </c:strRef>
          </c:cat>
          <c:val>
            <c:numRef>
              <c:f>'4_ESASpecies'!$D$3:$D$19</c:f>
              <c:numCache>
                <c:formatCode>"$"#,##0_);[Red]\("$"#,##0\)</c:formatCode>
                <c:ptCount val="17"/>
                <c:pt idx="0">
                  <c:v>6274404.2000000002</c:v>
                </c:pt>
                <c:pt idx="1">
                  <c:v>13037688</c:v>
                </c:pt>
                <c:pt idx="2">
                  <c:v>25088617</c:v>
                </c:pt>
                <c:pt idx="3">
                  <c:v>13373231.199999999</c:v>
                </c:pt>
                <c:pt idx="4">
                  <c:v>5199515.2</c:v>
                </c:pt>
                <c:pt idx="5">
                  <c:v>2647503.2000000002</c:v>
                </c:pt>
                <c:pt idx="6">
                  <c:v>3198589.7</c:v>
                </c:pt>
                <c:pt idx="7">
                  <c:v>7278582.2000000002</c:v>
                </c:pt>
                <c:pt idx="8">
                  <c:v>5421203.7800000003</c:v>
                </c:pt>
                <c:pt idx="9">
                  <c:v>38914310.780000001</c:v>
                </c:pt>
                <c:pt idx="10">
                  <c:v>26183488.199999999</c:v>
                </c:pt>
                <c:pt idx="11">
                  <c:v>14486768</c:v>
                </c:pt>
                <c:pt idx="12">
                  <c:v>3798162.4000000004</c:v>
                </c:pt>
                <c:pt idx="13">
                  <c:v>0</c:v>
                </c:pt>
                <c:pt idx="14">
                  <c:v>1682270.8</c:v>
                </c:pt>
                <c:pt idx="15">
                  <c:v>10159839.800000001</c:v>
                </c:pt>
                <c:pt idx="16">
                  <c:v>14943421.48</c:v>
                </c:pt>
              </c:numCache>
            </c:numRef>
          </c:val>
          <c:extLst>
            <c:ext xmlns:c16="http://schemas.microsoft.com/office/drawing/2014/chart" uri="{C3380CC4-5D6E-409C-BE32-E72D297353CC}">
              <c16:uniqueId val="{00000000-2EE0-4D6F-8525-41EE350B64FB}"/>
            </c:ext>
          </c:extLst>
        </c:ser>
        <c:ser>
          <c:idx val="1"/>
          <c:order val="1"/>
          <c:tx>
            <c:v>Capital Total Spending</c:v>
          </c:tx>
          <c:spPr>
            <a:effectLst>
              <a:outerShdw blurRad="50800" dist="38100" dir="5400000" algn="t" rotWithShape="0">
                <a:prstClr val="black">
                  <a:alpha val="40000"/>
                </a:prstClr>
              </a:outerShdw>
            </a:effectLst>
          </c:spPr>
          <c:invertIfNegative val="0"/>
          <c:cat>
            <c:strRef>
              <c:f>'4_ESASpecies'!$A$3:$A$19</c:f>
              <c:strCache>
                <c:ptCount val="17"/>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(endangered)</c:v>
                </c:pt>
                <c:pt idx="12">
                  <c:v>Steelhead - Upper Willamette River DPS (threatened)</c:v>
                </c:pt>
                <c:pt idx="13">
                  <c:v>Chub, Oregon (delisted) 4</c:v>
                </c:pt>
                <c:pt idx="14">
                  <c:v>Cutthroat Trout, Lahontan (threatened)</c:v>
                </c:pt>
                <c:pt idx="15">
                  <c:v>Sturgeon, White - Kootenai River DPS (endangered)</c:v>
                </c:pt>
                <c:pt idx="16">
                  <c:v>Trout, Bull (threatened)</c:v>
                </c:pt>
              </c:strCache>
            </c:strRef>
          </c:cat>
          <c:val>
            <c:numRef>
              <c:f>'4_ESASpecies'!$G$3:$G$19</c:f>
              <c:numCache>
                <c:formatCode>"$"#,##0_);[Red]\("$"#,##0\)</c:formatCode>
                <c:ptCount val="17"/>
                <c:pt idx="0">
                  <c:v>466462.7</c:v>
                </c:pt>
                <c:pt idx="1">
                  <c:v>0</c:v>
                </c:pt>
                <c:pt idx="2">
                  <c:v>0</c:v>
                </c:pt>
                <c:pt idx="3">
                  <c:v>-864314.25</c:v>
                </c:pt>
                <c:pt idx="4">
                  <c:v>0</c:v>
                </c:pt>
                <c:pt idx="5">
                  <c:v>0</c:v>
                </c:pt>
                <c:pt idx="6">
                  <c:v>-31957.599999999999</c:v>
                </c:pt>
                <c:pt idx="7">
                  <c:v>0</c:v>
                </c:pt>
                <c:pt idx="8">
                  <c:v>26762.979999999996</c:v>
                </c:pt>
                <c:pt idx="9">
                  <c:v>0</c:v>
                </c:pt>
                <c:pt idx="10">
                  <c:v>0</c:v>
                </c:pt>
                <c:pt idx="11">
                  <c:v>6253.75</c:v>
                </c:pt>
                <c:pt idx="12">
                  <c:v>0</c:v>
                </c:pt>
                <c:pt idx="13">
                  <c:v>0</c:v>
                </c:pt>
                <c:pt idx="14">
                  <c:v>0</c:v>
                </c:pt>
                <c:pt idx="15">
                  <c:v>0</c:v>
                </c:pt>
                <c:pt idx="16">
                  <c:v>0</c:v>
                </c:pt>
              </c:numCache>
            </c:numRef>
          </c:val>
          <c:extLst>
            <c:ext xmlns:c16="http://schemas.microsoft.com/office/drawing/2014/chart" uri="{C3380CC4-5D6E-409C-BE32-E72D297353CC}">
              <c16:uniqueId val="{00000001-2EE0-4D6F-8525-41EE350B64FB}"/>
            </c:ext>
          </c:extLst>
        </c:ser>
        <c:dLbls>
          <c:showLegendKey val="0"/>
          <c:showVal val="0"/>
          <c:showCatName val="0"/>
          <c:showSerName val="0"/>
          <c:showPercent val="0"/>
          <c:showBubbleSize val="0"/>
        </c:dLbls>
        <c:gapWidth val="76"/>
        <c:overlap val="100"/>
        <c:axId val="483677416"/>
        <c:axId val="483677808"/>
      </c:barChart>
      <c:catAx>
        <c:axId val="483677416"/>
        <c:scaling>
          <c:orientation val="minMax"/>
        </c:scaling>
        <c:delete val="0"/>
        <c:axPos val="l"/>
        <c:numFmt formatCode="General" sourceLinked="1"/>
        <c:majorTickMark val="out"/>
        <c:minorTickMark val="none"/>
        <c:tickLblPos val="nextTo"/>
        <c:txPr>
          <a:bodyPr/>
          <a:lstStyle/>
          <a:p>
            <a:pPr>
              <a:defRPr sz="900">
                <a:solidFill>
                  <a:schemeClr val="bg1">
                    <a:lumMod val="50000"/>
                  </a:schemeClr>
                </a:solidFill>
                <a:latin typeface="Century Gothic" pitchFamily="34" charset="0"/>
              </a:defRPr>
            </a:pPr>
            <a:endParaRPr lang="en-US"/>
          </a:p>
        </c:txPr>
        <c:crossAx val="483677808"/>
        <c:crosses val="autoZero"/>
        <c:auto val="1"/>
        <c:lblAlgn val="ctr"/>
        <c:lblOffset val="100"/>
        <c:noMultiLvlLbl val="0"/>
      </c:catAx>
      <c:valAx>
        <c:axId val="483677808"/>
        <c:scaling>
          <c:orientation val="minMax"/>
          <c:min val="0"/>
        </c:scaling>
        <c:delete val="0"/>
        <c:axPos val="b"/>
        <c:majorGridlines>
          <c:spPr>
            <a:ln>
              <a:solidFill>
                <a:schemeClr val="bg1">
                  <a:lumMod val="65000"/>
                </a:schemeClr>
              </a:solidFill>
            </a:ln>
          </c:spPr>
        </c:majorGridlines>
        <c:title>
          <c:tx>
            <c:rich>
              <a:bodyPr rot="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7416"/>
        <c:crosses val="autoZero"/>
        <c:crossBetween val="between"/>
        <c:majorUnit val="10000000"/>
      </c:valAx>
      <c:spPr>
        <a:ln>
          <a:solidFill>
            <a:sysClr val="window" lastClr="FFFFFF">
              <a:lumMod val="65000"/>
            </a:sysClr>
          </a:solidFill>
        </a:ln>
      </c:spPr>
    </c:plotArea>
    <c:legend>
      <c:legendPos val="l"/>
      <c:layout>
        <c:manualLayout>
          <c:xMode val="edge"/>
          <c:yMode val="edge"/>
          <c:x val="0.69723702971060098"/>
          <c:y val="0.14080663148345279"/>
          <c:w val="0.23389830508474579"/>
          <c:h val="0.14342258148864453"/>
        </c:manualLayout>
      </c:layout>
      <c:overlay val="0"/>
      <c:spPr>
        <a:solidFill>
          <a:sysClr val="window" lastClr="FFFFFF"/>
        </a:solidFill>
      </c:spPr>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736D-469F-BFEB-8CC3BF38283E}"/>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736D-469F-BFEB-8CC3BF38283E}"/>
              </c:ext>
            </c:extLst>
          </c:dPt>
          <c:dPt>
            <c:idx val="2"/>
            <c:bubble3D val="0"/>
            <c:extLst>
              <c:ext xmlns:c16="http://schemas.microsoft.com/office/drawing/2014/chart" uri="{C3380CC4-5D6E-409C-BE32-E72D297353CC}">
                <c16:uniqueId val="{00000004-736D-469F-BFEB-8CC3BF38283E}"/>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736D-469F-BFEB-8CC3BF38283E}"/>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736D-469F-BFEB-8CC3BF38283E}"/>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736D-469F-BFEB-8CC3BF38283E}"/>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736D-469F-BFEB-8CC3BF38283E}"/>
              </c:ext>
            </c:extLst>
          </c:dPt>
          <c:dLbls>
            <c:dLbl>
              <c:idx val="0"/>
              <c:layout>
                <c:manualLayout>
                  <c:x val="-0.14808442080308587"/>
                  <c:y val="0.104856778942113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36D-469F-BFEB-8CC3BF38283E}"/>
                </c:ext>
              </c:extLst>
            </c:dLbl>
            <c:dLbl>
              <c:idx val="1"/>
              <c:layout>
                <c:manualLayout>
                  <c:x val="1.3359475483891159E-2"/>
                  <c:y val="-0.1489360518552261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36D-469F-BFEB-8CC3BF38283E}"/>
                </c:ext>
              </c:extLst>
            </c:dLbl>
            <c:dLbl>
              <c:idx val="2"/>
              <c:layout>
                <c:manualLayout>
                  <c:x val="9.9551191559222402E-2"/>
                  <c:y val="-5.8553872772895213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736D-469F-BFEB-8CC3BF38283E}"/>
                </c:ext>
              </c:extLst>
            </c:dLbl>
            <c:dLbl>
              <c:idx val="3"/>
              <c:layout>
                <c:manualLayout>
                  <c:x val="0.14127544196388542"/>
                  <c:y val="0.1360249698780944"/>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736D-469F-BFEB-8CC3BF38283E}"/>
                </c:ext>
              </c:extLst>
            </c:dLbl>
            <c:dLbl>
              <c:idx val="4"/>
              <c:layout>
                <c:manualLayout>
                  <c:x val="7.7638004412794961E-2"/>
                  <c:y val="6.54379461961440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736D-469F-BFEB-8CC3BF38283E}"/>
                </c:ext>
              </c:extLst>
            </c:dLbl>
            <c:dLbl>
              <c:idx val="5"/>
              <c:layout>
                <c:manualLayout>
                  <c:x val="5.1961478792846072E-2"/>
                  <c:y val="0.1046619537521314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736D-469F-BFEB-8CC3BF38283E}"/>
                </c:ext>
              </c:extLst>
            </c:dLbl>
            <c:dLbl>
              <c:idx val="6"/>
              <c:layout>
                <c:manualLayout>
                  <c:x val="2.227195113621952E-2"/>
                  <c:y val="9.433779719140955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736D-469F-BFEB-8CC3BF38283E}"/>
                </c:ext>
              </c:extLst>
            </c:dLbl>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'5_Fund'!$A$21:$A$25</c:f>
              <c:strCache>
                <c:ptCount val="5"/>
                <c:pt idx="0">
                  <c:v>Total BiOp (non Accord)</c:v>
                </c:pt>
                <c:pt idx="1">
                  <c:v>Accords - BiOp</c:v>
                </c:pt>
                <c:pt idx="2">
                  <c:v>Accords - non-BiOp</c:v>
                </c:pt>
                <c:pt idx="3">
                  <c:v>Total General</c:v>
                </c:pt>
                <c:pt idx="4">
                  <c:v>Total BPA Overhead</c:v>
                </c:pt>
              </c:strCache>
            </c:strRef>
          </c:cat>
          <c:val>
            <c:numRef>
              <c:f>'5_Fund'!$B$21:$B$25</c:f>
              <c:numCache>
                <c:formatCode>"$"#,,\ "million"</c:formatCode>
                <c:ptCount val="5"/>
                <c:pt idx="0">
                  <c:v>98725347.159999996</c:v>
                </c:pt>
                <c:pt idx="1">
                  <c:v>57016537.530000001</c:v>
                </c:pt>
                <c:pt idx="2">
                  <c:v>46974613.799999997</c:v>
                </c:pt>
                <c:pt idx="3">
                  <c:v>40674976.170000002</c:v>
                </c:pt>
                <c:pt idx="4">
                  <c:v>16566061.33</c:v>
                </c:pt>
              </c:numCache>
            </c:numRef>
          </c:val>
          <c:extLst>
            <c:ext xmlns:c16="http://schemas.microsoft.com/office/drawing/2014/chart" uri="{C3380CC4-5D6E-409C-BE32-E72D297353CC}">
              <c16:uniqueId val="{0000000D-736D-469F-BFEB-8CC3BF38283E}"/>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88631511701754673"/>
          <c:h val="0.92889625000770593"/>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0A5C-4DC7-8F1A-219DE91BC20B}"/>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0A5C-4DC7-8F1A-219DE91BC20B}"/>
              </c:ext>
            </c:extLst>
          </c:dPt>
          <c:dPt>
            <c:idx val="2"/>
            <c:bubble3D val="0"/>
            <c:extLst>
              <c:ext xmlns:c16="http://schemas.microsoft.com/office/drawing/2014/chart" uri="{C3380CC4-5D6E-409C-BE32-E72D297353CC}">
                <c16:uniqueId val="{00000004-0A5C-4DC7-8F1A-219DE91BC20B}"/>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0A5C-4DC7-8F1A-219DE91BC20B}"/>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0A5C-4DC7-8F1A-219DE91BC20B}"/>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0A5C-4DC7-8F1A-219DE91BC20B}"/>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0A5C-4DC7-8F1A-219DE91BC20B}"/>
              </c:ext>
            </c:extLst>
          </c:dPt>
          <c:dLbls>
            <c:dLbl>
              <c:idx val="0"/>
              <c:layout>
                <c:manualLayout>
                  <c:x val="-8.108108589325172E-2"/>
                  <c:y val="4.02913714532942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A5C-4DC7-8F1A-219DE91BC20B}"/>
                </c:ext>
              </c:extLst>
            </c:dLbl>
            <c:dLbl>
              <c:idx val="1"/>
              <c:layout>
                <c:manualLayout>
                  <c:x val="-0.190126575967837"/>
                  <c:y val="0.1930502652582286"/>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A5C-4DC7-8F1A-219DE91BC20B}"/>
                </c:ext>
              </c:extLst>
            </c:dLbl>
            <c:dLbl>
              <c:idx val="2"/>
              <c:layout>
                <c:manualLayout>
                  <c:x val="9.4771825687820603E-3"/>
                  <c:y val="3.7591550874358899E-2"/>
                </c:manualLayout>
              </c:layout>
              <c:numFmt formatCode="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19729167668199679"/>
                      <c:h val="0.14441207069542464"/>
                    </c:manualLayout>
                  </c15:layout>
                </c:ext>
                <c:ext xmlns:c16="http://schemas.microsoft.com/office/drawing/2014/chart" uri="{C3380CC4-5D6E-409C-BE32-E72D297353CC}">
                  <c16:uniqueId val="{00000004-0A5C-4DC7-8F1A-219DE91BC20B}"/>
                </c:ext>
              </c:extLst>
            </c:dLbl>
            <c:dLbl>
              <c:idx val="3"/>
              <c:layout>
                <c:manualLayout>
                  <c:x val="-0.14698044473407304"/>
                  <c:y val="-0.21875166292500506"/>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 xmlns:c16="http://schemas.microsoft.com/office/drawing/2014/chart" uri="{C3380CC4-5D6E-409C-BE32-E72D297353CC}">
                  <c16:uniqueId val="{00000006-0A5C-4DC7-8F1A-219DE91BC20B}"/>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0A5C-4DC7-8F1A-219DE91BC20B}"/>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0A5C-4DC7-8F1A-219DE91BC20B}"/>
                </c:ext>
              </c:extLst>
            </c:dLbl>
            <c:dLbl>
              <c:idx val="6"/>
              <c:layout>
                <c:manualLayout>
                  <c:x val="8.2135108205137766E-2"/>
                  <c:y val="0.1688535751039049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0A5C-4DC7-8F1A-219DE91BC20B}"/>
                </c:ext>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0A5C-4DC7-8F1A-219DE91BC20B}"/>
                </c:ext>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0A5C-4DC7-8F1A-219DE91BC20B}"/>
                </c:ext>
              </c:extLst>
            </c:dLbl>
            <c:numFmt formatCode="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'6a_Category'!$J$3:$J$11</c:f>
              <c:strCache>
                <c:ptCount val="9"/>
                <c:pt idx="0">
                  <c:v>Coordination (Local/Regional)</c:v>
                </c:pt>
                <c:pt idx="1">
                  <c:v>Coordination (BPA Overhead)</c:v>
                </c:pt>
                <c:pt idx="2">
                  <c:v>Data Management</c:v>
                </c:pt>
                <c:pt idx="3">
                  <c:v>Habitat (Restoration/Protection)</c:v>
                </c:pt>
                <c:pt idx="4">
                  <c:v>Harvest Augmentation</c:v>
                </c:pt>
                <c:pt idx="5">
                  <c:v>Production (Supplementation)</c:v>
                </c:pt>
                <c:pt idx="6">
                  <c:v>Law Enforcement</c:v>
                </c:pt>
                <c:pt idx="7">
                  <c:v>Predator Removal</c:v>
                </c:pt>
                <c:pt idx="8">
                  <c:v>Research, Monitoring and Evaluation</c:v>
                </c:pt>
              </c:strCache>
            </c:strRef>
          </c:cat>
          <c:val>
            <c:numRef>
              <c:f>'6a_Category'!$I$3:$I$11</c:f>
              <c:numCache>
                <c:formatCode>"$"#.0,,\ "million"</c:formatCode>
                <c:ptCount val="9"/>
                <c:pt idx="0">
                  <c:v>13866904.550000001</c:v>
                </c:pt>
                <c:pt idx="1">
                  <c:v>14542930.67</c:v>
                </c:pt>
                <c:pt idx="2">
                  <c:v>6798515.7999999998</c:v>
                </c:pt>
                <c:pt idx="3">
                  <c:v>98185616.640000001</c:v>
                </c:pt>
                <c:pt idx="4">
                  <c:v>4321384.6500000004</c:v>
                </c:pt>
                <c:pt idx="5">
                  <c:v>34872455.259999998</c:v>
                </c:pt>
                <c:pt idx="6">
                  <c:v>1007595</c:v>
                </c:pt>
                <c:pt idx="7">
                  <c:v>4211395.18</c:v>
                </c:pt>
                <c:pt idx="8">
                  <c:v>82150738.269999996</c:v>
                </c:pt>
              </c:numCache>
            </c:numRef>
          </c:val>
          <c:extLst>
            <c:ext xmlns:c16="http://schemas.microsoft.com/office/drawing/2014/chart" uri="{C3380CC4-5D6E-409C-BE32-E72D297353CC}">
              <c16:uniqueId val="{0000000F-0A5C-4DC7-8F1A-219DE91BC20B}"/>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88631511701754673"/>
          <c:h val="0.92889625000770593"/>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A5CE-487F-888A-ADA545CC2CAC}"/>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A5CE-487F-888A-ADA545CC2CAC}"/>
              </c:ext>
            </c:extLst>
          </c:dPt>
          <c:dPt>
            <c:idx val="2"/>
            <c:bubble3D val="0"/>
            <c:extLst>
              <c:ext xmlns:c16="http://schemas.microsoft.com/office/drawing/2014/chart" uri="{C3380CC4-5D6E-409C-BE32-E72D297353CC}">
                <c16:uniqueId val="{00000004-A5CE-487F-888A-ADA545CC2CAC}"/>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A5CE-487F-888A-ADA545CC2CAC}"/>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A5CE-487F-888A-ADA545CC2CAC}"/>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A5CE-487F-888A-ADA545CC2CAC}"/>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A5CE-487F-888A-ADA545CC2CAC}"/>
              </c:ext>
            </c:extLst>
          </c:dPt>
          <c:dLbls>
            <c:dLbl>
              <c:idx val="0"/>
              <c:layout>
                <c:manualLayout>
                  <c:x val="-8.108108589325172E-2"/>
                  <c:y val="4.02913714532942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5CE-487F-888A-ADA545CC2CAC}"/>
                </c:ext>
              </c:extLst>
            </c:dLbl>
            <c:dLbl>
              <c:idx val="1"/>
              <c:layout>
                <c:manualLayout>
                  <c:x val="-0.14716303533052369"/>
                  <c:y val="0.1930502652582286"/>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5CE-487F-888A-ADA545CC2CAC}"/>
                </c:ext>
              </c:extLst>
            </c:dLbl>
            <c:dLbl>
              <c:idx val="2"/>
              <c:layout>
                <c:manualLayout>
                  <c:x val="-0.23743009299567872"/>
                  <c:y val="-6.6112114114637521E-2"/>
                </c:manualLayout>
              </c:layout>
              <c:numFmt formatCode="0.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19729167668199679"/>
                      <c:h val="0.14441207069542464"/>
                    </c:manualLayout>
                  </c15:layout>
                </c:ext>
                <c:ext xmlns:c16="http://schemas.microsoft.com/office/drawing/2014/chart" uri="{C3380CC4-5D6E-409C-BE32-E72D297353CC}">
                  <c16:uniqueId val="{00000004-A5CE-487F-888A-ADA545CC2CAC}"/>
                </c:ext>
              </c:extLst>
            </c:dLbl>
            <c:dLbl>
              <c:idx val="3"/>
              <c:layout>
                <c:manualLayout>
                  <c:x val="8.366593131887208E-2"/>
                  <c:y val="-1.5518126942971217E-2"/>
                </c:manualLayout>
              </c:layout>
              <c:numFmt formatCode="0.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 xmlns:c16="http://schemas.microsoft.com/office/drawing/2014/chart" uri="{C3380CC4-5D6E-409C-BE32-E72D297353CC}">
                  <c16:uniqueId val="{00000006-A5CE-487F-888A-ADA545CC2CAC}"/>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A5CE-487F-888A-ADA545CC2CAC}"/>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A5CE-487F-888A-ADA545CC2CAC}"/>
                </c:ext>
              </c:extLst>
            </c:dLbl>
            <c:dLbl>
              <c:idx val="6"/>
              <c:layout>
                <c:manualLayout>
                  <c:x val="8.4392821723562661E-2"/>
                  <c:y val="0.1983839646599998"/>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A5CE-487F-888A-ADA545CC2CAC}"/>
                </c:ext>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A5CE-487F-888A-ADA545CC2CAC}"/>
                </c:ext>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A5CE-487F-888A-ADA545CC2CAC}"/>
                </c:ext>
              </c:extLst>
            </c:dLbl>
            <c:numFmt formatCode="0.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'6b_ArtProd'!$A$3:$A$6</c:f>
              <c:strCache>
                <c:ptCount val="4"/>
                <c:pt idx="0">
                  <c:v>Coordination (Local/Regional)</c:v>
                </c:pt>
                <c:pt idx="1">
                  <c:v>Harvest Augmentation</c:v>
                </c:pt>
                <c:pt idx="2">
                  <c:v>RM and E</c:v>
                </c:pt>
                <c:pt idx="3">
                  <c:v>Supplementation</c:v>
                </c:pt>
              </c:strCache>
            </c:strRef>
          </c:cat>
          <c:val>
            <c:numRef>
              <c:f>'6b_ArtProd'!$I$3:$I$6</c:f>
              <c:numCache>
                <c:formatCode>"$"#.0,,\ "million"</c:formatCode>
                <c:ptCount val="4"/>
                <c:pt idx="0">
                  <c:v>690901</c:v>
                </c:pt>
                <c:pt idx="1">
                  <c:v>4321385</c:v>
                </c:pt>
                <c:pt idx="2">
                  <c:v>24937524</c:v>
                </c:pt>
                <c:pt idx="3">
                  <c:v>34872455</c:v>
                </c:pt>
              </c:numCache>
            </c:numRef>
          </c:val>
          <c:extLst>
            <c:ext xmlns:c16="http://schemas.microsoft.com/office/drawing/2014/chart" uri="{C3380CC4-5D6E-409C-BE32-E72D297353CC}">
              <c16:uniqueId val="{0000000F-A5CE-487F-888A-ADA545CC2CAC}"/>
            </c:ext>
          </c:extLst>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0.24188228898572145"/>
                  <c:y val="0.18313229267394207"/>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9189426564397896"/>
                      <c:h val="0.10324022655062853"/>
                    </c:manualLayout>
                  </c15:layout>
                </c:ext>
                <c:ext xmlns:c16="http://schemas.microsoft.com/office/drawing/2014/chart" uri="{C3380CC4-5D6E-409C-BE32-E72D297353CC}">
                  <c16:uniqueId val="{00000000-5D53-435E-BE94-4CF8A3BB5C2A}"/>
                </c:ext>
              </c:extLst>
            </c:dLbl>
            <c:dLbl>
              <c:idx val="1"/>
              <c:layout>
                <c:manualLayout>
                  <c:x val="-0.21403511454272101"/>
                  <c:y val="-0.19887360132615001"/>
                </c:manualLayout>
              </c:layout>
              <c:showLegendKey val="0"/>
              <c:showVal val="1"/>
              <c:showCatName val="1"/>
              <c:showSerName val="0"/>
              <c:showPercent val="1"/>
              <c:showBubbleSize val="0"/>
              <c:extLst>
                <c:ext xmlns:c15="http://schemas.microsoft.com/office/drawing/2012/chart" uri="{CE6537A1-D6FC-4f65-9D91-7224C49458BB}">
                  <c15:layout>
                    <c:manualLayout>
                      <c:w val="0.20401294498381881"/>
                      <c:h val="6.435087719298245E-2"/>
                    </c:manualLayout>
                  </c15:layout>
                </c:ext>
                <c:ext xmlns:c16="http://schemas.microsoft.com/office/drawing/2014/chart" uri="{C3380CC4-5D6E-409C-BE32-E72D297353CC}">
                  <c16:uniqueId val="{00000001-5D53-435E-BE94-4CF8A3BB5C2A}"/>
                </c:ext>
              </c:extLst>
            </c:dLbl>
            <c:dLbl>
              <c:idx val="2"/>
              <c:layout>
                <c:manualLayout>
                  <c:x val="1.6240688360556792E-2"/>
                  <c:y val="-5.847953216374268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D53-435E-BE94-4CF8A3BB5C2A}"/>
                </c:ext>
              </c:extLst>
            </c:dLbl>
            <c:dLbl>
              <c:idx val="3"/>
              <c:layout>
                <c:manualLayout>
                  <c:x val="9.4511123002828532E-2"/>
                  <c:y val="-8.17512547773633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D53-435E-BE94-4CF8A3BB5C2A}"/>
                </c:ext>
              </c:extLst>
            </c:dLbl>
            <c:dLbl>
              <c:idx val="4"/>
              <c:layout>
                <c:manualLayout>
                  <c:x val="3.6577733608541649E-2"/>
                  <c:y val="-7.2336694755261027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33729157641703"/>
                      <c:h val="8.1025371828521445E-2"/>
                    </c:manualLayout>
                  </c15:layout>
                </c:ext>
                <c:ext xmlns:c16="http://schemas.microsoft.com/office/drawing/2014/chart" uri="{C3380CC4-5D6E-409C-BE32-E72D297353CC}">
                  <c16:uniqueId val="{00000004-5D53-435E-BE94-4CF8A3BB5C2A}"/>
                </c:ext>
              </c:extLst>
            </c:dLbl>
            <c:dLbl>
              <c:idx val="5"/>
              <c:layout>
                <c:manualLayout>
                  <c:x val="0.11337767245113778"/>
                  <c:y val="7.058617672790897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2147593201335269"/>
                      <c:h val="0.10966616015103375"/>
                    </c:manualLayout>
                  </c15:layout>
                </c:ext>
                <c:ext xmlns:c16="http://schemas.microsoft.com/office/drawing/2014/chart" uri="{C3380CC4-5D6E-409C-BE32-E72D297353CC}">
                  <c16:uniqueId val="{00000005-5D53-435E-BE94-4CF8A3BB5C2A}"/>
                </c:ext>
              </c:extLst>
            </c:dLbl>
            <c:dLbl>
              <c:idx val="6"/>
              <c:layout>
                <c:manualLayout>
                  <c:x val="0.11627466469603921"/>
                  <c:y val="-0.1172906018326656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D53-435E-BE94-4CF8A3BB5C2A}"/>
                </c:ext>
              </c:extLst>
            </c:dLbl>
            <c:dLbl>
              <c:idx val="7"/>
              <c:layout>
                <c:manualLayout>
                  <c:x val="8.9347824240416554E-2"/>
                  <c:y val="-9.5620665837822985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 xmlns:c16="http://schemas.microsoft.com/office/drawing/2014/chart" uri="{C3380CC4-5D6E-409C-BE32-E72D297353CC}">
                  <c16:uniqueId val="{00000007-5D53-435E-BE94-4CF8A3BB5C2A}"/>
                </c:ext>
              </c:extLst>
            </c:dLbl>
            <c:dLbl>
              <c:idx val="8"/>
              <c:layout>
                <c:manualLayout>
                  <c:x val="5.4920537845390686E-2"/>
                  <c:y val="-4.210121103283142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D53-435E-BE94-4CF8A3BB5C2A}"/>
                </c:ext>
              </c:extLst>
            </c:dLbl>
            <c:dLbl>
              <c:idx val="9"/>
              <c:layout>
                <c:manualLayout>
                  <c:x val="0.13081143983215687"/>
                  <c:y val="0.1153859188654049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D53-435E-BE94-4CF8A3BB5C2A}"/>
                </c:ext>
              </c:extLst>
            </c:dLbl>
            <c:dLbl>
              <c:idx val="10"/>
              <c:layout>
                <c:manualLayout>
                  <c:x val="8.3128965675407035E-2"/>
                  <c:y val="7.5079062485610346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1931872605"/>
                      <c:h val="9.3297302375590099E-2"/>
                    </c:manualLayout>
                  </c15:layout>
                </c:ext>
                <c:ext xmlns:c16="http://schemas.microsoft.com/office/drawing/2014/chart" uri="{C3380CC4-5D6E-409C-BE32-E72D297353CC}">
                  <c16:uniqueId val="{0000000A-5D53-435E-BE94-4CF8A3BB5C2A}"/>
                </c:ext>
              </c:extLst>
            </c:dLbl>
            <c:dLbl>
              <c:idx val="11"/>
              <c:layout>
                <c:manualLayout>
                  <c:x val="1.9382576981373585E-2"/>
                  <c:y val="0.19116359215500889"/>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 xmlns:c16="http://schemas.microsoft.com/office/drawing/2014/chart" uri="{C3380CC4-5D6E-409C-BE32-E72D297353CC}">
                  <c16:uniqueId val="{0000000B-5D53-435E-BE94-4CF8A3BB5C2A}"/>
                </c:ext>
              </c:extLst>
            </c:dLbl>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'7_RME'!$A$4:$A$9</c:f>
              <c:strCache>
                <c:ptCount val="6"/>
                <c:pt idx="0">
                  <c:v>Artificial Production</c:v>
                </c:pt>
                <c:pt idx="1">
                  <c:v>Habitat</c:v>
                </c:pt>
                <c:pt idx="2">
                  <c:v>Harvest</c:v>
                </c:pt>
                <c:pt idx="3">
                  <c:v>Hydrosystem</c:v>
                </c:pt>
                <c:pt idx="4">
                  <c:v>Predation</c:v>
                </c:pt>
                <c:pt idx="5">
                  <c:v>Programmatic</c:v>
                </c:pt>
              </c:strCache>
            </c:strRef>
          </c:cat>
          <c:val>
            <c:numRef>
              <c:f>'7_RME'!$C$4:$C$9</c:f>
              <c:numCache>
                <c:formatCode>"$"#.0,,\ "million"</c:formatCode>
                <c:ptCount val="6"/>
                <c:pt idx="0">
                  <c:v>24937523.870000001</c:v>
                </c:pt>
                <c:pt idx="1">
                  <c:v>13236006.130000001</c:v>
                </c:pt>
                <c:pt idx="2">
                  <c:v>1407032.65</c:v>
                </c:pt>
                <c:pt idx="3">
                  <c:v>8864829.0299999993</c:v>
                </c:pt>
                <c:pt idx="4">
                  <c:v>1246514</c:v>
                </c:pt>
                <c:pt idx="5">
                  <c:v>32458832.59</c:v>
                </c:pt>
              </c:numCache>
            </c:numRef>
          </c:val>
          <c:extLst>
            <c:ext xmlns:c16="http://schemas.microsoft.com/office/drawing/2014/chart" uri="{C3380CC4-5D6E-409C-BE32-E72D297353CC}">
              <c16:uniqueId val="{0000000C-5D53-435E-BE94-4CF8A3BB5C2A}"/>
            </c:ext>
          </c:extLst>
        </c:ser>
        <c:ser>
          <c:idx val="1"/>
          <c:order val="1"/>
          <c:val>
            <c:numLit>
              <c:formatCode>General</c:formatCode>
              <c:ptCount val="1"/>
              <c:pt idx="0">
                <c:v>1</c:v>
              </c:pt>
            </c:numLit>
          </c:val>
          <c:extLst>
            <c:ext xmlns:c16="http://schemas.microsoft.com/office/drawing/2014/chart" uri="{C3380CC4-5D6E-409C-BE32-E72D297353CC}">
              <c16:uniqueId val="{0000000D-5D53-435E-BE94-4CF8A3BB5C2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5.5258857205956129E-2"/>
                  <c:y val="6.5003637703181835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795683306576967"/>
                      <c:h val="8.6865957544780589E-2"/>
                    </c:manualLayout>
                  </c15:layout>
                </c:ext>
                <c:ext xmlns:c16="http://schemas.microsoft.com/office/drawing/2014/chart" uri="{C3380CC4-5D6E-409C-BE32-E72D297353CC}">
                  <c16:uniqueId val="{00000000-7FEE-4D26-A36B-86FFF3A5B10A}"/>
                </c:ext>
              </c:extLst>
            </c:dLbl>
            <c:dLbl>
              <c:idx val="1"/>
              <c:layout>
                <c:manualLayout>
                  <c:x val="-0.17520011473772376"/>
                  <c:y val="0.1301040180470435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EE-4D26-A36B-86FFF3A5B10A}"/>
                </c:ext>
              </c:extLst>
            </c:dLbl>
            <c:dLbl>
              <c:idx val="2"/>
              <c:layout>
                <c:manualLayout>
                  <c:x val="-0.14557160937407104"/>
                  <c:y val="7.144393792881152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FEE-4D26-A36B-86FFF3A5B10A}"/>
                </c:ext>
              </c:extLst>
            </c:dLbl>
            <c:dLbl>
              <c:idx val="3"/>
              <c:layout>
                <c:manualLayout>
                  <c:x val="-0.19027858094751507"/>
                  <c:y val="-0.13087405953719966"/>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FEE-4D26-A36B-86FFF3A5B10A}"/>
                </c:ext>
              </c:extLst>
            </c:dLbl>
            <c:dLbl>
              <c:idx val="4"/>
              <c:layout>
                <c:manualLayout>
                  <c:x val="-4.1014762375935911E-2"/>
                  <c:y val="-6.1810408994417115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33729157641703"/>
                      <c:h val="5.997274024957408E-2"/>
                    </c:manualLayout>
                  </c15:layout>
                </c:ext>
                <c:ext xmlns:c16="http://schemas.microsoft.com/office/drawing/2014/chart" uri="{C3380CC4-5D6E-409C-BE32-E72D297353CC}">
                  <c16:uniqueId val="{00000004-7FEE-4D26-A36B-86FFF3A5B10A}"/>
                </c:ext>
              </c:extLst>
            </c:dLbl>
            <c:dLbl>
              <c:idx val="5"/>
              <c:layout>
                <c:manualLayout>
                  <c:x val="4.8652753357286652E-2"/>
                  <c:y val="-0.14461859372841554"/>
                </c:manualLayout>
              </c:layout>
              <c:showLegendKey val="0"/>
              <c:showVal val="1"/>
              <c:showCatName val="1"/>
              <c:showSerName val="0"/>
              <c:showPercent val="1"/>
              <c:showBubbleSize val="0"/>
              <c:extLst>
                <c:ext xmlns:c15="http://schemas.microsoft.com/office/drawing/2012/chart" uri="{CE6537A1-D6FC-4f65-9D91-7224C49458BB}">
                  <c15:layout>
                    <c:manualLayout>
                      <c:w val="0.17401105490482502"/>
                      <c:h val="5.35258058034025E-2"/>
                    </c:manualLayout>
                  </c15:layout>
                </c:ext>
                <c:ext xmlns:c16="http://schemas.microsoft.com/office/drawing/2014/chart" uri="{C3380CC4-5D6E-409C-BE32-E72D297353CC}">
                  <c16:uniqueId val="{00000005-7FEE-4D26-A36B-86FFF3A5B10A}"/>
                </c:ext>
              </c:extLst>
            </c:dLbl>
            <c:dLbl>
              <c:idx val="6"/>
              <c:layout>
                <c:manualLayout>
                  <c:x val="0.13569214042419456"/>
                  <c:y val="-0.1640742275636598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FEE-4D26-A36B-86FFF3A5B10A}"/>
                </c:ext>
              </c:extLst>
            </c:dLbl>
            <c:dLbl>
              <c:idx val="7"/>
              <c:layout>
                <c:manualLayout>
                  <c:x val="6.3457856602876089E-2"/>
                  <c:y val="-4.4158677533729339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 xmlns:c16="http://schemas.microsoft.com/office/drawing/2014/chart" uri="{C3380CC4-5D6E-409C-BE32-E72D297353CC}">
                  <c16:uniqueId val="{00000007-7FEE-4D26-A36B-86FFF3A5B10A}"/>
                </c:ext>
              </c:extLst>
            </c:dLbl>
            <c:dLbl>
              <c:idx val="8"/>
              <c:layout>
                <c:manualLayout>
                  <c:x val="5.4920537845390686E-2"/>
                  <c:y val="4.0521250633144539E-6"/>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FEE-4D26-A36B-86FFF3A5B10A}"/>
                </c:ext>
              </c:extLst>
            </c:dLbl>
            <c:dLbl>
              <c:idx val="9"/>
              <c:layout>
                <c:manualLayout>
                  <c:x val="0.14159892634779875"/>
                  <c:y val="0.1574911820232997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FEE-4D26-A36B-86FFF3A5B10A}"/>
                </c:ext>
              </c:extLst>
            </c:dLbl>
            <c:dLbl>
              <c:idx val="10"/>
              <c:layout>
                <c:manualLayout>
                  <c:x val="9.607403443501597E-2"/>
                  <c:y val="0.10782760049730626"/>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25015926408"/>
                      <c:h val="7.926214486347101E-2"/>
                    </c:manualLayout>
                  </c15:layout>
                </c:ext>
                <c:ext xmlns:c16="http://schemas.microsoft.com/office/drawing/2014/chart" uri="{C3380CC4-5D6E-409C-BE32-E72D297353CC}">
                  <c16:uniqueId val="{0000000A-7FEE-4D26-A36B-86FFF3A5B10A}"/>
                </c:ext>
              </c:extLst>
            </c:dLbl>
            <c:dLbl>
              <c:idx val="11"/>
              <c:layout>
                <c:manualLayout>
                  <c:x val="0.12941492750299413"/>
                  <c:y val="0.19818114840908041"/>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 xmlns:c16="http://schemas.microsoft.com/office/drawing/2014/chart" uri="{C3380CC4-5D6E-409C-BE32-E72D297353CC}">
                  <c16:uniqueId val="{0000000B-7FEE-4D26-A36B-86FFF3A5B10A}"/>
                </c:ext>
              </c:extLst>
            </c:dLbl>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'8_Province'!$E$26:$E$38</c:f>
              <c:strCache>
                <c:ptCount val="13"/>
                <c:pt idx="0">
                  <c:v>Blue Mountain</c:v>
                </c:pt>
                <c:pt idx="1">
                  <c:v>Columbia Cascade</c:v>
                </c:pt>
                <c:pt idx="2">
                  <c:v>Columbia Gorge</c:v>
                </c:pt>
                <c:pt idx="3">
                  <c:v>Columbia Plateau</c:v>
                </c:pt>
                <c:pt idx="4">
                  <c:v>Columbia Estuary</c:v>
                </c:pt>
                <c:pt idx="5">
                  <c:v>Intermountain</c:v>
                </c:pt>
                <c:pt idx="6">
                  <c:v>Lower Columbia</c:v>
                </c:pt>
                <c:pt idx="7">
                  <c:v>Middle Snake</c:v>
                </c:pt>
                <c:pt idx="8">
                  <c:v>Mountain Columbia</c:v>
                </c:pt>
                <c:pt idx="9">
                  <c:v>Mountain Snake</c:v>
                </c:pt>
                <c:pt idx="10">
                  <c:v>Upper Snake</c:v>
                </c:pt>
                <c:pt idx="11">
                  <c:v>Other</c:v>
                </c:pt>
                <c:pt idx="12">
                  <c:v>Program Support</c:v>
                </c:pt>
              </c:strCache>
            </c:strRef>
          </c:cat>
          <c:val>
            <c:numRef>
              <c:f>'8_Province'!$F$26:$F$38</c:f>
              <c:numCache>
                <c:formatCode>"$"#.0,,\ "million"</c:formatCode>
                <c:ptCount val="13"/>
                <c:pt idx="0">
                  <c:v>15402316</c:v>
                </c:pt>
                <c:pt idx="1">
                  <c:v>22908554</c:v>
                </c:pt>
                <c:pt idx="2">
                  <c:v>10795114</c:v>
                </c:pt>
                <c:pt idx="3">
                  <c:v>63748266.25</c:v>
                </c:pt>
                <c:pt idx="4">
                  <c:v>9894899</c:v>
                </c:pt>
                <c:pt idx="5">
                  <c:v>20171935</c:v>
                </c:pt>
                <c:pt idx="6">
                  <c:v>32583833.800000001</c:v>
                </c:pt>
                <c:pt idx="7">
                  <c:v>4478444</c:v>
                </c:pt>
                <c:pt idx="8">
                  <c:v>15347656</c:v>
                </c:pt>
                <c:pt idx="9">
                  <c:v>34758682.539999999</c:v>
                </c:pt>
                <c:pt idx="10">
                  <c:v>5172457</c:v>
                </c:pt>
                <c:pt idx="11">
                  <c:v>4995507</c:v>
                </c:pt>
                <c:pt idx="12">
                  <c:v>19699871</c:v>
                </c:pt>
              </c:numCache>
            </c:numRef>
          </c:val>
          <c:extLst>
            <c:ext xmlns:c16="http://schemas.microsoft.com/office/drawing/2014/chart" uri="{C3380CC4-5D6E-409C-BE32-E72D297353CC}">
              <c16:uniqueId val="{0000000C-7FEE-4D26-A36B-86FFF3A5B10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xdr:col>
      <xdr:colOff>81520</xdr:colOff>
      <xdr:row>28</xdr:row>
      <xdr:rowOff>174529</xdr:rowOff>
    </xdr:from>
    <xdr:to>
      <xdr:col>15</xdr:col>
      <xdr:colOff>254934</xdr:colOff>
      <xdr:row>61</xdr:row>
      <xdr:rowOff>17368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485775</xdr:colOff>
      <xdr:row>25</xdr:row>
      <xdr:rowOff>95250</xdr:rowOff>
    </xdr:from>
    <xdr:to>
      <xdr:col>4</xdr:col>
      <xdr:colOff>0</xdr:colOff>
      <xdr:row>51</xdr:row>
      <xdr:rowOff>76200</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312965</xdr:colOff>
      <xdr:row>76</xdr:row>
      <xdr:rowOff>101655</xdr:rowOff>
    </xdr:from>
    <xdr:to>
      <xdr:col>16</xdr:col>
      <xdr:colOff>593912</xdr:colOff>
      <xdr:row>113</xdr:row>
      <xdr:rowOff>205707</xdr:rowOff>
    </xdr:to>
    <xdr:graphicFrame macro="">
      <xdr:nvGraphicFramePr>
        <xdr:cNvPr id="5" name="Chart 4">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367394</xdr:colOff>
      <xdr:row>44</xdr:row>
      <xdr:rowOff>95252</xdr:rowOff>
    </xdr:from>
    <xdr:to>
      <xdr:col>10</xdr:col>
      <xdr:colOff>27216</xdr:colOff>
      <xdr:row>79</xdr:row>
      <xdr:rowOff>27213</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29</xdr:col>
      <xdr:colOff>0</xdr:colOff>
      <xdr:row>17</xdr:row>
      <xdr:rowOff>0</xdr:rowOff>
    </xdr:from>
    <xdr:to>
      <xdr:col>37</xdr:col>
      <xdr:colOff>361951</xdr:colOff>
      <xdr:row>42</xdr:row>
      <xdr:rowOff>13253</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15</xdr:row>
      <xdr:rowOff>0</xdr:rowOff>
    </xdr:from>
    <xdr:to>
      <xdr:col>21</xdr:col>
      <xdr:colOff>361537</xdr:colOff>
      <xdr:row>40</xdr:row>
      <xdr:rowOff>20293</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15</xdr:row>
      <xdr:rowOff>1242</xdr:rowOff>
    </xdr:from>
    <xdr:to>
      <xdr:col>10</xdr:col>
      <xdr:colOff>361951</xdr:colOff>
      <xdr:row>40</xdr:row>
      <xdr:rowOff>0</xdr:rowOff>
    </xdr:to>
    <xdr:graphicFrame macro="">
      <xdr:nvGraphicFramePr>
        <xdr:cNvPr id="4" name="Chart 3">
          <a:extLst>
            <a:ext uri="{FF2B5EF4-FFF2-40B4-BE49-F238E27FC236}">
              <a16:creationId xmlns:a16="http://schemas.microsoft.com/office/drawing/2014/main" id="{DEED4456-E4EF-4CA2-9820-728F5D702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0.7935</cdr:x>
      <cdr:y>0.19404</cdr:y>
    </cdr:from>
    <cdr:to>
      <cdr:x>0.94712</cdr:x>
      <cdr:y>0.25426</cdr:y>
    </cdr:to>
    <cdr:sp macro="" textlink="">
      <cdr:nvSpPr>
        <cdr:cNvPr id="3" name="TextBox 2"/>
        <cdr:cNvSpPr txBox="1"/>
      </cdr:nvSpPr>
      <cdr:spPr>
        <a:xfrm xmlns:a="http://schemas.openxmlformats.org/drawingml/2006/main">
          <a:off x="4723159" y="774012"/>
          <a:ext cx="914400" cy="2401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$2.8B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0.80447</cdr:x>
      <cdr:y>0.12729</cdr:y>
    </cdr:from>
    <cdr:to>
      <cdr:x>0.88631</cdr:x>
      <cdr:y>0.1875</cdr:y>
    </cdr:to>
    <cdr:sp macro="" textlink="">
      <cdr:nvSpPr>
        <cdr:cNvPr id="4" name="TextBox 1"/>
        <cdr:cNvSpPr txBox="1"/>
      </cdr:nvSpPr>
      <cdr:spPr>
        <a:xfrm xmlns:a="http://schemas.openxmlformats.org/drawingml/2006/main">
          <a:off x="4788452" y="528668"/>
          <a:ext cx="487157" cy="2500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Totals</a:t>
          </a:r>
        </a:p>
      </cdr:txBody>
    </cdr:sp>
  </cdr:relSizeAnchor>
  <cdr:relSizeAnchor xmlns:cdr="http://schemas.openxmlformats.org/drawingml/2006/chartDrawing">
    <cdr:from>
      <cdr:x>0.79473</cdr:x>
      <cdr:y>0.35742</cdr:y>
    </cdr:from>
    <cdr:to>
      <cdr:x>0.94835</cdr:x>
      <cdr:y>0.41764</cdr:y>
    </cdr:to>
    <cdr:sp macro="" textlink="">
      <cdr:nvSpPr>
        <cdr:cNvPr id="5" name="TextBox 1"/>
        <cdr:cNvSpPr txBox="1"/>
      </cdr:nvSpPr>
      <cdr:spPr>
        <a:xfrm xmlns:a="http://schemas.openxmlformats.org/drawingml/2006/main">
          <a:off x="4730474" y="1425713"/>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$4.0B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0.47162</cdr:y>
    </cdr:from>
    <cdr:to>
      <cdr:x>0.94696</cdr:x>
      <cdr:y>0.53184</cdr:y>
    </cdr:to>
    <cdr:sp macro="" textlink="">
      <cdr:nvSpPr>
        <cdr:cNvPr id="6" name="TextBox 1"/>
        <cdr:cNvSpPr txBox="1"/>
      </cdr:nvSpPr>
      <cdr:spPr>
        <a:xfrm xmlns:a="http://schemas.openxmlformats.org/drawingml/2006/main">
          <a:off x="4722191" y="1881256"/>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$1.7B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0.79473</cdr:x>
      <cdr:y>0.59205</cdr:y>
    </cdr:from>
    <cdr:to>
      <cdr:x>0.94835</cdr:x>
      <cdr:y>0.65227</cdr:y>
    </cdr:to>
    <cdr:sp macro="" textlink="">
      <cdr:nvSpPr>
        <cdr:cNvPr id="7" name="TextBox 1"/>
        <cdr:cNvSpPr txBox="1"/>
      </cdr:nvSpPr>
      <cdr:spPr>
        <a:xfrm xmlns:a="http://schemas.openxmlformats.org/drawingml/2006/main">
          <a:off x="4730473" y="2361648"/>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$3.4B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0.7727</cdr:y>
    </cdr:from>
    <cdr:to>
      <cdr:x>0.94696</cdr:x>
      <cdr:y>0.83292</cdr:y>
    </cdr:to>
    <cdr:sp macro="" textlink="">
      <cdr:nvSpPr>
        <cdr:cNvPr id="8" name="TextBox 1"/>
        <cdr:cNvSpPr txBox="1"/>
      </cdr:nvSpPr>
      <cdr:spPr>
        <a:xfrm xmlns:a="http://schemas.openxmlformats.org/drawingml/2006/main">
          <a:off x="4722192" y="3082235"/>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0.7935</cdr:x>
      <cdr:y>0.19404</cdr:y>
    </cdr:from>
    <cdr:to>
      <cdr:x>0.94712</cdr:x>
      <cdr:y>0.25426</cdr:y>
    </cdr:to>
    <cdr:sp macro="" textlink="">
      <cdr:nvSpPr>
        <cdr:cNvPr id="3" name="TextBox 2"/>
        <cdr:cNvSpPr txBox="1"/>
      </cdr:nvSpPr>
      <cdr:spPr>
        <a:xfrm xmlns:a="http://schemas.openxmlformats.org/drawingml/2006/main">
          <a:off x="4723159" y="774012"/>
          <a:ext cx="914400" cy="2401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$2.5B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0.80447</cdr:x>
      <cdr:y>0.12729</cdr:y>
    </cdr:from>
    <cdr:to>
      <cdr:x>0.88631</cdr:x>
      <cdr:y>0.1875</cdr:y>
    </cdr:to>
    <cdr:sp macro="" textlink="">
      <cdr:nvSpPr>
        <cdr:cNvPr id="4" name="TextBox 1"/>
        <cdr:cNvSpPr txBox="1"/>
      </cdr:nvSpPr>
      <cdr:spPr>
        <a:xfrm xmlns:a="http://schemas.openxmlformats.org/drawingml/2006/main">
          <a:off x="4788452" y="528668"/>
          <a:ext cx="487157" cy="2500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Totals</a:t>
          </a:r>
        </a:p>
      </cdr:txBody>
    </cdr:sp>
  </cdr:relSizeAnchor>
  <cdr:relSizeAnchor xmlns:cdr="http://schemas.openxmlformats.org/drawingml/2006/chartDrawing">
    <cdr:from>
      <cdr:x>0.79473</cdr:x>
      <cdr:y>0.35742</cdr:y>
    </cdr:from>
    <cdr:to>
      <cdr:x>0.94835</cdr:x>
      <cdr:y>0.41764</cdr:y>
    </cdr:to>
    <cdr:sp macro="" textlink="">
      <cdr:nvSpPr>
        <cdr:cNvPr id="5" name="TextBox 1"/>
        <cdr:cNvSpPr txBox="1"/>
      </cdr:nvSpPr>
      <cdr:spPr>
        <a:xfrm xmlns:a="http://schemas.openxmlformats.org/drawingml/2006/main">
          <a:off x="4730474" y="1425713"/>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$3.6B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0.47162</cdr:y>
    </cdr:from>
    <cdr:to>
      <cdr:x>0.94696</cdr:x>
      <cdr:y>0.53184</cdr:y>
    </cdr:to>
    <cdr:sp macro="" textlink="">
      <cdr:nvSpPr>
        <cdr:cNvPr id="6" name="TextBox 1"/>
        <cdr:cNvSpPr txBox="1"/>
      </cdr:nvSpPr>
      <cdr:spPr>
        <a:xfrm xmlns:a="http://schemas.openxmlformats.org/drawingml/2006/main">
          <a:off x="4722191" y="1881256"/>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$1.5B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0.79473</cdr:x>
      <cdr:y>0.59205</cdr:y>
    </cdr:from>
    <cdr:to>
      <cdr:x>0.94835</cdr:x>
      <cdr:y>0.65227</cdr:y>
    </cdr:to>
    <cdr:sp macro="" textlink="">
      <cdr:nvSpPr>
        <cdr:cNvPr id="7" name="TextBox 1"/>
        <cdr:cNvSpPr txBox="1"/>
      </cdr:nvSpPr>
      <cdr:spPr>
        <a:xfrm xmlns:a="http://schemas.openxmlformats.org/drawingml/2006/main">
          <a:off x="4730473" y="2361648"/>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$3.3B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0.7727</cdr:y>
    </cdr:from>
    <cdr:to>
      <cdr:x>0.94696</cdr:x>
      <cdr:y>0.83292</cdr:y>
    </cdr:to>
    <cdr:sp macro="" textlink="">
      <cdr:nvSpPr>
        <cdr:cNvPr id="8" name="TextBox 1"/>
        <cdr:cNvSpPr txBox="1"/>
      </cdr:nvSpPr>
      <cdr:spPr>
        <a:xfrm xmlns:a="http://schemas.openxmlformats.org/drawingml/2006/main">
          <a:off x="4722192" y="3082235"/>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0.40612</cdr:x>
      <cdr:y>0.322</cdr:y>
    </cdr:from>
    <cdr:to>
      <cdr:x>0.52023</cdr:x>
      <cdr:y>0.39659</cdr:y>
    </cdr:to>
    <cdr:sp macro="" textlink="">
      <cdr:nvSpPr>
        <cdr:cNvPr id="2" name="TextBox 1"/>
        <cdr:cNvSpPr txBox="1"/>
      </cdr:nvSpPr>
      <cdr:spPr>
        <a:xfrm xmlns:a="http://schemas.openxmlformats.org/drawingml/2006/main">
          <a:off x="3652017" y="1973666"/>
          <a:ext cx="1026128" cy="457187"/>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en-US" sz="1000">
              <a:latin typeface="Century Gothic" panose="020B0502020202020204" pitchFamily="34" charset="0"/>
              <a:ea typeface="+mn-ea"/>
              <a:cs typeface="+mn-cs"/>
            </a:rPr>
            <a:t>Fixed</a:t>
          </a:r>
          <a:r>
            <a:rPr lang="en-US" sz="1000" baseline="0">
              <a:latin typeface="Century Gothic" panose="020B0502020202020204" pitchFamily="34" charset="0"/>
              <a:ea typeface="+mn-ea"/>
              <a:cs typeface="+mn-cs"/>
            </a:rPr>
            <a:t> Costs, $121.4 million</a:t>
          </a:r>
          <a:endParaRPr lang="en-US" sz="1000">
            <a:latin typeface="Century Gothic" panose="020B0502020202020204" pitchFamily="34" charset="0"/>
            <a:ea typeface="+mn-ea"/>
            <a:cs typeface="+mn-cs"/>
          </a:endParaRPr>
        </a:p>
      </cdr:txBody>
    </cdr:sp>
  </cdr:relSizeAnchor>
  <cdr:relSizeAnchor xmlns:cdr="http://schemas.openxmlformats.org/drawingml/2006/chartDrawing">
    <cdr:from>
      <cdr:x>0.40394</cdr:x>
      <cdr:y>0.66097</cdr:y>
    </cdr:from>
    <cdr:to>
      <cdr:x>0.5626</cdr:x>
      <cdr:y>0.73556</cdr:y>
    </cdr:to>
    <cdr:sp macro="" textlink="">
      <cdr:nvSpPr>
        <cdr:cNvPr id="3" name="TextBox 1"/>
        <cdr:cNvSpPr txBox="1"/>
      </cdr:nvSpPr>
      <cdr:spPr>
        <a:xfrm xmlns:a="http://schemas.openxmlformats.org/drawingml/2006/main">
          <a:off x="3641724" y="4051300"/>
          <a:ext cx="1430341" cy="457200"/>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a:latin typeface="Century Gothic" panose="020B0502020202020204" pitchFamily="34" charset="0"/>
            </a:rPr>
            <a:t>Reimburseable Costs, $85.2 million</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0</xdr:colOff>
      <xdr:row>35</xdr:row>
      <xdr:rowOff>0</xdr:rowOff>
    </xdr:from>
    <xdr:to>
      <xdr:col>7</xdr:col>
      <xdr:colOff>666750</xdr:colOff>
      <xdr:row>65</xdr:row>
      <xdr:rowOff>110217</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600074</xdr:colOff>
      <xdr:row>14</xdr:row>
      <xdr:rowOff>9524</xdr:rowOff>
    </xdr:from>
    <xdr:to>
      <xdr:col>6</xdr:col>
      <xdr:colOff>95250</xdr:colOff>
      <xdr:row>33</xdr:row>
      <xdr:rowOff>123824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30</xdr:row>
      <xdr:rowOff>0</xdr:rowOff>
    </xdr:from>
    <xdr:to>
      <xdr:col>2</xdr:col>
      <xdr:colOff>676275</xdr:colOff>
      <xdr:row>59</xdr:row>
      <xdr:rowOff>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19</xdr:row>
      <xdr:rowOff>0</xdr:rowOff>
    </xdr:from>
    <xdr:to>
      <xdr:col>7</xdr:col>
      <xdr:colOff>171450</xdr:colOff>
      <xdr:row>41</xdr:row>
      <xdr:rowOff>34017</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1085848</xdr:colOff>
      <xdr:row>22</xdr:row>
      <xdr:rowOff>133349</xdr:rowOff>
    </xdr:from>
    <xdr:to>
      <xdr:col>4</xdr:col>
      <xdr:colOff>819150</xdr:colOff>
      <xdr:row>55</xdr:row>
      <xdr:rowOff>142875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1085848</xdr:colOff>
      <xdr:row>14</xdr:row>
      <xdr:rowOff>133349</xdr:rowOff>
    </xdr:from>
    <xdr:to>
      <xdr:col>4</xdr:col>
      <xdr:colOff>819150</xdr:colOff>
      <xdr:row>47</xdr:row>
      <xdr:rowOff>142875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17</xdr:row>
      <xdr:rowOff>66675</xdr:rowOff>
    </xdr:from>
    <xdr:to>
      <xdr:col>4</xdr:col>
      <xdr:colOff>914400</xdr:colOff>
      <xdr:row>43</xdr:row>
      <xdr:rowOff>47625</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finance.bpa.gov/FR/audit/year-end/Lists/FCRPS%20Year%20End%20%20FY13/Attachments/172/PBC%2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S2529\AppData\Local\Microsoft\Windows\Temporary%20Internet%20Files\Content.Outlook\O15ARXQ4\inactive\bpa_mrv2008.xnv"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B0422\AppData\Local\Microsoft\Windows\Temporary%20Internet%20Files\Content.Outlook\SVIJCXTX\4h10c%20FRG%20Queries%20and%20FRS%20nVision%20Report_Periods%201-12%202014%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jects/GovernorsReports/2017/Links/201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sheetName val="True-Up"/>
      <sheetName val="Summary"/>
      <sheetName val="nVision"/>
      <sheetName val="Power Purchases"/>
    </sheetNames>
    <sheetDataSet>
      <sheetData sheetId="0"/>
      <sheetData sheetId="1"/>
      <sheetData sheetId="2">
        <row r="8">
          <cell r="O8">
            <v>242.98336318999998</v>
          </cell>
        </row>
      </sheetData>
      <sheetData sheetId="3">
        <row r="3">
          <cell r="E3" t="str">
            <v>2013-09-30</v>
          </cell>
        </row>
        <row r="7">
          <cell r="E7" t="str">
            <v>4H10C_13</v>
          </cell>
        </row>
        <row r="8">
          <cell r="E8" t="str">
            <v>2013</v>
          </cell>
        </row>
        <row r="9">
          <cell r="E9">
            <v>0.223</v>
          </cell>
        </row>
        <row r="10">
          <cell r="E10" t="str">
            <v>10/01/2012</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Documentation"/>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yout"/>
      <sheetName val="Documentation"/>
      <sheetName val="Validation"/>
      <sheetName val="Exp Query"/>
      <sheetName val="Exp Data"/>
      <sheetName val="Cap Query"/>
      <sheetName val="Cap Data"/>
      <sheetName val="PISCES Query"/>
      <sheetName val="PISCES Data"/>
    </sheetNames>
    <sheetDataSet>
      <sheetData sheetId="0">
        <row r="3">
          <cell r="E3" t="str">
            <v>2014-09-30</v>
          </cell>
        </row>
        <row r="4">
          <cell r="E4" t="str">
            <v>0410_FCRPS_FY14_4H10C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CostsByArea"/>
      <sheetName val="2_SpeciesType"/>
      <sheetName val="3_FCRPS"/>
      <sheetName val="4_ESASpecies"/>
      <sheetName val="5_Fund"/>
      <sheetName val="6a_Category"/>
      <sheetName val="6b_ArtProd"/>
      <sheetName val="7_RME"/>
      <sheetName val="8_Province"/>
      <sheetName val="9_Location"/>
      <sheetName val="10_Contractor"/>
      <sheetName val="11_LandPurchases"/>
      <sheetName val="12_Cumulativ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C3">
            <v>1981</v>
          </cell>
          <cell r="D3">
            <v>1982</v>
          </cell>
          <cell r="E3">
            <v>1983</v>
          </cell>
          <cell r="F3">
            <v>1984</v>
          </cell>
          <cell r="G3">
            <v>1985</v>
          </cell>
          <cell r="H3">
            <v>1986</v>
          </cell>
          <cell r="I3">
            <v>1987</v>
          </cell>
          <cell r="J3">
            <v>1988</v>
          </cell>
          <cell r="K3">
            <v>1989</v>
          </cell>
          <cell r="L3">
            <v>1990</v>
          </cell>
          <cell r="M3">
            <v>1991</v>
          </cell>
          <cell r="N3">
            <v>1992</v>
          </cell>
          <cell r="O3">
            <v>1993</v>
          </cell>
          <cell r="P3">
            <v>1994</v>
          </cell>
          <cell r="Q3">
            <v>1995</v>
          </cell>
          <cell r="R3">
            <v>1996</v>
          </cell>
          <cell r="S3">
            <v>1997</v>
          </cell>
          <cell r="T3">
            <v>1998</v>
          </cell>
          <cell r="U3">
            <v>1999</v>
          </cell>
          <cell r="V3">
            <v>2000</v>
          </cell>
          <cell r="W3">
            <v>2001</v>
          </cell>
          <cell r="X3">
            <v>2002</v>
          </cell>
          <cell r="Y3">
            <v>2003</v>
          </cell>
          <cell r="Z3">
            <v>2004</v>
          </cell>
          <cell r="AA3">
            <v>2005</v>
          </cell>
          <cell r="AB3">
            <v>2006</v>
          </cell>
          <cell r="AC3">
            <v>2007</v>
          </cell>
          <cell r="AD3">
            <v>2008</v>
          </cell>
          <cell r="AE3">
            <v>2009</v>
          </cell>
          <cell r="AF3">
            <v>2010</v>
          </cell>
          <cell r="AG3">
            <v>2011</v>
          </cell>
          <cell r="AH3">
            <v>2012</v>
          </cell>
          <cell r="AI3">
            <v>2013</v>
          </cell>
          <cell r="AJ3">
            <v>2014</v>
          </cell>
          <cell r="AK3">
            <v>2015</v>
          </cell>
          <cell r="AL3">
            <v>2016</v>
          </cell>
        </row>
        <row r="4">
          <cell r="A4" t="str">
            <v>Power Purchases</v>
          </cell>
          <cell r="C4">
            <v>0</v>
          </cell>
          <cell r="D4">
            <v>0</v>
          </cell>
          <cell r="E4">
            <v>0</v>
          </cell>
          <cell r="F4">
            <v>12</v>
          </cell>
          <cell r="G4">
            <v>29</v>
          </cell>
          <cell r="H4">
            <v>103</v>
          </cell>
          <cell r="I4">
            <v>114</v>
          </cell>
          <cell r="J4">
            <v>154</v>
          </cell>
          <cell r="K4">
            <v>194</v>
          </cell>
          <cell r="L4">
            <v>234</v>
          </cell>
          <cell r="M4">
            <v>274</v>
          </cell>
          <cell r="N4">
            <v>333</v>
          </cell>
          <cell r="O4">
            <v>437</v>
          </cell>
          <cell r="P4">
            <v>548.70000000000005</v>
          </cell>
          <cell r="Q4">
            <v>612.20000000000005</v>
          </cell>
          <cell r="R4">
            <v>612.20000000000005</v>
          </cell>
          <cell r="S4">
            <v>612.20000000000005</v>
          </cell>
          <cell r="T4">
            <v>617.6</v>
          </cell>
          <cell r="U4">
            <v>665.2</v>
          </cell>
          <cell r="V4">
            <v>730</v>
          </cell>
          <cell r="W4">
            <v>2119.6</v>
          </cell>
          <cell r="X4">
            <v>2267.4</v>
          </cell>
          <cell r="Y4">
            <v>2438.5</v>
          </cell>
          <cell r="Z4">
            <v>2629.5</v>
          </cell>
          <cell r="AA4">
            <v>2740.3</v>
          </cell>
          <cell r="AB4">
            <v>2908.5</v>
          </cell>
          <cell r="AC4">
            <v>3029.2</v>
          </cell>
          <cell r="AD4">
            <v>3304.1</v>
          </cell>
          <cell r="AE4">
            <v>3544.4</v>
          </cell>
          <cell r="AF4">
            <v>3854.5</v>
          </cell>
          <cell r="AG4">
            <v>3925.2</v>
          </cell>
          <cell r="AH4">
            <v>3963.7</v>
          </cell>
          <cell r="AI4">
            <v>4049.8</v>
          </cell>
          <cell r="AJ4">
            <v>4246</v>
          </cell>
          <cell r="AK4">
            <v>4313.2</v>
          </cell>
          <cell r="AL4">
            <v>4363.5</v>
          </cell>
        </row>
        <row r="5">
          <cell r="A5" t="str">
            <v>Forgone Revenues</v>
          </cell>
          <cell r="C5">
            <v>3</v>
          </cell>
          <cell r="D5">
            <v>17</v>
          </cell>
          <cell r="E5">
            <v>18</v>
          </cell>
          <cell r="F5">
            <v>26</v>
          </cell>
          <cell r="G5">
            <v>53</v>
          </cell>
          <cell r="H5">
            <v>72</v>
          </cell>
          <cell r="I5">
            <v>79</v>
          </cell>
          <cell r="J5">
            <v>89</v>
          </cell>
          <cell r="K5">
            <v>104</v>
          </cell>
          <cell r="L5">
            <v>119</v>
          </cell>
          <cell r="M5">
            <v>134</v>
          </cell>
          <cell r="N5">
            <v>137</v>
          </cell>
          <cell r="O5">
            <v>182</v>
          </cell>
          <cell r="P5">
            <v>244</v>
          </cell>
          <cell r="Q5">
            <v>251.1</v>
          </cell>
          <cell r="R5">
            <v>332.8</v>
          </cell>
          <cell r="S5">
            <v>440.6</v>
          </cell>
          <cell r="T5">
            <v>557.1</v>
          </cell>
          <cell r="U5">
            <v>754.9</v>
          </cell>
          <cell r="V5">
            <v>948</v>
          </cell>
          <cell r="W5">
            <v>1063.9000000000001</v>
          </cell>
          <cell r="X5">
            <v>1076.5</v>
          </cell>
          <cell r="Y5">
            <v>1155.7</v>
          </cell>
          <cell r="Z5">
            <v>1177.4000000000001</v>
          </cell>
          <cell r="AA5">
            <v>1359.5</v>
          </cell>
          <cell r="AB5">
            <v>1756.9</v>
          </cell>
          <cell r="AC5">
            <v>2039.5</v>
          </cell>
          <cell r="AD5">
            <v>2335</v>
          </cell>
          <cell r="AE5">
            <v>2477.8000000000002</v>
          </cell>
          <cell r="AF5">
            <v>2577.4</v>
          </cell>
          <cell r="AG5">
            <v>2734.1</v>
          </cell>
          <cell r="AH5">
            <v>2886.3</v>
          </cell>
          <cell r="AI5">
            <v>3021.3</v>
          </cell>
          <cell r="AJ5">
            <v>3144</v>
          </cell>
          <cell r="AK5">
            <v>3340.1</v>
          </cell>
          <cell r="AL5">
            <v>3407.6</v>
          </cell>
        </row>
        <row r="6">
          <cell r="A6" t="str">
            <v>Reimbursable Expenses</v>
          </cell>
          <cell r="C6">
            <v>21</v>
          </cell>
          <cell r="D6">
            <v>32.5</v>
          </cell>
          <cell r="E6">
            <v>46.7</v>
          </cell>
          <cell r="F6">
            <v>62.7</v>
          </cell>
          <cell r="G6">
            <v>82.6</v>
          </cell>
          <cell r="H6">
            <v>106.3</v>
          </cell>
          <cell r="I6">
            <v>136</v>
          </cell>
          <cell r="J6">
            <v>155</v>
          </cell>
          <cell r="K6">
            <v>178.6</v>
          </cell>
          <cell r="L6">
            <v>202</v>
          </cell>
          <cell r="M6">
            <v>226.3</v>
          </cell>
          <cell r="N6">
            <v>254.7</v>
          </cell>
          <cell r="O6">
            <v>285.2</v>
          </cell>
          <cell r="P6">
            <v>320.10000000000002</v>
          </cell>
          <cell r="Q6">
            <v>356.2</v>
          </cell>
          <cell r="R6">
            <v>391.6</v>
          </cell>
          <cell r="S6">
            <v>427.5</v>
          </cell>
          <cell r="T6">
            <v>463.9</v>
          </cell>
          <cell r="U6">
            <v>502.8</v>
          </cell>
          <cell r="V6">
            <v>540.4</v>
          </cell>
          <cell r="W6">
            <v>582.9</v>
          </cell>
          <cell r="X6">
            <v>633.79999999999995</v>
          </cell>
          <cell r="Y6">
            <v>686.4</v>
          </cell>
          <cell r="Z6">
            <v>743.6</v>
          </cell>
          <cell r="AA6">
            <v>801.5</v>
          </cell>
          <cell r="AB6">
            <v>862.2</v>
          </cell>
          <cell r="AC6">
            <v>922.5</v>
          </cell>
          <cell r="AD6">
            <v>984.7</v>
          </cell>
          <cell r="AE6">
            <v>1049</v>
          </cell>
          <cell r="AF6">
            <v>1114</v>
          </cell>
          <cell r="AG6">
            <v>1188.3</v>
          </cell>
          <cell r="AH6">
            <v>1261.3</v>
          </cell>
          <cell r="AI6">
            <v>1344.7</v>
          </cell>
          <cell r="AJ6">
            <v>1435</v>
          </cell>
          <cell r="AK6">
            <v>1515</v>
          </cell>
          <cell r="AL6">
            <v>1603.2</v>
          </cell>
        </row>
        <row r="7">
          <cell r="A7" t="str">
            <v>Direct Program</v>
          </cell>
          <cell r="C7">
            <v>4.5999999999999996</v>
          </cell>
          <cell r="D7">
            <v>9.1999999999999993</v>
          </cell>
          <cell r="E7">
            <v>18.3</v>
          </cell>
          <cell r="F7">
            <v>37.9</v>
          </cell>
          <cell r="G7">
            <v>53.8</v>
          </cell>
          <cell r="H7">
            <v>73.400000000000006</v>
          </cell>
          <cell r="I7">
            <v>95.6</v>
          </cell>
          <cell r="J7">
            <v>114.4</v>
          </cell>
          <cell r="K7">
            <v>137.4</v>
          </cell>
          <cell r="L7">
            <v>170.2</v>
          </cell>
          <cell r="M7">
            <v>203.2</v>
          </cell>
          <cell r="N7">
            <v>270.2</v>
          </cell>
          <cell r="O7">
            <v>319.8</v>
          </cell>
          <cell r="P7">
            <v>375.7</v>
          </cell>
          <cell r="Q7">
            <v>447.1</v>
          </cell>
          <cell r="R7">
            <v>515.6</v>
          </cell>
          <cell r="S7">
            <v>597.79999999999995</v>
          </cell>
          <cell r="T7">
            <v>702.7</v>
          </cell>
          <cell r="U7">
            <v>810.9</v>
          </cell>
          <cell r="V7">
            <v>919.1</v>
          </cell>
          <cell r="W7">
            <v>1020.2</v>
          </cell>
          <cell r="X7">
            <v>1157.3</v>
          </cell>
          <cell r="Y7">
            <v>1298</v>
          </cell>
          <cell r="Z7">
            <v>1435.9</v>
          </cell>
          <cell r="AA7">
            <v>1571.7</v>
          </cell>
          <cell r="AB7">
            <v>1709.3</v>
          </cell>
          <cell r="AC7">
            <v>1848.8</v>
          </cell>
          <cell r="AD7">
            <v>1998</v>
          </cell>
          <cell r="AE7">
            <v>2175.9</v>
          </cell>
          <cell r="AF7">
            <v>2375.5</v>
          </cell>
          <cell r="AG7">
            <v>2596.6</v>
          </cell>
          <cell r="AH7">
            <v>2845.5</v>
          </cell>
          <cell r="AI7">
            <v>3084.2</v>
          </cell>
          <cell r="AJ7">
            <v>3316</v>
          </cell>
          <cell r="AK7">
            <v>3574.5</v>
          </cell>
          <cell r="AL7">
            <v>3832.6</v>
          </cell>
        </row>
        <row r="8">
          <cell r="A8" t="str">
            <v>Fixed Expenses</v>
          </cell>
          <cell r="C8">
            <v>32.799999999999997</v>
          </cell>
          <cell r="D8">
            <v>61.1</v>
          </cell>
          <cell r="E8">
            <v>77</v>
          </cell>
          <cell r="F8">
            <v>93.6</v>
          </cell>
          <cell r="G8">
            <v>113.8</v>
          </cell>
          <cell r="H8">
            <v>135.4</v>
          </cell>
          <cell r="I8">
            <v>163.9</v>
          </cell>
          <cell r="J8">
            <v>194.9</v>
          </cell>
          <cell r="K8">
            <v>226.8</v>
          </cell>
          <cell r="L8">
            <v>261.10000000000002</v>
          </cell>
          <cell r="M8">
            <v>299.3</v>
          </cell>
          <cell r="N8">
            <v>341.2</v>
          </cell>
          <cell r="O8">
            <v>394.8</v>
          </cell>
          <cell r="P8">
            <v>456.1</v>
          </cell>
          <cell r="Q8">
            <v>519.70000000000005</v>
          </cell>
          <cell r="R8">
            <v>592.79999999999995</v>
          </cell>
          <cell r="S8">
            <v>669.1</v>
          </cell>
          <cell r="T8">
            <v>743.2</v>
          </cell>
          <cell r="U8">
            <v>819.3</v>
          </cell>
          <cell r="V8">
            <v>895.6</v>
          </cell>
          <cell r="W8">
            <v>973.8</v>
          </cell>
          <cell r="X8">
            <v>1052</v>
          </cell>
          <cell r="Y8">
            <v>1132.5</v>
          </cell>
          <cell r="Z8">
            <v>1217.9000000000001</v>
          </cell>
          <cell r="AA8">
            <v>1307.5999999999999</v>
          </cell>
          <cell r="AB8">
            <v>1395.1</v>
          </cell>
          <cell r="AC8">
            <v>1508</v>
          </cell>
          <cell r="AD8">
            <v>1620.9</v>
          </cell>
          <cell r="AE8">
            <v>1740.9</v>
          </cell>
          <cell r="AF8">
            <v>1863.9</v>
          </cell>
          <cell r="AG8">
            <v>1991.1</v>
          </cell>
          <cell r="AH8">
            <v>2122.6</v>
          </cell>
          <cell r="AI8">
            <v>2253.6999999999998</v>
          </cell>
          <cell r="AJ8">
            <v>2395</v>
          </cell>
          <cell r="AK8">
            <v>2557.9</v>
          </cell>
          <cell r="AL8">
            <v>2706.1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zoomScale="85" zoomScaleNormal="85" workbookViewId="0">
      <selection activeCell="H1" sqref="H1"/>
    </sheetView>
  </sheetViews>
  <sheetFormatPr defaultRowHeight="15"/>
  <cols>
    <col min="1" max="1" width="63.140625" style="96" bestFit="1" customWidth="1"/>
    <col min="2" max="2" width="9.5703125" style="96" bestFit="1" customWidth="1"/>
    <col min="3" max="3" width="5.7109375" style="96" customWidth="1"/>
    <col min="4" max="4" width="17.140625" style="96" customWidth="1"/>
    <col min="5" max="6" width="9.140625" style="96"/>
    <col min="7" max="7" width="9.140625" style="96" customWidth="1"/>
    <col min="8" max="16384" width="9.140625" style="96"/>
  </cols>
  <sheetData>
    <row r="1" spans="1:29">
      <c r="A1" s="26" t="s">
        <v>277</v>
      </c>
    </row>
    <row r="3" spans="1:29" ht="16.5">
      <c r="A3" s="26" t="s">
        <v>309</v>
      </c>
      <c r="B3" s="22"/>
    </row>
    <row r="4" spans="1:29" ht="16.5">
      <c r="A4" s="22"/>
      <c r="B4" s="22"/>
    </row>
    <row r="5" spans="1:29" ht="16.5">
      <c r="A5" s="22" t="s">
        <v>219</v>
      </c>
      <c r="B5" s="201">
        <v>254.7</v>
      </c>
    </row>
    <row r="6" spans="1:29" ht="16.5">
      <c r="A6" s="22" t="s">
        <v>278</v>
      </c>
      <c r="B6" s="199">
        <v>9.6</v>
      </c>
    </row>
    <row r="7" spans="1:29" ht="16.5">
      <c r="A7" s="22" t="s">
        <v>221</v>
      </c>
      <c r="B7" s="193">
        <v>46.8</v>
      </c>
      <c r="C7" s="408" t="s">
        <v>317</v>
      </c>
      <c r="D7" s="405" t="s">
        <v>316</v>
      </c>
      <c r="E7" s="406">
        <f>SUM(B7:B10)</f>
        <v>85.16</v>
      </c>
    </row>
    <row r="8" spans="1:29" ht="16.5">
      <c r="A8" s="22" t="s">
        <v>220</v>
      </c>
      <c r="B8" s="193">
        <v>26</v>
      </c>
      <c r="C8" s="409"/>
      <c r="D8" s="405"/>
      <c r="E8" s="406"/>
    </row>
    <row r="9" spans="1:29" ht="16.5">
      <c r="A9" s="22" t="s">
        <v>222</v>
      </c>
      <c r="B9" s="193">
        <v>7</v>
      </c>
      <c r="C9" s="409"/>
      <c r="D9" s="405"/>
      <c r="E9" s="406"/>
    </row>
    <row r="10" spans="1:29" ht="16.5">
      <c r="A10" s="22" t="s">
        <v>223</v>
      </c>
      <c r="B10" s="193">
        <v>5.36</v>
      </c>
      <c r="C10" s="409"/>
      <c r="D10" s="405"/>
      <c r="E10" s="406"/>
    </row>
    <row r="11" spans="1:29" ht="16.5">
      <c r="A11" s="22" t="s">
        <v>224</v>
      </c>
      <c r="B11" s="200">
        <v>58.6</v>
      </c>
      <c r="C11" s="410" t="s">
        <v>317</v>
      </c>
      <c r="D11" s="407" t="s">
        <v>315</v>
      </c>
      <c r="E11" s="412">
        <f>SUM(B11:B12)</f>
        <v>121.4</v>
      </c>
    </row>
    <row r="12" spans="1:29" ht="16.5">
      <c r="A12" s="22" t="s">
        <v>225</v>
      </c>
      <c r="B12" s="200">
        <v>62.8</v>
      </c>
      <c r="C12" s="411"/>
      <c r="D12" s="407"/>
      <c r="E12" s="411"/>
    </row>
    <row r="13" spans="1:29" ht="16.5">
      <c r="A13" s="22" t="s">
        <v>226</v>
      </c>
      <c r="B13" s="202">
        <v>-20.5</v>
      </c>
    </row>
    <row r="14" spans="1:29" ht="16.5">
      <c r="A14" s="22" t="s">
        <v>39</v>
      </c>
      <c r="B14" s="154">
        <f>SUM(B5:B13)</f>
        <v>450.36000000000007</v>
      </c>
    </row>
    <row r="15" spans="1:29" ht="16.5">
      <c r="A15" s="22"/>
      <c r="B15" s="22"/>
    </row>
    <row r="16" spans="1:29" ht="16.5">
      <c r="A16" s="413" t="s">
        <v>310</v>
      </c>
      <c r="B16" s="414"/>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row>
    <row r="17" spans="1:29" ht="16.5">
      <c r="A17" s="415" t="s">
        <v>311</v>
      </c>
      <c r="B17" s="415"/>
      <c r="C17" s="415"/>
      <c r="D17" s="415"/>
      <c r="E17" s="415"/>
      <c r="F17" s="415"/>
      <c r="G17" s="415"/>
      <c r="H17" s="415"/>
      <c r="I17" s="415"/>
      <c r="J17" s="415"/>
      <c r="K17" s="415"/>
      <c r="L17" s="415"/>
      <c r="M17" s="415"/>
      <c r="N17" s="415"/>
      <c r="O17" s="415"/>
      <c r="P17" s="415"/>
      <c r="Q17" s="416"/>
      <c r="R17" s="416"/>
      <c r="S17" s="416"/>
      <c r="T17" s="416"/>
      <c r="U17" s="416"/>
      <c r="V17" s="416"/>
      <c r="W17" s="416"/>
      <c r="X17" s="416"/>
      <c r="Y17" s="416"/>
      <c r="Z17" s="416"/>
      <c r="AA17" s="194"/>
      <c r="AB17" s="194"/>
      <c r="AC17" s="195"/>
    </row>
    <row r="18" spans="1:29" ht="16.5">
      <c r="A18" s="196" t="s">
        <v>312</v>
      </c>
      <c r="B18" s="196"/>
      <c r="C18" s="196"/>
      <c r="D18" s="196"/>
      <c r="E18" s="196"/>
      <c r="F18" s="196"/>
      <c r="G18" s="196"/>
      <c r="H18" s="196"/>
      <c r="I18" s="196"/>
      <c r="J18" s="196"/>
      <c r="K18" s="196"/>
      <c r="L18" s="196"/>
      <c r="M18" s="196"/>
      <c r="N18" s="196"/>
      <c r="O18" s="196"/>
      <c r="P18" s="196"/>
      <c r="Q18" s="194"/>
      <c r="R18" s="194"/>
      <c r="S18" s="194"/>
      <c r="T18" s="194"/>
      <c r="U18" s="194"/>
      <c r="V18" s="194"/>
      <c r="W18" s="194"/>
      <c r="X18" s="194"/>
      <c r="Y18" s="194"/>
      <c r="Z18" s="194"/>
      <c r="AA18" s="194"/>
      <c r="AB18" s="194"/>
      <c r="AC18" s="197"/>
    </row>
    <row r="19" spans="1:29" ht="16.5">
      <c r="A19" s="415" t="s">
        <v>313</v>
      </c>
      <c r="B19" s="415"/>
      <c r="C19" s="415"/>
      <c r="D19" s="415"/>
      <c r="E19" s="415"/>
      <c r="F19" s="415"/>
      <c r="G19" s="415"/>
      <c r="H19" s="415"/>
      <c r="I19" s="415"/>
      <c r="J19" s="415"/>
      <c r="K19" s="415"/>
      <c r="L19" s="415"/>
      <c r="M19" s="415"/>
      <c r="N19" s="415"/>
      <c r="O19" s="415"/>
      <c r="P19" s="415"/>
      <c r="Q19" s="416"/>
      <c r="R19" s="416"/>
      <c r="S19" s="416"/>
      <c r="T19" s="416"/>
      <c r="U19" s="416"/>
      <c r="V19" s="416"/>
      <c r="W19" s="416"/>
      <c r="X19" s="416"/>
      <c r="Y19" s="416"/>
      <c r="Z19" s="416"/>
      <c r="AA19" s="194"/>
      <c r="AB19" s="194"/>
      <c r="AC19" s="197"/>
    </row>
    <row r="20" spans="1:29" ht="16.5">
      <c r="A20" s="417" t="s">
        <v>314</v>
      </c>
      <c r="B20" s="417"/>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198"/>
      <c r="AB20" s="198"/>
      <c r="AC20" s="197"/>
    </row>
    <row r="21" spans="1:29" ht="16.5">
      <c r="A21" s="22"/>
      <c r="B21" s="22"/>
    </row>
    <row r="22" spans="1:29" ht="16.5">
      <c r="A22" s="22" t="s">
        <v>318</v>
      </c>
      <c r="B22" s="154">
        <v>65.599999999999994</v>
      </c>
    </row>
    <row r="23" spans="1:29" ht="16.5">
      <c r="A23" s="22" t="s">
        <v>319</v>
      </c>
      <c r="B23" s="154">
        <v>-53.7</v>
      </c>
    </row>
    <row r="24" spans="1:29" ht="16.5">
      <c r="A24" s="22"/>
      <c r="B24" s="204"/>
    </row>
    <row r="25" spans="1:29" ht="16.5">
      <c r="A25" s="22" t="s">
        <v>103</v>
      </c>
      <c r="B25" s="204"/>
    </row>
    <row r="26" spans="1:29" ht="16.5" customHeight="1">
      <c r="A26" s="418" t="str">
        <f>"Total of "&amp;TEXT(B14,"$#0.0")&amp;" million does not reflect "&amp;TEXT(B22,"$#0.0")&amp;" million in obligations to capital projects for fish and wildlife projects, software development, and structures at dams, or "&amp;TEXT(ABS(B23),"$#0.0")&amp;" million federal credits Bonneville receives from the U.S. Treasury"</f>
        <v>Total of $450.4 million does not reflect $65.6 million in obligations to capital projects for fish and wildlife projects, software development, and structures at dams, or $53.7 million federal credits Bonneville receives from the U.S. Treasury</v>
      </c>
      <c r="B26" s="418"/>
      <c r="C26" s="418"/>
      <c r="D26" s="418"/>
      <c r="E26" s="418"/>
      <c r="F26" s="418"/>
      <c r="G26" s="418"/>
      <c r="H26" s="418"/>
      <c r="I26" s="418"/>
      <c r="J26" s="418"/>
      <c r="K26" s="418"/>
    </row>
    <row r="27" spans="1:29" ht="16.5" customHeight="1">
      <c r="A27" s="418"/>
      <c r="B27" s="418"/>
      <c r="C27" s="418"/>
      <c r="D27" s="418"/>
      <c r="E27" s="418"/>
      <c r="F27" s="418"/>
      <c r="G27" s="418"/>
      <c r="H27" s="418"/>
      <c r="I27" s="418"/>
      <c r="J27" s="418"/>
      <c r="K27" s="418"/>
    </row>
    <row r="28" spans="1:29" ht="16.5">
      <c r="A28" s="22"/>
      <c r="B28" s="204"/>
    </row>
  </sheetData>
  <mergeCells count="11">
    <mergeCell ref="A16:AC16"/>
    <mergeCell ref="A17:Z17"/>
    <mergeCell ref="A19:Z19"/>
    <mergeCell ref="A20:Z20"/>
    <mergeCell ref="A26:K27"/>
    <mergeCell ref="D7:D10"/>
    <mergeCell ref="E7:E10"/>
    <mergeCell ref="D11:D12"/>
    <mergeCell ref="C7:C10"/>
    <mergeCell ref="C11:C12"/>
    <mergeCell ref="E11:E1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zoomScaleNormal="100" workbookViewId="0">
      <selection activeCell="A21" sqref="A21:J21"/>
    </sheetView>
  </sheetViews>
  <sheetFormatPr defaultRowHeight="16.5"/>
  <cols>
    <col min="1" max="1" width="51.85546875" style="32" customWidth="1"/>
    <col min="2" max="2" width="14.5703125" style="33" customWidth="1"/>
    <col min="3" max="3" width="14.5703125" style="34" customWidth="1"/>
    <col min="4" max="6" width="14.5703125" style="33" customWidth="1"/>
    <col min="7" max="7" width="14.5703125" style="32" bestFit="1" customWidth="1"/>
    <col min="8" max="8" width="17.85546875" style="32" customWidth="1"/>
    <col min="9" max="16384" width="9.140625" style="32"/>
  </cols>
  <sheetData>
    <row r="1" spans="1:8" ht="30" customHeight="1">
      <c r="A1" s="42" t="str">
        <f>"Table/Figure 8: Direct Program Expenditures by Province, FY" &amp; B2 &amp; "-" &amp; H2</f>
        <v>Table/Figure 8: Direct Program Expenditures by Province, FY2011-2017</v>
      </c>
      <c r="B1" s="41"/>
      <c r="G1" s="34"/>
    </row>
    <row r="2" spans="1:8" ht="18">
      <c r="A2" s="40" t="s">
        <v>52</v>
      </c>
      <c r="B2" s="107">
        <v>2011</v>
      </c>
      <c r="C2" s="107">
        <v>2012</v>
      </c>
      <c r="D2" s="107">
        <v>2013</v>
      </c>
      <c r="E2" s="107">
        <v>2014</v>
      </c>
      <c r="F2" s="107">
        <v>2015</v>
      </c>
      <c r="G2" s="107" t="s">
        <v>295</v>
      </c>
      <c r="H2" s="107">
        <v>2017</v>
      </c>
    </row>
    <row r="3" spans="1:8">
      <c r="A3" s="35" t="s">
        <v>237</v>
      </c>
      <c r="B3" s="109">
        <v>13045831</v>
      </c>
      <c r="C3" s="109">
        <v>13498753.4</v>
      </c>
      <c r="D3" s="109">
        <v>13359733.73</v>
      </c>
      <c r="E3" s="109">
        <v>14630130</v>
      </c>
      <c r="F3" s="109">
        <v>16928838.199999999</v>
      </c>
      <c r="G3" s="109">
        <v>17898141</v>
      </c>
      <c r="H3" s="109">
        <v>15402316</v>
      </c>
    </row>
    <row r="4" spans="1:8">
      <c r="A4" s="35" t="s">
        <v>238</v>
      </c>
      <c r="B4" s="109">
        <v>52343560</v>
      </c>
      <c r="C4" s="109">
        <v>51216105.399999999</v>
      </c>
      <c r="D4" s="109">
        <v>36245776.280000001</v>
      </c>
      <c r="E4" s="109">
        <v>26801554</v>
      </c>
      <c r="F4" s="109">
        <v>28292736.699999999</v>
      </c>
      <c r="G4" s="109">
        <v>27088878</v>
      </c>
      <c r="H4" s="109">
        <v>22908554</v>
      </c>
    </row>
    <row r="5" spans="1:8">
      <c r="A5" s="35" t="s">
        <v>239</v>
      </c>
      <c r="B5" s="109">
        <v>19962308</v>
      </c>
      <c r="C5" s="109">
        <v>13560427.4</v>
      </c>
      <c r="D5" s="109">
        <v>14326142.01</v>
      </c>
      <c r="E5" s="109">
        <v>10014903</v>
      </c>
      <c r="F5" s="109">
        <v>11744583.01</v>
      </c>
      <c r="G5" s="109">
        <v>9724087</v>
      </c>
      <c r="H5" s="109">
        <v>10795114</v>
      </c>
    </row>
    <row r="6" spans="1:8">
      <c r="A6" s="35" t="s">
        <v>240</v>
      </c>
      <c r="B6" s="109">
        <v>59165613</v>
      </c>
      <c r="C6" s="109">
        <v>61637074.399999999</v>
      </c>
      <c r="D6" s="109">
        <v>61223676.229999997</v>
      </c>
      <c r="E6" s="109">
        <v>57654085</v>
      </c>
      <c r="F6" s="109">
        <v>67777655.400000006</v>
      </c>
      <c r="G6" s="109">
        <v>62214559</v>
      </c>
      <c r="H6" s="109">
        <v>63748266.25</v>
      </c>
    </row>
    <row r="7" spans="1:8">
      <c r="A7" s="35" t="s">
        <v>241</v>
      </c>
      <c r="B7" s="109">
        <v>9469437</v>
      </c>
      <c r="C7" s="109">
        <v>11109892</v>
      </c>
      <c r="D7" s="109">
        <v>15336657.32</v>
      </c>
      <c r="E7" s="109">
        <v>10819987</v>
      </c>
      <c r="F7" s="109">
        <v>11165031.380000001</v>
      </c>
      <c r="G7" s="109">
        <v>11471831</v>
      </c>
      <c r="H7" s="109">
        <v>9894899</v>
      </c>
    </row>
    <row r="8" spans="1:8">
      <c r="A8" s="35" t="s">
        <v>242</v>
      </c>
      <c r="B8" s="109">
        <v>17198718</v>
      </c>
      <c r="C8" s="109">
        <v>19784368</v>
      </c>
      <c r="D8" s="109">
        <v>16144887.76</v>
      </c>
      <c r="E8" s="109">
        <v>17769309</v>
      </c>
      <c r="F8" s="109">
        <v>17220237.800000001</v>
      </c>
      <c r="G8" s="109">
        <v>17995494</v>
      </c>
      <c r="H8" s="109">
        <v>20171935</v>
      </c>
    </row>
    <row r="9" spans="1:8">
      <c r="A9" s="35" t="s">
        <v>243</v>
      </c>
      <c r="B9" s="109">
        <v>41609286</v>
      </c>
      <c r="C9" s="109">
        <v>33899854</v>
      </c>
      <c r="D9" s="109">
        <v>44562895.789999999</v>
      </c>
      <c r="E9" s="109">
        <v>13867496</v>
      </c>
      <c r="F9" s="109">
        <v>39453337.270000003</v>
      </c>
      <c r="G9" s="109">
        <v>40819289</v>
      </c>
      <c r="H9" s="109">
        <v>32583833.800000001</v>
      </c>
    </row>
    <row r="10" spans="1:8">
      <c r="A10" s="35" t="s">
        <v>244</v>
      </c>
      <c r="B10" s="109">
        <v>4433754</v>
      </c>
      <c r="C10" s="109">
        <v>13235463</v>
      </c>
      <c r="D10" s="109">
        <v>3315759.24</v>
      </c>
      <c r="E10" s="109">
        <v>3817058</v>
      </c>
      <c r="F10" s="109">
        <v>4600725.0999999996</v>
      </c>
      <c r="G10" s="109">
        <v>4520947</v>
      </c>
      <c r="H10" s="109">
        <v>4478444</v>
      </c>
    </row>
    <row r="11" spans="1:8">
      <c r="A11" s="36" t="s">
        <v>245</v>
      </c>
      <c r="B11" s="109">
        <v>24894377</v>
      </c>
      <c r="C11" s="109">
        <v>22160067</v>
      </c>
      <c r="D11" s="109">
        <v>20849802.890000001</v>
      </c>
      <c r="E11" s="109">
        <v>29293225</v>
      </c>
      <c r="F11" s="109">
        <v>19225549.199999999</v>
      </c>
      <c r="G11" s="109">
        <v>21252149</v>
      </c>
      <c r="H11" s="109">
        <v>15347656</v>
      </c>
    </row>
    <row r="12" spans="1:8">
      <c r="A12" s="35" t="s">
        <v>246</v>
      </c>
      <c r="B12" s="109">
        <v>28149960</v>
      </c>
      <c r="C12" s="109">
        <v>30311321</v>
      </c>
      <c r="D12" s="109">
        <v>28453558.780000001</v>
      </c>
      <c r="E12" s="109">
        <v>28224756</v>
      </c>
      <c r="F12" s="109">
        <v>40285555.630000003</v>
      </c>
      <c r="G12" s="109">
        <v>29114533</v>
      </c>
      <c r="H12" s="109">
        <v>34758682.539999999</v>
      </c>
    </row>
    <row r="13" spans="1:8">
      <c r="A13" s="35" t="s">
        <v>247</v>
      </c>
      <c r="B13" s="109">
        <v>4904675</v>
      </c>
      <c r="C13" s="109">
        <v>13213441</v>
      </c>
      <c r="D13" s="109">
        <v>10805581.939999999</v>
      </c>
      <c r="E13" s="109">
        <v>19886298</v>
      </c>
      <c r="F13" s="109">
        <v>3761184.08</v>
      </c>
      <c r="G13" s="109">
        <v>4997891</v>
      </c>
      <c r="H13" s="109">
        <v>5172457</v>
      </c>
    </row>
    <row r="14" spans="1:8" ht="18">
      <c r="A14" s="35" t="s">
        <v>248</v>
      </c>
      <c r="B14" s="109">
        <v>7722192</v>
      </c>
      <c r="C14" s="109">
        <v>6872463</v>
      </c>
      <c r="D14" s="109">
        <v>4578007.34</v>
      </c>
      <c r="E14" s="109">
        <v>4892097</v>
      </c>
      <c r="F14" s="109">
        <v>5062472.42</v>
      </c>
      <c r="G14" s="109">
        <v>6828524</v>
      </c>
      <c r="H14" s="109">
        <v>4995507</v>
      </c>
    </row>
    <row r="15" spans="1:8" ht="18">
      <c r="A15" s="35" t="s">
        <v>249</v>
      </c>
      <c r="B15" s="109">
        <v>28315184</v>
      </c>
      <c r="C15" s="109">
        <v>15910542</v>
      </c>
      <c r="D15" s="109">
        <v>21899413.120000001</v>
      </c>
      <c r="E15" s="109">
        <v>31463212</v>
      </c>
      <c r="F15" s="109">
        <v>14032643.140000001</v>
      </c>
      <c r="G15" s="109">
        <v>20245851</v>
      </c>
      <c r="H15" s="109">
        <v>19699871</v>
      </c>
    </row>
    <row r="16" spans="1:8">
      <c r="A16" s="39" t="s">
        <v>39</v>
      </c>
      <c r="B16" s="110">
        <f t="shared" ref="B16:H16" si="0">SUM(B3:B15)</f>
        <v>311214895</v>
      </c>
      <c r="C16" s="111">
        <f t="shared" si="0"/>
        <v>306409771.60000002</v>
      </c>
      <c r="D16" s="111">
        <f t="shared" si="0"/>
        <v>291101892.43000001</v>
      </c>
      <c r="E16" s="111">
        <f t="shared" si="0"/>
        <v>269134110</v>
      </c>
      <c r="F16" s="111">
        <f t="shared" si="0"/>
        <v>279550549.32999998</v>
      </c>
      <c r="G16" s="111">
        <f t="shared" si="0"/>
        <v>274172174</v>
      </c>
      <c r="H16" s="111">
        <f t="shared" si="0"/>
        <v>259957535.59</v>
      </c>
    </row>
    <row r="17" spans="1:10">
      <c r="A17" s="35"/>
      <c r="C17" s="33"/>
      <c r="G17" s="37"/>
    </row>
    <row r="18" spans="1:10">
      <c r="A18" s="38" t="s">
        <v>2</v>
      </c>
    </row>
    <row r="19" spans="1:10" ht="16.5" customHeight="1">
      <c r="A19" s="440" t="s">
        <v>51</v>
      </c>
      <c r="B19" s="440"/>
      <c r="C19" s="440"/>
      <c r="D19" s="440"/>
      <c r="E19" s="440"/>
      <c r="F19" s="440"/>
      <c r="G19" s="440"/>
      <c r="H19" s="440"/>
      <c r="I19" s="440"/>
      <c r="J19" s="440"/>
    </row>
    <row r="20" spans="1:10" ht="17.25" customHeight="1">
      <c r="A20" s="441" t="s">
        <v>50</v>
      </c>
      <c r="B20" s="441"/>
      <c r="C20" s="441"/>
      <c r="D20" s="441"/>
      <c r="E20" s="441"/>
      <c r="F20" s="441"/>
      <c r="G20" s="441"/>
      <c r="H20" s="441"/>
      <c r="I20" s="441"/>
      <c r="J20" s="441"/>
    </row>
    <row r="21" spans="1:10" ht="35.25" customHeight="1">
      <c r="A21" s="442" t="s">
        <v>296</v>
      </c>
      <c r="B21" s="442"/>
      <c r="C21" s="442"/>
      <c r="D21" s="442"/>
      <c r="E21" s="442"/>
      <c r="F21" s="442"/>
      <c r="G21" s="442"/>
      <c r="H21" s="442"/>
      <c r="I21" s="442"/>
      <c r="J21" s="442"/>
    </row>
    <row r="22" spans="1:10" ht="17.25" customHeight="1">
      <c r="A22" s="439" t="s">
        <v>299</v>
      </c>
      <c r="B22" s="439"/>
      <c r="C22" s="439"/>
      <c r="D22" s="439"/>
      <c r="E22" s="439"/>
      <c r="F22" s="439"/>
      <c r="G22" s="439"/>
      <c r="H22" s="439"/>
      <c r="I22" s="439"/>
      <c r="J22" s="439"/>
    </row>
    <row r="23" spans="1:10" ht="26.25" customHeight="1">
      <c r="A23" s="151" t="s">
        <v>103</v>
      </c>
      <c r="B23" s="108"/>
      <c r="C23" s="113"/>
      <c r="D23" s="108"/>
      <c r="E23" s="108"/>
      <c r="F23" s="108"/>
      <c r="G23" s="112"/>
      <c r="H23" s="112"/>
    </row>
    <row r="24" spans="1:10" ht="17.25" customHeight="1">
      <c r="A24" s="36" t="str">
        <f>subtitle</f>
        <v>Total: $260.0 million includes $5.4 million in obligations to capital projects</v>
      </c>
      <c r="B24" s="108"/>
      <c r="C24" s="113"/>
      <c r="D24" s="108"/>
      <c r="E24" s="108"/>
      <c r="F24" s="108"/>
      <c r="G24" s="112"/>
      <c r="H24" s="112"/>
    </row>
    <row r="25" spans="1:10">
      <c r="E25" s="115" t="s">
        <v>119</v>
      </c>
    </row>
    <row r="26" spans="1:10">
      <c r="E26" s="114" t="str">
        <f>PROPER(A3)</f>
        <v>Blue Mountain</v>
      </c>
      <c r="F26" s="116">
        <f>H3</f>
        <v>15402316</v>
      </c>
    </row>
    <row r="27" spans="1:10">
      <c r="E27" s="114" t="str">
        <f t="shared" ref="E27:E36" si="1">PROPER(A4)</f>
        <v>Columbia Cascade</v>
      </c>
      <c r="F27" s="116">
        <f t="shared" ref="F27:F37" si="2">H4</f>
        <v>22908554</v>
      </c>
    </row>
    <row r="28" spans="1:10">
      <c r="B28" s="32"/>
      <c r="C28" s="32"/>
      <c r="E28" s="114" t="str">
        <f t="shared" si="1"/>
        <v>Columbia Gorge</v>
      </c>
      <c r="F28" s="116">
        <f t="shared" si="2"/>
        <v>10795114</v>
      </c>
    </row>
    <row r="29" spans="1:10">
      <c r="B29" s="32"/>
      <c r="C29" s="32"/>
      <c r="E29" s="114" t="str">
        <f t="shared" si="1"/>
        <v>Columbia Plateau</v>
      </c>
      <c r="F29" s="116">
        <f t="shared" si="2"/>
        <v>63748266.25</v>
      </c>
    </row>
    <row r="30" spans="1:10">
      <c r="B30" s="32"/>
      <c r="C30" s="32"/>
      <c r="E30" s="114" t="str">
        <f t="shared" si="1"/>
        <v>Columbia Estuary</v>
      </c>
      <c r="F30" s="116">
        <f t="shared" si="2"/>
        <v>9894899</v>
      </c>
    </row>
    <row r="31" spans="1:10">
      <c r="B31" s="32"/>
      <c r="C31" s="32"/>
      <c r="E31" s="114" t="str">
        <f t="shared" si="1"/>
        <v>Intermountain</v>
      </c>
      <c r="F31" s="116">
        <f t="shared" si="2"/>
        <v>20171935</v>
      </c>
    </row>
    <row r="32" spans="1:10">
      <c r="B32" s="32"/>
      <c r="C32" s="32"/>
      <c r="E32" s="114" t="str">
        <f t="shared" si="1"/>
        <v>Lower Columbia</v>
      </c>
      <c r="F32" s="116">
        <f t="shared" si="2"/>
        <v>32583833.800000001</v>
      </c>
    </row>
    <row r="33" spans="5:6">
      <c r="E33" s="114" t="str">
        <f t="shared" si="1"/>
        <v>Middle Snake</v>
      </c>
      <c r="F33" s="116">
        <f t="shared" si="2"/>
        <v>4478444</v>
      </c>
    </row>
    <row r="34" spans="5:6">
      <c r="E34" s="114" t="str">
        <f t="shared" si="1"/>
        <v>Mountain Columbia</v>
      </c>
      <c r="F34" s="116">
        <f t="shared" si="2"/>
        <v>15347656</v>
      </c>
    </row>
    <row r="35" spans="5:6">
      <c r="E35" s="114" t="str">
        <f t="shared" si="1"/>
        <v>Mountain Snake</v>
      </c>
      <c r="F35" s="116">
        <f t="shared" si="2"/>
        <v>34758682.539999999</v>
      </c>
    </row>
    <row r="36" spans="5:6">
      <c r="E36" s="114" t="str">
        <f t="shared" si="1"/>
        <v>Upper Snake</v>
      </c>
      <c r="F36" s="116">
        <f t="shared" si="2"/>
        <v>5172457</v>
      </c>
    </row>
    <row r="37" spans="5:6">
      <c r="E37" s="114" t="s">
        <v>53</v>
      </c>
      <c r="F37" s="116">
        <f t="shared" si="2"/>
        <v>4995507</v>
      </c>
    </row>
    <row r="38" spans="5:6">
      <c r="E38" s="114" t="s">
        <v>5</v>
      </c>
      <c r="F38" s="116">
        <f>H15</f>
        <v>19699871</v>
      </c>
    </row>
    <row r="40" spans="5:6">
      <c r="E40" s="43"/>
    </row>
    <row r="41" spans="5:6">
      <c r="E41" s="43"/>
    </row>
    <row r="42" spans="5:6">
      <c r="E42" s="43"/>
    </row>
    <row r="43" spans="5:6">
      <c r="E43" s="43"/>
    </row>
    <row r="44" spans="5:6">
      <c r="E44" s="43"/>
    </row>
    <row r="45" spans="5:6">
      <c r="E45" s="43"/>
    </row>
    <row r="46" spans="5:6">
      <c r="E46" s="43"/>
    </row>
    <row r="60" spans="1:6">
      <c r="E60" s="32"/>
      <c r="F60" s="32"/>
    </row>
    <row r="61" spans="1:6">
      <c r="A61" s="35"/>
      <c r="B61" s="32"/>
      <c r="C61" s="32"/>
      <c r="D61" s="32"/>
      <c r="E61" s="32"/>
      <c r="F61" s="32"/>
    </row>
    <row r="62" spans="1:6">
      <c r="A62" s="35"/>
      <c r="B62" s="32"/>
      <c r="C62" s="32"/>
      <c r="D62" s="32"/>
      <c r="E62" s="32"/>
      <c r="F62" s="32"/>
    </row>
    <row r="63" spans="1:6">
      <c r="A63" s="35"/>
      <c r="B63" s="32"/>
      <c r="C63" s="32"/>
      <c r="D63" s="32"/>
      <c r="E63" s="32"/>
      <c r="F63" s="32"/>
    </row>
    <row r="64" spans="1:6">
      <c r="A64" s="36"/>
      <c r="B64" s="32"/>
      <c r="C64" s="32"/>
      <c r="D64" s="32"/>
      <c r="E64" s="32"/>
      <c r="F64" s="32"/>
    </row>
    <row r="65" spans="1:6">
      <c r="A65" s="35"/>
      <c r="B65" s="32"/>
      <c r="C65" s="32"/>
      <c r="D65" s="32"/>
      <c r="E65" s="32"/>
      <c r="F65" s="32"/>
    </row>
    <row r="66" spans="1:6">
      <c r="A66" s="35"/>
      <c r="B66" s="32"/>
      <c r="C66" s="32"/>
      <c r="D66" s="32"/>
      <c r="E66" s="32"/>
      <c r="F66" s="32"/>
    </row>
    <row r="67" spans="1:6">
      <c r="A67" s="35"/>
      <c r="B67" s="32"/>
      <c r="C67" s="32"/>
      <c r="D67" s="32"/>
      <c r="E67" s="32"/>
      <c r="F67" s="32"/>
    </row>
    <row r="68" spans="1:6">
      <c r="A68" s="35"/>
      <c r="B68" s="32"/>
      <c r="C68" s="32"/>
      <c r="D68" s="32"/>
      <c r="E68" s="32"/>
      <c r="F68" s="32"/>
    </row>
    <row r="69" spans="1:6">
      <c r="A69" s="35"/>
      <c r="B69" s="32"/>
      <c r="C69" s="32"/>
      <c r="D69" s="32"/>
      <c r="E69" s="32"/>
      <c r="F69" s="32"/>
    </row>
    <row r="70" spans="1:6">
      <c r="A70" s="35"/>
      <c r="B70" s="32"/>
      <c r="C70" s="32"/>
      <c r="D70" s="32"/>
      <c r="E70" s="32"/>
      <c r="F70" s="32"/>
    </row>
    <row r="71" spans="1:6">
      <c r="A71" s="35"/>
      <c r="B71" s="32"/>
      <c r="C71" s="32"/>
      <c r="D71" s="32"/>
      <c r="E71" s="32"/>
      <c r="F71" s="32"/>
    </row>
    <row r="72" spans="1:6">
      <c r="A72" s="35"/>
      <c r="B72" s="32"/>
      <c r="C72" s="32"/>
      <c r="D72" s="32"/>
    </row>
    <row r="73" spans="1:6">
      <c r="E73" s="32"/>
      <c r="F73" s="32"/>
    </row>
    <row r="74" spans="1:6">
      <c r="A74" s="35"/>
      <c r="B74" s="32"/>
      <c r="C74" s="32"/>
      <c r="D74" s="32"/>
      <c r="E74" s="32"/>
      <c r="F74" s="32"/>
    </row>
    <row r="75" spans="1:6">
      <c r="A75" s="35"/>
      <c r="B75" s="32"/>
      <c r="C75" s="32"/>
      <c r="D75" s="32"/>
      <c r="E75" s="32"/>
      <c r="F75" s="32"/>
    </row>
    <row r="76" spans="1:6">
      <c r="A76" s="35"/>
      <c r="B76" s="32"/>
      <c r="C76" s="32"/>
      <c r="D76" s="32"/>
    </row>
  </sheetData>
  <mergeCells count="4">
    <mergeCell ref="A22:J22"/>
    <mergeCell ref="A19:J19"/>
    <mergeCell ref="A20:J20"/>
    <mergeCell ref="A21:J21"/>
  </mergeCells>
  <pageMargins left="0.27" right="0.27" top="0.55000000000000004" bottom="0.32" header="0.21" footer="0.22"/>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85" zoomScaleNormal="85" workbookViewId="0">
      <selection activeCell="A17" sqref="A17:G17"/>
    </sheetView>
  </sheetViews>
  <sheetFormatPr defaultRowHeight="15"/>
  <cols>
    <col min="1" max="1" width="55.28515625" style="96" customWidth="1"/>
    <col min="2" max="3" width="19.85546875" style="96" customWidth="1"/>
    <col min="4" max="6" width="17.42578125" style="96" customWidth="1"/>
    <col min="7" max="7" width="16.42578125" style="96" customWidth="1"/>
    <col min="8" max="16384" width="9.140625" style="96"/>
  </cols>
  <sheetData>
    <row r="1" spans="1:8" ht="22.5" customHeight="1">
      <c r="A1" s="444" t="s">
        <v>251</v>
      </c>
      <c r="B1" s="444"/>
      <c r="C1" s="444"/>
      <c r="D1" s="444"/>
      <c r="E1" s="444"/>
      <c r="F1" s="444"/>
      <c r="G1" s="444"/>
    </row>
    <row r="2" spans="1:8" ht="22.5" customHeight="1">
      <c r="A2" s="100" t="s">
        <v>250</v>
      </c>
      <c r="B2" s="142"/>
      <c r="C2" s="142"/>
      <c r="D2" s="142"/>
      <c r="E2" s="142"/>
      <c r="F2" s="158"/>
      <c r="G2" s="142"/>
    </row>
    <row r="3" spans="1:8" ht="18.75">
      <c r="A3" s="104" t="s">
        <v>118</v>
      </c>
      <c r="B3" s="103">
        <v>2012</v>
      </c>
      <c r="C3" s="103">
        <v>2013</v>
      </c>
      <c r="D3" s="103">
        <v>2014</v>
      </c>
      <c r="E3" s="103">
        <v>2015</v>
      </c>
      <c r="F3" s="103" t="s">
        <v>297</v>
      </c>
      <c r="G3" s="103">
        <v>2017</v>
      </c>
      <c r="H3" s="96" t="s">
        <v>107</v>
      </c>
    </row>
    <row r="4" spans="1:8" ht="17.25">
      <c r="A4" s="102" t="s">
        <v>117</v>
      </c>
      <c r="B4" s="175">
        <v>115404913</v>
      </c>
      <c r="C4" s="175">
        <v>95365193</v>
      </c>
      <c r="D4" s="176">
        <v>86071758</v>
      </c>
      <c r="E4" s="176">
        <v>90272231.799999997</v>
      </c>
      <c r="F4" s="190">
        <v>89322441</v>
      </c>
      <c r="G4" s="190">
        <v>87773680</v>
      </c>
      <c r="H4" s="106">
        <f>G4/SUM(G$4:G$10)</f>
        <v>0.36534378372261767</v>
      </c>
    </row>
    <row r="5" spans="1:8" ht="17.25">
      <c r="A5" s="102" t="s">
        <v>116</v>
      </c>
      <c r="B5" s="175">
        <v>73383217</v>
      </c>
      <c r="C5" s="175">
        <v>61857476</v>
      </c>
      <c r="D5" s="176">
        <v>78704753</v>
      </c>
      <c r="E5" s="176">
        <v>68248817.269999996</v>
      </c>
      <c r="F5" s="190">
        <v>60368059</v>
      </c>
      <c r="G5" s="190">
        <v>60017984</v>
      </c>
      <c r="H5" s="106">
        <f t="shared" ref="H5:H11" si="0">G5/SUM(G$4:G$10)</f>
        <v>0.2498151765536494</v>
      </c>
    </row>
    <row r="6" spans="1:8" ht="17.25">
      <c r="A6" s="102" t="s">
        <v>115</v>
      </c>
      <c r="B6" s="175">
        <v>85320690</v>
      </c>
      <c r="C6" s="175">
        <v>101607686</v>
      </c>
      <c r="D6" s="176">
        <v>61266093</v>
      </c>
      <c r="E6" s="176">
        <v>97958650.379999995</v>
      </c>
      <c r="F6" s="190">
        <v>93424732</v>
      </c>
      <c r="G6" s="190">
        <v>83785203</v>
      </c>
      <c r="H6" s="106">
        <f t="shared" si="0"/>
        <v>0.34874239161429277</v>
      </c>
    </row>
    <row r="7" spans="1:8" ht="17.25">
      <c r="A7" s="102" t="s">
        <v>109</v>
      </c>
      <c r="B7" s="175">
        <v>2367853</v>
      </c>
      <c r="C7" s="175">
        <v>589410</v>
      </c>
      <c r="D7" s="176">
        <v>989723</v>
      </c>
      <c r="E7" s="176">
        <v>938155.66</v>
      </c>
      <c r="F7" s="190">
        <v>1085664</v>
      </c>
      <c r="G7" s="190">
        <v>1031552</v>
      </c>
      <c r="H7" s="106">
        <f t="shared" si="0"/>
        <v>4.293668794411191E-3</v>
      </c>
    </row>
    <row r="8" spans="1:8" ht="17.25">
      <c r="A8" s="102" t="s">
        <v>114</v>
      </c>
      <c r="B8" s="175">
        <v>11143660</v>
      </c>
      <c r="C8" s="175">
        <v>7215356</v>
      </c>
      <c r="D8" s="176">
        <v>8285323</v>
      </c>
      <c r="E8" s="176">
        <v>5345068.57</v>
      </c>
      <c r="F8" s="190">
        <v>7233270</v>
      </c>
      <c r="G8" s="190">
        <v>4883261</v>
      </c>
      <c r="H8" s="106">
        <f t="shared" si="0"/>
        <v>2.0325786165569151E-2</v>
      </c>
    </row>
    <row r="9" spans="1:8" ht="17.25">
      <c r="A9" s="102" t="s">
        <v>113</v>
      </c>
      <c r="B9" s="175">
        <v>1983288</v>
      </c>
      <c r="C9" s="175">
        <v>2042752</v>
      </c>
      <c r="D9" s="176">
        <v>1859249</v>
      </c>
      <c r="E9" s="176">
        <v>1991757.54</v>
      </c>
      <c r="F9" s="190">
        <v>1849774</v>
      </c>
      <c r="G9" s="190">
        <v>2000203</v>
      </c>
      <c r="H9" s="106">
        <f t="shared" si="0"/>
        <v>8.3255223232446326E-3</v>
      </c>
    </row>
    <row r="10" spans="1:8" ht="17.25">
      <c r="A10" s="102" t="s">
        <v>112</v>
      </c>
      <c r="B10" s="175">
        <v>883615</v>
      </c>
      <c r="C10" s="175">
        <v>524606</v>
      </c>
      <c r="D10" s="176">
        <v>494000</v>
      </c>
      <c r="E10" s="176">
        <v>763224.97</v>
      </c>
      <c r="F10" s="190">
        <v>642383</v>
      </c>
      <c r="G10" s="190">
        <v>757668</v>
      </c>
      <c r="H10" s="106">
        <f t="shared" si="0"/>
        <v>3.1536708262151964E-3</v>
      </c>
    </row>
    <row r="11" spans="1:8" ht="19.5">
      <c r="A11" s="100" t="s">
        <v>111</v>
      </c>
      <c r="B11" s="175">
        <f>11994+15910542</f>
        <v>15922536</v>
      </c>
      <c r="C11" s="177">
        <v>21899413</v>
      </c>
      <c r="D11" s="178">
        <v>31463211</v>
      </c>
      <c r="E11" s="178">
        <v>14032643.140000001</v>
      </c>
      <c r="F11" s="191">
        <v>20245851</v>
      </c>
      <c r="G11" s="191">
        <v>19707985</v>
      </c>
      <c r="H11" s="106">
        <f t="shared" si="0"/>
        <v>8.2031308354037255E-2</v>
      </c>
    </row>
    <row r="12" spans="1:8" ht="18" thickBot="1">
      <c r="A12" s="100"/>
      <c r="B12" s="101">
        <f t="shared" ref="B12:G12" si="1">SUM(B4:B11)</f>
        <v>306409772</v>
      </c>
      <c r="C12" s="101">
        <f t="shared" si="1"/>
        <v>291101892</v>
      </c>
      <c r="D12" s="101">
        <f t="shared" si="1"/>
        <v>269134110</v>
      </c>
      <c r="E12" s="101">
        <f t="shared" si="1"/>
        <v>279550549.32999998</v>
      </c>
      <c r="F12" s="101">
        <f t="shared" si="1"/>
        <v>274172174</v>
      </c>
      <c r="G12" s="101">
        <f t="shared" si="1"/>
        <v>259957536</v>
      </c>
    </row>
    <row r="13" spans="1:8" ht="18" thickTop="1">
      <c r="A13" s="100"/>
      <c r="B13" s="100"/>
      <c r="C13" s="100"/>
      <c r="D13" s="100"/>
      <c r="E13" s="100"/>
      <c r="F13" s="100"/>
      <c r="G13" s="99"/>
    </row>
    <row r="14" spans="1:8" ht="15.75">
      <c r="A14" s="98" t="s">
        <v>2</v>
      </c>
      <c r="B14" s="98"/>
      <c r="C14" s="98"/>
    </row>
    <row r="15" spans="1:8" ht="20.25" customHeight="1">
      <c r="A15" s="443" t="s">
        <v>110</v>
      </c>
      <c r="B15" s="443"/>
      <c r="C15" s="443"/>
      <c r="D15" s="443"/>
      <c r="E15" s="443"/>
      <c r="F15" s="443"/>
      <c r="G15" s="443"/>
      <c r="H15" s="97"/>
    </row>
    <row r="16" spans="1:8" ht="48" customHeight="1">
      <c r="A16" s="443" t="s">
        <v>252</v>
      </c>
      <c r="B16" s="443"/>
      <c r="C16" s="443"/>
      <c r="D16" s="443"/>
      <c r="E16" s="443"/>
      <c r="F16" s="443"/>
      <c r="G16" s="443"/>
      <c r="H16" s="97"/>
    </row>
    <row r="17" spans="1:8" ht="21.75" customHeight="1">
      <c r="A17" s="443" t="s">
        <v>298</v>
      </c>
      <c r="B17" s="443"/>
      <c r="C17" s="443"/>
      <c r="D17" s="443"/>
      <c r="E17" s="443"/>
      <c r="F17" s="443"/>
      <c r="G17" s="443"/>
      <c r="H17" s="97"/>
    </row>
    <row r="19" spans="1:8" ht="15.75">
      <c r="A19" s="105" t="s">
        <v>263</v>
      </c>
    </row>
    <row r="21" spans="1:8">
      <c r="A21" s="96" t="s">
        <v>103</v>
      </c>
    </row>
    <row r="22" spans="1:8">
      <c r="A22" s="96" t="str">
        <f>subtitle</f>
        <v>Total: $260.0 million includes $5.4 million in obligations to capital projects</v>
      </c>
    </row>
  </sheetData>
  <mergeCells count="4">
    <mergeCell ref="A17:G17"/>
    <mergeCell ref="A15:G15"/>
    <mergeCell ref="A16:G16"/>
    <mergeCell ref="A1:G1"/>
  </mergeCells>
  <pageMargins left="0.7" right="0.7" top="0.75" bottom="0.75" header="0.3" footer="0.3"/>
  <pageSetup scale="9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5"/>
  <sheetViews>
    <sheetView topLeftCell="A56" zoomScale="85" zoomScaleNormal="85" workbookViewId="0">
      <selection activeCell="A71" sqref="A71:I71"/>
    </sheetView>
  </sheetViews>
  <sheetFormatPr defaultRowHeight="16.5"/>
  <cols>
    <col min="1" max="1" width="12.42578125" style="120" bestFit="1" customWidth="1"/>
    <col min="2" max="2" width="66.140625" style="119" customWidth="1"/>
    <col min="3" max="3" width="13.7109375" style="118" customWidth="1"/>
    <col min="4" max="5" width="13.7109375" style="118" bestFit="1" customWidth="1"/>
    <col min="6" max="9" width="13.7109375" style="117" bestFit="1" customWidth="1"/>
    <col min="10" max="16384" width="9.140625" style="117"/>
  </cols>
  <sheetData>
    <row r="1" spans="1:9" ht="27.75" customHeight="1">
      <c r="A1" s="447" t="s">
        <v>253</v>
      </c>
      <c r="B1" s="447"/>
      <c r="C1" s="447"/>
      <c r="D1" s="447"/>
      <c r="E1" s="447"/>
      <c r="F1" s="447"/>
      <c r="G1" s="447"/>
      <c r="H1" s="447"/>
      <c r="I1" s="447"/>
    </row>
    <row r="2" spans="1:9" s="132" customFormat="1" ht="32.25" customHeight="1">
      <c r="A2" s="134" t="s">
        <v>179</v>
      </c>
      <c r="B2" s="134" t="s">
        <v>178</v>
      </c>
      <c r="C2" s="133">
        <v>2011</v>
      </c>
      <c r="D2" s="133">
        <v>2012</v>
      </c>
      <c r="E2" s="133">
        <v>2013</v>
      </c>
      <c r="F2" s="133">
        <v>2014</v>
      </c>
      <c r="G2" s="133">
        <v>2015</v>
      </c>
      <c r="H2" s="133" t="s">
        <v>300</v>
      </c>
      <c r="I2" s="133">
        <v>2017</v>
      </c>
    </row>
    <row r="3" spans="1:9">
      <c r="A3" s="120" t="s">
        <v>177</v>
      </c>
      <c r="B3" s="119" t="s">
        <v>175</v>
      </c>
      <c r="C3" s="118">
        <v>16437276</v>
      </c>
      <c r="D3" s="118">
        <v>15281324</v>
      </c>
      <c r="E3" s="118">
        <v>16789765.34</v>
      </c>
      <c r="F3" s="118">
        <v>18302893.870000001</v>
      </c>
      <c r="G3" s="118">
        <v>18662085.170000002</v>
      </c>
      <c r="H3" s="118">
        <v>20288062</v>
      </c>
      <c r="I3" s="118">
        <v>18817913.82</v>
      </c>
    </row>
    <row r="4" spans="1:9">
      <c r="B4" s="119" t="s">
        <v>176</v>
      </c>
      <c r="C4" s="118">
        <v>10011126</v>
      </c>
      <c r="D4" s="118">
        <v>10226671.5</v>
      </c>
      <c r="E4" s="118">
        <v>7294105.1900000004</v>
      </c>
      <c r="F4" s="118">
        <v>6823152.6100000003</v>
      </c>
      <c r="G4" s="118">
        <v>7869433</v>
      </c>
      <c r="H4" s="118">
        <v>6916950</v>
      </c>
      <c r="I4" s="118">
        <v>7239871.330000001</v>
      </c>
    </row>
    <row r="5" spans="1:9">
      <c r="B5" s="119" t="s">
        <v>174</v>
      </c>
      <c r="C5" s="118">
        <v>2842702</v>
      </c>
      <c r="D5" s="118">
        <v>2472045.7200000002</v>
      </c>
      <c r="E5" s="118">
        <v>2845423.81</v>
      </c>
      <c r="F5" s="118">
        <v>3425748.4</v>
      </c>
      <c r="G5" s="118">
        <v>2718120.18</v>
      </c>
      <c r="H5" s="118">
        <v>3027580</v>
      </c>
      <c r="I5" s="118">
        <v>2289092.34</v>
      </c>
    </row>
    <row r="6" spans="1:9">
      <c r="B6" s="119" t="s">
        <v>170</v>
      </c>
      <c r="C6" s="118">
        <v>2385971</v>
      </c>
      <c r="D6" s="118">
        <v>3135563.61</v>
      </c>
      <c r="E6" s="118">
        <v>2209566.7000000002</v>
      </c>
      <c r="F6" s="118">
        <v>1704163.07</v>
      </c>
      <c r="G6" s="118">
        <v>1705065.54</v>
      </c>
      <c r="H6" s="118">
        <v>1809300</v>
      </c>
      <c r="I6" s="118">
        <v>2014355.6099999999</v>
      </c>
    </row>
    <row r="7" spans="1:9">
      <c r="B7" s="119" t="s">
        <v>171</v>
      </c>
      <c r="C7" s="118">
        <v>1124508</v>
      </c>
      <c r="D7" s="118">
        <v>851567.22</v>
      </c>
      <c r="E7" s="118">
        <v>819257.58</v>
      </c>
      <c r="F7" s="118">
        <v>813991.96</v>
      </c>
      <c r="G7" s="118">
        <v>309565.11</v>
      </c>
      <c r="H7" s="118">
        <v>962585</v>
      </c>
      <c r="I7" s="118">
        <v>814089.25</v>
      </c>
    </row>
    <row r="8" spans="1:9">
      <c r="B8" s="119" t="s">
        <v>264</v>
      </c>
      <c r="C8" s="118">
        <v>750143</v>
      </c>
      <c r="D8" s="118">
        <v>573644.63</v>
      </c>
      <c r="E8" s="118">
        <v>381426.58</v>
      </c>
      <c r="F8" s="118">
        <v>379050.12</v>
      </c>
      <c r="G8" s="118">
        <v>625655.61</v>
      </c>
      <c r="H8" s="118">
        <f>793689-26.98</f>
        <v>793662.02</v>
      </c>
      <c r="I8" s="118">
        <f>392411.07</f>
        <v>392411.07</v>
      </c>
    </row>
    <row r="9" spans="1:9">
      <c r="B9" s="119" t="s">
        <v>173</v>
      </c>
      <c r="C9" s="118">
        <v>160153</v>
      </c>
      <c r="D9" s="118">
        <v>237485.58</v>
      </c>
      <c r="E9" s="118">
        <v>181861.7</v>
      </c>
      <c r="F9" s="118">
        <v>312773.18</v>
      </c>
      <c r="G9" s="118">
        <v>714662.68</v>
      </c>
      <c r="H9" s="118">
        <v>263562</v>
      </c>
      <c r="I9" s="118">
        <v>272941</v>
      </c>
    </row>
    <row r="10" spans="1:9">
      <c r="B10" s="119" t="s">
        <v>172</v>
      </c>
      <c r="C10" s="118">
        <v>358523</v>
      </c>
      <c r="D10" s="118">
        <v>358213.68</v>
      </c>
      <c r="E10" s="118">
        <v>604601.54</v>
      </c>
      <c r="F10" s="118">
        <v>171313.17</v>
      </c>
      <c r="G10" s="118">
        <v>309498.65000000002</v>
      </c>
      <c r="H10" s="118">
        <v>1278361</v>
      </c>
      <c r="I10" s="118">
        <v>272192</v>
      </c>
    </row>
    <row r="11" spans="1:9">
      <c r="B11" s="119" t="s">
        <v>131</v>
      </c>
      <c r="C11" s="118">
        <v>904925</v>
      </c>
      <c r="E11" s="118">
        <v>178002</v>
      </c>
      <c r="F11" s="118">
        <v>50000</v>
      </c>
      <c r="G11" s="118">
        <v>50000</v>
      </c>
      <c r="H11" s="118"/>
      <c r="I11" s="118"/>
    </row>
    <row r="12" spans="1:9">
      <c r="A12" s="448" t="s">
        <v>169</v>
      </c>
      <c r="B12" s="449"/>
      <c r="C12" s="123">
        <f t="shared" ref="C12:I12" si="0">SUM(C3:C11)</f>
        <v>34975327</v>
      </c>
      <c r="D12" s="123">
        <f t="shared" si="0"/>
        <v>33136515.939999994</v>
      </c>
      <c r="E12" s="123">
        <f t="shared" si="0"/>
        <v>31304010.439999994</v>
      </c>
      <c r="F12" s="123">
        <f t="shared" si="0"/>
        <v>31983086.380000003</v>
      </c>
      <c r="G12" s="122">
        <f t="shared" si="0"/>
        <v>32964085.939999998</v>
      </c>
      <c r="H12" s="122">
        <f t="shared" si="0"/>
        <v>35340062.020000003</v>
      </c>
      <c r="I12" s="122">
        <f t="shared" si="0"/>
        <v>32112866.420000002</v>
      </c>
    </row>
    <row r="13" spans="1:9">
      <c r="F13" s="118"/>
      <c r="G13" s="118"/>
      <c r="H13" s="118"/>
      <c r="I13" s="118"/>
    </row>
    <row r="14" spans="1:9">
      <c r="A14" s="120" t="s">
        <v>118</v>
      </c>
      <c r="B14" s="119" t="s">
        <v>168</v>
      </c>
      <c r="C14" s="118">
        <v>10238326</v>
      </c>
      <c r="D14" s="118">
        <v>15805508.949999999</v>
      </c>
      <c r="E14" s="118">
        <v>13248074.52</v>
      </c>
      <c r="F14" s="118">
        <v>14244565.92</v>
      </c>
      <c r="G14" s="118">
        <v>14416087.09</v>
      </c>
      <c r="H14" s="118">
        <v>15246156</v>
      </c>
      <c r="I14" s="118">
        <v>14664698.560000001</v>
      </c>
    </row>
    <row r="15" spans="1:9">
      <c r="B15" s="119" t="s">
        <v>167</v>
      </c>
      <c r="D15" s="118">
        <v>59516.38</v>
      </c>
      <c r="E15" s="118">
        <v>76366.52</v>
      </c>
      <c r="F15" s="118">
        <v>112610.87</v>
      </c>
      <c r="G15" s="118">
        <v>88522.53</v>
      </c>
      <c r="H15" s="118">
        <v>55535</v>
      </c>
      <c r="I15" s="118">
        <v>18413</v>
      </c>
    </row>
    <row r="16" spans="1:9">
      <c r="B16" s="131" t="s">
        <v>166</v>
      </c>
      <c r="C16" s="130">
        <f t="shared" ref="C16:G16" si="1">SUM(C14:C15)</f>
        <v>10238326</v>
      </c>
      <c r="D16" s="130">
        <f t="shared" si="1"/>
        <v>15865025.33</v>
      </c>
      <c r="E16" s="130">
        <f t="shared" si="1"/>
        <v>13324441.039999999</v>
      </c>
      <c r="F16" s="130">
        <f t="shared" si="1"/>
        <v>14357176.789999999</v>
      </c>
      <c r="G16" s="130">
        <f t="shared" si="1"/>
        <v>14504609.619999999</v>
      </c>
      <c r="H16" s="130">
        <f>SUM(H14:H15)</f>
        <v>15301691</v>
      </c>
      <c r="I16" s="130">
        <f>SUM(I14:I15)</f>
        <v>14683111.560000001</v>
      </c>
    </row>
    <row r="17" spans="1:9" ht="7.5" customHeight="1">
      <c r="F17" s="118"/>
      <c r="G17" s="118"/>
      <c r="H17" s="118"/>
      <c r="I17" s="118"/>
    </row>
    <row r="18" spans="1:9">
      <c r="B18" s="119" t="s">
        <v>165</v>
      </c>
      <c r="C18" s="118">
        <v>10847630</v>
      </c>
      <c r="D18" s="118">
        <v>17836560.809999999</v>
      </c>
      <c r="E18" s="118">
        <v>18281035.739999998</v>
      </c>
      <c r="F18" s="118">
        <v>13726829.310000001</v>
      </c>
      <c r="G18" s="118">
        <v>15455053.789999999</v>
      </c>
      <c r="H18" s="118">
        <v>11875775</v>
      </c>
      <c r="I18" s="118">
        <v>12451687.119999999</v>
      </c>
    </row>
    <row r="19" spans="1:9">
      <c r="B19" s="119" t="s">
        <v>164</v>
      </c>
      <c r="F19" s="118"/>
      <c r="G19" s="118"/>
      <c r="H19" s="118"/>
      <c r="I19" s="118"/>
    </row>
    <row r="20" spans="1:9">
      <c r="B20" s="119" t="s">
        <v>163</v>
      </c>
      <c r="C20" s="118">
        <v>2551533</v>
      </c>
      <c r="D20" s="118">
        <v>2487432.84</v>
      </c>
      <c r="E20" s="118">
        <v>2905499.55</v>
      </c>
      <c r="F20" s="118">
        <v>1368456.31</v>
      </c>
      <c r="G20" s="118">
        <v>2742180.2</v>
      </c>
      <c r="H20" s="118">
        <v>3352210</v>
      </c>
      <c r="I20" s="118">
        <v>4013413.03</v>
      </c>
    </row>
    <row r="21" spans="1:9">
      <c r="B21" s="131" t="s">
        <v>162</v>
      </c>
      <c r="C21" s="130">
        <f t="shared" ref="C21:G21" si="2">SUM(C18:C20)</f>
        <v>13399163</v>
      </c>
      <c r="D21" s="130">
        <f t="shared" si="2"/>
        <v>20323993.649999999</v>
      </c>
      <c r="E21" s="130">
        <f t="shared" si="2"/>
        <v>21186535.289999999</v>
      </c>
      <c r="F21" s="130">
        <f t="shared" si="2"/>
        <v>15095285.620000001</v>
      </c>
      <c r="G21" s="130">
        <f t="shared" si="2"/>
        <v>18197233.989999998</v>
      </c>
      <c r="H21" s="130">
        <f>SUM(H18:H20)</f>
        <v>15227985</v>
      </c>
      <c r="I21" s="130">
        <f>SUM(I18:I20)</f>
        <v>16465100.149999999</v>
      </c>
    </row>
    <row r="22" spans="1:9" ht="6" customHeight="1">
      <c r="F22" s="118"/>
      <c r="G22" s="118"/>
      <c r="H22" s="118"/>
      <c r="I22" s="118"/>
    </row>
    <row r="23" spans="1:9">
      <c r="B23" s="119" t="s">
        <v>161</v>
      </c>
      <c r="C23" s="118">
        <v>9148722</v>
      </c>
      <c r="D23" s="118">
        <v>11855753.15</v>
      </c>
      <c r="E23" s="118">
        <v>10691474.27</v>
      </c>
      <c r="F23" s="118">
        <v>12164790.199999999</v>
      </c>
      <c r="G23" s="118">
        <v>11894739.43</v>
      </c>
      <c r="H23" s="118">
        <v>12793663</v>
      </c>
      <c r="I23" s="118">
        <v>10976873.369999997</v>
      </c>
    </row>
    <row r="24" spans="1:9">
      <c r="B24" s="119" t="s">
        <v>160</v>
      </c>
      <c r="C24" s="118">
        <v>43689</v>
      </c>
      <c r="F24" s="118"/>
      <c r="G24" s="118"/>
      <c r="H24" s="118"/>
      <c r="I24" s="118"/>
    </row>
    <row r="25" spans="1:9">
      <c r="B25" s="131" t="s">
        <v>159</v>
      </c>
      <c r="C25" s="130">
        <f t="shared" ref="C25:I25" si="3">SUM(C23:C24)</f>
        <v>9192411</v>
      </c>
      <c r="D25" s="130">
        <f t="shared" si="3"/>
        <v>11855753.15</v>
      </c>
      <c r="E25" s="130">
        <f t="shared" si="3"/>
        <v>10691474.27</v>
      </c>
      <c r="F25" s="130">
        <f t="shared" si="3"/>
        <v>12164790.199999999</v>
      </c>
      <c r="G25" s="130">
        <f t="shared" si="3"/>
        <v>11894739.43</v>
      </c>
      <c r="H25" s="130">
        <f t="shared" si="3"/>
        <v>12793663</v>
      </c>
      <c r="I25" s="130">
        <f t="shared" si="3"/>
        <v>10976873.369999997</v>
      </c>
    </row>
    <row r="26" spans="1:9" ht="6.75" customHeight="1">
      <c r="F26" s="118"/>
      <c r="G26" s="118"/>
      <c r="H26" s="118"/>
      <c r="I26" s="118"/>
    </row>
    <row r="27" spans="1:9">
      <c r="B27" s="119" t="s">
        <v>158</v>
      </c>
      <c r="C27" s="118">
        <v>2414914</v>
      </c>
      <c r="D27" s="118">
        <v>2382531.36</v>
      </c>
      <c r="E27" s="118">
        <v>2777167.37</v>
      </c>
      <c r="F27" s="118">
        <v>3063650.19</v>
      </c>
      <c r="G27" s="118">
        <v>3051536.75</v>
      </c>
      <c r="H27" s="118">
        <v>3810995</v>
      </c>
      <c r="I27" s="118">
        <v>3076776</v>
      </c>
    </row>
    <row r="28" spans="1:9">
      <c r="B28" s="131" t="s">
        <v>157</v>
      </c>
      <c r="C28" s="130">
        <f t="shared" ref="C28:I28" si="4">SUM(C27:C27)</f>
        <v>2414914</v>
      </c>
      <c r="D28" s="130">
        <f t="shared" si="4"/>
        <v>2382531.36</v>
      </c>
      <c r="E28" s="130">
        <f t="shared" si="4"/>
        <v>2777167.37</v>
      </c>
      <c r="F28" s="130">
        <f t="shared" si="4"/>
        <v>3063650.19</v>
      </c>
      <c r="G28" s="130">
        <f t="shared" si="4"/>
        <v>3051536.75</v>
      </c>
      <c r="H28" s="130">
        <f t="shared" si="4"/>
        <v>3810995</v>
      </c>
      <c r="I28" s="130">
        <f t="shared" si="4"/>
        <v>3076776</v>
      </c>
    </row>
    <row r="29" spans="1:9" ht="18" customHeight="1">
      <c r="A29" s="450" t="s">
        <v>156</v>
      </c>
      <c r="B29" s="451"/>
      <c r="C29" s="123">
        <f t="shared" ref="C29:I29" si="5">SUM(C28,C25,C21,C16)</f>
        <v>35244814</v>
      </c>
      <c r="D29" s="123">
        <f t="shared" si="5"/>
        <v>50427303.489999995</v>
      </c>
      <c r="E29" s="123">
        <f t="shared" si="5"/>
        <v>47979617.969999999</v>
      </c>
      <c r="F29" s="123">
        <f t="shared" si="5"/>
        <v>44680902.799999997</v>
      </c>
      <c r="G29" s="122">
        <f t="shared" si="5"/>
        <v>47648119.789999999</v>
      </c>
      <c r="H29" s="122">
        <f t="shared" si="5"/>
        <v>47134334</v>
      </c>
      <c r="I29" s="122">
        <f t="shared" si="5"/>
        <v>45201861.079999998</v>
      </c>
    </row>
    <row r="30" spans="1:9">
      <c r="B30" s="129"/>
      <c r="F30" s="118"/>
      <c r="G30" s="118"/>
      <c r="H30" s="118"/>
      <c r="I30" s="118"/>
    </row>
    <row r="31" spans="1:9">
      <c r="A31" s="120" t="s">
        <v>155</v>
      </c>
      <c r="B31" s="119" t="s">
        <v>154</v>
      </c>
      <c r="C31" s="118">
        <v>658775</v>
      </c>
      <c r="D31" s="118">
        <v>831696.91</v>
      </c>
      <c r="E31" s="118">
        <v>610971.79</v>
      </c>
      <c r="F31" s="118">
        <v>761026.25</v>
      </c>
      <c r="G31" s="118">
        <v>1081654.73</v>
      </c>
      <c r="H31" s="118">
        <v>797849</v>
      </c>
      <c r="I31" s="118">
        <v>811009.52</v>
      </c>
    </row>
    <row r="32" spans="1:9">
      <c r="B32" s="119" t="s">
        <v>153</v>
      </c>
      <c r="C32" s="118">
        <v>2340704</v>
      </c>
      <c r="D32" s="118">
        <v>2668551.16</v>
      </c>
      <c r="E32" s="118">
        <v>2714055.36</v>
      </c>
      <c r="F32" s="118">
        <v>2606885.94</v>
      </c>
      <c r="G32" s="118">
        <v>2686195.65</v>
      </c>
      <c r="H32" s="118">
        <v>2722811</v>
      </c>
      <c r="I32" s="118">
        <v>2717874.71</v>
      </c>
    </row>
    <row r="33" spans="2:9">
      <c r="B33" s="119" t="s">
        <v>152</v>
      </c>
      <c r="C33" s="118">
        <v>7660904</v>
      </c>
      <c r="D33" s="118">
        <v>8747388.2599999998</v>
      </c>
      <c r="E33" s="118">
        <v>7939587.2699999996</v>
      </c>
      <c r="F33" s="118">
        <v>8553076.3699999992</v>
      </c>
      <c r="G33" s="118">
        <v>9041925.8399999999</v>
      </c>
      <c r="H33" s="118">
        <v>9140737</v>
      </c>
      <c r="I33" s="118">
        <v>9740397.0799999982</v>
      </c>
    </row>
    <row r="34" spans="2:9">
      <c r="B34" s="119" t="s">
        <v>151</v>
      </c>
      <c r="C34" s="118">
        <v>16189398</v>
      </c>
      <c r="D34" s="118">
        <f>21756503.79+237012</f>
        <v>21993515.789999999</v>
      </c>
      <c r="E34" s="118">
        <f>16771295.67+101402</f>
        <v>16872697.670000002</v>
      </c>
      <c r="F34" s="118">
        <v>15116518.9</v>
      </c>
      <c r="G34" s="118">
        <v>14293923.970000001</v>
      </c>
      <c r="H34" s="118">
        <v>15137000</v>
      </c>
      <c r="I34" s="118">
        <v>20566434.849999998</v>
      </c>
    </row>
    <row r="35" spans="2:9">
      <c r="B35" s="119" t="s">
        <v>150</v>
      </c>
      <c r="C35" s="118">
        <v>124703</v>
      </c>
      <c r="D35" s="118">
        <v>158296.26999999999</v>
      </c>
      <c r="E35" s="118">
        <v>110571.35</v>
      </c>
      <c r="F35" s="118">
        <v>140397.85999999999</v>
      </c>
      <c r="G35" s="118">
        <v>134869.24</v>
      </c>
      <c r="H35" s="118">
        <v>163102</v>
      </c>
      <c r="I35" s="118">
        <v>234021</v>
      </c>
    </row>
    <row r="36" spans="2:9">
      <c r="B36" s="119" t="s">
        <v>149</v>
      </c>
      <c r="E36" s="118">
        <v>68133.8</v>
      </c>
      <c r="F36" s="118">
        <v>52779.89</v>
      </c>
      <c r="G36" s="118">
        <v>140868.88</v>
      </c>
      <c r="H36" s="118">
        <v>124210</v>
      </c>
      <c r="I36" s="118">
        <v>102394</v>
      </c>
    </row>
    <row r="37" spans="2:9">
      <c r="B37" s="119" t="s">
        <v>148</v>
      </c>
      <c r="C37" s="118">
        <v>6859314</v>
      </c>
      <c r="D37" s="118">
        <v>7223658.5800000001</v>
      </c>
      <c r="E37" s="118">
        <v>11203329.99</v>
      </c>
      <c r="F37" s="118">
        <v>5691055.3700000001</v>
      </c>
      <c r="G37" s="118">
        <v>12065436.449999999</v>
      </c>
      <c r="H37" s="118">
        <v>6615140</v>
      </c>
      <c r="I37" s="118">
        <v>8271585.4100000001</v>
      </c>
    </row>
    <row r="38" spans="2:9">
      <c r="B38" s="119" t="s">
        <v>147</v>
      </c>
      <c r="C38" s="118">
        <v>34325</v>
      </c>
      <c r="D38" s="118">
        <v>118229.05</v>
      </c>
      <c r="E38" s="118">
        <v>364936.65</v>
      </c>
      <c r="F38" s="118">
        <v>453801.49</v>
      </c>
      <c r="G38" s="118">
        <v>633054.71999999997</v>
      </c>
      <c r="H38" s="118">
        <v>661308</v>
      </c>
      <c r="I38" s="118">
        <v>614064.73</v>
      </c>
    </row>
    <row r="39" spans="2:9">
      <c r="B39" s="119" t="s">
        <v>265</v>
      </c>
      <c r="F39" s="118"/>
      <c r="G39" s="118"/>
      <c r="H39" s="118">
        <v>4650</v>
      </c>
      <c r="I39" s="118">
        <v>-4650</v>
      </c>
    </row>
    <row r="40" spans="2:9">
      <c r="B40" s="119" t="s">
        <v>146</v>
      </c>
      <c r="C40" s="118">
        <v>2066331</v>
      </c>
      <c r="D40" s="118">
        <v>2575344.41</v>
      </c>
      <c r="E40" s="118">
        <v>2709447.93</v>
      </c>
      <c r="F40" s="118">
        <v>2962457.34</v>
      </c>
      <c r="G40" s="118">
        <v>3133721.78</v>
      </c>
      <c r="H40" s="118">
        <v>3359054</v>
      </c>
      <c r="I40" s="118">
        <v>4505004.3800000008</v>
      </c>
    </row>
    <row r="41" spans="2:9">
      <c r="B41" s="119" t="s">
        <v>145</v>
      </c>
      <c r="C41" s="118">
        <v>8537716</v>
      </c>
      <c r="D41" s="118">
        <v>12321474</v>
      </c>
      <c r="E41" s="118">
        <v>15094787.6</v>
      </c>
      <c r="F41" s="118">
        <v>21941730.670000002</v>
      </c>
      <c r="G41" s="118">
        <v>11586883.73</v>
      </c>
      <c r="H41" s="118">
        <v>15188307</v>
      </c>
      <c r="I41" s="118">
        <v>11041579.77</v>
      </c>
    </row>
    <row r="42" spans="2:9">
      <c r="B42" s="119" t="s">
        <v>144</v>
      </c>
      <c r="C42" s="118">
        <v>15349520</v>
      </c>
      <c r="D42" s="118">
        <v>16073605.48</v>
      </c>
      <c r="E42" s="118">
        <v>15800876.02</v>
      </c>
      <c r="F42" s="118">
        <v>15294864.880000001</v>
      </c>
      <c r="G42" s="118">
        <v>16713068.199999999</v>
      </c>
      <c r="H42" s="118">
        <v>16526287</v>
      </c>
      <c r="I42" s="118">
        <v>18138282.009999998</v>
      </c>
    </row>
    <row r="43" spans="2:9">
      <c r="B43" s="119" t="s">
        <v>143</v>
      </c>
      <c r="C43" s="118">
        <v>430107</v>
      </c>
      <c r="D43" s="118">
        <v>453174.96</v>
      </c>
      <c r="E43" s="118">
        <v>755838.51</v>
      </c>
      <c r="F43" s="118">
        <v>664291.94999999995</v>
      </c>
      <c r="G43" s="118">
        <v>684144.2</v>
      </c>
      <c r="H43" s="118">
        <v>632232</v>
      </c>
      <c r="I43" s="118">
        <v>613878.14000000013</v>
      </c>
    </row>
    <row r="44" spans="2:9">
      <c r="B44" s="119" t="s">
        <v>142</v>
      </c>
      <c r="C44" s="118">
        <v>2830660</v>
      </c>
      <c r="D44" s="118">
        <v>2837601.3</v>
      </c>
      <c r="E44" s="118">
        <v>4009231.03</v>
      </c>
      <c r="F44" s="118">
        <v>3551517.74</v>
      </c>
      <c r="G44" s="118">
        <v>3477187.41</v>
      </c>
      <c r="H44" s="118">
        <v>3422313</v>
      </c>
      <c r="I44" s="118">
        <v>3912663.8599999994</v>
      </c>
    </row>
    <row r="45" spans="2:9">
      <c r="B45" s="119" t="s">
        <v>141</v>
      </c>
      <c r="C45" s="118">
        <v>841382</v>
      </c>
      <c r="D45" s="118">
        <v>1147875</v>
      </c>
      <c r="E45" s="118">
        <v>694692.43</v>
      </c>
      <c r="F45" s="118">
        <v>626509.31000000006</v>
      </c>
      <c r="G45" s="118">
        <v>1086909.6599999999</v>
      </c>
      <c r="H45" s="118">
        <v>936944</v>
      </c>
      <c r="I45" s="118">
        <v>1023666</v>
      </c>
    </row>
    <row r="46" spans="2:9">
      <c r="B46" s="119" t="s">
        <v>140</v>
      </c>
      <c r="C46" s="118">
        <v>2803647</v>
      </c>
      <c r="D46" s="118">
        <v>2932795.66</v>
      </c>
      <c r="E46" s="118">
        <v>2709869.99</v>
      </c>
      <c r="F46" s="118">
        <v>3314938.77</v>
      </c>
      <c r="G46" s="118">
        <v>2989703.16</v>
      </c>
      <c r="H46" s="118">
        <v>3403933</v>
      </c>
      <c r="I46" s="118">
        <v>3673493.3099999996</v>
      </c>
    </row>
    <row r="47" spans="2:9">
      <c r="B47" s="119" t="s">
        <v>139</v>
      </c>
      <c r="C47" s="118">
        <v>11365123</v>
      </c>
      <c r="D47" s="118">
        <v>9951477.0299999993</v>
      </c>
      <c r="E47" s="118">
        <v>12122356.76</v>
      </c>
      <c r="F47" s="118">
        <v>12088601.689999999</v>
      </c>
      <c r="G47" s="118">
        <v>11248947.369999999</v>
      </c>
      <c r="H47" s="118">
        <v>10584971</v>
      </c>
      <c r="I47" s="118">
        <v>11987367.720000001</v>
      </c>
    </row>
    <row r="48" spans="2:9" ht="16.5" customHeight="1">
      <c r="B48" s="119" t="s">
        <v>138</v>
      </c>
      <c r="C48" s="118">
        <v>427731</v>
      </c>
      <c r="D48" s="118">
        <v>403540.21</v>
      </c>
      <c r="E48" s="118">
        <v>389914</v>
      </c>
      <c r="F48" s="118">
        <v>448433.02</v>
      </c>
      <c r="G48" s="118">
        <v>542524.98</v>
      </c>
      <c r="H48" s="118">
        <v>466896</v>
      </c>
      <c r="I48" s="118">
        <v>537684</v>
      </c>
    </row>
    <row r="49" spans="1:9" ht="16.5" customHeight="1">
      <c r="B49" s="119" t="s">
        <v>137</v>
      </c>
      <c r="C49" s="118">
        <v>148610</v>
      </c>
      <c r="D49" s="118">
        <v>162735.01</v>
      </c>
      <c r="E49" s="118">
        <v>206529.12</v>
      </c>
      <c r="F49" s="118">
        <v>340149.56</v>
      </c>
      <c r="G49" s="118">
        <v>393094.87</v>
      </c>
      <c r="H49" s="118">
        <v>381505</v>
      </c>
      <c r="I49" s="118">
        <v>316905</v>
      </c>
    </row>
    <row r="50" spans="1:9">
      <c r="B50" s="119" t="s">
        <v>136</v>
      </c>
      <c r="C50" s="118">
        <v>32944242</v>
      </c>
      <c r="D50" s="118">
        <v>25813515.890000001</v>
      </c>
      <c r="E50" s="118">
        <v>25447028.68</v>
      </c>
      <c r="F50" s="118">
        <v>23930423.989999998</v>
      </c>
      <c r="G50" s="118">
        <v>27481990.550000001</v>
      </c>
      <c r="H50" s="118">
        <v>27344154</v>
      </c>
      <c r="I50" s="118">
        <v>23095849.280000001</v>
      </c>
    </row>
    <row r="51" spans="1:9">
      <c r="A51" s="450" t="s">
        <v>135</v>
      </c>
      <c r="B51" s="451"/>
      <c r="C51" s="123">
        <f t="shared" ref="C51:I51" si="6">SUM(C31:C50)</f>
        <v>111613192</v>
      </c>
      <c r="D51" s="123">
        <f t="shared" si="6"/>
        <v>116414474.96999998</v>
      </c>
      <c r="E51" s="123">
        <f t="shared" si="6"/>
        <v>119824855.95000002</v>
      </c>
      <c r="F51" s="123">
        <f t="shared" si="6"/>
        <v>118539460.98999998</v>
      </c>
      <c r="G51" s="122">
        <f t="shared" si="6"/>
        <v>119416105.39</v>
      </c>
      <c r="H51" s="122">
        <f t="shared" si="6"/>
        <v>117613403</v>
      </c>
      <c r="I51" s="122">
        <f t="shared" si="6"/>
        <v>121899504.76999998</v>
      </c>
    </row>
    <row r="52" spans="1:9">
      <c r="B52" s="128"/>
      <c r="F52" s="118"/>
      <c r="G52" s="118"/>
      <c r="H52" s="118"/>
      <c r="I52" s="118"/>
    </row>
    <row r="53" spans="1:9" ht="30">
      <c r="A53" s="127" t="s">
        <v>134</v>
      </c>
      <c r="B53" s="126" t="s">
        <v>133</v>
      </c>
      <c r="C53" s="123">
        <v>13908430</v>
      </c>
      <c r="D53" s="123">
        <v>14053990.26</v>
      </c>
      <c r="E53" s="123">
        <v>12711728.189999999</v>
      </c>
      <c r="F53" s="123">
        <v>13671164.91</v>
      </c>
      <c r="G53" s="123">
        <v>13923765.529999999</v>
      </c>
      <c r="H53" s="123">
        <v>13908920</v>
      </c>
      <c r="I53" s="123">
        <v>14114665.6</v>
      </c>
    </row>
    <row r="54" spans="1:9">
      <c r="F54" s="118"/>
      <c r="G54" s="118"/>
      <c r="H54" s="118"/>
      <c r="I54" s="118"/>
    </row>
    <row r="55" spans="1:9" ht="30">
      <c r="A55" s="127" t="s">
        <v>132</v>
      </c>
      <c r="B55" s="126" t="s">
        <v>266</v>
      </c>
      <c r="C55" s="123">
        <v>3662199</v>
      </c>
      <c r="D55" s="123">
        <v>3384748.36</v>
      </c>
      <c r="E55" s="123">
        <v>2800349.96</v>
      </c>
      <c r="F55" s="123">
        <v>3123239.52</v>
      </c>
      <c r="G55" s="123">
        <v>3143475.74</v>
      </c>
      <c r="H55" s="123">
        <v>3036343</v>
      </c>
      <c r="I55" s="122">
        <v>3102343.58</v>
      </c>
    </row>
    <row r="56" spans="1:9">
      <c r="F56" s="118"/>
      <c r="G56" s="118"/>
      <c r="H56" s="118"/>
      <c r="I56" s="118"/>
    </row>
    <row r="57" spans="1:9">
      <c r="A57" s="120" t="s">
        <v>131</v>
      </c>
      <c r="B57" s="119" t="s">
        <v>130</v>
      </c>
      <c r="C57" s="118">
        <f>10945519+40925113</f>
        <v>51870632</v>
      </c>
      <c r="D57" s="118">
        <v>37603354.659999996</v>
      </c>
      <c r="E57" s="118">
        <v>36314947.420000002</v>
      </c>
      <c r="F57" s="118">
        <v>21464270.649999999</v>
      </c>
      <c r="G57" s="118">
        <f>10668380.37+13400475.72</f>
        <v>24068856.09</v>
      </c>
      <c r="H57" s="118">
        <f>13462466.61+11721518.15</f>
        <v>25183984.759999998</v>
      </c>
      <c r="I57" s="118">
        <f>9546252.65+14463906.39</f>
        <v>24010159.039999999</v>
      </c>
    </row>
    <row r="58" spans="1:9">
      <c r="B58" s="119" t="s">
        <v>129</v>
      </c>
      <c r="C58" s="125">
        <f>1844538+4089379</f>
        <v>5933917</v>
      </c>
      <c r="D58" s="125">
        <v>8235814.3799999999</v>
      </c>
      <c r="E58" s="125">
        <v>7854727.4900000002</v>
      </c>
      <c r="F58" s="125">
        <v>8969539.379999999</v>
      </c>
      <c r="G58" s="125">
        <f>7965754.11+3030019.3</f>
        <v>10995773.41</v>
      </c>
      <c r="H58" s="125">
        <f>2293472.52+5449926.33</f>
        <v>7743398.8499999996</v>
      </c>
      <c r="I58" s="125">
        <f>1622171.13+2874994.94</f>
        <v>4497166.07</v>
      </c>
    </row>
    <row r="59" spans="1:9">
      <c r="B59" s="119" t="s">
        <v>128</v>
      </c>
      <c r="C59" s="118">
        <v>1748321</v>
      </c>
      <c r="D59" s="118">
        <v>1611165.69</v>
      </c>
      <c r="E59" s="118">
        <v>1231259.69</v>
      </c>
      <c r="F59" s="118">
        <v>544683.72</v>
      </c>
      <c r="G59" s="118">
        <v>-53709.74</v>
      </c>
      <c r="H59" s="118"/>
      <c r="I59" s="118"/>
    </row>
    <row r="60" spans="1:9" ht="18">
      <c r="B60" s="119" t="s">
        <v>127</v>
      </c>
      <c r="C60" s="118">
        <v>52203712</v>
      </c>
      <c r="D60" s="118">
        <v>38048399.530000001</v>
      </c>
      <c r="E60" s="118">
        <v>23741722.07</v>
      </c>
      <c r="F60" s="118">
        <v>20104220.399999999</v>
      </c>
      <c r="G60" s="118">
        <v>22112085.41</v>
      </c>
      <c r="H60" s="118">
        <v>18204478</v>
      </c>
      <c r="I60" s="118">
        <v>8998595</v>
      </c>
    </row>
    <row r="61" spans="1:9">
      <c r="B61" s="119" t="s">
        <v>126</v>
      </c>
      <c r="C61" s="118">
        <v>935038</v>
      </c>
      <c r="D61" s="118">
        <v>1802447.45</v>
      </c>
      <c r="E61" s="118">
        <v>1810123.48</v>
      </c>
      <c r="F61" s="118">
        <v>1862081.77</v>
      </c>
      <c r="G61" s="118">
        <v>2058244.58</v>
      </c>
      <c r="H61" s="118">
        <v>1989826</v>
      </c>
      <c r="I61" s="118">
        <v>2318310.46</v>
      </c>
    </row>
    <row r="62" spans="1:9" ht="16.5" customHeight="1">
      <c r="B62" s="119" t="s">
        <v>125</v>
      </c>
      <c r="C62" s="118">
        <v>4778134</v>
      </c>
      <c r="D62" s="118">
        <v>4833194.43</v>
      </c>
      <c r="E62" s="118">
        <v>5528549.8099999996</v>
      </c>
      <c r="F62" s="118">
        <v>4191459.14</v>
      </c>
      <c r="G62" s="118">
        <v>5148896.25</v>
      </c>
      <c r="H62" s="118">
        <v>4792260</v>
      </c>
      <c r="I62" s="118">
        <v>4538278</v>
      </c>
    </row>
    <row r="63" spans="1:9">
      <c r="B63" s="119" t="s">
        <v>124</v>
      </c>
      <c r="C63" s="118">
        <v>-5658821</v>
      </c>
      <c r="D63" s="118">
        <v>-3141637.28</v>
      </c>
      <c r="F63" s="118"/>
      <c r="G63" s="118">
        <v>-1875149.14</v>
      </c>
      <c r="H63" s="118">
        <v>-774836</v>
      </c>
      <c r="I63" s="118">
        <v>-836214</v>
      </c>
    </row>
    <row r="64" spans="1:9">
      <c r="A64" s="452" t="s">
        <v>123</v>
      </c>
      <c r="B64" s="453"/>
      <c r="C64" s="123">
        <f t="shared" ref="C64:I64" si="7">SUM(C57:C63)</f>
        <v>111810933</v>
      </c>
      <c r="D64" s="123">
        <f t="shared" si="7"/>
        <v>88992738.859999985</v>
      </c>
      <c r="E64" s="123">
        <f t="shared" si="7"/>
        <v>76481329.960000008</v>
      </c>
      <c r="F64" s="123">
        <f t="shared" si="7"/>
        <v>57136255.059999995</v>
      </c>
      <c r="G64" s="122">
        <f t="shared" si="7"/>
        <v>62454996.859999999</v>
      </c>
      <c r="H64" s="122">
        <f t="shared" si="7"/>
        <v>57139111.609999999</v>
      </c>
      <c r="I64" s="122">
        <f t="shared" si="7"/>
        <v>43526294.57</v>
      </c>
    </row>
    <row r="65" spans="1:9">
      <c r="A65" s="124"/>
      <c r="B65" s="124"/>
      <c r="F65" s="118"/>
      <c r="G65" s="118"/>
      <c r="H65" s="118"/>
      <c r="I65" s="118"/>
    </row>
    <row r="66" spans="1:9">
      <c r="A66" s="450" t="s">
        <v>122</v>
      </c>
      <c r="B66" s="451"/>
      <c r="C66" s="123">
        <f t="shared" ref="C66:I66" si="8">C12+C29+C51+C53+C55+C64</f>
        <v>311214895</v>
      </c>
      <c r="D66" s="123">
        <f t="shared" si="8"/>
        <v>306409771.88</v>
      </c>
      <c r="E66" s="123">
        <f t="shared" si="8"/>
        <v>291101892.47000003</v>
      </c>
      <c r="F66" s="123">
        <f t="shared" si="8"/>
        <v>269134109.65999997</v>
      </c>
      <c r="G66" s="122">
        <f t="shared" si="8"/>
        <v>279550549.25</v>
      </c>
      <c r="H66" s="122">
        <f t="shared" si="8"/>
        <v>274172173.63</v>
      </c>
      <c r="I66" s="122">
        <f t="shared" si="8"/>
        <v>259957536.01999998</v>
      </c>
    </row>
    <row r="68" spans="1:9">
      <c r="A68" s="120" t="s">
        <v>121</v>
      </c>
    </row>
    <row r="69" spans="1:9" ht="16.5" customHeight="1">
      <c r="A69" s="121" t="s">
        <v>120</v>
      </c>
      <c r="B69" s="121"/>
      <c r="C69" s="121"/>
      <c r="D69" s="121"/>
      <c r="E69" s="121"/>
    </row>
    <row r="70" spans="1:9">
      <c r="A70" s="121" t="s">
        <v>301</v>
      </c>
      <c r="B70" s="121"/>
      <c r="C70" s="121"/>
      <c r="D70" s="121"/>
      <c r="E70" s="121"/>
    </row>
    <row r="71" spans="1:9">
      <c r="A71" s="446" t="s">
        <v>267</v>
      </c>
      <c r="B71" s="446"/>
      <c r="C71" s="446"/>
      <c r="D71" s="446"/>
      <c r="E71" s="446"/>
      <c r="F71" s="446"/>
      <c r="G71" s="446"/>
      <c r="H71" s="446"/>
      <c r="I71" s="446"/>
    </row>
    <row r="72" spans="1:9">
      <c r="A72" s="206" t="s">
        <v>327</v>
      </c>
      <c r="B72" s="206"/>
      <c r="C72" s="206"/>
      <c r="D72" s="206"/>
      <c r="E72" s="206"/>
      <c r="F72" s="206"/>
      <c r="G72" s="206"/>
      <c r="H72" s="206"/>
      <c r="I72" s="206"/>
    </row>
    <row r="73" spans="1:9" ht="35.25" customHeight="1">
      <c r="A73" s="445" t="s">
        <v>328</v>
      </c>
      <c r="B73" s="445"/>
      <c r="C73" s="445"/>
      <c r="D73" s="445"/>
      <c r="E73" s="445"/>
      <c r="F73" s="445"/>
      <c r="G73" s="445"/>
    </row>
    <row r="74" spans="1:9" ht="35.25" customHeight="1">
      <c r="A74" s="209"/>
      <c r="B74" s="209"/>
      <c r="C74" s="209"/>
      <c r="D74" s="209"/>
      <c r="E74" s="209"/>
      <c r="F74" s="209"/>
      <c r="G74" s="209"/>
    </row>
    <row r="75" spans="1:9">
      <c r="G75" s="117" t="s">
        <v>303</v>
      </c>
      <c r="H75" s="117" t="str">
        <f>subtitle</f>
        <v>Total: $260.0 million includes $5.4 million in obligations to capital projects</v>
      </c>
    </row>
    <row r="76" spans="1:9" ht="49.5">
      <c r="A76" s="120" t="s">
        <v>180</v>
      </c>
      <c r="B76" s="119" t="s">
        <v>302</v>
      </c>
    </row>
    <row r="78" spans="1:9">
      <c r="A78" s="120" t="s">
        <v>181</v>
      </c>
      <c r="B78" s="135" t="s">
        <v>186</v>
      </c>
      <c r="C78" s="118">
        <v>18817913.82</v>
      </c>
      <c r="D78" s="135"/>
      <c r="E78" s="192"/>
      <c r="F78" s="118"/>
    </row>
    <row r="79" spans="1:9">
      <c r="A79" s="120" t="s">
        <v>181</v>
      </c>
      <c r="B79" s="135" t="s">
        <v>187</v>
      </c>
      <c r="C79" s="118">
        <v>7239871.330000001</v>
      </c>
      <c r="D79" s="135"/>
      <c r="E79" s="192"/>
      <c r="F79" s="118"/>
    </row>
    <row r="80" spans="1:9">
      <c r="A80" s="120" t="s">
        <v>181</v>
      </c>
      <c r="B80" s="135" t="s">
        <v>188</v>
      </c>
      <c r="C80" s="118">
        <v>2289092.34</v>
      </c>
      <c r="D80" s="135"/>
      <c r="E80" s="192"/>
      <c r="F80" s="118"/>
    </row>
    <row r="81" spans="1:6">
      <c r="A81" s="120" t="s">
        <v>181</v>
      </c>
      <c r="B81" s="135" t="s">
        <v>189</v>
      </c>
      <c r="C81" s="118">
        <v>2014355.6099999999</v>
      </c>
      <c r="D81" s="135"/>
      <c r="E81" s="192"/>
      <c r="F81" s="118"/>
    </row>
    <row r="82" spans="1:6">
      <c r="A82" s="120" t="s">
        <v>181</v>
      </c>
      <c r="B82" s="135" t="s">
        <v>268</v>
      </c>
      <c r="C82" s="118">
        <v>814089.25</v>
      </c>
      <c r="D82" s="135"/>
      <c r="E82" s="192"/>
      <c r="F82" s="118"/>
    </row>
    <row r="83" spans="1:6">
      <c r="A83" s="120" t="s">
        <v>181</v>
      </c>
      <c r="B83" s="135" t="s">
        <v>190</v>
      </c>
      <c r="C83" s="118">
        <v>937544</v>
      </c>
      <c r="D83" s="135"/>
      <c r="E83" s="192"/>
      <c r="F83" s="118"/>
    </row>
    <row r="84" spans="1:6">
      <c r="A84" s="120" t="s">
        <v>182</v>
      </c>
      <c r="B84" s="135" t="s">
        <v>191</v>
      </c>
      <c r="C84" s="118">
        <v>14664699</v>
      </c>
      <c r="D84" s="135"/>
      <c r="E84" s="192"/>
      <c r="F84" s="118"/>
    </row>
    <row r="85" spans="1:6">
      <c r="A85" s="120" t="s">
        <v>182</v>
      </c>
      <c r="B85" s="135" t="s">
        <v>192</v>
      </c>
      <c r="C85" s="118">
        <v>12451687</v>
      </c>
      <c r="D85" s="135"/>
      <c r="F85" s="118"/>
    </row>
    <row r="86" spans="1:6">
      <c r="A86" s="120" t="s">
        <v>182</v>
      </c>
      <c r="B86" s="135" t="s">
        <v>193</v>
      </c>
      <c r="C86" s="118">
        <v>10976873</v>
      </c>
      <c r="D86" s="135"/>
    </row>
    <row r="87" spans="1:6">
      <c r="A87" s="120" t="s">
        <v>182</v>
      </c>
      <c r="B87" s="135" t="s">
        <v>195</v>
      </c>
      <c r="C87" s="118">
        <v>4013413</v>
      </c>
    </row>
    <row r="88" spans="1:6">
      <c r="A88" s="120" t="s">
        <v>182</v>
      </c>
      <c r="B88" s="135" t="s">
        <v>194</v>
      </c>
      <c r="C88" s="118">
        <v>3076776</v>
      </c>
    </row>
    <row r="89" spans="1:6">
      <c r="A89" s="120" t="s">
        <v>183</v>
      </c>
      <c r="B89" s="135" t="s">
        <v>196</v>
      </c>
      <c r="C89" s="118">
        <v>23095849.280000001</v>
      </c>
      <c r="D89" s="192"/>
    </row>
    <row r="90" spans="1:6">
      <c r="A90" s="120" t="s">
        <v>183</v>
      </c>
      <c r="B90" s="135" t="s">
        <v>199</v>
      </c>
      <c r="C90" s="118">
        <v>20566434.849999998</v>
      </c>
      <c r="D90" s="192"/>
    </row>
    <row r="91" spans="1:6">
      <c r="A91" s="120" t="s">
        <v>183</v>
      </c>
      <c r="B91" s="135" t="s">
        <v>198</v>
      </c>
      <c r="C91" s="118">
        <v>18138282.009999998</v>
      </c>
      <c r="D91" s="192"/>
    </row>
    <row r="92" spans="1:6">
      <c r="A92" s="120" t="s">
        <v>183</v>
      </c>
      <c r="B92" s="135" t="s">
        <v>200</v>
      </c>
      <c r="C92" s="118">
        <v>11987367.720000001</v>
      </c>
      <c r="D92" s="192"/>
    </row>
    <row r="93" spans="1:6">
      <c r="A93" s="120" t="s">
        <v>183</v>
      </c>
      <c r="B93" s="135" t="s">
        <v>197</v>
      </c>
      <c r="C93" s="118">
        <v>11041579.77</v>
      </c>
      <c r="D93" s="192"/>
    </row>
    <row r="94" spans="1:6">
      <c r="A94" s="120" t="s">
        <v>183</v>
      </c>
      <c r="B94" s="135" t="s">
        <v>201</v>
      </c>
      <c r="C94" s="118">
        <v>9740397.0799999982</v>
      </c>
      <c r="D94" s="192"/>
    </row>
    <row r="95" spans="1:6">
      <c r="A95" s="120" t="s">
        <v>183</v>
      </c>
      <c r="B95" s="135" t="s">
        <v>202</v>
      </c>
      <c r="C95" s="118">
        <v>8271585.4100000001</v>
      </c>
      <c r="D95" s="192"/>
    </row>
    <row r="96" spans="1:6">
      <c r="A96" s="120" t="s">
        <v>183</v>
      </c>
      <c r="B96" s="135" t="s">
        <v>205</v>
      </c>
      <c r="C96" s="118">
        <v>4505004.3800000008</v>
      </c>
      <c r="D96" s="192"/>
    </row>
    <row r="97" spans="1:4">
      <c r="A97" s="120" t="s">
        <v>183</v>
      </c>
      <c r="B97" s="135" t="s">
        <v>203</v>
      </c>
      <c r="C97" s="118">
        <v>3912663.8599999994</v>
      </c>
      <c r="D97" s="192"/>
    </row>
    <row r="98" spans="1:4">
      <c r="A98" s="120" t="s">
        <v>183</v>
      </c>
      <c r="B98" s="135" t="s">
        <v>204</v>
      </c>
      <c r="C98" s="118">
        <v>3673493.3099999996</v>
      </c>
      <c r="D98" s="192"/>
    </row>
    <row r="99" spans="1:4">
      <c r="A99" s="120" t="s">
        <v>183</v>
      </c>
      <c r="B99" s="135" t="s">
        <v>206</v>
      </c>
      <c r="C99" s="118">
        <v>2717874.71</v>
      </c>
      <c r="D99" s="192"/>
    </row>
    <row r="100" spans="1:4">
      <c r="A100" s="120" t="s">
        <v>183</v>
      </c>
      <c r="B100" s="135" t="s">
        <v>258</v>
      </c>
      <c r="C100" s="118">
        <v>1023666</v>
      </c>
      <c r="D100" s="192"/>
    </row>
    <row r="101" spans="1:4">
      <c r="A101" s="120" t="s">
        <v>183</v>
      </c>
      <c r="B101" s="135" t="s">
        <v>259</v>
      </c>
      <c r="C101" s="118">
        <v>811009.52</v>
      </c>
      <c r="D101" s="192"/>
    </row>
    <row r="102" spans="1:4" ht="18" customHeight="1">
      <c r="A102" s="120" t="s">
        <v>183</v>
      </c>
      <c r="B102" s="135" t="s">
        <v>207</v>
      </c>
      <c r="C102" s="118">
        <v>2414297</v>
      </c>
      <c r="D102" s="192"/>
    </row>
    <row r="103" spans="1:4">
      <c r="A103" s="120" t="s">
        <v>184</v>
      </c>
      <c r="B103" s="135" t="s">
        <v>208</v>
      </c>
      <c r="C103" s="118">
        <v>14114665.6</v>
      </c>
      <c r="D103" s="192"/>
    </row>
    <row r="104" spans="1:4">
      <c r="A104" s="120" t="s">
        <v>185</v>
      </c>
      <c r="B104" s="135" t="s">
        <v>185</v>
      </c>
      <c r="C104" s="207">
        <v>3102343.58</v>
      </c>
      <c r="D104" s="192"/>
    </row>
    <row r="105" spans="1:4">
      <c r="A105" s="120" t="s">
        <v>53</v>
      </c>
      <c r="B105" s="135" t="s">
        <v>209</v>
      </c>
      <c r="C105" s="118">
        <f>9546252.65+14463906.39</f>
        <v>24010159.039999999</v>
      </c>
      <c r="D105" s="192"/>
    </row>
    <row r="106" spans="1:4">
      <c r="A106" s="120" t="s">
        <v>53</v>
      </c>
      <c r="B106" s="135" t="s">
        <v>210</v>
      </c>
      <c r="C106" s="118">
        <v>8998595</v>
      </c>
      <c r="D106" s="192"/>
    </row>
    <row r="107" spans="1:4">
      <c r="A107" s="120" t="s">
        <v>53</v>
      </c>
      <c r="B107" s="135" t="s">
        <v>212</v>
      </c>
      <c r="C107" s="118">
        <v>4538278</v>
      </c>
      <c r="D107" s="192"/>
    </row>
    <row r="108" spans="1:4">
      <c r="A108" s="120" t="s">
        <v>53</v>
      </c>
      <c r="B108" s="135" t="s">
        <v>211</v>
      </c>
      <c r="C108" s="125">
        <f>1622171.13+2874994.94</f>
        <v>4497166.07</v>
      </c>
      <c r="D108" s="192"/>
    </row>
    <row r="109" spans="1:4">
      <c r="A109" s="120" t="s">
        <v>53</v>
      </c>
      <c r="B109" s="135" t="s">
        <v>269</v>
      </c>
      <c r="C109" s="118">
        <v>2318310.46</v>
      </c>
    </row>
    <row r="111" spans="1:4">
      <c r="B111" s="135"/>
    </row>
    <row r="112" spans="1:4">
      <c r="B112" s="135"/>
    </row>
    <row r="113" spans="2:2">
      <c r="B113" s="135"/>
    </row>
    <row r="114" spans="2:2">
      <c r="B114" s="135"/>
    </row>
    <row r="115" spans="2:2">
      <c r="B115" s="135"/>
    </row>
  </sheetData>
  <sortState ref="D89:E108">
    <sortCondition descending="1" ref="E89:E108"/>
  </sortState>
  <mergeCells count="8">
    <mergeCell ref="A73:G73"/>
    <mergeCell ref="A71:I71"/>
    <mergeCell ref="A1:I1"/>
    <mergeCell ref="A12:B12"/>
    <mergeCell ref="A29:B29"/>
    <mergeCell ref="A51:B51"/>
    <mergeCell ref="A66:B66"/>
    <mergeCell ref="A64:B64"/>
  </mergeCells>
  <pageMargins left="0.25" right="0.25" top="0.75" bottom="0.75" header="0.3" footer="0.3"/>
  <pageSetup scale="8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opLeftCell="A19" zoomScale="70" zoomScaleNormal="70" workbookViewId="0">
      <selection activeCell="A54" sqref="A54"/>
    </sheetView>
  </sheetViews>
  <sheetFormatPr defaultRowHeight="12.75"/>
  <cols>
    <col min="1" max="1" width="58" customWidth="1"/>
    <col min="2" max="8" width="15.5703125" customWidth="1"/>
  </cols>
  <sheetData>
    <row r="1" spans="1:8" ht="18">
      <c r="A1" s="140" t="str">
        <f>"Table/Figure 11: Direct Program Costs of Land Purchases for Fish and Wildlife Habitat, FY"&amp;B3&amp;"-"&amp;H3</f>
        <v>Table/Figure 11: Direct Program Costs of Land Purchases for Fish and Wildlife Habitat, FY2011-2017</v>
      </c>
    </row>
    <row r="3" spans="1:8" ht="16.5">
      <c r="A3" s="136" t="s">
        <v>54</v>
      </c>
      <c r="B3" s="137">
        <v>2011</v>
      </c>
      <c r="C3" s="137">
        <v>2012</v>
      </c>
      <c r="D3" s="137">
        <v>2013</v>
      </c>
      <c r="E3" s="137">
        <v>2014</v>
      </c>
      <c r="F3" s="137">
        <v>2015</v>
      </c>
      <c r="G3" s="137" t="s">
        <v>300</v>
      </c>
      <c r="H3" s="137">
        <v>2017</v>
      </c>
    </row>
    <row r="4" spans="1:8" ht="16.5" customHeight="1">
      <c r="A4" s="138" t="s">
        <v>214</v>
      </c>
      <c r="B4" s="109">
        <v>9716071</v>
      </c>
      <c r="C4" s="109"/>
      <c r="D4" s="109">
        <v>4595329</v>
      </c>
      <c r="E4" s="109"/>
      <c r="F4" s="109">
        <v>1082452</v>
      </c>
      <c r="G4" s="109">
        <v>10868814</v>
      </c>
      <c r="H4" s="109">
        <v>5038680</v>
      </c>
    </row>
    <row r="5" spans="1:8" ht="16.5">
      <c r="A5" s="138" t="s">
        <v>61</v>
      </c>
      <c r="B5" s="109"/>
      <c r="C5" s="109"/>
      <c r="D5" s="109"/>
      <c r="E5" s="109"/>
      <c r="F5" s="109">
        <v>7980000</v>
      </c>
      <c r="G5" s="109">
        <v>680000</v>
      </c>
      <c r="H5" s="109">
        <v>2438220</v>
      </c>
    </row>
    <row r="6" spans="1:8" ht="16.5">
      <c r="A6" s="138" t="s">
        <v>76</v>
      </c>
      <c r="B6" s="109">
        <f>2047308+187197+321656+788000</f>
        <v>3344161</v>
      </c>
      <c r="C6" s="109">
        <v>4437146.2</v>
      </c>
      <c r="D6" s="109">
        <v>333123.40000000002</v>
      </c>
      <c r="E6" s="109"/>
      <c r="F6" s="109"/>
      <c r="G6" s="109">
        <v>260540</v>
      </c>
      <c r="H6" s="109">
        <v>866530</v>
      </c>
    </row>
    <row r="7" spans="1:8" ht="16.5">
      <c r="A7" s="138" t="s">
        <v>70</v>
      </c>
      <c r="B7" s="109">
        <f>1144937+2923209</f>
        <v>4068146</v>
      </c>
      <c r="C7" s="109">
        <v>6370225.5</v>
      </c>
      <c r="D7" s="109">
        <v>1596594</v>
      </c>
      <c r="E7" s="109">
        <v>2196196.7799999998</v>
      </c>
      <c r="F7" s="109">
        <v>490964.5</v>
      </c>
      <c r="G7" s="109">
        <v>1815933.75</v>
      </c>
      <c r="H7" s="109">
        <v>476466</v>
      </c>
    </row>
    <row r="8" spans="1:8" ht="16.5">
      <c r="A8" s="138" t="s">
        <v>56</v>
      </c>
      <c r="B8" s="109"/>
      <c r="C8" s="109">
        <v>5306043</v>
      </c>
      <c r="D8" s="109">
        <v>1711234.64</v>
      </c>
      <c r="E8" s="109">
        <v>693095.5</v>
      </c>
      <c r="F8" s="109">
        <v>2051603.16</v>
      </c>
      <c r="G8" s="109">
        <v>40307.800000000003</v>
      </c>
      <c r="H8" s="109">
        <v>99543</v>
      </c>
    </row>
    <row r="9" spans="1:8" ht="33">
      <c r="A9" s="138" t="s">
        <v>270</v>
      </c>
      <c r="B9" s="109">
        <v>1750665</v>
      </c>
      <c r="C9" s="109">
        <v>1675162.1</v>
      </c>
      <c r="D9" s="109">
        <v>348570</v>
      </c>
      <c r="E9" s="109"/>
      <c r="F9" s="109"/>
      <c r="G9" s="109">
        <v>85216.5</v>
      </c>
      <c r="H9" s="109">
        <v>72676</v>
      </c>
    </row>
    <row r="10" spans="1:8" ht="16.5">
      <c r="A10" s="138" t="s">
        <v>67</v>
      </c>
      <c r="B10" s="109">
        <f>788+5000</f>
        <v>5788</v>
      </c>
      <c r="C10" s="109">
        <v>820.08</v>
      </c>
      <c r="D10" s="109">
        <v>5000</v>
      </c>
      <c r="E10" s="109">
        <v>5000</v>
      </c>
      <c r="F10" s="109">
        <v>5729</v>
      </c>
      <c r="G10" s="109">
        <v>5899.13</v>
      </c>
      <c r="H10" s="109">
        <v>5980</v>
      </c>
    </row>
    <row r="11" spans="1:8" ht="16.5">
      <c r="A11" s="138" t="s">
        <v>63</v>
      </c>
      <c r="B11" s="109"/>
      <c r="C11" s="109">
        <v>946738.51</v>
      </c>
      <c r="D11" s="109"/>
      <c r="E11" s="109"/>
      <c r="F11" s="109"/>
      <c r="G11" s="109"/>
      <c r="H11" s="109">
        <v>500</v>
      </c>
    </row>
    <row r="12" spans="1:8" ht="16.5">
      <c r="A12" s="138" t="s">
        <v>256</v>
      </c>
      <c r="B12" s="109"/>
      <c r="C12" s="109"/>
      <c r="D12" s="109"/>
      <c r="E12" s="109"/>
      <c r="F12" s="109">
        <v>562383</v>
      </c>
      <c r="G12" s="109"/>
      <c r="H12" s="109"/>
    </row>
    <row r="13" spans="1:8" ht="16.5">
      <c r="A13" s="138" t="s">
        <v>55</v>
      </c>
      <c r="B13" s="109"/>
      <c r="C13" s="109">
        <v>1075000</v>
      </c>
      <c r="D13" s="109"/>
      <c r="E13" s="109"/>
      <c r="F13" s="109"/>
      <c r="G13" s="109"/>
      <c r="H13" s="109"/>
    </row>
    <row r="14" spans="1:8" ht="16.5">
      <c r="A14" s="138" t="s">
        <v>79</v>
      </c>
      <c r="B14" s="109"/>
      <c r="C14" s="109"/>
      <c r="D14" s="109">
        <v>1212330</v>
      </c>
      <c r="E14" s="109"/>
      <c r="F14" s="109"/>
      <c r="G14" s="109"/>
      <c r="H14" s="109"/>
    </row>
    <row r="15" spans="1:8" ht="16.5">
      <c r="A15" s="138" t="s">
        <v>57</v>
      </c>
      <c r="B15" s="109">
        <f>544388+176423</f>
        <v>720811</v>
      </c>
      <c r="C15" s="109">
        <v>1743906.48</v>
      </c>
      <c r="D15" s="109">
        <v>1611629.5</v>
      </c>
      <c r="E15" s="109">
        <v>283048.12</v>
      </c>
      <c r="F15" s="109"/>
      <c r="G15" s="109"/>
      <c r="H15" s="109"/>
    </row>
    <row r="16" spans="1:8" ht="16.5">
      <c r="A16" s="138" t="s">
        <v>58</v>
      </c>
      <c r="B16" s="109"/>
      <c r="C16" s="109">
        <v>54304.5</v>
      </c>
      <c r="D16" s="109">
        <v>3596391</v>
      </c>
      <c r="E16" s="109">
        <v>12500</v>
      </c>
      <c r="F16" s="109">
        <v>1741196.75</v>
      </c>
      <c r="G16" s="109"/>
      <c r="H16" s="109"/>
    </row>
    <row r="17" spans="1:8" ht="16.5">
      <c r="A17" s="138" t="s">
        <v>255</v>
      </c>
      <c r="B17" s="109"/>
      <c r="C17" s="109"/>
      <c r="D17" s="109"/>
      <c r="E17" s="109"/>
      <c r="F17" s="109">
        <v>3632833</v>
      </c>
      <c r="G17" s="109"/>
      <c r="H17" s="109"/>
    </row>
    <row r="18" spans="1:8" ht="16.5">
      <c r="A18" s="138" t="s">
        <v>78</v>
      </c>
      <c r="B18" s="109"/>
      <c r="C18" s="109"/>
      <c r="D18" s="109">
        <v>520081</v>
      </c>
      <c r="E18" s="109"/>
      <c r="F18" s="109"/>
      <c r="G18" s="109"/>
      <c r="H18" s="109"/>
    </row>
    <row r="19" spans="1:8" ht="16.5">
      <c r="A19" s="138" t="s">
        <v>254</v>
      </c>
      <c r="B19" s="109"/>
      <c r="C19" s="109"/>
      <c r="D19" s="109"/>
      <c r="E19" s="109"/>
      <c r="F19" s="109">
        <v>423162</v>
      </c>
      <c r="G19" s="109"/>
      <c r="H19" s="109"/>
    </row>
    <row r="20" spans="1:8" ht="16.5">
      <c r="A20" s="138" t="s">
        <v>59</v>
      </c>
      <c r="B20" s="109"/>
      <c r="C20" s="109">
        <v>772500</v>
      </c>
      <c r="D20" s="109">
        <v>1500000</v>
      </c>
      <c r="E20" s="109">
        <v>244082</v>
      </c>
      <c r="F20" s="109">
        <v>947500</v>
      </c>
      <c r="G20" s="109"/>
      <c r="H20" s="109"/>
    </row>
    <row r="21" spans="1:8" ht="16.5">
      <c r="A21" s="138" t="s">
        <v>60</v>
      </c>
      <c r="B21" s="109"/>
      <c r="C21" s="109">
        <v>5059268</v>
      </c>
      <c r="D21" s="109"/>
      <c r="E21" s="109">
        <v>14000000</v>
      </c>
      <c r="F21" s="109"/>
      <c r="G21" s="109">
        <v>1877580.5</v>
      </c>
      <c r="H21" s="109"/>
    </row>
    <row r="22" spans="1:8" ht="16.5">
      <c r="A22" s="138" t="s">
        <v>62</v>
      </c>
      <c r="B22" s="109"/>
      <c r="C22" s="109"/>
      <c r="D22" s="109"/>
      <c r="E22" s="109"/>
      <c r="F22" s="109"/>
      <c r="G22" s="109"/>
      <c r="H22" s="109"/>
    </row>
    <row r="23" spans="1:8" ht="16.5">
      <c r="A23" s="138" t="s">
        <v>80</v>
      </c>
      <c r="B23" s="109"/>
      <c r="C23" s="109">
        <v>52986</v>
      </c>
      <c r="D23" s="109"/>
      <c r="E23" s="109">
        <v>318372</v>
      </c>
      <c r="F23" s="109"/>
      <c r="G23" s="109"/>
      <c r="H23" s="109"/>
    </row>
    <row r="24" spans="1:8" ht="16.5">
      <c r="A24" s="138" t="s">
        <v>64</v>
      </c>
      <c r="B24" s="109"/>
      <c r="C24" s="109"/>
      <c r="D24" s="109"/>
      <c r="E24" s="109"/>
      <c r="F24" s="109"/>
      <c r="G24" s="109"/>
      <c r="H24" s="109"/>
    </row>
    <row r="25" spans="1:8" ht="16.5">
      <c r="A25" s="138" t="s">
        <v>213</v>
      </c>
      <c r="B25" s="109">
        <v>9750112</v>
      </c>
      <c r="C25" s="109">
        <v>1349403</v>
      </c>
      <c r="D25" s="109">
        <v>642763</v>
      </c>
      <c r="E25" s="109">
        <v>1610425</v>
      </c>
      <c r="F25" s="109">
        <v>154274</v>
      </c>
      <c r="G25" s="109"/>
      <c r="H25" s="109"/>
    </row>
    <row r="26" spans="1:8" ht="16.5">
      <c r="A26" s="138" t="s">
        <v>65</v>
      </c>
      <c r="B26" s="109"/>
      <c r="C26" s="109"/>
      <c r="D26" s="109"/>
      <c r="E26" s="109"/>
      <c r="F26" s="109"/>
      <c r="G26" s="109"/>
      <c r="H26" s="109"/>
    </row>
    <row r="27" spans="1:8" ht="16.5">
      <c r="A27" s="138" t="s">
        <v>66</v>
      </c>
      <c r="B27" s="109">
        <v>20851010</v>
      </c>
      <c r="C27" s="109"/>
      <c r="D27" s="109">
        <v>3412000</v>
      </c>
      <c r="E27" s="109"/>
      <c r="F27" s="109">
        <v>2268978</v>
      </c>
      <c r="G27" s="109"/>
      <c r="H27" s="109"/>
    </row>
    <row r="28" spans="1:8" ht="16.5">
      <c r="A28" s="138" t="s">
        <v>68</v>
      </c>
      <c r="B28" s="109"/>
      <c r="C28" s="109"/>
      <c r="D28" s="109">
        <v>600000</v>
      </c>
      <c r="E28" s="109"/>
      <c r="F28" s="109"/>
      <c r="G28" s="109"/>
      <c r="H28" s="109"/>
    </row>
    <row r="29" spans="1:8" ht="33">
      <c r="A29" s="138" t="s">
        <v>69</v>
      </c>
      <c r="B29" s="109"/>
      <c r="C29" s="109"/>
      <c r="D29" s="109"/>
      <c r="E29" s="109"/>
      <c r="F29" s="109"/>
      <c r="G29" s="109"/>
      <c r="H29" s="109"/>
    </row>
    <row r="30" spans="1:8" ht="16.5">
      <c r="A30" s="138" t="s">
        <v>71</v>
      </c>
      <c r="B30" s="109">
        <v>1996948</v>
      </c>
      <c r="C30" s="109">
        <v>3666163</v>
      </c>
      <c r="D30" s="109"/>
      <c r="E30" s="109"/>
      <c r="F30" s="109"/>
      <c r="G30" s="109">
        <v>786320</v>
      </c>
      <c r="H30" s="109"/>
    </row>
    <row r="31" spans="1:8" ht="16.5">
      <c r="A31" s="138" t="s">
        <v>72</v>
      </c>
      <c r="B31" s="109"/>
      <c r="C31" s="109">
        <v>3156008</v>
      </c>
      <c r="D31" s="109"/>
      <c r="E31" s="109"/>
      <c r="F31" s="109"/>
      <c r="G31" s="109"/>
      <c r="H31" s="109"/>
    </row>
    <row r="32" spans="1:8" ht="16.5">
      <c r="A32" s="138" t="s">
        <v>304</v>
      </c>
      <c r="B32" s="109"/>
      <c r="C32" s="109"/>
      <c r="D32" s="109"/>
      <c r="E32" s="109"/>
      <c r="F32" s="109"/>
      <c r="G32" s="109"/>
      <c r="H32" s="109"/>
    </row>
    <row r="33" spans="1:11" ht="16.5">
      <c r="A33" s="138" t="s">
        <v>73</v>
      </c>
      <c r="B33" s="109"/>
      <c r="C33" s="109">
        <v>15381.84</v>
      </c>
      <c r="D33" s="109"/>
      <c r="E33" s="109"/>
      <c r="F33" s="109">
        <v>771010</v>
      </c>
      <c r="G33" s="109">
        <v>1783866</v>
      </c>
      <c r="H33" s="109"/>
    </row>
    <row r="34" spans="1:11" ht="16.5">
      <c r="A34" s="138" t="s">
        <v>74</v>
      </c>
      <c r="B34" s="109"/>
      <c r="C34" s="109"/>
      <c r="D34" s="109"/>
      <c r="E34" s="109"/>
      <c r="F34" s="109"/>
      <c r="G34" s="109"/>
      <c r="H34" s="109"/>
    </row>
    <row r="35" spans="1:11" ht="16.5">
      <c r="A35" s="138" t="s">
        <v>215</v>
      </c>
      <c r="B35" s="109"/>
      <c r="C35" s="109">
        <v>2365285.0499999998</v>
      </c>
      <c r="D35" s="109">
        <v>572468.53</v>
      </c>
      <c r="E35" s="109"/>
      <c r="F35" s="109"/>
      <c r="G35" s="109"/>
      <c r="H35" s="109"/>
    </row>
    <row r="36" spans="1:11" ht="16.5">
      <c r="A36" s="138" t="s">
        <v>75</v>
      </c>
      <c r="B36" s="109"/>
      <c r="C36" s="109"/>
      <c r="D36" s="109">
        <v>500509</v>
      </c>
      <c r="E36" s="109">
        <v>741501</v>
      </c>
      <c r="F36" s="109"/>
      <c r="G36" s="109"/>
      <c r="H36" s="109"/>
    </row>
    <row r="37" spans="1:11" ht="16.5">
      <c r="A37" s="138" t="s">
        <v>77</v>
      </c>
      <c r="B37" s="109"/>
      <c r="C37" s="109"/>
      <c r="D37" s="109">
        <v>983699</v>
      </c>
      <c r="E37" s="109"/>
      <c r="F37" s="109"/>
      <c r="G37" s="109"/>
      <c r="H37" s="109"/>
    </row>
    <row r="38" spans="1:11" ht="14.25" customHeight="1">
      <c r="A38" s="139" t="s">
        <v>108</v>
      </c>
      <c r="B38" s="78">
        <f t="shared" ref="B38:H38" si="0">SUM(B4:B37)</f>
        <v>52203712</v>
      </c>
      <c r="C38" s="78">
        <f t="shared" si="0"/>
        <v>38046341.260000005</v>
      </c>
      <c r="D38" s="78">
        <f t="shared" si="0"/>
        <v>23741722.07</v>
      </c>
      <c r="E38" s="78">
        <f t="shared" si="0"/>
        <v>20104220.399999999</v>
      </c>
      <c r="F38" s="78">
        <f t="shared" si="0"/>
        <v>22112085.41</v>
      </c>
      <c r="G38" s="78">
        <f t="shared" si="0"/>
        <v>18204477.68</v>
      </c>
      <c r="H38" s="78">
        <f t="shared" si="0"/>
        <v>8998595</v>
      </c>
    </row>
    <row r="40" spans="1:11" ht="14.25">
      <c r="A40" s="141" t="s">
        <v>217</v>
      </c>
    </row>
    <row r="41" spans="1:11" ht="16.5">
      <c r="A41" s="455" t="s">
        <v>216</v>
      </c>
      <c r="B41" s="455"/>
      <c r="C41" s="455"/>
      <c r="D41" s="455"/>
      <c r="E41" s="455"/>
      <c r="F41" s="455"/>
      <c r="G41" s="455"/>
      <c r="H41" s="455"/>
      <c r="I41" s="455"/>
      <c r="J41" s="455"/>
      <c r="K41" s="455"/>
    </row>
    <row r="42" spans="1:11" ht="16.5">
      <c r="A42" s="455" t="s">
        <v>305</v>
      </c>
      <c r="B42" s="455"/>
      <c r="C42" s="455"/>
      <c r="D42" s="455"/>
      <c r="E42" s="455"/>
      <c r="F42" s="455"/>
      <c r="G42" s="455"/>
      <c r="H42" s="455"/>
      <c r="I42" s="455"/>
      <c r="J42" s="455"/>
      <c r="K42" s="455"/>
    </row>
    <row r="43" spans="1:11" ht="16.5">
      <c r="A43" s="454" t="s">
        <v>306</v>
      </c>
      <c r="B43" s="454"/>
      <c r="C43" s="454"/>
      <c r="D43" s="454"/>
      <c r="E43" s="454"/>
      <c r="F43" s="454"/>
      <c r="G43" s="454"/>
      <c r="H43" s="454"/>
      <c r="I43" s="454"/>
      <c r="J43" s="454"/>
      <c r="K43" s="454"/>
    </row>
    <row r="46" spans="1:11" ht="14.25">
      <c r="A46" s="141" t="s">
        <v>218</v>
      </c>
    </row>
    <row r="47" spans="1:11" ht="16.5">
      <c r="A47" s="138" t="s">
        <v>214</v>
      </c>
      <c r="B47" s="109">
        <v>5038680</v>
      </c>
    </row>
    <row r="48" spans="1:11" ht="16.5">
      <c r="A48" s="138" t="s">
        <v>61</v>
      </c>
      <c r="B48" s="109">
        <v>2438220</v>
      </c>
    </row>
    <row r="49" spans="1:2" ht="16.5">
      <c r="A49" s="138" t="s">
        <v>76</v>
      </c>
      <c r="B49" s="109">
        <v>866530</v>
      </c>
    </row>
    <row r="50" spans="1:2" ht="16.5">
      <c r="A50" s="138" t="s">
        <v>70</v>
      </c>
      <c r="B50" s="109">
        <v>476466</v>
      </c>
    </row>
    <row r="51" spans="1:2" ht="16.5">
      <c r="A51" s="138" t="s">
        <v>56</v>
      </c>
      <c r="B51" s="109">
        <v>99543</v>
      </c>
    </row>
    <row r="52" spans="1:2" ht="16.5">
      <c r="A52" s="138"/>
      <c r="B52" s="109"/>
    </row>
    <row r="53" spans="1:2" ht="16.5">
      <c r="A53" s="138" t="s">
        <v>303</v>
      </c>
      <c r="B53" s="109"/>
    </row>
    <row r="54" spans="1:2">
      <c r="A54" t="str">
        <f>"Total: $" &amp; TEXT(H38,"#0.0,,") &amp; " million"</f>
        <v>Total: $9.0 million</v>
      </c>
    </row>
    <row r="56" spans="1:2" ht="16.5">
      <c r="A56" s="138"/>
      <c r="B56" s="109"/>
    </row>
    <row r="57" spans="1:2" ht="16.5">
      <c r="A57" s="138"/>
      <c r="B57" s="109"/>
    </row>
    <row r="58" spans="1:2" ht="16.5">
      <c r="A58" s="138"/>
      <c r="B58" s="109"/>
    </row>
    <row r="59" spans="1:2" ht="16.5">
      <c r="A59" s="138"/>
      <c r="B59" s="109"/>
    </row>
    <row r="60" spans="1:2" ht="16.5">
      <c r="A60" s="138"/>
      <c r="B60" s="109"/>
    </row>
    <row r="61" spans="1:2" ht="16.5">
      <c r="A61" s="138"/>
      <c r="B61" s="109"/>
    </row>
    <row r="62" spans="1:2" ht="16.5">
      <c r="A62" s="138"/>
      <c r="B62" s="109"/>
    </row>
    <row r="63" spans="1:2" ht="16.5">
      <c r="A63" s="138"/>
      <c r="B63" s="109"/>
    </row>
    <row r="64" spans="1:2" ht="16.5">
      <c r="A64" s="138"/>
      <c r="B64" s="109"/>
    </row>
    <row r="65" spans="1:2" ht="16.5">
      <c r="A65" s="138"/>
      <c r="B65" s="109"/>
    </row>
    <row r="66" spans="1:2" ht="16.5">
      <c r="A66" s="138"/>
      <c r="B66" s="109"/>
    </row>
    <row r="67" spans="1:2" ht="16.5">
      <c r="A67" s="138"/>
      <c r="B67" s="109"/>
    </row>
    <row r="68" spans="1:2" ht="16.5">
      <c r="A68" s="138"/>
      <c r="B68" s="109"/>
    </row>
    <row r="69" spans="1:2" ht="16.5">
      <c r="A69" s="138"/>
      <c r="B69" s="109"/>
    </row>
    <row r="70" spans="1:2" ht="16.5">
      <c r="A70" s="138"/>
      <c r="B70" s="109"/>
    </row>
    <row r="71" spans="1:2" ht="16.5">
      <c r="A71" s="138"/>
      <c r="B71" s="109"/>
    </row>
    <row r="72" spans="1:2" ht="16.5">
      <c r="A72" s="138"/>
      <c r="B72" s="109"/>
    </row>
    <row r="73" spans="1:2" ht="16.5">
      <c r="A73" s="138"/>
      <c r="B73" s="109"/>
    </row>
    <row r="74" spans="1:2" ht="16.5">
      <c r="A74" s="138"/>
      <c r="B74" s="109"/>
    </row>
  </sheetData>
  <sortState ref="A4:H37">
    <sortCondition descending="1" ref="H4:H37"/>
  </sortState>
  <mergeCells count="3">
    <mergeCell ref="A43:K43"/>
    <mergeCell ref="A41:K41"/>
    <mergeCell ref="A42:K42"/>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
  <sheetViews>
    <sheetView tabSelected="1" zoomScale="115" zoomScaleNormal="115" workbookViewId="0">
      <pane xSplit="1" ySplit="3" topLeftCell="B4" activePane="bottomRight" state="frozen"/>
      <selection pane="topRight" activeCell="B1" sqref="B1"/>
      <selection pane="bottomLeft" activeCell="A2" sqref="A2"/>
      <selection pane="bottomRight" activeCell="A14" sqref="A14"/>
    </sheetView>
  </sheetViews>
  <sheetFormatPr defaultRowHeight="12.75"/>
  <cols>
    <col min="1" max="1" width="21" style="44" customWidth="1"/>
    <col min="2" max="29" width="9.28515625" style="44" bestFit="1" customWidth="1"/>
    <col min="30" max="30" width="10.28515625" style="44" bestFit="1" customWidth="1"/>
    <col min="31" max="31" width="11.5703125" style="44" customWidth="1"/>
    <col min="32" max="36" width="10.28515625" style="44" bestFit="1" customWidth="1"/>
    <col min="37" max="37" width="10.28515625" style="44" customWidth="1"/>
    <col min="38" max="38" width="9.140625" style="44"/>
    <col min="39" max="39" width="9.42578125" style="44" bestFit="1" customWidth="1"/>
    <col min="40" max="16384" width="9.140625" style="44"/>
  </cols>
  <sheetData>
    <row r="1" spans="1:39" s="153" customFormat="1" ht="15">
      <c r="A1" s="21" t="s">
        <v>271</v>
      </c>
    </row>
    <row r="2" spans="1:39" s="153" customFormat="1" ht="13.5"/>
    <row r="3" spans="1:39" s="153" customFormat="1" ht="13.5">
      <c r="B3" s="156" t="s">
        <v>86</v>
      </c>
      <c r="C3" s="156">
        <v>1981</v>
      </c>
      <c r="D3" s="156">
        <v>1982</v>
      </c>
      <c r="E3" s="156">
        <v>1983</v>
      </c>
      <c r="F3" s="156">
        <v>1984</v>
      </c>
      <c r="G3" s="156">
        <v>1985</v>
      </c>
      <c r="H3" s="156">
        <v>1986</v>
      </c>
      <c r="I3" s="156">
        <v>1987</v>
      </c>
      <c r="J3" s="156">
        <v>1988</v>
      </c>
      <c r="K3" s="156">
        <v>1989</v>
      </c>
      <c r="L3" s="156">
        <v>1990</v>
      </c>
      <c r="M3" s="156">
        <v>1991</v>
      </c>
      <c r="N3" s="156">
        <v>1992</v>
      </c>
      <c r="O3" s="156">
        <v>1993</v>
      </c>
      <c r="P3" s="156">
        <v>1994</v>
      </c>
      <c r="Q3" s="156">
        <v>1995</v>
      </c>
      <c r="R3" s="156">
        <v>1996</v>
      </c>
      <c r="S3" s="156">
        <v>1997</v>
      </c>
      <c r="T3" s="156">
        <v>1998</v>
      </c>
      <c r="U3" s="156">
        <v>1999</v>
      </c>
      <c r="V3" s="156">
        <v>2000</v>
      </c>
      <c r="W3" s="156">
        <v>2001</v>
      </c>
      <c r="X3" s="156">
        <v>2002</v>
      </c>
      <c r="Y3" s="156">
        <v>2003</v>
      </c>
      <c r="Z3" s="156">
        <v>2004</v>
      </c>
      <c r="AA3" s="156">
        <v>2005</v>
      </c>
      <c r="AB3" s="156">
        <v>2006</v>
      </c>
      <c r="AC3" s="156">
        <v>2007</v>
      </c>
      <c r="AD3" s="156">
        <v>2008</v>
      </c>
      <c r="AE3" s="156">
        <v>2009</v>
      </c>
      <c r="AF3" s="156">
        <v>2010</v>
      </c>
      <c r="AG3" s="156">
        <v>2011</v>
      </c>
      <c r="AH3" s="156">
        <v>2012</v>
      </c>
      <c r="AI3" s="156">
        <v>2013</v>
      </c>
      <c r="AJ3" s="156">
        <v>2014</v>
      </c>
      <c r="AK3" s="156">
        <v>2015</v>
      </c>
      <c r="AL3" s="156">
        <v>2016</v>
      </c>
      <c r="AM3" s="156">
        <v>2017</v>
      </c>
    </row>
    <row r="4" spans="1:39" s="153" customFormat="1" ht="13.5">
      <c r="A4" s="153" t="s">
        <v>85</v>
      </c>
      <c r="B4" s="154">
        <v>0</v>
      </c>
      <c r="C4" s="154">
        <v>0</v>
      </c>
      <c r="D4" s="154">
        <v>0</v>
      </c>
      <c r="E4" s="154">
        <v>0</v>
      </c>
      <c r="F4" s="154">
        <v>12</v>
      </c>
      <c r="G4" s="154">
        <v>29</v>
      </c>
      <c r="H4" s="154">
        <v>103</v>
      </c>
      <c r="I4" s="154">
        <v>114</v>
      </c>
      <c r="J4" s="154">
        <v>154</v>
      </c>
      <c r="K4" s="154">
        <v>194</v>
      </c>
      <c r="L4" s="154">
        <v>234</v>
      </c>
      <c r="M4" s="154">
        <v>274</v>
      </c>
      <c r="N4" s="154">
        <v>333</v>
      </c>
      <c r="O4" s="154">
        <v>437</v>
      </c>
      <c r="P4" s="154">
        <v>548.70000000000005</v>
      </c>
      <c r="Q4" s="154">
        <v>612.20000000000005</v>
      </c>
      <c r="R4" s="154">
        <v>612.20000000000005</v>
      </c>
      <c r="S4" s="154">
        <v>612.20000000000005</v>
      </c>
      <c r="T4" s="154">
        <v>617.6</v>
      </c>
      <c r="U4" s="154">
        <v>665.2</v>
      </c>
      <c r="V4" s="154">
        <v>730</v>
      </c>
      <c r="W4" s="154">
        <v>2119.6</v>
      </c>
      <c r="X4" s="154">
        <v>2267.4</v>
      </c>
      <c r="Y4" s="154">
        <v>2438.5</v>
      </c>
      <c r="Z4" s="154">
        <v>2629.5</v>
      </c>
      <c r="AA4" s="154">
        <v>2740.3</v>
      </c>
      <c r="AB4" s="154">
        <v>2908.5</v>
      </c>
      <c r="AC4" s="154">
        <v>3029.2</v>
      </c>
      <c r="AD4" s="154">
        <v>3304.1</v>
      </c>
      <c r="AE4" s="154">
        <v>3544.4</v>
      </c>
      <c r="AF4" s="154">
        <v>3854.5</v>
      </c>
      <c r="AG4" s="154">
        <v>3925.2</v>
      </c>
      <c r="AH4" s="154">
        <v>3963.7</v>
      </c>
      <c r="AI4" s="154">
        <v>4049.8</v>
      </c>
      <c r="AJ4" s="154">
        <v>4246</v>
      </c>
      <c r="AK4" s="154">
        <v>4313.2</v>
      </c>
      <c r="AL4" s="154">
        <v>4363.5</v>
      </c>
      <c r="AM4" s="154">
        <v>4343</v>
      </c>
    </row>
    <row r="5" spans="1:39" s="153" customFormat="1" ht="13.5">
      <c r="A5" s="153" t="s">
        <v>84</v>
      </c>
      <c r="B5" s="154">
        <v>0</v>
      </c>
      <c r="C5" s="154">
        <v>3</v>
      </c>
      <c r="D5" s="154">
        <v>17</v>
      </c>
      <c r="E5" s="154">
        <v>18</v>
      </c>
      <c r="F5" s="154">
        <v>26</v>
      </c>
      <c r="G5" s="154">
        <v>53</v>
      </c>
      <c r="H5" s="154">
        <v>72</v>
      </c>
      <c r="I5" s="154">
        <v>79</v>
      </c>
      <c r="J5" s="154">
        <v>89</v>
      </c>
      <c r="K5" s="154">
        <v>104</v>
      </c>
      <c r="L5" s="154">
        <v>119</v>
      </c>
      <c r="M5" s="154">
        <v>134</v>
      </c>
      <c r="N5" s="154">
        <v>137</v>
      </c>
      <c r="O5" s="154">
        <v>182</v>
      </c>
      <c r="P5" s="154">
        <v>244</v>
      </c>
      <c r="Q5" s="154">
        <v>251.1</v>
      </c>
      <c r="R5" s="154">
        <v>332.8</v>
      </c>
      <c r="S5" s="154">
        <v>440.6</v>
      </c>
      <c r="T5" s="154">
        <v>557.1</v>
      </c>
      <c r="U5" s="154">
        <v>754.9</v>
      </c>
      <c r="V5" s="154">
        <v>948</v>
      </c>
      <c r="W5" s="154">
        <v>1063.9000000000001</v>
      </c>
      <c r="X5" s="154">
        <v>1076.5</v>
      </c>
      <c r="Y5" s="154">
        <v>1155.7</v>
      </c>
      <c r="Z5" s="154">
        <v>1177.4000000000001</v>
      </c>
      <c r="AA5" s="154">
        <v>1359.5</v>
      </c>
      <c r="AB5" s="154">
        <v>1756.9</v>
      </c>
      <c r="AC5" s="154">
        <v>2039.5</v>
      </c>
      <c r="AD5" s="154">
        <v>2335</v>
      </c>
      <c r="AE5" s="154">
        <v>2477.8000000000002</v>
      </c>
      <c r="AF5" s="154">
        <v>2577.4</v>
      </c>
      <c r="AG5" s="154">
        <v>2734.1</v>
      </c>
      <c r="AH5" s="154">
        <v>2886.3</v>
      </c>
      <c r="AI5" s="154">
        <v>3021.3</v>
      </c>
      <c r="AJ5" s="154">
        <v>3144</v>
      </c>
      <c r="AK5" s="154">
        <v>3340.1</v>
      </c>
      <c r="AL5" s="154">
        <v>3407.6</v>
      </c>
      <c r="AM5" s="154">
        <v>3417.2</v>
      </c>
    </row>
    <row r="6" spans="1:39" s="153" customFormat="1" ht="13.5">
      <c r="A6" s="153" t="s">
        <v>83</v>
      </c>
      <c r="B6" s="154">
        <v>15</v>
      </c>
      <c r="C6" s="154">
        <v>21</v>
      </c>
      <c r="D6" s="154">
        <v>32.5</v>
      </c>
      <c r="E6" s="154">
        <v>46.7</v>
      </c>
      <c r="F6" s="154">
        <v>62.7</v>
      </c>
      <c r="G6" s="154">
        <v>82.6</v>
      </c>
      <c r="H6" s="154">
        <v>106.3</v>
      </c>
      <c r="I6" s="154">
        <v>136</v>
      </c>
      <c r="J6" s="154">
        <v>155</v>
      </c>
      <c r="K6" s="154">
        <v>178.6</v>
      </c>
      <c r="L6" s="154">
        <v>202</v>
      </c>
      <c r="M6" s="154">
        <v>226.3</v>
      </c>
      <c r="N6" s="154">
        <v>254.7</v>
      </c>
      <c r="O6" s="154">
        <v>285.2</v>
      </c>
      <c r="P6" s="154">
        <v>320.10000000000002</v>
      </c>
      <c r="Q6" s="154">
        <v>356.2</v>
      </c>
      <c r="R6" s="154">
        <v>391.6</v>
      </c>
      <c r="S6" s="154">
        <v>427.5</v>
      </c>
      <c r="T6" s="154">
        <v>463.9</v>
      </c>
      <c r="U6" s="154">
        <v>502.8</v>
      </c>
      <c r="V6" s="154">
        <v>540.4</v>
      </c>
      <c r="W6" s="154">
        <v>582.9</v>
      </c>
      <c r="X6" s="154">
        <v>633.79999999999995</v>
      </c>
      <c r="Y6" s="154">
        <v>686.4</v>
      </c>
      <c r="Z6" s="154">
        <v>743.6</v>
      </c>
      <c r="AA6" s="154">
        <v>801.5</v>
      </c>
      <c r="AB6" s="154">
        <v>862.2</v>
      </c>
      <c r="AC6" s="154">
        <v>922.5</v>
      </c>
      <c r="AD6" s="154">
        <v>984.7</v>
      </c>
      <c r="AE6" s="154">
        <v>1049</v>
      </c>
      <c r="AF6" s="154">
        <v>1114</v>
      </c>
      <c r="AG6" s="154">
        <v>1188.3</v>
      </c>
      <c r="AH6" s="154">
        <v>1261.3</v>
      </c>
      <c r="AI6" s="154">
        <v>1344.7</v>
      </c>
      <c r="AJ6" s="154">
        <v>1435</v>
      </c>
      <c r="AK6" s="154">
        <v>1515</v>
      </c>
      <c r="AL6" s="154">
        <v>1603.2</v>
      </c>
      <c r="AM6" s="154">
        <v>1688.3600000000001</v>
      </c>
    </row>
    <row r="7" spans="1:39" s="153" customFormat="1" ht="13.5">
      <c r="A7" s="153" t="s">
        <v>82</v>
      </c>
      <c r="B7" s="154">
        <v>2.2999999999999998</v>
      </c>
      <c r="C7" s="154">
        <v>4.5999999999999996</v>
      </c>
      <c r="D7" s="154">
        <v>9.1999999999999993</v>
      </c>
      <c r="E7" s="154">
        <v>18.3</v>
      </c>
      <c r="F7" s="154">
        <v>37.9</v>
      </c>
      <c r="G7" s="154">
        <v>53.8</v>
      </c>
      <c r="H7" s="154">
        <v>73.400000000000006</v>
      </c>
      <c r="I7" s="154">
        <v>95.6</v>
      </c>
      <c r="J7" s="154">
        <v>114.4</v>
      </c>
      <c r="K7" s="154">
        <v>137.4</v>
      </c>
      <c r="L7" s="154">
        <v>170.2</v>
      </c>
      <c r="M7" s="154">
        <v>203.2</v>
      </c>
      <c r="N7" s="154">
        <v>270.2</v>
      </c>
      <c r="O7" s="154">
        <v>319.8</v>
      </c>
      <c r="P7" s="154">
        <v>375.7</v>
      </c>
      <c r="Q7" s="154">
        <v>447.1</v>
      </c>
      <c r="R7" s="154">
        <v>515.6</v>
      </c>
      <c r="S7" s="154">
        <v>597.79999999999995</v>
      </c>
      <c r="T7" s="154">
        <v>702.7</v>
      </c>
      <c r="U7" s="154">
        <v>810.9</v>
      </c>
      <c r="V7" s="154">
        <v>919.1</v>
      </c>
      <c r="W7" s="154">
        <v>1020.2</v>
      </c>
      <c r="X7" s="154">
        <v>1157.3</v>
      </c>
      <c r="Y7" s="154">
        <v>1298</v>
      </c>
      <c r="Z7" s="154">
        <v>1435.9</v>
      </c>
      <c r="AA7" s="154">
        <v>1571.7</v>
      </c>
      <c r="AB7" s="154">
        <v>1709.3</v>
      </c>
      <c r="AC7" s="154">
        <v>1848.8</v>
      </c>
      <c r="AD7" s="154">
        <v>1998</v>
      </c>
      <c r="AE7" s="154">
        <v>2175.9</v>
      </c>
      <c r="AF7" s="154">
        <v>2375.5</v>
      </c>
      <c r="AG7" s="154">
        <v>2596.6</v>
      </c>
      <c r="AH7" s="154">
        <v>2845.5</v>
      </c>
      <c r="AI7" s="154">
        <v>3084.2</v>
      </c>
      <c r="AJ7" s="154">
        <v>3316</v>
      </c>
      <c r="AK7" s="154">
        <v>3574.5</v>
      </c>
      <c r="AL7" s="154">
        <v>3832.6</v>
      </c>
      <c r="AM7" s="154">
        <v>4087.2999999999997</v>
      </c>
    </row>
    <row r="8" spans="1:39" s="153" customFormat="1" ht="13.5">
      <c r="A8" s="153" t="s">
        <v>81</v>
      </c>
      <c r="B8" s="154">
        <v>24</v>
      </c>
      <c r="C8" s="154">
        <v>32.799999999999997</v>
      </c>
      <c r="D8" s="154">
        <v>61.1</v>
      </c>
      <c r="E8" s="154">
        <v>77</v>
      </c>
      <c r="F8" s="154">
        <v>93.6</v>
      </c>
      <c r="G8" s="154">
        <v>113.8</v>
      </c>
      <c r="H8" s="154">
        <v>135.4</v>
      </c>
      <c r="I8" s="154">
        <v>163.9</v>
      </c>
      <c r="J8" s="154">
        <v>194.9</v>
      </c>
      <c r="K8" s="154">
        <v>226.8</v>
      </c>
      <c r="L8" s="154">
        <v>261.10000000000002</v>
      </c>
      <c r="M8" s="154">
        <v>299.3</v>
      </c>
      <c r="N8" s="154">
        <v>341.2</v>
      </c>
      <c r="O8" s="154">
        <v>394.8</v>
      </c>
      <c r="P8" s="154">
        <v>456.1</v>
      </c>
      <c r="Q8" s="154">
        <v>519.70000000000005</v>
      </c>
      <c r="R8" s="154">
        <v>592.79999999999995</v>
      </c>
      <c r="S8" s="154">
        <v>669.1</v>
      </c>
      <c r="T8" s="154">
        <v>743.2</v>
      </c>
      <c r="U8" s="154">
        <v>819.3</v>
      </c>
      <c r="V8" s="154">
        <v>895.6</v>
      </c>
      <c r="W8" s="154">
        <v>973.8</v>
      </c>
      <c r="X8" s="154">
        <v>1052</v>
      </c>
      <c r="Y8" s="154">
        <v>1132.5</v>
      </c>
      <c r="Z8" s="154">
        <v>1217.9000000000001</v>
      </c>
      <c r="AA8" s="154">
        <v>1307.5999999999999</v>
      </c>
      <c r="AB8" s="154">
        <v>1395.1</v>
      </c>
      <c r="AC8" s="154">
        <v>1508</v>
      </c>
      <c r="AD8" s="154">
        <v>1620.9</v>
      </c>
      <c r="AE8" s="154">
        <v>1740.9</v>
      </c>
      <c r="AF8" s="154">
        <v>1863.9</v>
      </c>
      <c r="AG8" s="154">
        <v>1991.1</v>
      </c>
      <c r="AH8" s="154">
        <v>2122.6</v>
      </c>
      <c r="AI8" s="154">
        <v>2253.6999999999998</v>
      </c>
      <c r="AJ8" s="154">
        <v>2395</v>
      </c>
      <c r="AK8" s="154">
        <v>2557.9</v>
      </c>
      <c r="AL8" s="154">
        <v>2706.1</v>
      </c>
      <c r="AM8" s="154">
        <v>2827.5</v>
      </c>
    </row>
    <row r="9" spans="1:39" s="153" customFormat="1" ht="13.5">
      <c r="A9" s="155" t="s">
        <v>257</v>
      </c>
      <c r="B9" s="154">
        <f>SUM(B4:B8)</f>
        <v>41.3</v>
      </c>
      <c r="C9" s="154">
        <v>76.599999999999994</v>
      </c>
      <c r="D9" s="154">
        <v>168.4</v>
      </c>
      <c r="E9" s="154">
        <v>247.8</v>
      </c>
      <c r="F9" s="154">
        <v>312.39999999999998</v>
      </c>
      <c r="G9" s="154">
        <v>448.8</v>
      </c>
      <c r="H9" s="154">
        <v>602.20000000000005</v>
      </c>
      <c r="I9" s="154">
        <v>757.4</v>
      </c>
      <c r="J9" s="154">
        <v>860.5</v>
      </c>
      <c r="K9" s="154">
        <v>975.7</v>
      </c>
      <c r="L9" s="154">
        <v>1107.5999999999999</v>
      </c>
      <c r="M9" s="154">
        <v>1241.5999999999999</v>
      </c>
      <c r="N9" s="154">
        <v>1431.1</v>
      </c>
      <c r="O9" s="154">
        <v>1763.3</v>
      </c>
      <c r="P9" s="154">
        <v>2087.6999999999998</v>
      </c>
      <c r="Q9" s="154">
        <v>2337.4</v>
      </c>
      <c r="R9" s="154">
        <v>2594.1</v>
      </c>
      <c r="S9" s="154">
        <v>2805.5</v>
      </c>
      <c r="T9" s="154">
        <v>3090.7</v>
      </c>
      <c r="U9" s="154">
        <v>3512</v>
      </c>
      <c r="V9" s="154">
        <v>3992</v>
      </c>
      <c r="W9" s="154">
        <v>5719.3</v>
      </c>
      <c r="X9" s="154">
        <v>6146.1</v>
      </c>
      <c r="Y9" s="154">
        <v>6670.2</v>
      </c>
      <c r="Z9" s="154">
        <v>7163.4</v>
      </c>
      <c r="AA9" s="154">
        <v>7738.7</v>
      </c>
      <c r="AB9" s="154">
        <v>8590.4</v>
      </c>
      <c r="AC9" s="154">
        <v>9306.4</v>
      </c>
      <c r="AD9" s="154">
        <v>10182.1</v>
      </c>
      <c r="AE9" s="154">
        <v>10927.4</v>
      </c>
      <c r="AF9" s="154">
        <v>11729.7</v>
      </c>
      <c r="AG9" s="154">
        <v>12435.3</v>
      </c>
      <c r="AH9" s="154">
        <f t="shared" ref="AH9:AM9" si="0">SUM(AH4:AH8)</f>
        <v>13079.4</v>
      </c>
      <c r="AI9" s="154">
        <f t="shared" si="0"/>
        <v>13753.7</v>
      </c>
      <c r="AJ9" s="154">
        <f t="shared" si="0"/>
        <v>14536</v>
      </c>
      <c r="AK9" s="154">
        <f t="shared" si="0"/>
        <v>15300.699999999999</v>
      </c>
      <c r="AL9" s="154">
        <f t="shared" si="0"/>
        <v>15913.000000000002</v>
      </c>
      <c r="AM9" s="154">
        <f t="shared" si="0"/>
        <v>16363.359999999999</v>
      </c>
    </row>
    <row r="10" spans="1:39" s="153" customFormat="1" ht="13.5">
      <c r="A10" s="155"/>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row>
    <row r="11" spans="1:39" s="153" customFormat="1" ht="13.5">
      <c r="A11" s="155"/>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row>
    <row r="12" spans="1:39" s="153" customFormat="1" ht="13.5">
      <c r="A12" s="153" t="s">
        <v>262</v>
      </c>
      <c r="B12" s="160"/>
      <c r="C12" s="159">
        <f>C7-B7</f>
        <v>2.2999999999999998</v>
      </c>
      <c r="D12" s="159">
        <f t="shared" ref="D12:AH12" si="1">D7-C7</f>
        <v>4.5999999999999996</v>
      </c>
      <c r="E12" s="159">
        <f t="shared" si="1"/>
        <v>9.1000000000000014</v>
      </c>
      <c r="F12" s="159">
        <f t="shared" si="1"/>
        <v>19.599999999999998</v>
      </c>
      <c r="G12" s="159">
        <f t="shared" si="1"/>
        <v>15.899999999999999</v>
      </c>
      <c r="H12" s="159">
        <f t="shared" si="1"/>
        <v>19.600000000000009</v>
      </c>
      <c r="I12" s="159">
        <f t="shared" si="1"/>
        <v>22.199999999999989</v>
      </c>
      <c r="J12" s="159">
        <f t="shared" si="1"/>
        <v>18.800000000000011</v>
      </c>
      <c r="K12" s="159">
        <f t="shared" si="1"/>
        <v>23</v>
      </c>
      <c r="L12" s="159">
        <f t="shared" si="1"/>
        <v>32.799999999999983</v>
      </c>
      <c r="M12" s="159">
        <f t="shared" si="1"/>
        <v>33</v>
      </c>
      <c r="N12" s="159">
        <f t="shared" si="1"/>
        <v>67</v>
      </c>
      <c r="O12" s="159">
        <f t="shared" si="1"/>
        <v>49.600000000000023</v>
      </c>
      <c r="P12" s="159">
        <f t="shared" si="1"/>
        <v>55.899999999999977</v>
      </c>
      <c r="Q12" s="159">
        <f t="shared" si="1"/>
        <v>71.400000000000034</v>
      </c>
      <c r="R12" s="159">
        <f t="shared" si="1"/>
        <v>68.5</v>
      </c>
      <c r="S12" s="159">
        <f t="shared" si="1"/>
        <v>82.199999999999932</v>
      </c>
      <c r="T12" s="159">
        <f t="shared" si="1"/>
        <v>104.90000000000009</v>
      </c>
      <c r="U12" s="159">
        <f t="shared" si="1"/>
        <v>108.19999999999993</v>
      </c>
      <c r="V12" s="159">
        <f t="shared" si="1"/>
        <v>108.20000000000005</v>
      </c>
      <c r="W12" s="159">
        <f t="shared" si="1"/>
        <v>101.10000000000002</v>
      </c>
      <c r="X12" s="159">
        <f t="shared" si="1"/>
        <v>137.09999999999991</v>
      </c>
      <c r="Y12" s="159">
        <f t="shared" si="1"/>
        <v>140.70000000000005</v>
      </c>
      <c r="Z12" s="159">
        <f t="shared" si="1"/>
        <v>137.90000000000009</v>
      </c>
      <c r="AA12" s="159">
        <f t="shared" si="1"/>
        <v>135.79999999999995</v>
      </c>
      <c r="AB12" s="159">
        <f t="shared" si="1"/>
        <v>137.59999999999991</v>
      </c>
      <c r="AC12" s="159">
        <f t="shared" si="1"/>
        <v>139.5</v>
      </c>
      <c r="AD12" s="159">
        <f t="shared" si="1"/>
        <v>149.20000000000005</v>
      </c>
      <c r="AE12" s="159">
        <f t="shared" si="1"/>
        <v>177.90000000000009</v>
      </c>
      <c r="AF12" s="159">
        <f t="shared" si="1"/>
        <v>199.59999999999991</v>
      </c>
      <c r="AG12" s="159">
        <f t="shared" si="1"/>
        <v>221.09999999999991</v>
      </c>
      <c r="AH12" s="159">
        <f t="shared" si="1"/>
        <v>248.90000000000009</v>
      </c>
      <c r="AI12" s="159">
        <f t="shared" ref="AI12" si="2">AI7-AH7</f>
        <v>238.69999999999982</v>
      </c>
      <c r="AJ12" s="159">
        <f t="shared" ref="AJ12" si="3">AJ7-AI7</f>
        <v>231.80000000000018</v>
      </c>
      <c r="AK12" s="159">
        <f t="shared" ref="AK12" si="4">AK7-AJ7</f>
        <v>258.5</v>
      </c>
      <c r="AL12" s="159">
        <f t="shared" ref="AL12:AM12" si="5">AL7-AK7</f>
        <v>258.09999999999991</v>
      </c>
      <c r="AM12" s="159">
        <f t="shared" si="5"/>
        <v>254.69999999999982</v>
      </c>
    </row>
    <row r="13" spans="1:39" s="153" customFormat="1" ht="13.5">
      <c r="B13" s="155"/>
      <c r="AJ13" s="159"/>
      <c r="AK13" s="159"/>
    </row>
    <row r="15" spans="1:39" ht="13.5">
      <c r="B15" s="464" t="s">
        <v>484</v>
      </c>
      <c r="AD15" s="153" t="s">
        <v>103</v>
      </c>
    </row>
    <row r="16" spans="1:39" ht="13.5">
      <c r="AD16" s="153" t="str">
        <f>"Total: "&amp;TEXT(AM9,"$#,0.0,")&amp;" billion does not reflect …"</f>
        <v>Total: $16.4 billion does not reflect …</v>
      </c>
    </row>
  </sheetData>
  <pageMargins left="0.75" right="0.75" top="1" bottom="1" header="0.5" footer="0.5"/>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Q106"/>
  <sheetViews>
    <sheetView zoomScale="70" zoomScaleNormal="70" workbookViewId="0">
      <pane xSplit="1" topLeftCell="Z1" activePane="topRight" state="frozen"/>
      <selection pane="topRight" activeCell="A15" sqref="A15"/>
    </sheetView>
  </sheetViews>
  <sheetFormatPr defaultColWidth="8.85546875" defaultRowHeight="15"/>
  <cols>
    <col min="1" max="1" width="90.42578125" style="227" customWidth="1"/>
    <col min="2" max="16" width="11.5703125" style="227" customWidth="1"/>
    <col min="17" max="17" width="11.5703125" style="233" customWidth="1"/>
    <col min="18" max="21" width="11.5703125" style="227" customWidth="1"/>
    <col min="22" max="22" width="11.5703125" style="232" customWidth="1"/>
    <col min="23" max="23" width="13.5703125" style="232" customWidth="1"/>
    <col min="24" max="24" width="11.5703125" style="232" customWidth="1"/>
    <col min="25" max="25" width="12.140625" style="232" customWidth="1"/>
    <col min="26" max="28" width="11.5703125" style="232" customWidth="1"/>
    <col min="29" max="29" width="12.28515625" style="231" customWidth="1"/>
    <col min="30" max="30" width="13.28515625" style="230" customWidth="1"/>
    <col min="31" max="31" width="16.5703125" style="227" customWidth="1"/>
    <col min="32" max="32" width="17.42578125" style="227" customWidth="1"/>
    <col min="33" max="33" width="14.7109375" style="227" customWidth="1"/>
    <col min="34" max="38" width="14.5703125" style="227" customWidth="1"/>
    <col min="39" max="39" width="14.85546875" style="229" customWidth="1"/>
    <col min="40" max="40" width="24" style="228" bestFit="1" customWidth="1"/>
    <col min="41" max="16384" width="8.85546875" style="227"/>
  </cols>
  <sheetData>
    <row r="1" spans="1:251" ht="36" customHeight="1" thickBot="1">
      <c r="A1" s="456" t="s">
        <v>483</v>
      </c>
      <c r="B1" s="457"/>
      <c r="C1" s="457"/>
      <c r="D1" s="457"/>
      <c r="E1" s="457"/>
      <c r="F1" s="457"/>
      <c r="G1" s="457"/>
      <c r="H1" s="457"/>
      <c r="I1" s="457"/>
      <c r="J1" s="457"/>
      <c r="K1" s="457"/>
      <c r="L1" s="457"/>
      <c r="M1" s="457"/>
      <c r="N1" s="457"/>
      <c r="O1" s="457"/>
      <c r="P1" s="457"/>
      <c r="Q1" s="458"/>
      <c r="R1" s="458"/>
      <c r="S1" s="458"/>
      <c r="T1" s="458"/>
      <c r="U1" s="458"/>
      <c r="V1" s="458"/>
      <c r="W1" s="458"/>
      <c r="X1" s="458"/>
      <c r="Y1" s="458"/>
      <c r="Z1" s="458"/>
      <c r="AA1" s="404"/>
      <c r="AB1" s="404"/>
    </row>
    <row r="2" spans="1:251" s="396" customFormat="1" ht="19.5" customHeight="1" thickBot="1">
      <c r="A2" s="403" t="s">
        <v>482</v>
      </c>
      <c r="B2" s="402" t="s">
        <v>448</v>
      </c>
      <c r="C2" s="402" t="s">
        <v>447</v>
      </c>
      <c r="D2" s="402" t="s">
        <v>446</v>
      </c>
      <c r="E2" s="402" t="s">
        <v>445</v>
      </c>
      <c r="F2" s="402" t="s">
        <v>444</v>
      </c>
      <c r="G2" s="402" t="s">
        <v>443</v>
      </c>
      <c r="H2" s="402" t="s">
        <v>442</v>
      </c>
      <c r="I2" s="402" t="s">
        <v>441</v>
      </c>
      <c r="J2" s="402" t="s">
        <v>440</v>
      </c>
      <c r="K2" s="402" t="s">
        <v>439</v>
      </c>
      <c r="L2" s="402" t="s">
        <v>438</v>
      </c>
      <c r="M2" s="402" t="s">
        <v>437</v>
      </c>
      <c r="N2" s="401">
        <v>1992</v>
      </c>
      <c r="O2" s="401">
        <v>1993</v>
      </c>
      <c r="P2" s="401">
        <v>1994</v>
      </c>
      <c r="Q2" s="400">
        <v>1995</v>
      </c>
      <c r="R2" s="401">
        <v>1996</v>
      </c>
      <c r="S2" s="401">
        <v>1997</v>
      </c>
      <c r="T2" s="401">
        <v>1998</v>
      </c>
      <c r="U2" s="401">
        <v>1999</v>
      </c>
      <c r="V2" s="400">
        <v>2000</v>
      </c>
      <c r="W2" s="400">
        <v>2001</v>
      </c>
      <c r="X2" s="400">
        <v>2002</v>
      </c>
      <c r="Y2" s="400">
        <v>2003</v>
      </c>
      <c r="Z2" s="400">
        <v>2004</v>
      </c>
      <c r="AA2" s="400">
        <v>2005</v>
      </c>
      <c r="AB2" s="399">
        <v>2006</v>
      </c>
      <c r="AC2" s="399">
        <v>2007</v>
      </c>
      <c r="AD2" s="399">
        <v>2008</v>
      </c>
      <c r="AE2" s="399">
        <v>2009</v>
      </c>
      <c r="AF2" s="399">
        <v>2010</v>
      </c>
      <c r="AG2" s="399">
        <v>2011</v>
      </c>
      <c r="AH2" s="399">
        <v>2012</v>
      </c>
      <c r="AI2" s="399">
        <v>2013</v>
      </c>
      <c r="AJ2" s="399">
        <v>2014</v>
      </c>
      <c r="AK2" s="399">
        <v>2015</v>
      </c>
      <c r="AL2" s="399">
        <v>2016</v>
      </c>
      <c r="AM2" s="398">
        <v>2017</v>
      </c>
      <c r="AN2" s="397" t="s">
        <v>481</v>
      </c>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58"/>
      <c r="CM2" s="258"/>
      <c r="CN2" s="258"/>
      <c r="CO2" s="258"/>
      <c r="CP2" s="258"/>
      <c r="CQ2" s="258"/>
      <c r="CR2" s="258"/>
      <c r="CS2" s="258"/>
      <c r="CT2" s="258"/>
      <c r="CU2" s="258"/>
      <c r="CV2" s="258"/>
      <c r="CW2" s="258"/>
      <c r="CX2" s="258"/>
      <c r="CY2" s="258"/>
      <c r="CZ2" s="258"/>
      <c r="DA2" s="258"/>
      <c r="DB2" s="258"/>
      <c r="DC2" s="258"/>
      <c r="DD2" s="258"/>
      <c r="DE2" s="258"/>
      <c r="DF2" s="258"/>
      <c r="DG2" s="258"/>
      <c r="DH2" s="258"/>
      <c r="DI2" s="258"/>
      <c r="DJ2" s="258"/>
      <c r="DK2" s="258"/>
      <c r="DL2" s="258"/>
      <c r="DM2" s="258"/>
      <c r="DN2" s="258"/>
      <c r="DO2" s="258"/>
      <c r="DP2" s="258"/>
      <c r="DQ2" s="258"/>
      <c r="DR2" s="258"/>
      <c r="DS2" s="258"/>
      <c r="DT2" s="258"/>
      <c r="DU2" s="258"/>
      <c r="DV2" s="258"/>
      <c r="DW2" s="258"/>
      <c r="DX2" s="258"/>
      <c r="DY2" s="258"/>
      <c r="DZ2" s="258"/>
      <c r="EA2" s="258"/>
      <c r="EB2" s="258"/>
      <c r="EC2" s="258"/>
      <c r="ED2" s="258"/>
      <c r="EE2" s="258"/>
      <c r="EF2" s="258"/>
      <c r="EG2" s="258"/>
      <c r="EH2" s="258"/>
      <c r="EI2" s="258"/>
      <c r="EJ2" s="258"/>
      <c r="EK2" s="258"/>
      <c r="EL2" s="258"/>
      <c r="EM2" s="258"/>
      <c r="EN2" s="258"/>
      <c r="EO2" s="258"/>
      <c r="EP2" s="258"/>
      <c r="EQ2" s="258"/>
      <c r="ER2" s="258"/>
      <c r="ES2" s="258"/>
      <c r="ET2" s="258"/>
      <c r="EU2" s="258"/>
      <c r="EV2" s="258"/>
      <c r="EW2" s="258"/>
      <c r="EX2" s="258"/>
      <c r="EY2" s="258"/>
      <c r="EZ2" s="258"/>
      <c r="FA2" s="258"/>
      <c r="FB2" s="258"/>
      <c r="FC2" s="258"/>
      <c r="FD2" s="258"/>
      <c r="FE2" s="258"/>
      <c r="FF2" s="258"/>
      <c r="FG2" s="258"/>
      <c r="FH2" s="258"/>
      <c r="FI2" s="258"/>
      <c r="FJ2" s="258"/>
      <c r="FK2" s="258"/>
      <c r="FL2" s="258"/>
      <c r="FM2" s="258"/>
      <c r="FN2" s="258"/>
      <c r="FO2" s="258"/>
      <c r="FP2" s="258"/>
      <c r="FQ2" s="258"/>
      <c r="FR2" s="258"/>
      <c r="FS2" s="258"/>
      <c r="FT2" s="258"/>
      <c r="FU2" s="258"/>
      <c r="FV2" s="258"/>
      <c r="FW2" s="258"/>
      <c r="FX2" s="258"/>
      <c r="FY2" s="258"/>
      <c r="FZ2" s="258"/>
      <c r="GA2" s="258"/>
      <c r="GB2" s="258"/>
      <c r="GC2" s="258"/>
      <c r="GD2" s="258"/>
      <c r="GE2" s="258"/>
      <c r="GF2" s="258"/>
      <c r="GG2" s="258"/>
      <c r="GH2" s="258"/>
      <c r="GI2" s="258"/>
      <c r="GJ2" s="258"/>
      <c r="GK2" s="258"/>
      <c r="GL2" s="258"/>
      <c r="GM2" s="258"/>
      <c r="GN2" s="258"/>
      <c r="GO2" s="258"/>
      <c r="GP2" s="258"/>
      <c r="GQ2" s="258"/>
      <c r="GR2" s="258"/>
      <c r="GS2" s="258"/>
      <c r="GT2" s="258"/>
      <c r="GU2" s="258"/>
      <c r="GV2" s="258"/>
      <c r="GW2" s="258"/>
      <c r="GX2" s="258"/>
      <c r="GY2" s="258"/>
      <c r="GZ2" s="258"/>
      <c r="HA2" s="258"/>
      <c r="HB2" s="258"/>
      <c r="HC2" s="258"/>
      <c r="HD2" s="258"/>
      <c r="HE2" s="258"/>
      <c r="HF2" s="258"/>
      <c r="HG2" s="258"/>
      <c r="HH2" s="258"/>
      <c r="HI2" s="258"/>
      <c r="HJ2" s="258"/>
      <c r="HK2" s="258"/>
      <c r="HL2" s="258"/>
      <c r="HM2" s="258"/>
      <c r="HN2" s="258"/>
      <c r="HO2" s="258"/>
      <c r="HP2" s="258"/>
      <c r="HQ2" s="258"/>
      <c r="HR2" s="258"/>
      <c r="HS2" s="258"/>
      <c r="HT2" s="258"/>
      <c r="HU2" s="258"/>
      <c r="HV2" s="258"/>
      <c r="HW2" s="258"/>
      <c r="HX2" s="258"/>
      <c r="HY2" s="258"/>
      <c r="HZ2" s="258"/>
      <c r="IA2" s="258"/>
      <c r="IB2" s="258"/>
      <c r="IC2" s="258"/>
      <c r="ID2" s="258"/>
      <c r="IE2" s="258"/>
      <c r="IF2" s="258"/>
      <c r="IG2" s="258"/>
      <c r="IH2" s="258"/>
      <c r="II2" s="258"/>
      <c r="IJ2" s="258"/>
      <c r="IK2" s="258"/>
      <c r="IL2" s="258"/>
      <c r="IM2" s="258"/>
      <c r="IN2" s="258"/>
      <c r="IO2" s="258"/>
      <c r="IP2" s="258"/>
      <c r="IQ2" s="258"/>
    </row>
    <row r="3" spans="1:251" s="271" customFormat="1" ht="21" customHeight="1">
      <c r="A3" s="341" t="s">
        <v>480</v>
      </c>
      <c r="B3" s="395"/>
      <c r="C3" s="394"/>
      <c r="D3" s="394"/>
      <c r="E3" s="394"/>
      <c r="F3" s="394"/>
      <c r="G3" s="394"/>
      <c r="H3" s="394"/>
      <c r="I3" s="394"/>
      <c r="J3" s="394"/>
      <c r="K3" s="394"/>
      <c r="L3" s="394"/>
      <c r="M3" s="394"/>
      <c r="N3" s="394"/>
      <c r="O3" s="394"/>
      <c r="P3" s="394"/>
      <c r="Q3" s="393"/>
      <c r="R3" s="393"/>
      <c r="S3" s="393"/>
      <c r="T3" s="393"/>
      <c r="U3" s="393"/>
      <c r="V3" s="393"/>
      <c r="W3" s="393"/>
      <c r="X3" s="393"/>
      <c r="Y3" s="393"/>
      <c r="Z3" s="393"/>
      <c r="AA3" s="393"/>
      <c r="AB3" s="392"/>
      <c r="AC3" s="337"/>
      <c r="AD3" s="337"/>
      <c r="AE3" s="337"/>
      <c r="AF3" s="337"/>
      <c r="AG3" s="337"/>
      <c r="AH3" s="337"/>
      <c r="AI3" s="337"/>
      <c r="AJ3" s="391"/>
      <c r="AK3" s="391"/>
      <c r="AL3" s="391"/>
      <c r="AM3" s="390"/>
      <c r="AN3" s="259"/>
      <c r="AO3" s="258"/>
      <c r="AP3" s="258"/>
      <c r="AQ3" s="258"/>
      <c r="AR3" s="258"/>
      <c r="AS3" s="258"/>
      <c r="AT3" s="258"/>
      <c r="AU3" s="258"/>
      <c r="AV3" s="258"/>
      <c r="AW3" s="258"/>
      <c r="AX3" s="258"/>
      <c r="AY3" s="258"/>
      <c r="AZ3" s="258"/>
      <c r="BA3" s="258"/>
      <c r="BB3" s="258"/>
      <c r="BC3" s="258"/>
      <c r="BD3" s="258"/>
      <c r="BE3" s="258"/>
      <c r="BF3" s="258"/>
      <c r="BG3" s="258"/>
      <c r="BH3" s="258"/>
      <c r="BI3" s="258"/>
      <c r="BJ3" s="258"/>
      <c r="BK3" s="258"/>
      <c r="BL3" s="258"/>
      <c r="BM3" s="258"/>
      <c r="BN3" s="258"/>
      <c r="BO3" s="258"/>
      <c r="BP3" s="258"/>
      <c r="BQ3" s="258"/>
      <c r="BR3" s="258"/>
      <c r="BS3" s="258"/>
      <c r="BT3" s="258"/>
      <c r="BU3" s="258"/>
      <c r="BV3" s="258"/>
      <c r="BW3" s="258"/>
      <c r="BX3" s="258"/>
      <c r="BY3" s="258"/>
      <c r="BZ3" s="258"/>
      <c r="CA3" s="258"/>
      <c r="CB3" s="258"/>
      <c r="CC3" s="258"/>
      <c r="CD3" s="258"/>
      <c r="CE3" s="258"/>
      <c r="CF3" s="258"/>
      <c r="CG3" s="258"/>
      <c r="CH3" s="258"/>
      <c r="CI3" s="258"/>
      <c r="CJ3" s="258"/>
      <c r="CK3" s="258"/>
      <c r="CL3" s="258"/>
      <c r="CM3" s="258"/>
      <c r="CN3" s="258"/>
      <c r="CO3" s="258"/>
      <c r="CP3" s="258"/>
      <c r="CQ3" s="258"/>
      <c r="CR3" s="258"/>
      <c r="CS3" s="258"/>
      <c r="CT3" s="258"/>
      <c r="CU3" s="258"/>
      <c r="CV3" s="258"/>
      <c r="CW3" s="258"/>
      <c r="CX3" s="258"/>
      <c r="CY3" s="258"/>
      <c r="CZ3" s="258"/>
      <c r="DA3" s="258"/>
      <c r="DB3" s="258"/>
      <c r="DC3" s="258"/>
      <c r="DD3" s="258"/>
      <c r="DE3" s="258"/>
      <c r="DF3" s="258"/>
      <c r="DG3" s="258"/>
      <c r="DH3" s="258"/>
      <c r="DI3" s="258"/>
      <c r="DJ3" s="258"/>
      <c r="DK3" s="258"/>
      <c r="DL3" s="258"/>
      <c r="DM3" s="258"/>
      <c r="DN3" s="258"/>
      <c r="DO3" s="258"/>
      <c r="DP3" s="258"/>
      <c r="DQ3" s="258"/>
      <c r="DR3" s="258"/>
      <c r="DS3" s="258"/>
      <c r="DT3" s="258"/>
      <c r="DU3" s="258"/>
      <c r="DV3" s="258"/>
      <c r="DW3" s="258"/>
      <c r="DX3" s="258"/>
      <c r="DY3" s="258"/>
      <c r="DZ3" s="258"/>
      <c r="EA3" s="258"/>
      <c r="EB3" s="258"/>
      <c r="EC3" s="258"/>
      <c r="ED3" s="258"/>
      <c r="EE3" s="258"/>
      <c r="EF3" s="258"/>
      <c r="EG3" s="258"/>
      <c r="EH3" s="258"/>
      <c r="EI3" s="258"/>
      <c r="EJ3" s="258"/>
      <c r="EK3" s="258"/>
      <c r="EL3" s="258"/>
      <c r="EM3" s="258"/>
      <c r="EN3" s="258"/>
      <c r="EO3" s="258"/>
      <c r="EP3" s="258"/>
      <c r="EQ3" s="258"/>
      <c r="ER3" s="258"/>
      <c r="ES3" s="258"/>
      <c r="ET3" s="258"/>
      <c r="EU3" s="258"/>
      <c r="EV3" s="258"/>
      <c r="EW3" s="258"/>
      <c r="EX3" s="258"/>
      <c r="EY3" s="258"/>
      <c r="EZ3" s="258"/>
      <c r="FA3" s="258"/>
      <c r="FB3" s="258"/>
      <c r="FC3" s="258"/>
      <c r="FD3" s="258"/>
      <c r="FE3" s="258"/>
      <c r="FF3" s="258"/>
      <c r="FG3" s="258"/>
      <c r="FH3" s="258"/>
      <c r="FI3" s="258"/>
      <c r="FJ3" s="258"/>
      <c r="FK3" s="258"/>
      <c r="FL3" s="258"/>
      <c r="FM3" s="258"/>
      <c r="FN3" s="258"/>
      <c r="FO3" s="258"/>
      <c r="FP3" s="258"/>
      <c r="FQ3" s="258"/>
      <c r="FR3" s="258"/>
      <c r="FS3" s="258"/>
      <c r="FT3" s="258"/>
      <c r="FU3" s="258"/>
      <c r="FV3" s="258"/>
      <c r="FW3" s="258"/>
      <c r="FX3" s="258"/>
      <c r="FY3" s="258"/>
      <c r="FZ3" s="258"/>
      <c r="GA3" s="258"/>
      <c r="GB3" s="258"/>
      <c r="GC3" s="258"/>
      <c r="GD3" s="258"/>
      <c r="GE3" s="258"/>
      <c r="GF3" s="258"/>
      <c r="GG3" s="258"/>
      <c r="GH3" s="258"/>
      <c r="GI3" s="258"/>
      <c r="GJ3" s="258"/>
      <c r="GK3" s="258"/>
      <c r="GL3" s="258"/>
      <c r="GM3" s="258"/>
      <c r="GN3" s="258"/>
      <c r="GO3" s="258"/>
      <c r="GP3" s="258"/>
      <c r="GQ3" s="258"/>
      <c r="GR3" s="258"/>
      <c r="GS3" s="258"/>
      <c r="GT3" s="258"/>
      <c r="GU3" s="258"/>
      <c r="GV3" s="258"/>
      <c r="GW3" s="258"/>
      <c r="GX3" s="258"/>
      <c r="GY3" s="258"/>
      <c r="GZ3" s="258"/>
      <c r="HA3" s="258"/>
      <c r="HB3" s="258"/>
      <c r="HC3" s="258"/>
      <c r="HD3" s="258"/>
      <c r="HE3" s="258"/>
      <c r="HF3" s="258"/>
      <c r="HG3" s="258"/>
      <c r="HH3" s="258"/>
      <c r="HI3" s="258"/>
      <c r="HJ3" s="258"/>
      <c r="HK3" s="258"/>
      <c r="HL3" s="258"/>
      <c r="HM3" s="258"/>
      <c r="HN3" s="258"/>
      <c r="HO3" s="258"/>
      <c r="HP3" s="258"/>
      <c r="HQ3" s="258"/>
      <c r="HR3" s="258"/>
      <c r="HS3" s="258"/>
      <c r="HT3" s="258"/>
      <c r="HU3" s="258"/>
      <c r="HV3" s="258"/>
      <c r="HW3" s="258"/>
      <c r="HX3" s="258"/>
      <c r="HY3" s="258"/>
      <c r="HZ3" s="258"/>
      <c r="IA3" s="258"/>
      <c r="IB3" s="258"/>
      <c r="IC3" s="258"/>
      <c r="ID3" s="258"/>
      <c r="IE3" s="258"/>
      <c r="IF3" s="258"/>
      <c r="IG3" s="258"/>
      <c r="IH3" s="258"/>
      <c r="II3" s="258"/>
      <c r="IJ3" s="258"/>
      <c r="IK3" s="258"/>
      <c r="IL3" s="258"/>
      <c r="IM3" s="258"/>
      <c r="IN3" s="258"/>
      <c r="IO3" s="258"/>
      <c r="IP3" s="258"/>
      <c r="IQ3" s="258"/>
    </row>
    <row r="4" spans="1:251" s="271" customFormat="1" ht="19.899999999999999" customHeight="1">
      <c r="A4" s="379" t="s">
        <v>479</v>
      </c>
      <c r="B4" s="288">
        <v>0</v>
      </c>
      <c r="C4" s="389">
        <v>0</v>
      </c>
      <c r="D4" s="389">
        <v>0</v>
      </c>
      <c r="E4" s="389">
        <v>0</v>
      </c>
      <c r="F4" s="389">
        <v>0</v>
      </c>
      <c r="G4" s="389">
        <v>10.199999999999999</v>
      </c>
      <c r="H4" s="288">
        <v>8</v>
      </c>
      <c r="I4" s="288">
        <v>4.7</v>
      </c>
      <c r="J4" s="288">
        <v>7.7</v>
      </c>
      <c r="K4" s="288">
        <v>8.3000000000000007</v>
      </c>
      <c r="L4" s="288">
        <v>16.2</v>
      </c>
      <c r="M4" s="288">
        <v>17.7</v>
      </c>
      <c r="N4" s="288">
        <v>11.2</v>
      </c>
      <c r="O4" s="288">
        <v>17.3</v>
      </c>
      <c r="P4" s="288">
        <v>20.5</v>
      </c>
      <c r="Q4" s="287">
        <v>32.5</v>
      </c>
      <c r="R4" s="287">
        <v>26</v>
      </c>
      <c r="S4" s="287">
        <v>28.1</v>
      </c>
      <c r="T4" s="287">
        <v>22</v>
      </c>
      <c r="U4" s="287">
        <v>14.7</v>
      </c>
      <c r="V4" s="287">
        <v>13.9</v>
      </c>
      <c r="W4" s="287">
        <v>16.5</v>
      </c>
      <c r="X4" s="287">
        <v>6.1</v>
      </c>
      <c r="Y4" s="287">
        <v>11.6</v>
      </c>
      <c r="Z4" s="287">
        <v>8.5</v>
      </c>
      <c r="AA4" s="287">
        <v>12.2</v>
      </c>
      <c r="AB4" s="286">
        <v>35.4</v>
      </c>
      <c r="AC4" s="284">
        <v>35.168999999999997</v>
      </c>
      <c r="AD4" s="284">
        <v>25.53447087</v>
      </c>
      <c r="AE4" s="284">
        <v>27.412362430000002</v>
      </c>
      <c r="AF4" s="284">
        <v>39.998391389999995</v>
      </c>
      <c r="AG4" s="284">
        <v>90.166620269999981</v>
      </c>
      <c r="AH4" s="332">
        <v>57.45</v>
      </c>
      <c r="AI4" s="331">
        <v>52.1</v>
      </c>
      <c r="AJ4" s="330">
        <v>37.353348319999995</v>
      </c>
      <c r="AK4" s="330">
        <v>21.373337419999999</v>
      </c>
      <c r="AL4" s="329">
        <v>16.02998393</v>
      </c>
      <c r="AM4" s="328">
        <v>5.4019190199999993</v>
      </c>
      <c r="AN4" s="327">
        <f>SUM(B4:AM4)</f>
        <v>757.28943365000009</v>
      </c>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c r="CA4" s="258"/>
      <c r="CB4" s="258"/>
      <c r="CC4" s="258"/>
      <c r="CD4" s="258"/>
      <c r="CE4" s="258"/>
      <c r="CF4" s="258"/>
      <c r="CG4" s="258"/>
      <c r="CH4" s="258"/>
      <c r="CI4" s="258"/>
      <c r="CJ4" s="258"/>
      <c r="CK4" s="258"/>
      <c r="CL4" s="258"/>
      <c r="CM4" s="258"/>
      <c r="CN4" s="258"/>
      <c r="CO4" s="258"/>
      <c r="CP4" s="258"/>
      <c r="CQ4" s="258"/>
      <c r="CR4" s="258"/>
      <c r="CS4" s="258"/>
      <c r="CT4" s="258"/>
      <c r="CU4" s="258"/>
      <c r="CV4" s="258"/>
      <c r="CW4" s="258"/>
      <c r="CX4" s="258"/>
      <c r="CY4" s="258"/>
      <c r="CZ4" s="258"/>
      <c r="DA4" s="258"/>
      <c r="DB4" s="258"/>
      <c r="DC4" s="258"/>
      <c r="DD4" s="258"/>
      <c r="DE4" s="258"/>
      <c r="DF4" s="258"/>
      <c r="DG4" s="258"/>
      <c r="DH4" s="258"/>
      <c r="DI4" s="258"/>
      <c r="DJ4" s="258"/>
      <c r="DK4" s="258"/>
      <c r="DL4" s="258"/>
      <c r="DM4" s="258"/>
      <c r="DN4" s="258"/>
      <c r="DO4" s="258"/>
      <c r="DP4" s="258"/>
      <c r="DQ4" s="258"/>
      <c r="DR4" s="258"/>
      <c r="DS4" s="258"/>
      <c r="DT4" s="258"/>
      <c r="DU4" s="258"/>
      <c r="DV4" s="258"/>
      <c r="DW4" s="258"/>
      <c r="DX4" s="258"/>
      <c r="DY4" s="258"/>
      <c r="DZ4" s="258"/>
      <c r="EA4" s="258"/>
      <c r="EB4" s="258"/>
      <c r="EC4" s="258"/>
      <c r="ED4" s="258"/>
      <c r="EE4" s="258"/>
      <c r="EF4" s="258"/>
      <c r="EG4" s="258"/>
      <c r="EH4" s="258"/>
      <c r="EI4" s="258"/>
      <c r="EJ4" s="258"/>
      <c r="EK4" s="258"/>
      <c r="EL4" s="258"/>
      <c r="EM4" s="258"/>
      <c r="EN4" s="258"/>
      <c r="EO4" s="258"/>
      <c r="EP4" s="258"/>
      <c r="EQ4" s="258"/>
      <c r="ER4" s="258"/>
      <c r="ES4" s="258"/>
      <c r="ET4" s="258"/>
      <c r="EU4" s="258"/>
      <c r="EV4" s="258"/>
      <c r="EW4" s="258"/>
      <c r="EX4" s="258"/>
      <c r="EY4" s="258"/>
      <c r="EZ4" s="258"/>
      <c r="FA4" s="258"/>
      <c r="FB4" s="258"/>
      <c r="FC4" s="258"/>
      <c r="FD4" s="258"/>
      <c r="FE4" s="258"/>
      <c r="FF4" s="258"/>
      <c r="FG4" s="258"/>
      <c r="FH4" s="258"/>
      <c r="FI4" s="258"/>
      <c r="FJ4" s="258"/>
      <c r="FK4" s="258"/>
      <c r="FL4" s="258"/>
      <c r="FM4" s="258"/>
      <c r="FN4" s="258"/>
      <c r="FO4" s="258"/>
      <c r="FP4" s="258"/>
      <c r="FQ4" s="258"/>
      <c r="FR4" s="258"/>
      <c r="FS4" s="258"/>
      <c r="FT4" s="258"/>
      <c r="FU4" s="258"/>
      <c r="FV4" s="258"/>
      <c r="FW4" s="258"/>
      <c r="FX4" s="258"/>
      <c r="FY4" s="258"/>
      <c r="FZ4" s="258"/>
      <c r="GA4" s="258"/>
      <c r="GB4" s="258"/>
      <c r="GC4" s="258"/>
      <c r="GD4" s="258"/>
      <c r="GE4" s="258"/>
      <c r="GF4" s="258"/>
      <c r="GG4" s="258"/>
      <c r="GH4" s="258"/>
      <c r="GI4" s="258"/>
      <c r="GJ4" s="258"/>
      <c r="GK4" s="258"/>
      <c r="GL4" s="258"/>
      <c r="GM4" s="258"/>
      <c r="GN4" s="258"/>
      <c r="GO4" s="258"/>
      <c r="GP4" s="258"/>
      <c r="GQ4" s="258"/>
      <c r="GR4" s="258"/>
      <c r="GS4" s="258"/>
      <c r="GT4" s="258"/>
      <c r="GU4" s="258"/>
      <c r="GV4" s="258"/>
      <c r="GW4" s="258"/>
      <c r="GX4" s="258"/>
      <c r="GY4" s="258"/>
      <c r="GZ4" s="258"/>
      <c r="HA4" s="258"/>
      <c r="HB4" s="258"/>
      <c r="HC4" s="258"/>
      <c r="HD4" s="258"/>
      <c r="HE4" s="258"/>
      <c r="HF4" s="258"/>
      <c r="HG4" s="258"/>
      <c r="HH4" s="258"/>
      <c r="HI4" s="258"/>
      <c r="HJ4" s="258"/>
      <c r="HK4" s="258"/>
      <c r="HL4" s="258"/>
      <c r="HM4" s="258"/>
      <c r="HN4" s="258"/>
      <c r="HO4" s="258"/>
      <c r="HP4" s="258"/>
      <c r="HQ4" s="258"/>
      <c r="HR4" s="258"/>
      <c r="HS4" s="258"/>
      <c r="HT4" s="258"/>
      <c r="HU4" s="258"/>
      <c r="HV4" s="258"/>
      <c r="HW4" s="258"/>
      <c r="HX4" s="258"/>
      <c r="HY4" s="258"/>
      <c r="HZ4" s="258"/>
      <c r="IA4" s="258"/>
      <c r="IB4" s="258"/>
      <c r="IC4" s="258"/>
      <c r="ID4" s="258"/>
      <c r="IE4" s="258"/>
      <c r="IF4" s="258"/>
      <c r="IG4" s="258"/>
      <c r="IH4" s="258"/>
      <c r="II4" s="258"/>
      <c r="IJ4" s="258"/>
      <c r="IK4" s="258"/>
      <c r="IL4" s="258"/>
      <c r="IM4" s="258"/>
      <c r="IN4" s="258"/>
      <c r="IO4" s="258"/>
      <c r="IP4" s="258"/>
      <c r="IQ4" s="258"/>
    </row>
    <row r="5" spans="1:251" s="271" customFormat="1" ht="19.899999999999999" customHeight="1">
      <c r="A5" s="378" t="s">
        <v>478</v>
      </c>
      <c r="B5" s="277">
        <v>0</v>
      </c>
      <c r="C5" s="277">
        <v>0</v>
      </c>
      <c r="D5" s="277">
        <v>0</v>
      </c>
      <c r="E5" s="277">
        <v>0</v>
      </c>
      <c r="F5" s="277">
        <v>0</v>
      </c>
      <c r="G5" s="277">
        <v>0</v>
      </c>
      <c r="H5" s="277">
        <v>0</v>
      </c>
      <c r="I5" s="277">
        <v>0</v>
      </c>
      <c r="J5" s="277">
        <v>0</v>
      </c>
      <c r="K5" s="277">
        <v>0</v>
      </c>
      <c r="L5" s="277">
        <v>0</v>
      </c>
      <c r="M5" s="277">
        <v>0</v>
      </c>
      <c r="N5" s="277">
        <v>0</v>
      </c>
      <c r="O5" s="277">
        <v>0</v>
      </c>
      <c r="P5" s="277">
        <v>0</v>
      </c>
      <c r="Q5" s="277">
        <v>0</v>
      </c>
      <c r="R5" s="277">
        <v>0</v>
      </c>
      <c r="S5" s="277">
        <v>0</v>
      </c>
      <c r="T5" s="277">
        <v>0</v>
      </c>
      <c r="U5" s="277">
        <v>0</v>
      </c>
      <c r="V5" s="277">
        <v>0</v>
      </c>
      <c r="W5" s="277">
        <v>0</v>
      </c>
      <c r="X5" s="277">
        <v>0</v>
      </c>
      <c r="Y5" s="277">
        <v>0</v>
      </c>
      <c r="Z5" s="277">
        <v>0</v>
      </c>
      <c r="AA5" s="277">
        <v>0</v>
      </c>
      <c r="AB5" s="286">
        <v>0.9</v>
      </c>
      <c r="AC5" s="284">
        <v>1.0369999999999999</v>
      </c>
      <c r="AD5" s="284">
        <v>1.3368422</v>
      </c>
      <c r="AE5" s="284">
        <v>0.59909880000000004</v>
      </c>
      <c r="AF5" s="284">
        <v>1.2177011199999999</v>
      </c>
      <c r="AG5" s="284">
        <v>0.82124492000000027</v>
      </c>
      <c r="AH5" s="332">
        <v>0.380297</v>
      </c>
      <c r="AI5" s="331">
        <v>0</v>
      </c>
      <c r="AJ5" s="330">
        <v>0.1</v>
      </c>
      <c r="AK5" s="330">
        <v>1.3566744300000002</v>
      </c>
      <c r="AL5" s="329">
        <v>1.2080949699999999</v>
      </c>
      <c r="AM5" s="328">
        <v>1.3618001500000001</v>
      </c>
      <c r="AN5" s="327">
        <f>SUM(B5:AM5)</f>
        <v>10.31875359</v>
      </c>
      <c r="AO5" s="258"/>
      <c r="AP5" s="258"/>
      <c r="AQ5" s="258"/>
      <c r="AR5" s="258"/>
      <c r="AS5" s="258"/>
      <c r="AT5" s="258"/>
      <c r="AU5" s="258"/>
      <c r="AV5" s="258"/>
      <c r="AW5" s="258"/>
      <c r="AX5" s="258"/>
      <c r="AY5" s="258"/>
      <c r="AZ5" s="258"/>
      <c r="BA5" s="258"/>
      <c r="BB5" s="258"/>
      <c r="BC5" s="258"/>
      <c r="BD5" s="258"/>
      <c r="BE5" s="258"/>
      <c r="BF5" s="258"/>
      <c r="BG5" s="258"/>
      <c r="BH5" s="258"/>
      <c r="BI5" s="258"/>
      <c r="BJ5" s="258"/>
      <c r="BK5" s="258"/>
      <c r="BL5" s="258"/>
      <c r="BM5" s="258"/>
      <c r="BN5" s="258"/>
      <c r="BO5" s="258"/>
      <c r="BP5" s="258"/>
      <c r="BQ5" s="258"/>
      <c r="BR5" s="258"/>
      <c r="BS5" s="258"/>
      <c r="BT5" s="258"/>
      <c r="BU5" s="258"/>
      <c r="BV5" s="258"/>
      <c r="BW5" s="258"/>
      <c r="BX5" s="258"/>
      <c r="BY5" s="258"/>
      <c r="BZ5" s="258"/>
      <c r="CA5" s="258"/>
      <c r="CB5" s="258"/>
      <c r="CC5" s="258"/>
      <c r="CD5" s="258"/>
      <c r="CE5" s="258"/>
      <c r="CF5" s="258"/>
      <c r="CG5" s="258"/>
      <c r="CH5" s="258"/>
      <c r="CI5" s="258"/>
      <c r="CJ5" s="258"/>
      <c r="CK5" s="258"/>
      <c r="CL5" s="258"/>
      <c r="CM5" s="258"/>
      <c r="CN5" s="258"/>
      <c r="CO5" s="258"/>
      <c r="CP5" s="258"/>
      <c r="CQ5" s="258"/>
      <c r="CR5" s="258"/>
      <c r="CS5" s="258"/>
      <c r="CT5" s="258"/>
      <c r="CU5" s="258"/>
      <c r="CV5" s="258"/>
      <c r="CW5" s="258"/>
      <c r="CX5" s="258"/>
      <c r="CY5" s="258"/>
      <c r="CZ5" s="258"/>
      <c r="DA5" s="258"/>
      <c r="DB5" s="258"/>
      <c r="DC5" s="258"/>
      <c r="DD5" s="258"/>
      <c r="DE5" s="258"/>
      <c r="DF5" s="258"/>
      <c r="DG5" s="258"/>
      <c r="DH5" s="258"/>
      <c r="DI5" s="258"/>
      <c r="DJ5" s="258"/>
      <c r="DK5" s="258"/>
      <c r="DL5" s="258"/>
      <c r="DM5" s="258"/>
      <c r="DN5" s="258"/>
      <c r="DO5" s="258"/>
      <c r="DP5" s="258"/>
      <c r="DQ5" s="258"/>
      <c r="DR5" s="258"/>
      <c r="DS5" s="258"/>
      <c r="DT5" s="258"/>
      <c r="DU5" s="258"/>
      <c r="DV5" s="258"/>
      <c r="DW5" s="258"/>
      <c r="DX5" s="258"/>
      <c r="DY5" s="258"/>
      <c r="DZ5" s="258"/>
      <c r="EA5" s="258"/>
      <c r="EB5" s="258"/>
      <c r="EC5" s="258"/>
      <c r="ED5" s="258"/>
      <c r="EE5" s="258"/>
      <c r="EF5" s="258"/>
      <c r="EG5" s="258"/>
      <c r="EH5" s="258"/>
      <c r="EI5" s="258"/>
      <c r="EJ5" s="258"/>
      <c r="EK5" s="258"/>
      <c r="EL5" s="258"/>
      <c r="EM5" s="258"/>
      <c r="EN5" s="258"/>
      <c r="EO5" s="258"/>
      <c r="EP5" s="258"/>
      <c r="EQ5" s="258"/>
      <c r="ER5" s="258"/>
      <c r="ES5" s="258"/>
      <c r="ET5" s="258"/>
      <c r="EU5" s="258"/>
      <c r="EV5" s="258"/>
      <c r="EW5" s="258"/>
      <c r="EX5" s="258"/>
      <c r="EY5" s="258"/>
      <c r="EZ5" s="258"/>
      <c r="FA5" s="258"/>
      <c r="FB5" s="258"/>
      <c r="FC5" s="258"/>
      <c r="FD5" s="258"/>
      <c r="FE5" s="258"/>
      <c r="FF5" s="258"/>
      <c r="FG5" s="258"/>
      <c r="FH5" s="258"/>
      <c r="FI5" s="258"/>
      <c r="FJ5" s="258"/>
      <c r="FK5" s="258"/>
      <c r="FL5" s="258"/>
      <c r="FM5" s="258"/>
      <c r="FN5" s="258"/>
      <c r="FO5" s="258"/>
      <c r="FP5" s="258"/>
      <c r="FQ5" s="258"/>
      <c r="FR5" s="258"/>
      <c r="FS5" s="258"/>
      <c r="FT5" s="258"/>
      <c r="FU5" s="258"/>
      <c r="FV5" s="258"/>
      <c r="FW5" s="258"/>
      <c r="FX5" s="258"/>
      <c r="FY5" s="258"/>
      <c r="FZ5" s="258"/>
      <c r="GA5" s="258"/>
      <c r="GB5" s="258"/>
      <c r="GC5" s="258"/>
      <c r="GD5" s="258"/>
      <c r="GE5" s="258"/>
      <c r="GF5" s="258"/>
      <c r="GG5" s="258"/>
      <c r="GH5" s="258"/>
      <c r="GI5" s="258"/>
      <c r="GJ5" s="258"/>
      <c r="GK5" s="258"/>
      <c r="GL5" s="258"/>
      <c r="GM5" s="258"/>
      <c r="GN5" s="258"/>
      <c r="GO5" s="258"/>
      <c r="GP5" s="258"/>
      <c r="GQ5" s="258"/>
      <c r="GR5" s="258"/>
      <c r="GS5" s="258"/>
      <c r="GT5" s="258"/>
      <c r="GU5" s="258"/>
      <c r="GV5" s="258"/>
      <c r="GW5" s="258"/>
      <c r="GX5" s="258"/>
      <c r="GY5" s="258"/>
      <c r="GZ5" s="258"/>
      <c r="HA5" s="258"/>
      <c r="HB5" s="258"/>
      <c r="HC5" s="258"/>
      <c r="HD5" s="258"/>
      <c r="HE5" s="258"/>
      <c r="HF5" s="258"/>
      <c r="HG5" s="258"/>
      <c r="HH5" s="258"/>
      <c r="HI5" s="258"/>
      <c r="HJ5" s="258"/>
      <c r="HK5" s="258"/>
      <c r="HL5" s="258"/>
      <c r="HM5" s="258"/>
      <c r="HN5" s="258"/>
      <c r="HO5" s="258"/>
      <c r="HP5" s="258"/>
      <c r="HQ5" s="258"/>
      <c r="HR5" s="258"/>
      <c r="HS5" s="258"/>
      <c r="HT5" s="258"/>
      <c r="HU5" s="258"/>
      <c r="HV5" s="258"/>
      <c r="HW5" s="258"/>
      <c r="HX5" s="258"/>
      <c r="HY5" s="258"/>
      <c r="HZ5" s="258"/>
      <c r="IA5" s="258"/>
      <c r="IB5" s="258"/>
      <c r="IC5" s="258"/>
      <c r="ID5" s="258"/>
      <c r="IE5" s="258"/>
      <c r="IF5" s="258"/>
      <c r="IG5" s="258"/>
      <c r="IH5" s="258"/>
      <c r="II5" s="258"/>
      <c r="IJ5" s="258"/>
      <c r="IK5" s="258"/>
      <c r="IL5" s="258"/>
      <c r="IM5" s="258"/>
      <c r="IN5" s="258"/>
      <c r="IO5" s="258"/>
      <c r="IP5" s="258"/>
      <c r="IQ5" s="258"/>
    </row>
    <row r="6" spans="1:251" s="271" customFormat="1" ht="19.899999999999999" customHeight="1" thickBot="1">
      <c r="A6" s="378" t="s">
        <v>477</v>
      </c>
      <c r="B6" s="278">
        <v>30</v>
      </c>
      <c r="C6" s="278">
        <v>17.899999999999999</v>
      </c>
      <c r="D6" s="278">
        <v>61.7</v>
      </c>
      <c r="E6" s="278">
        <v>55.1</v>
      </c>
      <c r="F6" s="278">
        <v>9</v>
      </c>
      <c r="G6" s="278">
        <v>46.4</v>
      </c>
      <c r="H6" s="278">
        <v>9.1</v>
      </c>
      <c r="I6" s="278">
        <v>78.599999999999994</v>
      </c>
      <c r="J6" s="278">
        <v>7.6</v>
      </c>
      <c r="K6" s="278">
        <v>5.3</v>
      </c>
      <c r="L6" s="278">
        <v>4.5</v>
      </c>
      <c r="M6" s="278">
        <v>4</v>
      </c>
      <c r="N6" s="278">
        <v>0.9</v>
      </c>
      <c r="O6" s="278">
        <v>85.8</v>
      </c>
      <c r="P6" s="278">
        <v>39.4</v>
      </c>
      <c r="Q6" s="277">
        <v>39.299999999999997</v>
      </c>
      <c r="R6" s="277">
        <v>45.1</v>
      </c>
      <c r="S6" s="277">
        <v>-42.6</v>
      </c>
      <c r="T6" s="277">
        <v>0</v>
      </c>
      <c r="U6" s="277">
        <v>14.1</v>
      </c>
      <c r="V6" s="277">
        <v>47</v>
      </c>
      <c r="W6" s="277">
        <v>6.2</v>
      </c>
      <c r="X6" s="277">
        <v>8.8000000000000007</v>
      </c>
      <c r="Y6" s="277">
        <v>68.400000000000006</v>
      </c>
      <c r="Z6" s="277">
        <v>75.900000000000006</v>
      </c>
      <c r="AA6" s="277">
        <v>53.8</v>
      </c>
      <c r="AB6" s="323">
        <v>360</v>
      </c>
      <c r="AC6" s="388">
        <v>60.4</v>
      </c>
      <c r="AD6" s="388">
        <v>37.299999999999997</v>
      </c>
      <c r="AE6" s="388">
        <v>135.69999999999999</v>
      </c>
      <c r="AF6" s="388">
        <v>56.4</v>
      </c>
      <c r="AG6" s="388">
        <v>102.95</v>
      </c>
      <c r="AH6" s="387">
        <v>114.5</v>
      </c>
      <c r="AI6" s="386">
        <v>103.59</v>
      </c>
      <c r="AJ6" s="385">
        <v>101.7</v>
      </c>
      <c r="AK6" s="385">
        <v>81.39589715000001</v>
      </c>
      <c r="AL6" s="384">
        <v>34.134514600000003</v>
      </c>
      <c r="AM6" s="383">
        <v>58.870189369999999</v>
      </c>
      <c r="AN6" s="382">
        <f>SUM(B6:AM6)</f>
        <v>2018.2406011200001</v>
      </c>
      <c r="AO6" s="258"/>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8"/>
      <c r="BR6" s="258"/>
      <c r="BS6" s="258"/>
      <c r="BT6" s="258"/>
      <c r="BU6" s="258"/>
      <c r="BV6" s="258"/>
      <c r="BW6" s="258"/>
      <c r="BX6" s="258"/>
      <c r="BY6" s="258"/>
      <c r="BZ6" s="258"/>
      <c r="CA6" s="258"/>
      <c r="CB6" s="258"/>
      <c r="CC6" s="258"/>
      <c r="CD6" s="258"/>
      <c r="CE6" s="258"/>
      <c r="CF6" s="258"/>
      <c r="CG6" s="258"/>
      <c r="CH6" s="258"/>
      <c r="CI6" s="258"/>
      <c r="CJ6" s="258"/>
      <c r="CK6" s="258"/>
      <c r="CL6" s="258"/>
      <c r="CM6" s="258"/>
      <c r="CN6" s="258"/>
      <c r="CO6" s="258"/>
      <c r="CP6" s="258"/>
      <c r="CQ6" s="258"/>
      <c r="CR6" s="258"/>
      <c r="CS6" s="258"/>
      <c r="CT6" s="258"/>
      <c r="CU6" s="258"/>
      <c r="CV6" s="258"/>
      <c r="CW6" s="258"/>
      <c r="CX6" s="258"/>
      <c r="CY6" s="258"/>
      <c r="CZ6" s="258"/>
      <c r="DA6" s="258"/>
      <c r="DB6" s="258"/>
      <c r="DC6" s="258"/>
      <c r="DD6" s="258"/>
      <c r="DE6" s="258"/>
      <c r="DF6" s="258"/>
      <c r="DG6" s="258"/>
      <c r="DH6" s="258"/>
      <c r="DI6" s="258"/>
      <c r="DJ6" s="258"/>
      <c r="DK6" s="258"/>
      <c r="DL6" s="258"/>
      <c r="DM6" s="258"/>
      <c r="DN6" s="258"/>
      <c r="DO6" s="258"/>
      <c r="DP6" s="258"/>
      <c r="DQ6" s="258"/>
      <c r="DR6" s="258"/>
      <c r="DS6" s="258"/>
      <c r="DT6" s="258"/>
      <c r="DU6" s="258"/>
      <c r="DV6" s="258"/>
      <c r="DW6" s="258"/>
      <c r="DX6" s="258"/>
      <c r="DY6" s="258"/>
      <c r="DZ6" s="258"/>
      <c r="EA6" s="258"/>
      <c r="EB6" s="258"/>
      <c r="EC6" s="258"/>
      <c r="ED6" s="258"/>
      <c r="EE6" s="258"/>
      <c r="EF6" s="258"/>
      <c r="EG6" s="258"/>
      <c r="EH6" s="258"/>
      <c r="EI6" s="258"/>
      <c r="EJ6" s="258"/>
      <c r="EK6" s="258"/>
      <c r="EL6" s="258"/>
      <c r="EM6" s="258"/>
      <c r="EN6" s="258"/>
      <c r="EO6" s="258"/>
      <c r="EP6" s="258"/>
      <c r="EQ6" s="258"/>
      <c r="ER6" s="258"/>
      <c r="ES6" s="258"/>
      <c r="ET6" s="258"/>
      <c r="EU6" s="258"/>
      <c r="EV6" s="258"/>
      <c r="EW6" s="258"/>
      <c r="EX6" s="258"/>
      <c r="EY6" s="258"/>
      <c r="EZ6" s="258"/>
      <c r="FA6" s="258"/>
      <c r="FB6" s="258"/>
      <c r="FC6" s="258"/>
      <c r="FD6" s="258"/>
      <c r="FE6" s="258"/>
      <c r="FF6" s="258"/>
      <c r="FG6" s="258"/>
      <c r="FH6" s="258"/>
      <c r="FI6" s="258"/>
      <c r="FJ6" s="258"/>
      <c r="FK6" s="258"/>
      <c r="FL6" s="258"/>
      <c r="FM6" s="258"/>
      <c r="FN6" s="258"/>
      <c r="FO6" s="258"/>
      <c r="FP6" s="258"/>
      <c r="FQ6" s="258"/>
      <c r="FR6" s="258"/>
      <c r="FS6" s="258"/>
      <c r="FT6" s="258"/>
      <c r="FU6" s="258"/>
      <c r="FV6" s="258"/>
      <c r="FW6" s="258"/>
      <c r="FX6" s="258"/>
      <c r="FY6" s="258"/>
      <c r="FZ6" s="258"/>
      <c r="GA6" s="258"/>
      <c r="GB6" s="258"/>
      <c r="GC6" s="258"/>
      <c r="GD6" s="258"/>
      <c r="GE6" s="258"/>
      <c r="GF6" s="258"/>
      <c r="GG6" s="258"/>
      <c r="GH6" s="258"/>
      <c r="GI6" s="258"/>
      <c r="GJ6" s="258"/>
      <c r="GK6" s="258"/>
      <c r="GL6" s="258"/>
      <c r="GM6" s="258"/>
      <c r="GN6" s="258"/>
      <c r="GO6" s="258"/>
      <c r="GP6" s="258"/>
      <c r="GQ6" s="258"/>
      <c r="GR6" s="258"/>
      <c r="GS6" s="258"/>
      <c r="GT6" s="258"/>
      <c r="GU6" s="258"/>
      <c r="GV6" s="258"/>
      <c r="GW6" s="258"/>
      <c r="GX6" s="258"/>
      <c r="GY6" s="258"/>
      <c r="GZ6" s="258"/>
      <c r="HA6" s="258"/>
      <c r="HB6" s="258"/>
      <c r="HC6" s="258"/>
      <c r="HD6" s="258"/>
      <c r="HE6" s="258"/>
      <c r="HF6" s="258"/>
      <c r="HG6" s="258"/>
      <c r="HH6" s="258"/>
      <c r="HI6" s="258"/>
      <c r="HJ6" s="258"/>
      <c r="HK6" s="258"/>
      <c r="HL6" s="258"/>
      <c r="HM6" s="258"/>
      <c r="HN6" s="258"/>
      <c r="HO6" s="258"/>
      <c r="HP6" s="258"/>
      <c r="HQ6" s="258"/>
      <c r="HR6" s="258"/>
      <c r="HS6" s="258"/>
      <c r="HT6" s="258"/>
      <c r="HU6" s="258"/>
      <c r="HV6" s="258"/>
      <c r="HW6" s="258"/>
      <c r="HX6" s="258"/>
      <c r="HY6" s="258"/>
      <c r="HZ6" s="258"/>
      <c r="IA6" s="258"/>
      <c r="IB6" s="258"/>
      <c r="IC6" s="258"/>
      <c r="ID6" s="258"/>
      <c r="IE6" s="258"/>
      <c r="IF6" s="258"/>
      <c r="IG6" s="258"/>
      <c r="IH6" s="258"/>
      <c r="II6" s="258"/>
      <c r="IJ6" s="258"/>
      <c r="IK6" s="258"/>
      <c r="IL6" s="258"/>
      <c r="IM6" s="258"/>
      <c r="IN6" s="258"/>
      <c r="IO6" s="258"/>
      <c r="IP6" s="258"/>
      <c r="IQ6" s="258"/>
    </row>
    <row r="7" spans="1:251" s="261" customFormat="1" ht="19.899999999999999" customHeight="1" thickBot="1">
      <c r="A7" s="307" t="s">
        <v>476</v>
      </c>
      <c r="B7" s="268">
        <v>30</v>
      </c>
      <c r="C7" s="268">
        <v>17.899999999999999</v>
      </c>
      <c r="D7" s="268">
        <v>61.7</v>
      </c>
      <c r="E7" s="268">
        <v>55.1</v>
      </c>
      <c r="F7" s="268">
        <v>9</v>
      </c>
      <c r="G7" s="268">
        <v>56.599999999999994</v>
      </c>
      <c r="H7" s="268">
        <v>17.100000000000001</v>
      </c>
      <c r="I7" s="268">
        <v>83.3</v>
      </c>
      <c r="J7" s="268">
        <v>15.3</v>
      </c>
      <c r="K7" s="268">
        <v>13.600000000000001</v>
      </c>
      <c r="L7" s="268">
        <v>20.7</v>
      </c>
      <c r="M7" s="268">
        <v>21.7</v>
      </c>
      <c r="N7" s="268">
        <v>12.1</v>
      </c>
      <c r="O7" s="268">
        <v>103.1</v>
      </c>
      <c r="P7" s="268">
        <v>59.9</v>
      </c>
      <c r="Q7" s="268">
        <v>71.8</v>
      </c>
      <c r="R7" s="268">
        <v>71.099999999999994</v>
      </c>
      <c r="S7" s="268">
        <v>-14.5</v>
      </c>
      <c r="T7" s="268">
        <v>22</v>
      </c>
      <c r="U7" s="268">
        <v>28.799999999999997</v>
      </c>
      <c r="V7" s="268">
        <v>60.9</v>
      </c>
      <c r="W7" s="268">
        <v>22.7</v>
      </c>
      <c r="X7" s="268">
        <v>14.9</v>
      </c>
      <c r="Y7" s="268">
        <v>80</v>
      </c>
      <c r="Z7" s="268">
        <v>84.4</v>
      </c>
      <c r="AA7" s="268">
        <v>66</v>
      </c>
      <c r="AB7" s="265">
        <v>396.3</v>
      </c>
      <c r="AC7" s="265">
        <v>96.605999999999995</v>
      </c>
      <c r="AD7" s="265">
        <v>64.171313069999997</v>
      </c>
      <c r="AE7" s="265">
        <v>163.71146123</v>
      </c>
      <c r="AF7" s="265">
        <v>97.616092509999987</v>
      </c>
      <c r="AG7" s="265">
        <v>193.93786518999997</v>
      </c>
      <c r="AH7" s="266">
        <v>172.330297</v>
      </c>
      <c r="AI7" s="265">
        <v>155.69</v>
      </c>
      <c r="AJ7" s="344">
        <v>139.15334831999999</v>
      </c>
      <c r="AK7" s="344">
        <v>104.12590900000001</v>
      </c>
      <c r="AL7" s="343">
        <v>51.372593500000008</v>
      </c>
      <c r="AM7" s="342">
        <v>65.633908539999993</v>
      </c>
      <c r="AN7" s="262">
        <f>SUM(B7:AM7)</f>
        <v>2785.8487883600001</v>
      </c>
      <c r="AO7" s="258"/>
      <c r="AP7" s="258"/>
      <c r="AQ7" s="258"/>
      <c r="AR7" s="258"/>
      <c r="AS7" s="258"/>
      <c r="AT7" s="258"/>
      <c r="AU7" s="258"/>
      <c r="AV7" s="258"/>
      <c r="AW7" s="258"/>
      <c r="AX7" s="258"/>
      <c r="AY7" s="258"/>
      <c r="AZ7" s="258"/>
      <c r="BA7" s="258"/>
      <c r="BB7" s="258"/>
      <c r="BC7" s="258"/>
      <c r="BD7" s="258"/>
      <c r="BE7" s="258"/>
      <c r="BF7" s="258"/>
      <c r="BG7" s="258"/>
      <c r="BH7" s="258"/>
      <c r="BI7" s="258"/>
      <c r="BJ7" s="258"/>
      <c r="BK7" s="258"/>
      <c r="BL7" s="258"/>
      <c r="BM7" s="258"/>
      <c r="BN7" s="258"/>
      <c r="BO7" s="258"/>
      <c r="BP7" s="258"/>
      <c r="BQ7" s="258"/>
      <c r="BR7" s="258"/>
      <c r="BS7" s="258"/>
      <c r="BT7" s="258"/>
      <c r="BU7" s="258"/>
      <c r="BV7" s="258"/>
      <c r="BW7" s="258"/>
      <c r="BX7" s="258"/>
      <c r="BY7" s="258"/>
      <c r="BZ7" s="258"/>
      <c r="CA7" s="258"/>
      <c r="CB7" s="258"/>
      <c r="CC7" s="258"/>
      <c r="CD7" s="258"/>
      <c r="CE7" s="258"/>
      <c r="CF7" s="258"/>
      <c r="CG7" s="258"/>
      <c r="CH7" s="258"/>
      <c r="CI7" s="258"/>
      <c r="CJ7" s="258"/>
      <c r="CK7" s="258"/>
      <c r="CL7" s="258"/>
      <c r="CM7" s="258"/>
      <c r="CN7" s="258"/>
      <c r="CO7" s="258"/>
      <c r="CP7" s="258"/>
      <c r="CQ7" s="258"/>
      <c r="CR7" s="258"/>
      <c r="CS7" s="258"/>
      <c r="CT7" s="258"/>
      <c r="CU7" s="258"/>
      <c r="CV7" s="258"/>
      <c r="CW7" s="258"/>
      <c r="CX7" s="258"/>
      <c r="CY7" s="258"/>
      <c r="CZ7" s="258"/>
      <c r="DA7" s="258"/>
      <c r="DB7" s="258"/>
      <c r="DC7" s="258"/>
      <c r="DD7" s="258"/>
      <c r="DE7" s="258"/>
      <c r="DF7" s="258"/>
      <c r="DG7" s="258"/>
      <c r="DH7" s="258"/>
      <c r="DI7" s="258"/>
      <c r="DJ7" s="258"/>
      <c r="DK7" s="258"/>
      <c r="DL7" s="258"/>
      <c r="DM7" s="258"/>
      <c r="DN7" s="258"/>
      <c r="DO7" s="258"/>
      <c r="DP7" s="258"/>
      <c r="DQ7" s="258"/>
      <c r="DR7" s="258"/>
      <c r="DS7" s="258"/>
      <c r="DT7" s="258"/>
      <c r="DU7" s="258"/>
      <c r="DV7" s="258"/>
      <c r="DW7" s="258"/>
      <c r="DX7" s="258"/>
      <c r="DY7" s="258"/>
      <c r="DZ7" s="258"/>
      <c r="EA7" s="258"/>
      <c r="EB7" s="258"/>
      <c r="EC7" s="258"/>
      <c r="ED7" s="258"/>
      <c r="EE7" s="258"/>
      <c r="EF7" s="258"/>
      <c r="EG7" s="258"/>
      <c r="EH7" s="258"/>
      <c r="EI7" s="258"/>
      <c r="EJ7" s="258"/>
      <c r="EK7" s="258"/>
      <c r="EL7" s="258"/>
      <c r="EM7" s="258"/>
      <c r="EN7" s="258"/>
      <c r="EO7" s="258"/>
      <c r="EP7" s="258"/>
      <c r="EQ7" s="258"/>
      <c r="ER7" s="258"/>
      <c r="ES7" s="258"/>
      <c r="ET7" s="258"/>
      <c r="EU7" s="258"/>
      <c r="EV7" s="258"/>
      <c r="EW7" s="258"/>
      <c r="EX7" s="258"/>
      <c r="EY7" s="258"/>
      <c r="EZ7" s="258"/>
      <c r="FA7" s="258"/>
      <c r="FB7" s="258"/>
      <c r="FC7" s="258"/>
      <c r="FD7" s="258"/>
      <c r="FE7" s="258"/>
      <c r="FF7" s="258"/>
      <c r="FG7" s="258"/>
      <c r="FH7" s="258"/>
      <c r="FI7" s="258"/>
      <c r="FJ7" s="258"/>
      <c r="FK7" s="258"/>
      <c r="FL7" s="258"/>
      <c r="FM7" s="258"/>
      <c r="FN7" s="258"/>
      <c r="FO7" s="258"/>
      <c r="FP7" s="258"/>
      <c r="FQ7" s="258"/>
      <c r="FR7" s="258"/>
      <c r="FS7" s="258"/>
      <c r="FT7" s="258"/>
      <c r="FU7" s="258"/>
      <c r="FV7" s="258"/>
      <c r="FW7" s="258"/>
      <c r="FX7" s="258"/>
      <c r="FY7" s="258"/>
      <c r="FZ7" s="258"/>
      <c r="GA7" s="258"/>
      <c r="GB7" s="258"/>
      <c r="GC7" s="258"/>
      <c r="GD7" s="258"/>
      <c r="GE7" s="258"/>
      <c r="GF7" s="258"/>
      <c r="GG7" s="258"/>
      <c r="GH7" s="258"/>
      <c r="GI7" s="258"/>
      <c r="GJ7" s="258"/>
      <c r="GK7" s="258"/>
      <c r="GL7" s="258"/>
      <c r="GM7" s="258"/>
      <c r="GN7" s="258"/>
      <c r="GO7" s="258"/>
      <c r="GP7" s="258"/>
      <c r="GQ7" s="258"/>
      <c r="GR7" s="258"/>
      <c r="GS7" s="258"/>
      <c r="GT7" s="258"/>
      <c r="GU7" s="258"/>
      <c r="GV7" s="258"/>
      <c r="GW7" s="258"/>
      <c r="GX7" s="258"/>
      <c r="GY7" s="258"/>
      <c r="GZ7" s="258"/>
      <c r="HA7" s="258"/>
      <c r="HB7" s="258"/>
      <c r="HC7" s="258"/>
      <c r="HD7" s="258"/>
      <c r="HE7" s="258"/>
      <c r="HF7" s="258"/>
      <c r="HG7" s="258"/>
      <c r="HH7" s="258"/>
      <c r="HI7" s="258"/>
      <c r="HJ7" s="258"/>
      <c r="HK7" s="258"/>
      <c r="HL7" s="258"/>
      <c r="HM7" s="258"/>
      <c r="HN7" s="258"/>
      <c r="HO7" s="258"/>
      <c r="HP7" s="258"/>
      <c r="HQ7" s="258"/>
      <c r="HR7" s="258"/>
      <c r="HS7" s="258"/>
      <c r="HT7" s="258"/>
      <c r="HU7" s="258"/>
      <c r="HV7" s="258"/>
      <c r="HW7" s="258"/>
      <c r="HX7" s="258"/>
      <c r="HY7" s="258"/>
      <c r="HZ7" s="258"/>
      <c r="IA7" s="258"/>
      <c r="IB7" s="258"/>
      <c r="IC7" s="258"/>
      <c r="ID7" s="258"/>
      <c r="IE7" s="258"/>
      <c r="IF7" s="258"/>
      <c r="IG7" s="258"/>
      <c r="IH7" s="258"/>
      <c r="II7" s="258"/>
      <c r="IJ7" s="258"/>
      <c r="IK7" s="258"/>
      <c r="IL7" s="258"/>
      <c r="IM7" s="258"/>
      <c r="IN7" s="258"/>
      <c r="IO7" s="258"/>
      <c r="IP7" s="258"/>
      <c r="IQ7" s="258"/>
    </row>
    <row r="8" spans="1:251" s="271" customFormat="1" ht="19.5" customHeight="1">
      <c r="A8" s="341" t="s">
        <v>475</v>
      </c>
      <c r="B8" s="360">
        <v>0</v>
      </c>
      <c r="C8" s="360">
        <v>0</v>
      </c>
      <c r="D8" s="360">
        <v>0</v>
      </c>
      <c r="E8" s="360">
        <v>0</v>
      </c>
      <c r="F8" s="360">
        <v>0</v>
      </c>
      <c r="G8" s="360">
        <v>0</v>
      </c>
      <c r="H8" s="360">
        <v>0</v>
      </c>
      <c r="I8" s="360">
        <v>0</v>
      </c>
      <c r="J8" s="360">
        <v>0</v>
      </c>
      <c r="K8" s="360">
        <v>0</v>
      </c>
      <c r="L8" s="360">
        <v>0</v>
      </c>
      <c r="M8" s="360">
        <v>0</v>
      </c>
      <c r="N8" s="360">
        <v>0</v>
      </c>
      <c r="O8" s="360">
        <v>0</v>
      </c>
      <c r="P8" s="360">
        <v>0</v>
      </c>
      <c r="Q8" s="359"/>
      <c r="R8" s="359"/>
      <c r="S8" s="359"/>
      <c r="T8" s="359"/>
      <c r="U8" s="359"/>
      <c r="V8" s="359"/>
      <c r="W8" s="359"/>
      <c r="X8" s="359"/>
      <c r="Y8" s="359"/>
      <c r="Z8" s="359"/>
      <c r="AA8" s="359"/>
      <c r="AB8" s="358"/>
      <c r="AC8" s="356"/>
      <c r="AD8" s="356"/>
      <c r="AE8" s="356"/>
      <c r="AF8" s="356"/>
      <c r="AG8" s="356"/>
      <c r="AH8" s="357"/>
      <c r="AI8" s="356"/>
      <c r="AJ8" s="355"/>
      <c r="AK8" s="355"/>
      <c r="AL8" s="354"/>
      <c r="AM8" s="334"/>
      <c r="AN8" s="333"/>
      <c r="AO8" s="258"/>
      <c r="AP8" s="258"/>
      <c r="AQ8" s="258"/>
      <c r="AR8" s="258"/>
      <c r="AS8" s="258"/>
      <c r="AT8" s="258"/>
      <c r="AU8" s="258"/>
      <c r="AV8" s="258"/>
      <c r="AW8" s="258"/>
      <c r="AX8" s="258"/>
      <c r="AY8" s="258"/>
      <c r="AZ8" s="258"/>
      <c r="BA8" s="258"/>
      <c r="BB8" s="258"/>
      <c r="BC8" s="258"/>
      <c r="BD8" s="258"/>
      <c r="BE8" s="258"/>
      <c r="BF8" s="258"/>
      <c r="BG8" s="258"/>
      <c r="BH8" s="258"/>
      <c r="BI8" s="258"/>
      <c r="BJ8" s="258"/>
      <c r="BK8" s="258"/>
      <c r="BL8" s="258"/>
      <c r="BM8" s="258"/>
      <c r="BN8" s="258"/>
      <c r="BO8" s="258"/>
      <c r="BP8" s="258"/>
      <c r="BQ8" s="258"/>
      <c r="BR8" s="258"/>
      <c r="BS8" s="258"/>
      <c r="BT8" s="258"/>
      <c r="BU8" s="258"/>
      <c r="BV8" s="258"/>
      <c r="BW8" s="258"/>
      <c r="BX8" s="258"/>
      <c r="BY8" s="258"/>
      <c r="BZ8" s="258"/>
      <c r="CA8" s="258"/>
      <c r="CB8" s="258"/>
      <c r="CC8" s="258"/>
      <c r="CD8" s="258"/>
      <c r="CE8" s="258"/>
      <c r="CF8" s="258"/>
      <c r="CG8" s="258"/>
      <c r="CH8" s="258"/>
      <c r="CI8" s="258"/>
      <c r="CJ8" s="258"/>
      <c r="CK8" s="258"/>
      <c r="CL8" s="258"/>
      <c r="CM8" s="258"/>
      <c r="CN8" s="258"/>
      <c r="CO8" s="258"/>
      <c r="CP8" s="258"/>
      <c r="CQ8" s="258"/>
      <c r="CR8" s="258"/>
      <c r="CS8" s="258"/>
      <c r="CT8" s="258"/>
      <c r="CU8" s="258"/>
      <c r="CV8" s="258"/>
      <c r="CW8" s="258"/>
      <c r="CX8" s="258"/>
      <c r="CY8" s="258"/>
      <c r="CZ8" s="258"/>
      <c r="DA8" s="258"/>
      <c r="DB8" s="258"/>
      <c r="DC8" s="258"/>
      <c r="DD8" s="258"/>
      <c r="DE8" s="258"/>
      <c r="DF8" s="258"/>
      <c r="DG8" s="258"/>
      <c r="DH8" s="258"/>
      <c r="DI8" s="258"/>
      <c r="DJ8" s="258"/>
      <c r="DK8" s="258"/>
      <c r="DL8" s="258"/>
      <c r="DM8" s="258"/>
      <c r="DN8" s="258"/>
      <c r="DO8" s="258"/>
      <c r="DP8" s="258"/>
      <c r="DQ8" s="258"/>
      <c r="DR8" s="258"/>
      <c r="DS8" s="258"/>
      <c r="DT8" s="258"/>
      <c r="DU8" s="258"/>
      <c r="DV8" s="258"/>
      <c r="DW8" s="258"/>
      <c r="DX8" s="258"/>
      <c r="DY8" s="258"/>
      <c r="DZ8" s="258"/>
      <c r="EA8" s="258"/>
      <c r="EB8" s="258"/>
      <c r="EC8" s="258"/>
      <c r="ED8" s="258"/>
      <c r="EE8" s="258"/>
      <c r="EF8" s="258"/>
      <c r="EG8" s="258"/>
      <c r="EH8" s="258"/>
      <c r="EI8" s="258"/>
      <c r="EJ8" s="258"/>
      <c r="EK8" s="258"/>
      <c r="EL8" s="258"/>
      <c r="EM8" s="258"/>
      <c r="EN8" s="258"/>
      <c r="EO8" s="258"/>
      <c r="EP8" s="258"/>
      <c r="EQ8" s="258"/>
      <c r="ER8" s="258"/>
      <c r="ES8" s="258"/>
      <c r="ET8" s="258"/>
      <c r="EU8" s="258"/>
      <c r="EV8" s="258"/>
      <c r="EW8" s="258"/>
      <c r="EX8" s="258"/>
      <c r="EY8" s="258"/>
      <c r="EZ8" s="258"/>
      <c r="FA8" s="258"/>
      <c r="FB8" s="258"/>
      <c r="FC8" s="258"/>
      <c r="FD8" s="258"/>
      <c r="FE8" s="258"/>
      <c r="FF8" s="258"/>
      <c r="FG8" s="258"/>
      <c r="FH8" s="258"/>
      <c r="FI8" s="258"/>
      <c r="FJ8" s="258"/>
      <c r="FK8" s="258"/>
      <c r="FL8" s="258"/>
      <c r="FM8" s="258"/>
      <c r="FN8" s="258"/>
      <c r="FO8" s="258"/>
      <c r="FP8" s="258"/>
      <c r="FQ8" s="258"/>
      <c r="FR8" s="258"/>
      <c r="FS8" s="258"/>
      <c r="FT8" s="258"/>
      <c r="FU8" s="258"/>
      <c r="FV8" s="258"/>
      <c r="FW8" s="258"/>
      <c r="FX8" s="258"/>
      <c r="FY8" s="258"/>
      <c r="FZ8" s="258"/>
      <c r="GA8" s="258"/>
      <c r="GB8" s="258"/>
      <c r="GC8" s="258"/>
      <c r="GD8" s="258"/>
      <c r="GE8" s="258"/>
      <c r="GF8" s="258"/>
      <c r="GG8" s="258"/>
      <c r="GH8" s="258"/>
      <c r="GI8" s="258"/>
      <c r="GJ8" s="258"/>
      <c r="GK8" s="258"/>
      <c r="GL8" s="258"/>
      <c r="GM8" s="258"/>
      <c r="GN8" s="258"/>
      <c r="GO8" s="258"/>
      <c r="GP8" s="258"/>
      <c r="GQ8" s="258"/>
      <c r="GR8" s="258"/>
      <c r="GS8" s="258"/>
      <c r="GT8" s="258"/>
      <c r="GU8" s="258"/>
      <c r="GV8" s="258"/>
      <c r="GW8" s="258"/>
      <c r="GX8" s="258"/>
      <c r="GY8" s="258"/>
      <c r="GZ8" s="258"/>
      <c r="HA8" s="258"/>
      <c r="HB8" s="258"/>
      <c r="HC8" s="258"/>
      <c r="HD8" s="258"/>
      <c r="HE8" s="258"/>
      <c r="HF8" s="258"/>
      <c r="HG8" s="258"/>
      <c r="HH8" s="258"/>
      <c r="HI8" s="258"/>
      <c r="HJ8" s="258"/>
      <c r="HK8" s="258"/>
      <c r="HL8" s="258"/>
      <c r="HM8" s="258"/>
      <c r="HN8" s="258"/>
      <c r="HO8" s="258"/>
      <c r="HP8" s="258"/>
      <c r="HQ8" s="258"/>
      <c r="HR8" s="258"/>
      <c r="HS8" s="258"/>
      <c r="HT8" s="258"/>
      <c r="HU8" s="258"/>
      <c r="HV8" s="258"/>
      <c r="HW8" s="258"/>
      <c r="HX8" s="258"/>
      <c r="HY8" s="258"/>
      <c r="HZ8" s="258"/>
      <c r="IA8" s="258"/>
      <c r="IB8" s="258"/>
      <c r="IC8" s="258"/>
      <c r="ID8" s="258"/>
      <c r="IE8" s="258"/>
      <c r="IF8" s="258"/>
      <c r="IG8" s="258"/>
      <c r="IH8" s="258"/>
      <c r="II8" s="258"/>
      <c r="IJ8" s="258"/>
      <c r="IK8" s="258"/>
      <c r="IL8" s="258"/>
      <c r="IM8" s="258"/>
      <c r="IN8" s="258"/>
      <c r="IO8" s="258"/>
      <c r="IP8" s="258"/>
      <c r="IQ8" s="258"/>
    </row>
    <row r="9" spans="1:251" s="233" customFormat="1" ht="19.899999999999999" customHeight="1">
      <c r="A9" s="381" t="s">
        <v>474</v>
      </c>
      <c r="B9" s="288">
        <v>2.2999999999999998</v>
      </c>
      <c r="C9" s="288">
        <v>2.2999999999999998</v>
      </c>
      <c r="D9" s="288">
        <v>4.5999999999999996</v>
      </c>
      <c r="E9" s="288">
        <v>9.1</v>
      </c>
      <c r="F9" s="288">
        <v>19.600000000000001</v>
      </c>
      <c r="G9" s="288">
        <v>15.9</v>
      </c>
      <c r="H9" s="288">
        <v>19.600000000000001</v>
      </c>
      <c r="I9" s="288">
        <v>22.2</v>
      </c>
      <c r="J9" s="288">
        <v>18.8</v>
      </c>
      <c r="K9" s="288">
        <v>23</v>
      </c>
      <c r="L9" s="288">
        <v>32.799999999999997</v>
      </c>
      <c r="M9" s="288">
        <v>33</v>
      </c>
      <c r="N9" s="288">
        <v>67</v>
      </c>
      <c r="O9" s="288">
        <v>49.6</v>
      </c>
      <c r="P9" s="288">
        <v>55.9</v>
      </c>
      <c r="Q9" s="287">
        <v>71.400000000000006</v>
      </c>
      <c r="R9" s="287">
        <v>68.5</v>
      </c>
      <c r="S9" s="287">
        <v>82.2</v>
      </c>
      <c r="T9" s="287">
        <v>104.9</v>
      </c>
      <c r="U9" s="287">
        <v>108.2</v>
      </c>
      <c r="V9" s="287">
        <v>108.2</v>
      </c>
      <c r="W9" s="287">
        <v>101.1</v>
      </c>
      <c r="X9" s="287">
        <v>137.1</v>
      </c>
      <c r="Y9" s="287">
        <v>140.69999999999999</v>
      </c>
      <c r="Z9" s="287">
        <v>137.9</v>
      </c>
      <c r="AA9" s="287">
        <v>135.80000000000001</v>
      </c>
      <c r="AB9" s="286">
        <v>137.9</v>
      </c>
      <c r="AC9" s="284">
        <v>139.482</v>
      </c>
      <c r="AD9" s="284">
        <v>148.89743393999996</v>
      </c>
      <c r="AE9" s="284">
        <v>177.85944282999998</v>
      </c>
      <c r="AF9" s="284">
        <v>199.58221303000002</v>
      </c>
      <c r="AG9" s="284">
        <v>221.05362423999992</v>
      </c>
      <c r="AH9" s="332">
        <v>248.93</v>
      </c>
      <c r="AI9" s="331">
        <v>239</v>
      </c>
      <c r="AJ9" s="330">
        <v>231.80148199999996</v>
      </c>
      <c r="AK9" s="330">
        <v>258.17721182999998</v>
      </c>
      <c r="AL9" s="329">
        <v>258.14218992999997</v>
      </c>
      <c r="AM9" s="328">
        <v>254.70420748999999</v>
      </c>
      <c r="AN9" s="327">
        <f>SUM(B9:AM9)</f>
        <v>4087.2298052899996</v>
      </c>
      <c r="AO9" s="258"/>
      <c r="AP9" s="258"/>
      <c r="AQ9" s="258"/>
      <c r="AR9" s="258"/>
      <c r="AS9" s="258"/>
      <c r="AT9" s="258"/>
      <c r="AU9" s="258"/>
      <c r="AV9" s="258"/>
      <c r="AW9" s="258"/>
      <c r="AX9" s="258"/>
      <c r="AY9" s="258"/>
      <c r="AZ9" s="258"/>
      <c r="BA9" s="258"/>
      <c r="BB9" s="258"/>
      <c r="BC9" s="258"/>
      <c r="BD9" s="258"/>
      <c r="BE9" s="258"/>
      <c r="BF9" s="258"/>
      <c r="BG9" s="258"/>
      <c r="BH9" s="258"/>
      <c r="BI9" s="258"/>
      <c r="BJ9" s="258"/>
      <c r="BK9" s="258"/>
      <c r="BL9" s="258"/>
      <c r="BM9" s="258"/>
      <c r="BN9" s="258"/>
      <c r="BO9" s="258"/>
      <c r="BP9" s="258"/>
      <c r="BQ9" s="258"/>
      <c r="BR9" s="258"/>
      <c r="BS9" s="258"/>
      <c r="BT9" s="258"/>
      <c r="BU9" s="258"/>
      <c r="BV9" s="258"/>
      <c r="BW9" s="258"/>
      <c r="BX9" s="258"/>
      <c r="BY9" s="258"/>
      <c r="BZ9" s="258"/>
      <c r="CA9" s="258"/>
      <c r="CB9" s="258"/>
      <c r="CC9" s="258"/>
      <c r="CD9" s="258"/>
      <c r="CE9" s="258"/>
      <c r="CF9" s="258"/>
      <c r="CG9" s="258"/>
      <c r="CH9" s="258"/>
      <c r="CI9" s="258"/>
      <c r="CJ9" s="258"/>
      <c r="CK9" s="258"/>
      <c r="CL9" s="258"/>
      <c r="CM9" s="258"/>
      <c r="CN9" s="258"/>
      <c r="CO9" s="258"/>
      <c r="CP9" s="258"/>
      <c r="CQ9" s="258"/>
      <c r="CR9" s="258"/>
      <c r="CS9" s="258"/>
      <c r="CT9" s="258"/>
      <c r="CU9" s="258"/>
      <c r="CV9" s="258"/>
      <c r="CW9" s="258"/>
      <c r="CX9" s="258"/>
      <c r="CY9" s="258"/>
      <c r="CZ9" s="258"/>
      <c r="DA9" s="258"/>
      <c r="DB9" s="258"/>
      <c r="DC9" s="258"/>
      <c r="DD9" s="258"/>
      <c r="DE9" s="258"/>
      <c r="DF9" s="258"/>
      <c r="DG9" s="258"/>
      <c r="DH9" s="258"/>
      <c r="DI9" s="258"/>
      <c r="DJ9" s="258"/>
      <c r="DK9" s="258"/>
      <c r="DL9" s="258"/>
      <c r="DM9" s="258"/>
      <c r="DN9" s="258"/>
      <c r="DO9" s="258"/>
      <c r="DP9" s="258"/>
      <c r="DQ9" s="258"/>
      <c r="DR9" s="258"/>
      <c r="DS9" s="258"/>
      <c r="DT9" s="258"/>
      <c r="DU9" s="258"/>
      <c r="DV9" s="258"/>
      <c r="DW9" s="258"/>
      <c r="DX9" s="258"/>
      <c r="DY9" s="258"/>
      <c r="DZ9" s="258"/>
      <c r="EA9" s="258"/>
      <c r="EB9" s="258"/>
      <c r="EC9" s="258"/>
      <c r="ED9" s="258"/>
      <c r="EE9" s="258"/>
      <c r="EF9" s="258"/>
      <c r="EG9" s="258"/>
      <c r="EH9" s="258"/>
      <c r="EI9" s="258"/>
      <c r="EJ9" s="258"/>
      <c r="EK9" s="258"/>
      <c r="EL9" s="258"/>
      <c r="EM9" s="258"/>
      <c r="EN9" s="258"/>
      <c r="EO9" s="258"/>
      <c r="EP9" s="258"/>
      <c r="EQ9" s="258"/>
      <c r="ER9" s="258"/>
      <c r="ES9" s="258"/>
      <c r="ET9" s="258"/>
      <c r="EU9" s="258"/>
      <c r="EV9" s="258"/>
      <c r="EW9" s="258"/>
      <c r="EX9" s="258"/>
      <c r="EY9" s="258"/>
      <c r="EZ9" s="258"/>
      <c r="FA9" s="258"/>
      <c r="FB9" s="258"/>
      <c r="FC9" s="258"/>
      <c r="FD9" s="258"/>
      <c r="FE9" s="258"/>
      <c r="FF9" s="258"/>
      <c r="FG9" s="258"/>
      <c r="FH9" s="258"/>
      <c r="FI9" s="258"/>
      <c r="FJ9" s="258"/>
      <c r="FK9" s="258"/>
      <c r="FL9" s="258"/>
      <c r="FM9" s="258"/>
      <c r="FN9" s="258"/>
      <c r="FO9" s="258"/>
      <c r="FP9" s="258"/>
      <c r="FQ9" s="258"/>
      <c r="FR9" s="258"/>
      <c r="FS9" s="258"/>
      <c r="FT9" s="258"/>
      <c r="FU9" s="258"/>
      <c r="FV9" s="258"/>
      <c r="FW9" s="258"/>
      <c r="FX9" s="258"/>
      <c r="FY9" s="258"/>
      <c r="FZ9" s="258"/>
      <c r="GA9" s="258"/>
      <c r="GB9" s="258"/>
      <c r="GC9" s="258"/>
      <c r="GD9" s="258"/>
      <c r="GE9" s="258"/>
      <c r="GF9" s="258"/>
      <c r="GG9" s="258"/>
      <c r="GH9" s="258"/>
      <c r="GI9" s="258"/>
      <c r="GJ9" s="258"/>
      <c r="GK9" s="258"/>
      <c r="GL9" s="258"/>
      <c r="GM9" s="258"/>
      <c r="GN9" s="258"/>
      <c r="GO9" s="258"/>
      <c r="GP9" s="258"/>
      <c r="GQ9" s="258"/>
      <c r="GR9" s="258"/>
      <c r="GS9" s="258"/>
      <c r="GT9" s="258"/>
      <c r="GU9" s="258"/>
      <c r="GV9" s="258"/>
      <c r="GW9" s="258"/>
      <c r="GX9" s="258"/>
      <c r="GY9" s="258"/>
      <c r="GZ9" s="258"/>
      <c r="HA9" s="258"/>
      <c r="HB9" s="258"/>
      <c r="HC9" s="258"/>
      <c r="HD9" s="258"/>
      <c r="HE9" s="258"/>
      <c r="HF9" s="258"/>
      <c r="HG9" s="258"/>
      <c r="HH9" s="258"/>
      <c r="HI9" s="258"/>
      <c r="HJ9" s="258"/>
      <c r="HK9" s="258"/>
      <c r="HL9" s="258"/>
      <c r="HM9" s="258"/>
      <c r="HN9" s="258"/>
      <c r="HO9" s="258"/>
      <c r="HP9" s="258"/>
      <c r="HQ9" s="258"/>
      <c r="HR9" s="258"/>
      <c r="HS9" s="258"/>
      <c r="HT9" s="258"/>
      <c r="HU9" s="258"/>
      <c r="HV9" s="258"/>
      <c r="HW9" s="258"/>
      <c r="HX9" s="258"/>
      <c r="HY9" s="258"/>
      <c r="HZ9" s="258"/>
      <c r="IA9" s="258"/>
      <c r="IB9" s="258"/>
      <c r="IC9" s="258"/>
      <c r="ID9" s="258"/>
      <c r="IE9" s="258"/>
      <c r="IF9" s="258"/>
      <c r="IG9" s="258"/>
      <c r="IH9" s="258"/>
      <c r="II9" s="258"/>
      <c r="IJ9" s="258"/>
      <c r="IK9" s="258"/>
      <c r="IL9" s="258"/>
      <c r="IM9" s="258"/>
      <c r="IN9" s="258"/>
      <c r="IO9" s="258"/>
      <c r="IP9" s="258"/>
      <c r="IQ9" s="258"/>
    </row>
    <row r="10" spans="1:251" s="233" customFormat="1" ht="19.899999999999999" customHeight="1">
      <c r="A10" s="381" t="s">
        <v>473</v>
      </c>
      <c r="B10" s="360"/>
      <c r="C10" s="360"/>
      <c r="D10" s="360"/>
      <c r="E10" s="360"/>
      <c r="F10" s="360"/>
      <c r="G10" s="360"/>
      <c r="H10" s="360"/>
      <c r="I10" s="360"/>
      <c r="J10" s="360"/>
      <c r="K10" s="360"/>
      <c r="L10" s="360"/>
      <c r="M10" s="360"/>
      <c r="N10" s="360"/>
      <c r="O10" s="360"/>
      <c r="P10" s="360"/>
      <c r="Q10" s="359"/>
      <c r="R10" s="359"/>
      <c r="S10" s="359"/>
      <c r="T10" s="359"/>
      <c r="U10" s="359"/>
      <c r="V10" s="359"/>
      <c r="W10" s="359"/>
      <c r="X10" s="359"/>
      <c r="Y10" s="359"/>
      <c r="Z10" s="359"/>
      <c r="AA10" s="359"/>
      <c r="AB10" s="286"/>
      <c r="AC10" s="284"/>
      <c r="AD10" s="284"/>
      <c r="AE10" s="284"/>
      <c r="AF10" s="284"/>
      <c r="AG10" s="284"/>
      <c r="AH10" s="332"/>
      <c r="AI10" s="331">
        <v>0.2</v>
      </c>
      <c r="AJ10" s="330">
        <v>0.3</v>
      </c>
      <c r="AK10" s="330">
        <v>0.12382228999999997</v>
      </c>
      <c r="AL10" s="329">
        <v>1.3212650000000003E-2</v>
      </c>
      <c r="AM10" s="328">
        <v>2.3026599999999998E-3</v>
      </c>
      <c r="AN10" s="327">
        <f>SUM(B10:AM10)</f>
        <v>0.63933760000000006</v>
      </c>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c r="CQ10" s="258"/>
      <c r="CR10" s="258"/>
      <c r="CS10" s="258"/>
      <c r="CT10" s="258"/>
      <c r="CU10" s="258"/>
      <c r="CV10" s="258"/>
      <c r="CW10" s="258"/>
      <c r="CX10" s="258"/>
      <c r="CY10" s="258"/>
      <c r="CZ10" s="258"/>
      <c r="DA10" s="258"/>
      <c r="DB10" s="258"/>
      <c r="DC10" s="258"/>
      <c r="DD10" s="258"/>
      <c r="DE10" s="258"/>
      <c r="DF10" s="258"/>
      <c r="DG10" s="258"/>
      <c r="DH10" s="258"/>
      <c r="DI10" s="258"/>
      <c r="DJ10" s="258"/>
      <c r="DK10" s="258"/>
      <c r="DL10" s="258"/>
      <c r="DM10" s="258"/>
      <c r="DN10" s="258"/>
      <c r="DO10" s="258"/>
      <c r="DP10" s="258"/>
      <c r="DQ10" s="258"/>
      <c r="DR10" s="258"/>
      <c r="DS10" s="258"/>
      <c r="DT10" s="258"/>
      <c r="DU10" s="258"/>
      <c r="DV10" s="258"/>
      <c r="DW10" s="258"/>
      <c r="DX10" s="258"/>
      <c r="DY10" s="258"/>
      <c r="DZ10" s="258"/>
      <c r="EA10" s="258"/>
      <c r="EB10" s="258"/>
      <c r="EC10" s="258"/>
      <c r="ED10" s="258"/>
      <c r="EE10" s="258"/>
      <c r="EF10" s="258"/>
      <c r="EG10" s="258"/>
      <c r="EH10" s="258"/>
      <c r="EI10" s="258"/>
      <c r="EJ10" s="258"/>
      <c r="EK10" s="258"/>
      <c r="EL10" s="258"/>
      <c r="EM10" s="258"/>
      <c r="EN10" s="258"/>
      <c r="EO10" s="258"/>
      <c r="EP10" s="258"/>
      <c r="EQ10" s="258"/>
      <c r="ER10" s="258"/>
      <c r="ES10" s="258"/>
      <c r="ET10" s="258"/>
      <c r="EU10" s="258"/>
      <c r="EV10" s="258"/>
      <c r="EW10" s="258"/>
      <c r="EX10" s="258"/>
      <c r="EY10" s="258"/>
      <c r="EZ10" s="258"/>
      <c r="FA10" s="258"/>
      <c r="FB10" s="258"/>
      <c r="FC10" s="258"/>
      <c r="FD10" s="258"/>
      <c r="FE10" s="258"/>
      <c r="FF10" s="258"/>
      <c r="FG10" s="258"/>
      <c r="FH10" s="258"/>
      <c r="FI10" s="258"/>
      <c r="FJ10" s="258"/>
      <c r="FK10" s="258"/>
      <c r="FL10" s="258"/>
      <c r="FM10" s="258"/>
      <c r="FN10" s="258"/>
      <c r="FO10" s="258"/>
      <c r="FP10" s="258"/>
      <c r="FQ10" s="258"/>
      <c r="FR10" s="258"/>
      <c r="FS10" s="258"/>
      <c r="FT10" s="258"/>
      <c r="FU10" s="258"/>
      <c r="FV10" s="258"/>
      <c r="FW10" s="258"/>
      <c r="FX10" s="258"/>
      <c r="FY10" s="258"/>
      <c r="FZ10" s="258"/>
      <c r="GA10" s="258"/>
      <c r="GB10" s="258"/>
      <c r="GC10" s="258"/>
      <c r="GD10" s="258"/>
      <c r="GE10" s="258"/>
      <c r="GF10" s="258"/>
      <c r="GG10" s="258"/>
      <c r="GH10" s="258"/>
      <c r="GI10" s="258"/>
      <c r="GJ10" s="258"/>
      <c r="GK10" s="258"/>
      <c r="GL10" s="258"/>
      <c r="GM10" s="258"/>
      <c r="GN10" s="258"/>
      <c r="GO10" s="258"/>
      <c r="GP10" s="258"/>
      <c r="GQ10" s="258"/>
      <c r="GR10" s="258"/>
      <c r="GS10" s="258"/>
      <c r="GT10" s="258"/>
      <c r="GU10" s="258"/>
      <c r="GV10" s="258"/>
      <c r="GW10" s="258"/>
      <c r="GX10" s="258"/>
      <c r="GY10" s="258"/>
      <c r="GZ10" s="258"/>
      <c r="HA10" s="258"/>
      <c r="HB10" s="258"/>
      <c r="HC10" s="258"/>
      <c r="HD10" s="258"/>
      <c r="HE10" s="258"/>
      <c r="HF10" s="258"/>
      <c r="HG10" s="258"/>
      <c r="HH10" s="258"/>
      <c r="HI10" s="258"/>
      <c r="HJ10" s="258"/>
      <c r="HK10" s="258"/>
      <c r="HL10" s="258"/>
      <c r="HM10" s="258"/>
      <c r="HN10" s="258"/>
      <c r="HO10" s="258"/>
      <c r="HP10" s="258"/>
      <c r="HQ10" s="258"/>
      <c r="HR10" s="258"/>
      <c r="HS10" s="258"/>
      <c r="HT10" s="258"/>
      <c r="HU10" s="258"/>
      <c r="HV10" s="258"/>
      <c r="HW10" s="258"/>
      <c r="HX10" s="258"/>
      <c r="HY10" s="258"/>
      <c r="HZ10" s="258"/>
      <c r="IA10" s="258"/>
      <c r="IB10" s="258"/>
      <c r="IC10" s="258"/>
      <c r="ID10" s="258"/>
      <c r="IE10" s="258"/>
      <c r="IF10" s="258"/>
      <c r="IG10" s="258"/>
      <c r="IH10" s="258"/>
      <c r="II10" s="258"/>
      <c r="IJ10" s="258"/>
      <c r="IK10" s="258"/>
      <c r="IL10" s="258"/>
      <c r="IM10" s="258"/>
      <c r="IN10" s="258"/>
      <c r="IO10" s="258"/>
      <c r="IP10" s="258"/>
      <c r="IQ10" s="258"/>
    </row>
    <row r="11" spans="1:251" s="271" customFormat="1" ht="25.5" customHeight="1">
      <c r="A11" s="381" t="s">
        <v>472</v>
      </c>
      <c r="B11" s="360">
        <v>0</v>
      </c>
      <c r="C11" s="360">
        <v>0</v>
      </c>
      <c r="D11" s="360">
        <v>0</v>
      </c>
      <c r="E11" s="360">
        <v>0</v>
      </c>
      <c r="F11" s="360">
        <v>0</v>
      </c>
      <c r="G11" s="360">
        <v>0</v>
      </c>
      <c r="H11" s="360">
        <v>0</v>
      </c>
      <c r="I11" s="360">
        <v>0</v>
      </c>
      <c r="J11" s="360">
        <v>0</v>
      </c>
      <c r="K11" s="360">
        <v>0</v>
      </c>
      <c r="L11" s="360">
        <v>0</v>
      </c>
      <c r="M11" s="360">
        <v>0</v>
      </c>
      <c r="N11" s="360">
        <v>0</v>
      </c>
      <c r="O11" s="360">
        <v>0</v>
      </c>
      <c r="P11" s="360">
        <v>0</v>
      </c>
      <c r="Q11" s="359"/>
      <c r="R11" s="359"/>
      <c r="S11" s="359"/>
      <c r="T11" s="359"/>
      <c r="U11" s="359"/>
      <c r="V11" s="359"/>
      <c r="W11" s="359">
        <v>2.9</v>
      </c>
      <c r="X11" s="359">
        <v>7.1</v>
      </c>
      <c r="Y11" s="359">
        <v>6.5</v>
      </c>
      <c r="Z11" s="359">
        <v>7.8</v>
      </c>
      <c r="AA11" s="359">
        <v>0.01</v>
      </c>
      <c r="AB11" s="286">
        <v>0</v>
      </c>
      <c r="AC11" s="284">
        <v>0</v>
      </c>
      <c r="AD11" s="284">
        <v>0</v>
      </c>
      <c r="AE11" s="284">
        <v>0</v>
      </c>
      <c r="AF11" s="284">
        <v>0</v>
      </c>
      <c r="AG11" s="284">
        <v>0</v>
      </c>
      <c r="AH11" s="332">
        <v>0</v>
      </c>
      <c r="AI11" s="331"/>
      <c r="AJ11" s="330">
        <v>0</v>
      </c>
      <c r="AK11" s="330">
        <v>0</v>
      </c>
      <c r="AL11" s="329">
        <v>0</v>
      </c>
      <c r="AM11" s="328">
        <v>0</v>
      </c>
      <c r="AN11" s="327">
        <f>SUM(B11:AM11)</f>
        <v>24.310000000000002</v>
      </c>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c r="BT11" s="258"/>
      <c r="BU11" s="258"/>
      <c r="BV11" s="258"/>
      <c r="BW11" s="258"/>
      <c r="BX11" s="258"/>
      <c r="BY11" s="258"/>
      <c r="BZ11" s="258"/>
      <c r="CA11" s="258"/>
      <c r="CB11" s="258"/>
      <c r="CC11" s="258"/>
      <c r="CD11" s="258"/>
      <c r="CE11" s="258"/>
      <c r="CF11" s="258"/>
      <c r="CG11" s="258"/>
      <c r="CH11" s="258"/>
      <c r="CI11" s="258"/>
      <c r="CJ11" s="258"/>
      <c r="CK11" s="258"/>
      <c r="CL11" s="258"/>
      <c r="CM11" s="258"/>
      <c r="CN11" s="258"/>
      <c r="CO11" s="258"/>
      <c r="CP11" s="258"/>
      <c r="CQ11" s="258"/>
      <c r="CR11" s="258"/>
      <c r="CS11" s="258"/>
      <c r="CT11" s="258"/>
      <c r="CU11" s="258"/>
      <c r="CV11" s="258"/>
      <c r="CW11" s="258"/>
      <c r="CX11" s="258"/>
      <c r="CY11" s="258"/>
      <c r="CZ11" s="258"/>
      <c r="DA11" s="258"/>
      <c r="DB11" s="258"/>
      <c r="DC11" s="258"/>
      <c r="DD11" s="258"/>
      <c r="DE11" s="258"/>
      <c r="DF11" s="258"/>
      <c r="DG11" s="258"/>
      <c r="DH11" s="258"/>
      <c r="DI11" s="258"/>
      <c r="DJ11" s="258"/>
      <c r="DK11" s="258"/>
      <c r="DL11" s="258"/>
      <c r="DM11" s="258"/>
      <c r="DN11" s="258"/>
      <c r="DO11" s="258"/>
      <c r="DP11" s="258"/>
      <c r="DQ11" s="258"/>
      <c r="DR11" s="258"/>
      <c r="DS11" s="258"/>
      <c r="DT11" s="258"/>
      <c r="DU11" s="258"/>
      <c r="DV11" s="258"/>
      <c r="DW11" s="258"/>
      <c r="DX11" s="258"/>
      <c r="DY11" s="258"/>
      <c r="DZ11" s="258"/>
      <c r="EA11" s="258"/>
      <c r="EB11" s="258"/>
      <c r="EC11" s="258"/>
      <c r="ED11" s="258"/>
      <c r="EE11" s="258"/>
      <c r="EF11" s="258"/>
      <c r="EG11" s="258"/>
      <c r="EH11" s="258"/>
      <c r="EI11" s="258"/>
      <c r="EJ11" s="258"/>
      <c r="EK11" s="258"/>
      <c r="EL11" s="258"/>
      <c r="EM11" s="258"/>
      <c r="EN11" s="258"/>
      <c r="EO11" s="258"/>
      <c r="EP11" s="258"/>
      <c r="EQ11" s="258"/>
      <c r="ER11" s="258"/>
      <c r="ES11" s="258"/>
      <c r="ET11" s="258"/>
      <c r="EU11" s="258"/>
      <c r="EV11" s="258"/>
      <c r="EW11" s="258"/>
      <c r="EX11" s="258"/>
      <c r="EY11" s="258"/>
      <c r="EZ11" s="258"/>
      <c r="FA11" s="258"/>
      <c r="FB11" s="258"/>
      <c r="FC11" s="258"/>
      <c r="FD11" s="258"/>
      <c r="FE11" s="258"/>
      <c r="FF11" s="258"/>
      <c r="FG11" s="258"/>
      <c r="FH11" s="258"/>
      <c r="FI11" s="258"/>
      <c r="FJ11" s="258"/>
      <c r="FK11" s="258"/>
      <c r="FL11" s="258"/>
      <c r="FM11" s="258"/>
      <c r="FN11" s="258"/>
      <c r="FO11" s="258"/>
      <c r="FP11" s="258"/>
      <c r="FQ11" s="258"/>
      <c r="FR11" s="258"/>
      <c r="FS11" s="258"/>
      <c r="FT11" s="258"/>
      <c r="FU11" s="258"/>
      <c r="FV11" s="258"/>
      <c r="FW11" s="258"/>
      <c r="FX11" s="258"/>
      <c r="FY11" s="258"/>
      <c r="FZ11" s="258"/>
      <c r="GA11" s="258"/>
      <c r="GB11" s="258"/>
      <c r="GC11" s="258"/>
      <c r="GD11" s="258"/>
      <c r="GE11" s="258"/>
      <c r="GF11" s="258"/>
      <c r="GG11" s="258"/>
      <c r="GH11" s="258"/>
      <c r="GI11" s="258"/>
      <c r="GJ11" s="258"/>
      <c r="GK11" s="258"/>
      <c r="GL11" s="258"/>
      <c r="GM11" s="258"/>
      <c r="GN11" s="258"/>
      <c r="GO11" s="258"/>
      <c r="GP11" s="258"/>
      <c r="GQ11" s="258"/>
      <c r="GR11" s="258"/>
      <c r="GS11" s="258"/>
      <c r="GT11" s="258"/>
      <c r="GU11" s="258"/>
      <c r="GV11" s="258"/>
      <c r="GW11" s="258"/>
      <c r="GX11" s="258"/>
      <c r="GY11" s="258"/>
      <c r="GZ11" s="258"/>
      <c r="HA11" s="258"/>
      <c r="HB11" s="258"/>
      <c r="HC11" s="258"/>
      <c r="HD11" s="258"/>
      <c r="HE11" s="258"/>
      <c r="HF11" s="258"/>
      <c r="HG11" s="258"/>
      <c r="HH11" s="258"/>
      <c r="HI11" s="258"/>
      <c r="HJ11" s="258"/>
      <c r="HK11" s="258"/>
      <c r="HL11" s="258"/>
      <c r="HM11" s="258"/>
      <c r="HN11" s="258"/>
      <c r="HO11" s="258"/>
      <c r="HP11" s="258"/>
      <c r="HQ11" s="258"/>
      <c r="HR11" s="258"/>
      <c r="HS11" s="258"/>
      <c r="HT11" s="258"/>
      <c r="HU11" s="258"/>
      <c r="HV11" s="258"/>
      <c r="HW11" s="258"/>
      <c r="HX11" s="258"/>
      <c r="HY11" s="258"/>
      <c r="HZ11" s="258"/>
      <c r="IA11" s="258"/>
      <c r="IB11" s="258"/>
      <c r="IC11" s="258"/>
      <c r="ID11" s="258"/>
      <c r="IE11" s="258"/>
      <c r="IF11" s="258"/>
      <c r="IG11" s="258"/>
      <c r="IH11" s="258"/>
      <c r="II11" s="258"/>
      <c r="IJ11" s="258"/>
      <c r="IK11" s="258"/>
      <c r="IL11" s="258"/>
      <c r="IM11" s="258"/>
      <c r="IN11" s="258"/>
      <c r="IO11" s="258"/>
      <c r="IP11" s="258"/>
      <c r="IQ11" s="258"/>
    </row>
    <row r="12" spans="1:251" s="271" customFormat="1" ht="19.899999999999999" customHeight="1">
      <c r="A12" s="326" t="s">
        <v>471</v>
      </c>
      <c r="B12" s="288">
        <v>0</v>
      </c>
      <c r="C12" s="288">
        <v>0</v>
      </c>
      <c r="D12" s="288">
        <v>0</v>
      </c>
      <c r="E12" s="288">
        <v>0</v>
      </c>
      <c r="F12" s="288">
        <v>0</v>
      </c>
      <c r="G12" s="288">
        <v>0</v>
      </c>
      <c r="H12" s="288">
        <v>0</v>
      </c>
      <c r="I12" s="288">
        <v>0</v>
      </c>
      <c r="J12" s="288">
        <v>0</v>
      </c>
      <c r="K12" s="288">
        <v>0</v>
      </c>
      <c r="L12" s="288">
        <v>0</v>
      </c>
      <c r="M12" s="288">
        <v>0</v>
      </c>
      <c r="N12" s="288">
        <v>0</v>
      </c>
      <c r="O12" s="288">
        <v>0</v>
      </c>
      <c r="P12" s="288">
        <v>0</v>
      </c>
      <c r="Q12" s="287"/>
      <c r="R12" s="287"/>
      <c r="S12" s="287"/>
      <c r="T12" s="287"/>
      <c r="U12" s="287"/>
      <c r="V12" s="287"/>
      <c r="W12" s="287"/>
      <c r="X12" s="287"/>
      <c r="Y12" s="287"/>
      <c r="Z12" s="287"/>
      <c r="AA12" s="287"/>
      <c r="AB12" s="286"/>
      <c r="AC12" s="337"/>
      <c r="AD12" s="337"/>
      <c r="AE12" s="337"/>
      <c r="AF12" s="337"/>
      <c r="AG12" s="337"/>
      <c r="AH12" s="338"/>
      <c r="AI12" s="337"/>
      <c r="AJ12" s="336"/>
      <c r="AK12" s="336"/>
      <c r="AL12" s="335"/>
      <c r="AM12" s="380"/>
      <c r="AN12" s="290"/>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58"/>
      <c r="CM12" s="258"/>
      <c r="CN12" s="258"/>
      <c r="CO12" s="258"/>
      <c r="CP12" s="258"/>
      <c r="CQ12" s="258"/>
      <c r="CR12" s="258"/>
      <c r="CS12" s="258"/>
      <c r="CT12" s="258"/>
      <c r="CU12" s="258"/>
      <c r="CV12" s="258"/>
      <c r="CW12" s="258"/>
      <c r="CX12" s="258"/>
      <c r="CY12" s="258"/>
      <c r="CZ12" s="258"/>
      <c r="DA12" s="258"/>
      <c r="DB12" s="258"/>
      <c r="DC12" s="258"/>
      <c r="DD12" s="258"/>
      <c r="DE12" s="258"/>
      <c r="DF12" s="258"/>
      <c r="DG12" s="258"/>
      <c r="DH12" s="258"/>
      <c r="DI12" s="258"/>
      <c r="DJ12" s="258"/>
      <c r="DK12" s="258"/>
      <c r="DL12" s="258"/>
      <c r="DM12" s="258"/>
      <c r="DN12" s="258"/>
      <c r="DO12" s="258"/>
      <c r="DP12" s="258"/>
      <c r="DQ12" s="258"/>
      <c r="DR12" s="258"/>
      <c r="DS12" s="258"/>
      <c r="DT12" s="258"/>
      <c r="DU12" s="258"/>
      <c r="DV12" s="258"/>
      <c r="DW12" s="258"/>
      <c r="DX12" s="258"/>
      <c r="DY12" s="258"/>
      <c r="DZ12" s="258"/>
      <c r="EA12" s="258"/>
      <c r="EB12" s="258"/>
      <c r="EC12" s="258"/>
      <c r="ED12" s="258"/>
      <c r="EE12" s="258"/>
      <c r="EF12" s="258"/>
      <c r="EG12" s="258"/>
      <c r="EH12" s="258"/>
      <c r="EI12" s="258"/>
      <c r="EJ12" s="258"/>
      <c r="EK12" s="258"/>
      <c r="EL12" s="258"/>
      <c r="EM12" s="258"/>
      <c r="EN12" s="258"/>
      <c r="EO12" s="258"/>
      <c r="EP12" s="258"/>
      <c r="EQ12" s="258"/>
      <c r="ER12" s="258"/>
      <c r="ES12" s="258"/>
      <c r="ET12" s="258"/>
      <c r="EU12" s="258"/>
      <c r="EV12" s="258"/>
      <c r="EW12" s="258"/>
      <c r="EX12" s="258"/>
      <c r="EY12" s="258"/>
      <c r="EZ12" s="258"/>
      <c r="FA12" s="258"/>
      <c r="FB12" s="258"/>
      <c r="FC12" s="258"/>
      <c r="FD12" s="258"/>
      <c r="FE12" s="258"/>
      <c r="FF12" s="258"/>
      <c r="FG12" s="258"/>
      <c r="FH12" s="258"/>
      <c r="FI12" s="258"/>
      <c r="FJ12" s="258"/>
      <c r="FK12" s="258"/>
      <c r="FL12" s="258"/>
      <c r="FM12" s="258"/>
      <c r="FN12" s="258"/>
      <c r="FO12" s="258"/>
      <c r="FP12" s="258"/>
      <c r="FQ12" s="258"/>
      <c r="FR12" s="258"/>
      <c r="FS12" s="258"/>
      <c r="FT12" s="258"/>
      <c r="FU12" s="258"/>
      <c r="FV12" s="258"/>
      <c r="FW12" s="258"/>
      <c r="FX12" s="258"/>
      <c r="FY12" s="258"/>
      <c r="FZ12" s="258"/>
      <c r="GA12" s="258"/>
      <c r="GB12" s="258"/>
      <c r="GC12" s="258"/>
      <c r="GD12" s="258"/>
      <c r="GE12" s="258"/>
      <c r="GF12" s="258"/>
      <c r="GG12" s="258"/>
      <c r="GH12" s="258"/>
      <c r="GI12" s="258"/>
      <c r="GJ12" s="258"/>
      <c r="GK12" s="258"/>
      <c r="GL12" s="258"/>
      <c r="GM12" s="258"/>
      <c r="GN12" s="258"/>
      <c r="GO12" s="258"/>
      <c r="GP12" s="258"/>
      <c r="GQ12" s="258"/>
      <c r="GR12" s="258"/>
      <c r="GS12" s="258"/>
      <c r="GT12" s="258"/>
      <c r="GU12" s="258"/>
      <c r="GV12" s="258"/>
      <c r="GW12" s="258"/>
      <c r="GX12" s="258"/>
      <c r="GY12" s="258"/>
      <c r="GZ12" s="258"/>
      <c r="HA12" s="258"/>
      <c r="HB12" s="258"/>
      <c r="HC12" s="258"/>
      <c r="HD12" s="258"/>
      <c r="HE12" s="258"/>
      <c r="HF12" s="258"/>
      <c r="HG12" s="258"/>
      <c r="HH12" s="258"/>
      <c r="HI12" s="258"/>
      <c r="HJ12" s="258"/>
      <c r="HK12" s="258"/>
      <c r="HL12" s="258"/>
      <c r="HM12" s="258"/>
      <c r="HN12" s="258"/>
      <c r="HO12" s="258"/>
      <c r="HP12" s="258"/>
      <c r="HQ12" s="258"/>
      <c r="HR12" s="258"/>
      <c r="HS12" s="258"/>
      <c r="HT12" s="258"/>
      <c r="HU12" s="258"/>
      <c r="HV12" s="258"/>
      <c r="HW12" s="258"/>
      <c r="HX12" s="258"/>
      <c r="HY12" s="258"/>
      <c r="HZ12" s="258"/>
      <c r="IA12" s="258"/>
      <c r="IB12" s="258"/>
      <c r="IC12" s="258"/>
      <c r="ID12" s="258"/>
      <c r="IE12" s="258"/>
      <c r="IF12" s="258"/>
      <c r="IG12" s="258"/>
      <c r="IH12" s="258"/>
      <c r="II12" s="258"/>
      <c r="IJ12" s="258"/>
      <c r="IK12" s="258"/>
      <c r="IL12" s="258"/>
      <c r="IM12" s="258"/>
      <c r="IN12" s="258"/>
      <c r="IO12" s="258"/>
      <c r="IP12" s="258"/>
      <c r="IQ12" s="258"/>
    </row>
    <row r="13" spans="1:251" s="271" customFormat="1" ht="19.899999999999999" customHeight="1">
      <c r="A13" s="379" t="s">
        <v>470</v>
      </c>
      <c r="B13" s="288">
        <v>0</v>
      </c>
      <c r="C13" s="288">
        <v>0.5</v>
      </c>
      <c r="D13" s="288">
        <v>1</v>
      </c>
      <c r="E13" s="288">
        <v>2.2000000000000002</v>
      </c>
      <c r="F13" s="288">
        <v>3.6</v>
      </c>
      <c r="G13" s="288">
        <v>5.4</v>
      </c>
      <c r="H13" s="288">
        <v>4.9000000000000004</v>
      </c>
      <c r="I13" s="288">
        <v>5.8</v>
      </c>
      <c r="J13" s="288">
        <v>5.0999999999999996</v>
      </c>
      <c r="K13" s="288">
        <v>7.6</v>
      </c>
      <c r="L13" s="288">
        <v>8.3000000000000007</v>
      </c>
      <c r="M13" s="288">
        <v>8.6999999999999993</v>
      </c>
      <c r="N13" s="288">
        <v>11.2</v>
      </c>
      <c r="O13" s="288">
        <v>11.2</v>
      </c>
      <c r="P13" s="288">
        <v>12.4</v>
      </c>
      <c r="Q13" s="287">
        <v>12.7</v>
      </c>
      <c r="R13" s="287">
        <v>11.5</v>
      </c>
      <c r="S13" s="287">
        <v>11.8</v>
      </c>
      <c r="T13" s="287">
        <v>11.44</v>
      </c>
      <c r="U13" s="287">
        <v>13</v>
      </c>
      <c r="V13" s="287">
        <v>12.4</v>
      </c>
      <c r="W13" s="287">
        <v>12.7</v>
      </c>
      <c r="X13" s="287">
        <v>14.9</v>
      </c>
      <c r="Y13" s="287">
        <v>15.115</v>
      </c>
      <c r="Z13" s="287">
        <v>17.3</v>
      </c>
      <c r="AA13" s="287">
        <v>17.2</v>
      </c>
      <c r="AB13" s="286">
        <v>20.100000000000001</v>
      </c>
      <c r="AC13" s="284">
        <v>19.27</v>
      </c>
      <c r="AD13" s="284">
        <v>19.399999999999999</v>
      </c>
      <c r="AE13" s="284">
        <v>20.77</v>
      </c>
      <c r="AF13" s="284">
        <v>23.300685000000005</v>
      </c>
      <c r="AG13" s="284">
        <v>24.5</v>
      </c>
      <c r="AH13" s="332">
        <v>21.99</v>
      </c>
      <c r="AI13" s="331">
        <v>28.7</v>
      </c>
      <c r="AJ13" s="330">
        <v>31</v>
      </c>
      <c r="AK13" s="330">
        <v>30.930388000000001</v>
      </c>
      <c r="AL13" s="329">
        <v>28.64534832</v>
      </c>
      <c r="AM13" s="328">
        <v>26.040003509999998</v>
      </c>
      <c r="AN13" s="327">
        <f t="shared" ref="AN13:AN18" si="0">SUM(B13:AM13)</f>
        <v>532.60142482999993</v>
      </c>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58"/>
      <c r="BO13" s="258"/>
      <c r="BP13" s="258"/>
      <c r="BQ13" s="258"/>
      <c r="BR13" s="258"/>
      <c r="BS13" s="258"/>
      <c r="BT13" s="258"/>
      <c r="BU13" s="258"/>
      <c r="BV13" s="258"/>
      <c r="BW13" s="258"/>
      <c r="BX13" s="258"/>
      <c r="BY13" s="258"/>
      <c r="BZ13" s="258"/>
      <c r="CA13" s="258"/>
      <c r="CB13" s="258"/>
      <c r="CC13" s="258"/>
      <c r="CD13" s="258"/>
      <c r="CE13" s="258"/>
      <c r="CF13" s="258"/>
      <c r="CG13" s="258"/>
      <c r="CH13" s="258"/>
      <c r="CI13" s="258"/>
      <c r="CJ13" s="258"/>
      <c r="CK13" s="258"/>
      <c r="CL13" s="258"/>
      <c r="CM13" s="258"/>
      <c r="CN13" s="258"/>
      <c r="CO13" s="258"/>
      <c r="CP13" s="258"/>
      <c r="CQ13" s="258"/>
      <c r="CR13" s="258"/>
      <c r="CS13" s="258"/>
      <c r="CT13" s="258"/>
      <c r="CU13" s="258"/>
      <c r="CV13" s="258"/>
      <c r="CW13" s="258"/>
      <c r="CX13" s="258"/>
      <c r="CY13" s="258"/>
      <c r="CZ13" s="258"/>
      <c r="DA13" s="258"/>
      <c r="DB13" s="258"/>
      <c r="DC13" s="258"/>
      <c r="DD13" s="258"/>
      <c r="DE13" s="258"/>
      <c r="DF13" s="258"/>
      <c r="DG13" s="258"/>
      <c r="DH13" s="258"/>
      <c r="DI13" s="258"/>
      <c r="DJ13" s="258"/>
      <c r="DK13" s="258"/>
      <c r="DL13" s="258"/>
      <c r="DM13" s="258"/>
      <c r="DN13" s="258"/>
      <c r="DO13" s="258"/>
      <c r="DP13" s="258"/>
      <c r="DQ13" s="258"/>
      <c r="DR13" s="258"/>
      <c r="DS13" s="258"/>
      <c r="DT13" s="258"/>
      <c r="DU13" s="258"/>
      <c r="DV13" s="258"/>
      <c r="DW13" s="258"/>
      <c r="DX13" s="258"/>
      <c r="DY13" s="258"/>
      <c r="DZ13" s="258"/>
      <c r="EA13" s="258"/>
      <c r="EB13" s="258"/>
      <c r="EC13" s="258"/>
      <c r="ED13" s="258"/>
      <c r="EE13" s="258"/>
      <c r="EF13" s="258"/>
      <c r="EG13" s="258"/>
      <c r="EH13" s="258"/>
      <c r="EI13" s="258"/>
      <c r="EJ13" s="258"/>
      <c r="EK13" s="258"/>
      <c r="EL13" s="258"/>
      <c r="EM13" s="258"/>
      <c r="EN13" s="258"/>
      <c r="EO13" s="258"/>
      <c r="EP13" s="258"/>
      <c r="EQ13" s="258"/>
      <c r="ER13" s="258"/>
      <c r="ES13" s="258"/>
      <c r="ET13" s="258"/>
      <c r="EU13" s="258"/>
      <c r="EV13" s="258"/>
      <c r="EW13" s="258"/>
      <c r="EX13" s="258"/>
      <c r="EY13" s="258"/>
      <c r="EZ13" s="258"/>
      <c r="FA13" s="258"/>
      <c r="FB13" s="258"/>
      <c r="FC13" s="258"/>
      <c r="FD13" s="258"/>
      <c r="FE13" s="258"/>
      <c r="FF13" s="258"/>
      <c r="FG13" s="258"/>
      <c r="FH13" s="258"/>
      <c r="FI13" s="258"/>
      <c r="FJ13" s="258"/>
      <c r="FK13" s="258"/>
      <c r="FL13" s="258"/>
      <c r="FM13" s="258"/>
      <c r="FN13" s="258"/>
      <c r="FO13" s="258"/>
      <c r="FP13" s="258"/>
      <c r="FQ13" s="258"/>
      <c r="FR13" s="258"/>
      <c r="FS13" s="258"/>
      <c r="FT13" s="258"/>
      <c r="FU13" s="258"/>
      <c r="FV13" s="258"/>
      <c r="FW13" s="258"/>
      <c r="FX13" s="258"/>
      <c r="FY13" s="258"/>
      <c r="FZ13" s="258"/>
      <c r="GA13" s="258"/>
      <c r="GB13" s="258"/>
      <c r="GC13" s="258"/>
      <c r="GD13" s="258"/>
      <c r="GE13" s="258"/>
      <c r="GF13" s="258"/>
      <c r="GG13" s="258"/>
      <c r="GH13" s="258"/>
      <c r="GI13" s="258"/>
      <c r="GJ13" s="258"/>
      <c r="GK13" s="258"/>
      <c r="GL13" s="258"/>
      <c r="GM13" s="258"/>
      <c r="GN13" s="258"/>
      <c r="GO13" s="258"/>
      <c r="GP13" s="258"/>
      <c r="GQ13" s="258"/>
      <c r="GR13" s="258"/>
      <c r="GS13" s="258"/>
      <c r="GT13" s="258"/>
      <c r="GU13" s="258"/>
      <c r="GV13" s="258"/>
      <c r="GW13" s="258"/>
      <c r="GX13" s="258"/>
      <c r="GY13" s="258"/>
      <c r="GZ13" s="258"/>
      <c r="HA13" s="258"/>
      <c r="HB13" s="258"/>
      <c r="HC13" s="258"/>
      <c r="HD13" s="258"/>
      <c r="HE13" s="258"/>
      <c r="HF13" s="258"/>
      <c r="HG13" s="258"/>
      <c r="HH13" s="258"/>
      <c r="HI13" s="258"/>
      <c r="HJ13" s="258"/>
      <c r="HK13" s="258"/>
      <c r="HL13" s="258"/>
      <c r="HM13" s="258"/>
      <c r="HN13" s="258"/>
      <c r="HO13" s="258"/>
      <c r="HP13" s="258"/>
      <c r="HQ13" s="258"/>
      <c r="HR13" s="258"/>
      <c r="HS13" s="258"/>
      <c r="HT13" s="258"/>
      <c r="HU13" s="258"/>
      <c r="HV13" s="258"/>
      <c r="HW13" s="258"/>
      <c r="HX13" s="258"/>
      <c r="HY13" s="258"/>
      <c r="HZ13" s="258"/>
      <c r="IA13" s="258"/>
      <c r="IB13" s="258"/>
      <c r="IC13" s="258"/>
      <c r="ID13" s="258"/>
      <c r="IE13" s="258"/>
      <c r="IF13" s="258"/>
      <c r="IG13" s="258"/>
      <c r="IH13" s="258"/>
      <c r="II13" s="258"/>
      <c r="IJ13" s="258"/>
      <c r="IK13" s="258"/>
      <c r="IL13" s="258"/>
      <c r="IM13" s="258"/>
      <c r="IN13" s="258"/>
      <c r="IO13" s="258"/>
      <c r="IP13" s="258"/>
      <c r="IQ13" s="258"/>
    </row>
    <row r="14" spans="1:251" s="271" customFormat="1" ht="19.899999999999999" customHeight="1">
      <c r="A14" s="379" t="s">
        <v>469</v>
      </c>
      <c r="B14" s="288">
        <v>15</v>
      </c>
      <c r="C14" s="288">
        <v>5.4</v>
      </c>
      <c r="D14" s="288">
        <v>7.6</v>
      </c>
      <c r="E14" s="288">
        <v>9.1</v>
      </c>
      <c r="F14" s="288">
        <v>10</v>
      </c>
      <c r="G14" s="288">
        <v>11.4</v>
      </c>
      <c r="H14" s="288">
        <v>15.8</v>
      </c>
      <c r="I14" s="288">
        <v>20.7</v>
      </c>
      <c r="J14" s="288">
        <v>10.5</v>
      </c>
      <c r="K14" s="288">
        <v>12.3</v>
      </c>
      <c r="L14" s="288">
        <v>11.5</v>
      </c>
      <c r="M14" s="288">
        <v>11.8</v>
      </c>
      <c r="N14" s="288">
        <v>13.3</v>
      </c>
      <c r="O14" s="288">
        <v>14</v>
      </c>
      <c r="P14" s="288">
        <v>16.899999999999999</v>
      </c>
      <c r="Q14" s="287">
        <v>17.8</v>
      </c>
      <c r="R14" s="287">
        <v>18.2</v>
      </c>
      <c r="S14" s="287">
        <v>18.899999999999999</v>
      </c>
      <c r="T14" s="287">
        <v>18.54</v>
      </c>
      <c r="U14" s="287">
        <v>19.899999999999999</v>
      </c>
      <c r="V14" s="287">
        <v>19.7</v>
      </c>
      <c r="W14" s="287">
        <v>23.1</v>
      </c>
      <c r="X14" s="287">
        <v>28.23</v>
      </c>
      <c r="Y14" s="287">
        <v>30.32</v>
      </c>
      <c r="Z14" s="287">
        <v>32.299999999999997</v>
      </c>
      <c r="AA14" s="287">
        <v>32.5</v>
      </c>
      <c r="AB14" s="286">
        <v>31.8</v>
      </c>
      <c r="AC14" s="284">
        <v>32.9</v>
      </c>
      <c r="AD14" s="284">
        <v>34.4</v>
      </c>
      <c r="AE14" s="284">
        <v>34.299999999999997</v>
      </c>
      <c r="AF14" s="284">
        <v>36.515000000000001</v>
      </c>
      <c r="AG14" s="284">
        <v>40.299999999999997</v>
      </c>
      <c r="AH14" s="332">
        <v>41.1</v>
      </c>
      <c r="AI14" s="331">
        <v>39.200000000000003</v>
      </c>
      <c r="AJ14" s="330">
        <v>47.8</v>
      </c>
      <c r="AK14" s="330">
        <v>46.4</v>
      </c>
      <c r="AL14" s="329">
        <v>48.195</v>
      </c>
      <c r="AM14" s="328">
        <v>46.78</v>
      </c>
      <c r="AN14" s="327">
        <f t="shared" si="0"/>
        <v>924.48</v>
      </c>
      <c r="AO14" s="258"/>
      <c r="AP14" s="258"/>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58"/>
      <c r="CI14" s="258"/>
      <c r="CJ14" s="258"/>
      <c r="CK14" s="258"/>
      <c r="CL14" s="258"/>
      <c r="CM14" s="258"/>
      <c r="CN14" s="258"/>
      <c r="CO14" s="258"/>
      <c r="CP14" s="258"/>
      <c r="CQ14" s="258"/>
      <c r="CR14" s="258"/>
      <c r="CS14" s="258"/>
      <c r="CT14" s="258"/>
      <c r="CU14" s="258"/>
      <c r="CV14" s="258"/>
      <c r="CW14" s="258"/>
      <c r="CX14" s="258"/>
      <c r="CY14" s="258"/>
      <c r="CZ14" s="258"/>
      <c r="DA14" s="258"/>
      <c r="DB14" s="258"/>
      <c r="DC14" s="258"/>
      <c r="DD14" s="258"/>
      <c r="DE14" s="258"/>
      <c r="DF14" s="258"/>
      <c r="DG14" s="258"/>
      <c r="DH14" s="258"/>
      <c r="DI14" s="258"/>
      <c r="DJ14" s="258"/>
      <c r="DK14" s="258"/>
      <c r="DL14" s="258"/>
      <c r="DM14" s="258"/>
      <c r="DN14" s="258"/>
      <c r="DO14" s="258"/>
      <c r="DP14" s="258"/>
      <c r="DQ14" s="258"/>
      <c r="DR14" s="258"/>
      <c r="DS14" s="258"/>
      <c r="DT14" s="258"/>
      <c r="DU14" s="258"/>
      <c r="DV14" s="258"/>
      <c r="DW14" s="258"/>
      <c r="DX14" s="258"/>
      <c r="DY14" s="258"/>
      <c r="DZ14" s="258"/>
      <c r="EA14" s="258"/>
      <c r="EB14" s="258"/>
      <c r="EC14" s="258"/>
      <c r="ED14" s="258"/>
      <c r="EE14" s="258"/>
      <c r="EF14" s="258"/>
      <c r="EG14" s="258"/>
      <c r="EH14" s="258"/>
      <c r="EI14" s="258"/>
      <c r="EJ14" s="258"/>
      <c r="EK14" s="258"/>
      <c r="EL14" s="258"/>
      <c r="EM14" s="258"/>
      <c r="EN14" s="258"/>
      <c r="EO14" s="258"/>
      <c r="EP14" s="258"/>
      <c r="EQ14" s="258"/>
      <c r="ER14" s="258"/>
      <c r="ES14" s="258"/>
      <c r="ET14" s="258"/>
      <c r="EU14" s="258"/>
      <c r="EV14" s="258"/>
      <c r="EW14" s="258"/>
      <c r="EX14" s="258"/>
      <c r="EY14" s="258"/>
      <c r="EZ14" s="258"/>
      <c r="FA14" s="258"/>
      <c r="FB14" s="258"/>
      <c r="FC14" s="258"/>
      <c r="FD14" s="258"/>
      <c r="FE14" s="258"/>
      <c r="FF14" s="258"/>
      <c r="FG14" s="258"/>
      <c r="FH14" s="258"/>
      <c r="FI14" s="258"/>
      <c r="FJ14" s="258"/>
      <c r="FK14" s="258"/>
      <c r="FL14" s="258"/>
      <c r="FM14" s="258"/>
      <c r="FN14" s="258"/>
      <c r="FO14" s="258"/>
      <c r="FP14" s="258"/>
      <c r="FQ14" s="258"/>
      <c r="FR14" s="258"/>
      <c r="FS14" s="258"/>
      <c r="FT14" s="258"/>
      <c r="FU14" s="258"/>
      <c r="FV14" s="258"/>
      <c r="FW14" s="258"/>
      <c r="FX14" s="258"/>
      <c r="FY14" s="258"/>
      <c r="FZ14" s="258"/>
      <c r="GA14" s="258"/>
      <c r="GB14" s="258"/>
      <c r="GC14" s="258"/>
      <c r="GD14" s="258"/>
      <c r="GE14" s="258"/>
      <c r="GF14" s="258"/>
      <c r="GG14" s="258"/>
      <c r="GH14" s="258"/>
      <c r="GI14" s="258"/>
      <c r="GJ14" s="258"/>
      <c r="GK14" s="258"/>
      <c r="GL14" s="258"/>
      <c r="GM14" s="258"/>
      <c r="GN14" s="258"/>
      <c r="GO14" s="258"/>
      <c r="GP14" s="258"/>
      <c r="GQ14" s="258"/>
      <c r="GR14" s="258"/>
      <c r="GS14" s="258"/>
      <c r="GT14" s="258"/>
      <c r="GU14" s="258"/>
      <c r="GV14" s="258"/>
      <c r="GW14" s="258"/>
      <c r="GX14" s="258"/>
      <c r="GY14" s="258"/>
      <c r="GZ14" s="258"/>
      <c r="HA14" s="258"/>
      <c r="HB14" s="258"/>
      <c r="HC14" s="258"/>
      <c r="HD14" s="258"/>
      <c r="HE14" s="258"/>
      <c r="HF14" s="258"/>
      <c r="HG14" s="258"/>
      <c r="HH14" s="258"/>
      <c r="HI14" s="258"/>
      <c r="HJ14" s="258"/>
      <c r="HK14" s="258"/>
      <c r="HL14" s="258"/>
      <c r="HM14" s="258"/>
      <c r="HN14" s="258"/>
      <c r="HO14" s="258"/>
      <c r="HP14" s="258"/>
      <c r="HQ14" s="258"/>
      <c r="HR14" s="258"/>
      <c r="HS14" s="258"/>
      <c r="HT14" s="258"/>
      <c r="HU14" s="258"/>
      <c r="HV14" s="258"/>
      <c r="HW14" s="258"/>
      <c r="HX14" s="258"/>
      <c r="HY14" s="258"/>
      <c r="HZ14" s="258"/>
      <c r="IA14" s="258"/>
      <c r="IB14" s="258"/>
      <c r="IC14" s="258"/>
      <c r="ID14" s="258"/>
      <c r="IE14" s="258"/>
      <c r="IF14" s="258"/>
      <c r="IG14" s="258"/>
      <c r="IH14" s="258"/>
      <c r="II14" s="258"/>
      <c r="IJ14" s="258"/>
      <c r="IK14" s="258"/>
      <c r="IL14" s="258"/>
      <c r="IM14" s="258"/>
      <c r="IN14" s="258"/>
      <c r="IO14" s="258"/>
      <c r="IP14" s="258"/>
      <c r="IQ14" s="258"/>
    </row>
    <row r="15" spans="1:251" s="271" customFormat="1" ht="19.899999999999999" customHeight="1">
      <c r="A15" s="379" t="s">
        <v>468</v>
      </c>
      <c r="B15" s="288">
        <v>0</v>
      </c>
      <c r="C15" s="288">
        <v>0</v>
      </c>
      <c r="D15" s="288">
        <v>0</v>
      </c>
      <c r="E15" s="288">
        <v>0</v>
      </c>
      <c r="F15" s="288">
        <v>0</v>
      </c>
      <c r="G15" s="288">
        <v>0</v>
      </c>
      <c r="H15" s="288">
        <v>0</v>
      </c>
      <c r="I15" s="288">
        <v>0</v>
      </c>
      <c r="J15" s="288">
        <v>0</v>
      </c>
      <c r="K15" s="288">
        <v>0</v>
      </c>
      <c r="L15" s="288">
        <v>0</v>
      </c>
      <c r="M15" s="288">
        <v>0</v>
      </c>
      <c r="N15" s="288">
        <v>0</v>
      </c>
      <c r="O15" s="288">
        <v>1.2</v>
      </c>
      <c r="P15" s="288">
        <v>1.3</v>
      </c>
      <c r="Q15" s="287">
        <v>1.3</v>
      </c>
      <c r="R15" s="287">
        <v>1.5</v>
      </c>
      <c r="S15" s="287">
        <v>1.5</v>
      </c>
      <c r="T15" s="287">
        <v>2.7</v>
      </c>
      <c r="U15" s="287">
        <v>2.6</v>
      </c>
      <c r="V15" s="287">
        <v>1.8</v>
      </c>
      <c r="W15" s="287">
        <v>3</v>
      </c>
      <c r="X15" s="287">
        <v>3.78</v>
      </c>
      <c r="Y15" s="287">
        <v>3.12</v>
      </c>
      <c r="Z15" s="287">
        <v>3.9</v>
      </c>
      <c r="AA15" s="287">
        <v>3.92</v>
      </c>
      <c r="AB15" s="286">
        <v>4.5</v>
      </c>
      <c r="AC15" s="284">
        <v>3.9</v>
      </c>
      <c r="AD15" s="284">
        <v>4.3</v>
      </c>
      <c r="AE15" s="284">
        <v>4.5</v>
      </c>
      <c r="AF15" s="284">
        <v>5.2329999999999997</v>
      </c>
      <c r="AG15" s="284">
        <v>5</v>
      </c>
      <c r="AH15" s="332">
        <v>5.3</v>
      </c>
      <c r="AI15" s="331">
        <v>5.6</v>
      </c>
      <c r="AJ15" s="330">
        <v>6.6</v>
      </c>
      <c r="AK15" s="330">
        <v>2.6</v>
      </c>
      <c r="AL15" s="329">
        <v>5.9850000000000003</v>
      </c>
      <c r="AM15" s="328">
        <v>7.02</v>
      </c>
      <c r="AN15" s="327">
        <f t="shared" si="0"/>
        <v>92.157999999999973</v>
      </c>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8"/>
      <c r="BW15" s="258"/>
      <c r="BX15" s="258"/>
      <c r="BY15" s="258"/>
      <c r="BZ15" s="258"/>
      <c r="CA15" s="258"/>
      <c r="CB15" s="258"/>
      <c r="CC15" s="258"/>
      <c r="CD15" s="258"/>
      <c r="CE15" s="258"/>
      <c r="CF15" s="258"/>
      <c r="CG15" s="258"/>
      <c r="CH15" s="258"/>
      <c r="CI15" s="258"/>
      <c r="CJ15" s="258"/>
      <c r="CK15" s="258"/>
      <c r="CL15" s="258"/>
      <c r="CM15" s="258"/>
      <c r="CN15" s="258"/>
      <c r="CO15" s="258"/>
      <c r="CP15" s="258"/>
      <c r="CQ15" s="258"/>
      <c r="CR15" s="258"/>
      <c r="CS15" s="258"/>
      <c r="CT15" s="258"/>
      <c r="CU15" s="258"/>
      <c r="CV15" s="258"/>
      <c r="CW15" s="258"/>
      <c r="CX15" s="258"/>
      <c r="CY15" s="258"/>
      <c r="CZ15" s="258"/>
      <c r="DA15" s="258"/>
      <c r="DB15" s="258"/>
      <c r="DC15" s="258"/>
      <c r="DD15" s="258"/>
      <c r="DE15" s="258"/>
      <c r="DF15" s="258"/>
      <c r="DG15" s="258"/>
      <c r="DH15" s="258"/>
      <c r="DI15" s="258"/>
      <c r="DJ15" s="258"/>
      <c r="DK15" s="258"/>
      <c r="DL15" s="258"/>
      <c r="DM15" s="258"/>
      <c r="DN15" s="258"/>
      <c r="DO15" s="258"/>
      <c r="DP15" s="258"/>
      <c r="DQ15" s="258"/>
      <c r="DR15" s="258"/>
      <c r="DS15" s="258"/>
      <c r="DT15" s="258"/>
      <c r="DU15" s="258"/>
      <c r="DV15" s="258"/>
      <c r="DW15" s="258"/>
      <c r="DX15" s="258"/>
      <c r="DY15" s="258"/>
      <c r="DZ15" s="258"/>
      <c r="EA15" s="258"/>
      <c r="EB15" s="258"/>
      <c r="EC15" s="258"/>
      <c r="ED15" s="258"/>
      <c r="EE15" s="258"/>
      <c r="EF15" s="258"/>
      <c r="EG15" s="258"/>
      <c r="EH15" s="258"/>
      <c r="EI15" s="258"/>
      <c r="EJ15" s="258"/>
      <c r="EK15" s="258"/>
      <c r="EL15" s="258"/>
      <c r="EM15" s="258"/>
      <c r="EN15" s="258"/>
      <c r="EO15" s="258"/>
      <c r="EP15" s="258"/>
      <c r="EQ15" s="258"/>
      <c r="ER15" s="258"/>
      <c r="ES15" s="258"/>
      <c r="ET15" s="258"/>
      <c r="EU15" s="258"/>
      <c r="EV15" s="258"/>
      <c r="EW15" s="258"/>
      <c r="EX15" s="258"/>
      <c r="EY15" s="258"/>
      <c r="EZ15" s="258"/>
      <c r="FA15" s="258"/>
      <c r="FB15" s="258"/>
      <c r="FC15" s="258"/>
      <c r="FD15" s="258"/>
      <c r="FE15" s="258"/>
      <c r="FF15" s="258"/>
      <c r="FG15" s="258"/>
      <c r="FH15" s="258"/>
      <c r="FI15" s="258"/>
      <c r="FJ15" s="258"/>
      <c r="FK15" s="258"/>
      <c r="FL15" s="258"/>
      <c r="FM15" s="258"/>
      <c r="FN15" s="258"/>
      <c r="FO15" s="258"/>
      <c r="FP15" s="258"/>
      <c r="FQ15" s="258"/>
      <c r="FR15" s="258"/>
      <c r="FS15" s="258"/>
      <c r="FT15" s="258"/>
      <c r="FU15" s="258"/>
      <c r="FV15" s="258"/>
      <c r="FW15" s="258"/>
      <c r="FX15" s="258"/>
      <c r="FY15" s="258"/>
      <c r="FZ15" s="258"/>
      <c r="GA15" s="258"/>
      <c r="GB15" s="258"/>
      <c r="GC15" s="258"/>
      <c r="GD15" s="258"/>
      <c r="GE15" s="258"/>
      <c r="GF15" s="258"/>
      <c r="GG15" s="258"/>
      <c r="GH15" s="258"/>
      <c r="GI15" s="258"/>
      <c r="GJ15" s="258"/>
      <c r="GK15" s="258"/>
      <c r="GL15" s="258"/>
      <c r="GM15" s="258"/>
      <c r="GN15" s="258"/>
      <c r="GO15" s="258"/>
      <c r="GP15" s="258"/>
      <c r="GQ15" s="258"/>
      <c r="GR15" s="258"/>
      <c r="GS15" s="258"/>
      <c r="GT15" s="258"/>
      <c r="GU15" s="258"/>
      <c r="GV15" s="258"/>
      <c r="GW15" s="258"/>
      <c r="GX15" s="258"/>
      <c r="GY15" s="258"/>
      <c r="GZ15" s="258"/>
      <c r="HA15" s="258"/>
      <c r="HB15" s="258"/>
      <c r="HC15" s="258"/>
      <c r="HD15" s="258"/>
      <c r="HE15" s="258"/>
      <c r="HF15" s="258"/>
      <c r="HG15" s="258"/>
      <c r="HH15" s="258"/>
      <c r="HI15" s="258"/>
      <c r="HJ15" s="258"/>
      <c r="HK15" s="258"/>
      <c r="HL15" s="258"/>
      <c r="HM15" s="258"/>
      <c r="HN15" s="258"/>
      <c r="HO15" s="258"/>
      <c r="HP15" s="258"/>
      <c r="HQ15" s="258"/>
      <c r="HR15" s="258"/>
      <c r="HS15" s="258"/>
      <c r="HT15" s="258"/>
      <c r="HU15" s="258"/>
      <c r="HV15" s="258"/>
      <c r="HW15" s="258"/>
      <c r="HX15" s="258"/>
      <c r="HY15" s="258"/>
      <c r="HZ15" s="258"/>
      <c r="IA15" s="258"/>
      <c r="IB15" s="258"/>
      <c r="IC15" s="258"/>
      <c r="ID15" s="258"/>
      <c r="IE15" s="258"/>
      <c r="IF15" s="258"/>
      <c r="IG15" s="258"/>
      <c r="IH15" s="258"/>
      <c r="II15" s="258"/>
      <c r="IJ15" s="258"/>
      <c r="IK15" s="258"/>
      <c r="IL15" s="258"/>
      <c r="IM15" s="258"/>
      <c r="IN15" s="258"/>
      <c r="IO15" s="258"/>
      <c r="IP15" s="258"/>
      <c r="IQ15" s="258"/>
    </row>
    <row r="16" spans="1:251" s="233" customFormat="1" ht="24" customHeight="1" thickBot="1">
      <c r="A16" s="378" t="s">
        <v>467</v>
      </c>
      <c r="B16" s="278">
        <v>0</v>
      </c>
      <c r="C16" s="278">
        <v>0.2</v>
      </c>
      <c r="D16" s="278">
        <v>2.9</v>
      </c>
      <c r="E16" s="278">
        <v>2.9</v>
      </c>
      <c r="F16" s="278">
        <v>2.4</v>
      </c>
      <c r="G16" s="278">
        <v>3.1</v>
      </c>
      <c r="H16" s="278">
        <v>3</v>
      </c>
      <c r="I16" s="278">
        <v>3.2</v>
      </c>
      <c r="J16" s="278">
        <v>3.4</v>
      </c>
      <c r="K16" s="278">
        <v>3.7</v>
      </c>
      <c r="L16" s="278">
        <v>3.6</v>
      </c>
      <c r="M16" s="278">
        <v>3.8</v>
      </c>
      <c r="N16" s="278">
        <v>3.9</v>
      </c>
      <c r="O16" s="278">
        <v>4.0999999999999996</v>
      </c>
      <c r="P16" s="278">
        <v>4.3</v>
      </c>
      <c r="Q16" s="277">
        <v>4.3</v>
      </c>
      <c r="R16" s="277">
        <v>4.2</v>
      </c>
      <c r="S16" s="277">
        <v>3.7</v>
      </c>
      <c r="T16" s="277">
        <v>3.7</v>
      </c>
      <c r="U16" s="277">
        <v>3.4</v>
      </c>
      <c r="V16" s="277">
        <v>3.7</v>
      </c>
      <c r="W16" s="277">
        <v>3.7</v>
      </c>
      <c r="X16" s="277">
        <v>4</v>
      </c>
      <c r="Y16" s="277">
        <v>4</v>
      </c>
      <c r="Z16" s="277">
        <v>3.7</v>
      </c>
      <c r="AA16" s="277">
        <v>4.3</v>
      </c>
      <c r="AB16" s="323">
        <v>4.25</v>
      </c>
      <c r="AC16" s="322">
        <v>4.1950000000000003</v>
      </c>
      <c r="AD16" s="322">
        <v>4.1224999999999996</v>
      </c>
      <c r="AE16" s="322">
        <v>4.7</v>
      </c>
      <c r="AF16" s="322">
        <v>4.6523023600000002</v>
      </c>
      <c r="AG16" s="322">
        <v>4.4651007800000002</v>
      </c>
      <c r="AH16" s="321">
        <v>4.62</v>
      </c>
      <c r="AI16" s="320">
        <v>5</v>
      </c>
      <c r="AJ16" s="319">
        <v>4.9000000000000004</v>
      </c>
      <c r="AK16" s="319">
        <v>4.9350975000000004</v>
      </c>
      <c r="AL16" s="318">
        <v>5.36</v>
      </c>
      <c r="AM16" s="377">
        <v>5.3827966850000006</v>
      </c>
      <c r="AN16" s="376">
        <f t="shared" si="0"/>
        <v>143.78279732500005</v>
      </c>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258"/>
      <c r="BN16" s="258"/>
      <c r="BO16" s="258"/>
      <c r="BP16" s="258"/>
      <c r="BQ16" s="258"/>
      <c r="BR16" s="258"/>
      <c r="BS16" s="258"/>
      <c r="BT16" s="258"/>
      <c r="BU16" s="258"/>
      <c r="BV16" s="258"/>
      <c r="BW16" s="258"/>
      <c r="BX16" s="258"/>
      <c r="BY16" s="258"/>
      <c r="BZ16" s="258"/>
      <c r="CA16" s="258"/>
      <c r="CB16" s="258"/>
      <c r="CC16" s="258"/>
      <c r="CD16" s="258"/>
      <c r="CE16" s="258"/>
      <c r="CF16" s="258"/>
      <c r="CG16" s="258"/>
      <c r="CH16" s="258"/>
      <c r="CI16" s="258"/>
      <c r="CJ16" s="258"/>
      <c r="CK16" s="258"/>
      <c r="CL16" s="258"/>
      <c r="CM16" s="258"/>
      <c r="CN16" s="258"/>
      <c r="CO16" s="258"/>
      <c r="CP16" s="258"/>
      <c r="CQ16" s="258"/>
      <c r="CR16" s="258"/>
      <c r="CS16" s="258"/>
      <c r="CT16" s="258"/>
      <c r="CU16" s="258"/>
      <c r="CV16" s="258"/>
      <c r="CW16" s="258"/>
      <c r="CX16" s="258"/>
      <c r="CY16" s="258"/>
      <c r="CZ16" s="258"/>
      <c r="DA16" s="258"/>
      <c r="DB16" s="258"/>
      <c r="DC16" s="258"/>
      <c r="DD16" s="258"/>
      <c r="DE16" s="258"/>
      <c r="DF16" s="258"/>
      <c r="DG16" s="258"/>
      <c r="DH16" s="258"/>
      <c r="DI16" s="258"/>
      <c r="DJ16" s="258"/>
      <c r="DK16" s="258"/>
      <c r="DL16" s="258"/>
      <c r="DM16" s="258"/>
      <c r="DN16" s="258"/>
      <c r="DO16" s="258"/>
      <c r="DP16" s="258"/>
      <c r="DQ16" s="258"/>
      <c r="DR16" s="258"/>
      <c r="DS16" s="258"/>
      <c r="DT16" s="258"/>
      <c r="DU16" s="258"/>
      <c r="DV16" s="258"/>
      <c r="DW16" s="258"/>
      <c r="DX16" s="258"/>
      <c r="DY16" s="258"/>
      <c r="DZ16" s="258"/>
      <c r="EA16" s="258"/>
      <c r="EB16" s="258"/>
      <c r="EC16" s="258"/>
      <c r="ED16" s="258"/>
      <c r="EE16" s="258"/>
      <c r="EF16" s="258"/>
      <c r="EG16" s="258"/>
      <c r="EH16" s="258"/>
      <c r="EI16" s="258"/>
      <c r="EJ16" s="258"/>
      <c r="EK16" s="258"/>
      <c r="EL16" s="258"/>
      <c r="EM16" s="258"/>
      <c r="EN16" s="258"/>
      <c r="EO16" s="258"/>
      <c r="EP16" s="258"/>
      <c r="EQ16" s="258"/>
      <c r="ER16" s="258"/>
      <c r="ES16" s="258"/>
      <c r="ET16" s="258"/>
      <c r="EU16" s="258"/>
      <c r="EV16" s="258"/>
      <c r="EW16" s="258"/>
      <c r="EX16" s="258"/>
      <c r="EY16" s="258"/>
      <c r="EZ16" s="258"/>
      <c r="FA16" s="258"/>
      <c r="FB16" s="258"/>
      <c r="FC16" s="258"/>
      <c r="FD16" s="258"/>
      <c r="FE16" s="258"/>
      <c r="FF16" s="258"/>
      <c r="FG16" s="258"/>
      <c r="FH16" s="258"/>
      <c r="FI16" s="258"/>
      <c r="FJ16" s="258"/>
      <c r="FK16" s="258"/>
      <c r="FL16" s="258"/>
      <c r="FM16" s="258"/>
      <c r="FN16" s="258"/>
      <c r="FO16" s="258"/>
      <c r="FP16" s="258"/>
      <c r="FQ16" s="258"/>
      <c r="FR16" s="258"/>
      <c r="FS16" s="258"/>
      <c r="FT16" s="258"/>
      <c r="FU16" s="258"/>
      <c r="FV16" s="258"/>
      <c r="FW16" s="258"/>
      <c r="FX16" s="258"/>
      <c r="FY16" s="258"/>
      <c r="FZ16" s="258"/>
      <c r="GA16" s="258"/>
      <c r="GB16" s="258"/>
      <c r="GC16" s="258"/>
      <c r="GD16" s="258"/>
      <c r="GE16" s="258"/>
      <c r="GF16" s="258"/>
      <c r="GG16" s="258"/>
      <c r="GH16" s="258"/>
      <c r="GI16" s="258"/>
      <c r="GJ16" s="258"/>
      <c r="GK16" s="258"/>
      <c r="GL16" s="258"/>
      <c r="GM16" s="258"/>
      <c r="GN16" s="258"/>
      <c r="GO16" s="258"/>
      <c r="GP16" s="258"/>
      <c r="GQ16" s="258"/>
      <c r="GR16" s="258"/>
      <c r="GS16" s="258"/>
      <c r="GT16" s="258"/>
      <c r="GU16" s="258"/>
      <c r="GV16" s="258"/>
      <c r="GW16" s="258"/>
      <c r="GX16" s="258"/>
      <c r="GY16" s="258"/>
      <c r="GZ16" s="258"/>
      <c r="HA16" s="258"/>
      <c r="HB16" s="258"/>
      <c r="HC16" s="258"/>
      <c r="HD16" s="258"/>
      <c r="HE16" s="258"/>
      <c r="HF16" s="258"/>
      <c r="HG16" s="258"/>
      <c r="HH16" s="258"/>
      <c r="HI16" s="258"/>
      <c r="HJ16" s="258"/>
      <c r="HK16" s="258"/>
      <c r="HL16" s="258"/>
      <c r="HM16" s="258"/>
      <c r="HN16" s="258"/>
      <c r="HO16" s="258"/>
      <c r="HP16" s="258"/>
      <c r="HQ16" s="258"/>
      <c r="HR16" s="258"/>
      <c r="HS16" s="258"/>
      <c r="HT16" s="258"/>
      <c r="HU16" s="258"/>
      <c r="HV16" s="258"/>
      <c r="HW16" s="258"/>
      <c r="HX16" s="258"/>
      <c r="HY16" s="258"/>
      <c r="HZ16" s="258"/>
      <c r="IA16" s="258"/>
      <c r="IB16" s="258"/>
      <c r="IC16" s="258"/>
      <c r="ID16" s="258"/>
      <c r="IE16" s="258"/>
      <c r="IF16" s="258"/>
      <c r="IG16" s="258"/>
      <c r="IH16" s="258"/>
      <c r="II16" s="258"/>
      <c r="IJ16" s="258"/>
      <c r="IK16" s="258"/>
      <c r="IL16" s="258"/>
      <c r="IM16" s="258"/>
      <c r="IN16" s="258"/>
      <c r="IO16" s="258"/>
      <c r="IP16" s="258"/>
      <c r="IQ16" s="258"/>
    </row>
    <row r="17" spans="1:251" s="271" customFormat="1" ht="19.899999999999999" customHeight="1" thickTop="1" thickBot="1">
      <c r="A17" s="375" t="s">
        <v>466</v>
      </c>
      <c r="B17" s="374">
        <v>15</v>
      </c>
      <c r="C17" s="374">
        <v>6.1</v>
      </c>
      <c r="D17" s="374">
        <v>11.5</v>
      </c>
      <c r="E17" s="374">
        <v>14.2</v>
      </c>
      <c r="F17" s="374">
        <v>16</v>
      </c>
      <c r="G17" s="374">
        <v>19.899999999999999</v>
      </c>
      <c r="H17" s="374">
        <v>23.7</v>
      </c>
      <c r="I17" s="374">
        <v>29.7</v>
      </c>
      <c r="J17" s="374">
        <v>19</v>
      </c>
      <c r="K17" s="374">
        <v>23.6</v>
      </c>
      <c r="L17" s="374">
        <v>23.4</v>
      </c>
      <c r="M17" s="374">
        <v>24.3</v>
      </c>
      <c r="N17" s="374">
        <v>28.4</v>
      </c>
      <c r="O17" s="374">
        <v>30.5</v>
      </c>
      <c r="P17" s="374">
        <v>34.9</v>
      </c>
      <c r="Q17" s="373">
        <v>36.1</v>
      </c>
      <c r="R17" s="373">
        <v>35.4</v>
      </c>
      <c r="S17" s="373">
        <v>35.900000000000006</v>
      </c>
      <c r="T17" s="373">
        <v>36.380000000000003</v>
      </c>
      <c r="U17" s="373">
        <v>38.9</v>
      </c>
      <c r="V17" s="373">
        <v>37.6</v>
      </c>
      <c r="W17" s="373">
        <v>42.5</v>
      </c>
      <c r="X17" s="373">
        <v>50.910000000000004</v>
      </c>
      <c r="Y17" s="373">
        <v>52.555</v>
      </c>
      <c r="Z17" s="373">
        <v>57.199999999999996</v>
      </c>
      <c r="AA17" s="373">
        <v>57.92</v>
      </c>
      <c r="AB17" s="371">
        <v>60.650000000000006</v>
      </c>
      <c r="AC17" s="371">
        <v>60.265000000000001</v>
      </c>
      <c r="AD17" s="371">
        <v>62.222499999999997</v>
      </c>
      <c r="AE17" s="371">
        <v>64.27</v>
      </c>
      <c r="AF17" s="371">
        <v>69.700987359999999</v>
      </c>
      <c r="AG17" s="371">
        <v>74.265100779999997</v>
      </c>
      <c r="AH17" s="372">
        <v>73.010000000000005</v>
      </c>
      <c r="AI17" s="371">
        <v>78.5</v>
      </c>
      <c r="AJ17" s="370">
        <v>90.3</v>
      </c>
      <c r="AK17" s="370">
        <v>84.865485499999991</v>
      </c>
      <c r="AL17" s="369">
        <v>88.185348320000003</v>
      </c>
      <c r="AM17" s="368">
        <v>85.222800194999991</v>
      </c>
      <c r="AN17" s="367">
        <f t="shared" si="0"/>
        <v>1693.0222221549998</v>
      </c>
      <c r="AO17" s="258"/>
      <c r="AP17" s="258"/>
      <c r="AQ17" s="258"/>
      <c r="AR17" s="258"/>
      <c r="AS17" s="258"/>
      <c r="AT17" s="258"/>
      <c r="AU17" s="258"/>
      <c r="AV17" s="258"/>
      <c r="AW17" s="258"/>
      <c r="AX17" s="258"/>
      <c r="AY17" s="258"/>
      <c r="AZ17" s="258"/>
      <c r="BA17" s="258"/>
      <c r="BB17" s="258"/>
      <c r="BC17" s="258"/>
      <c r="BD17" s="258"/>
      <c r="BE17" s="258"/>
      <c r="BF17" s="258"/>
      <c r="BG17" s="258"/>
      <c r="BH17" s="258"/>
      <c r="BI17" s="258"/>
      <c r="BJ17" s="258"/>
      <c r="BK17" s="258"/>
      <c r="BL17" s="258"/>
      <c r="BM17" s="258"/>
      <c r="BN17" s="258"/>
      <c r="BO17" s="258"/>
      <c r="BP17" s="258"/>
      <c r="BQ17" s="258"/>
      <c r="BR17" s="258"/>
      <c r="BS17" s="258"/>
      <c r="BT17" s="258"/>
      <c r="BU17" s="258"/>
      <c r="BV17" s="258"/>
      <c r="BW17" s="258"/>
      <c r="BX17" s="258"/>
      <c r="BY17" s="258"/>
      <c r="BZ17" s="258"/>
      <c r="CA17" s="258"/>
      <c r="CB17" s="258"/>
      <c r="CC17" s="258"/>
      <c r="CD17" s="258"/>
      <c r="CE17" s="258"/>
      <c r="CF17" s="258"/>
      <c r="CG17" s="258"/>
      <c r="CH17" s="258"/>
      <c r="CI17" s="258"/>
      <c r="CJ17" s="258"/>
      <c r="CK17" s="258"/>
      <c r="CL17" s="258"/>
      <c r="CM17" s="258"/>
      <c r="CN17" s="258"/>
      <c r="CO17" s="258"/>
      <c r="CP17" s="258"/>
      <c r="CQ17" s="258"/>
      <c r="CR17" s="258"/>
      <c r="CS17" s="258"/>
      <c r="CT17" s="258"/>
      <c r="CU17" s="258"/>
      <c r="CV17" s="258"/>
      <c r="CW17" s="258"/>
      <c r="CX17" s="258"/>
      <c r="CY17" s="258"/>
      <c r="CZ17" s="258"/>
      <c r="DA17" s="258"/>
      <c r="DB17" s="258"/>
      <c r="DC17" s="258"/>
      <c r="DD17" s="258"/>
      <c r="DE17" s="258"/>
      <c r="DF17" s="258"/>
      <c r="DG17" s="258"/>
      <c r="DH17" s="258"/>
      <c r="DI17" s="258"/>
      <c r="DJ17" s="258"/>
      <c r="DK17" s="258"/>
      <c r="DL17" s="258"/>
      <c r="DM17" s="258"/>
      <c r="DN17" s="258"/>
      <c r="DO17" s="258"/>
      <c r="DP17" s="258"/>
      <c r="DQ17" s="258"/>
      <c r="DR17" s="258"/>
      <c r="DS17" s="258"/>
      <c r="DT17" s="258"/>
      <c r="DU17" s="258"/>
      <c r="DV17" s="258"/>
      <c r="DW17" s="258"/>
      <c r="DX17" s="258"/>
      <c r="DY17" s="258"/>
      <c r="DZ17" s="258"/>
      <c r="EA17" s="258"/>
      <c r="EB17" s="258"/>
      <c r="EC17" s="258"/>
      <c r="ED17" s="258"/>
      <c r="EE17" s="258"/>
      <c r="EF17" s="258"/>
      <c r="EG17" s="258"/>
      <c r="EH17" s="258"/>
      <c r="EI17" s="258"/>
      <c r="EJ17" s="258"/>
      <c r="EK17" s="258"/>
      <c r="EL17" s="258"/>
      <c r="EM17" s="258"/>
      <c r="EN17" s="258"/>
      <c r="EO17" s="258"/>
      <c r="EP17" s="258"/>
      <c r="EQ17" s="258"/>
      <c r="ER17" s="258"/>
      <c r="ES17" s="258"/>
      <c r="ET17" s="258"/>
      <c r="EU17" s="258"/>
      <c r="EV17" s="258"/>
      <c r="EW17" s="258"/>
      <c r="EX17" s="258"/>
      <c r="EY17" s="258"/>
      <c r="EZ17" s="258"/>
      <c r="FA17" s="258"/>
      <c r="FB17" s="258"/>
      <c r="FC17" s="258"/>
      <c r="FD17" s="258"/>
      <c r="FE17" s="258"/>
      <c r="FF17" s="258"/>
      <c r="FG17" s="258"/>
      <c r="FH17" s="258"/>
      <c r="FI17" s="258"/>
      <c r="FJ17" s="258"/>
      <c r="FK17" s="258"/>
      <c r="FL17" s="258"/>
      <c r="FM17" s="258"/>
      <c r="FN17" s="258"/>
      <c r="FO17" s="258"/>
      <c r="FP17" s="258"/>
      <c r="FQ17" s="258"/>
      <c r="FR17" s="258"/>
      <c r="FS17" s="258"/>
      <c r="FT17" s="258"/>
      <c r="FU17" s="258"/>
      <c r="FV17" s="258"/>
      <c r="FW17" s="258"/>
      <c r="FX17" s="258"/>
      <c r="FY17" s="258"/>
      <c r="FZ17" s="258"/>
      <c r="GA17" s="258"/>
      <c r="GB17" s="258"/>
      <c r="GC17" s="258"/>
      <c r="GD17" s="258"/>
      <c r="GE17" s="258"/>
      <c r="GF17" s="258"/>
      <c r="GG17" s="258"/>
      <c r="GH17" s="258"/>
      <c r="GI17" s="258"/>
      <c r="GJ17" s="258"/>
      <c r="GK17" s="258"/>
      <c r="GL17" s="258"/>
      <c r="GM17" s="258"/>
      <c r="GN17" s="258"/>
      <c r="GO17" s="258"/>
      <c r="GP17" s="258"/>
      <c r="GQ17" s="258"/>
      <c r="GR17" s="258"/>
      <c r="GS17" s="258"/>
      <c r="GT17" s="258"/>
      <c r="GU17" s="258"/>
      <c r="GV17" s="258"/>
      <c r="GW17" s="258"/>
      <c r="GX17" s="258"/>
      <c r="GY17" s="258"/>
      <c r="GZ17" s="258"/>
      <c r="HA17" s="258"/>
      <c r="HB17" s="258"/>
      <c r="HC17" s="258"/>
      <c r="HD17" s="258"/>
      <c r="HE17" s="258"/>
      <c r="HF17" s="258"/>
      <c r="HG17" s="258"/>
      <c r="HH17" s="258"/>
      <c r="HI17" s="258"/>
      <c r="HJ17" s="258"/>
      <c r="HK17" s="258"/>
      <c r="HL17" s="258"/>
      <c r="HM17" s="258"/>
      <c r="HN17" s="258"/>
      <c r="HO17" s="258"/>
      <c r="HP17" s="258"/>
      <c r="HQ17" s="258"/>
      <c r="HR17" s="258"/>
      <c r="HS17" s="258"/>
      <c r="HT17" s="258"/>
      <c r="HU17" s="258"/>
      <c r="HV17" s="258"/>
      <c r="HW17" s="258"/>
      <c r="HX17" s="258"/>
      <c r="HY17" s="258"/>
      <c r="HZ17" s="258"/>
      <c r="IA17" s="258"/>
      <c r="IB17" s="258"/>
      <c r="IC17" s="258"/>
      <c r="ID17" s="258"/>
      <c r="IE17" s="258"/>
      <c r="IF17" s="258"/>
      <c r="IG17" s="258"/>
      <c r="IH17" s="258"/>
      <c r="II17" s="258"/>
      <c r="IJ17" s="258"/>
      <c r="IK17" s="258"/>
      <c r="IL17" s="258"/>
      <c r="IM17" s="258"/>
      <c r="IN17" s="258"/>
      <c r="IO17" s="258"/>
      <c r="IP17" s="258"/>
      <c r="IQ17" s="258"/>
    </row>
    <row r="18" spans="1:251" s="362" customFormat="1" ht="19.899999999999999" customHeight="1" thickBot="1">
      <c r="A18" s="307" t="s">
        <v>465</v>
      </c>
      <c r="B18" s="268">
        <v>17.3</v>
      </c>
      <c r="C18" s="268">
        <v>8.3999999999999986</v>
      </c>
      <c r="D18" s="268">
        <v>16.100000000000001</v>
      </c>
      <c r="E18" s="268">
        <v>23.299999999999997</v>
      </c>
      <c r="F18" s="268">
        <v>35.6</v>
      </c>
      <c r="G18" s="268">
        <v>35.799999999999997</v>
      </c>
      <c r="H18" s="268">
        <v>43.3</v>
      </c>
      <c r="I18" s="268">
        <v>51.9</v>
      </c>
      <c r="J18" s="268">
        <v>37.799999999999997</v>
      </c>
      <c r="K18" s="268">
        <v>46.6</v>
      </c>
      <c r="L18" s="268">
        <v>56.199999999999996</v>
      </c>
      <c r="M18" s="268">
        <v>57.3</v>
      </c>
      <c r="N18" s="268">
        <v>95.4</v>
      </c>
      <c r="O18" s="268">
        <v>80.099999999999994</v>
      </c>
      <c r="P18" s="268">
        <v>90.8</v>
      </c>
      <c r="Q18" s="268">
        <v>107.5</v>
      </c>
      <c r="R18" s="268">
        <v>103.9</v>
      </c>
      <c r="S18" s="268">
        <v>118.10000000000001</v>
      </c>
      <c r="T18" s="268">
        <v>141.28</v>
      </c>
      <c r="U18" s="268">
        <v>147.1</v>
      </c>
      <c r="V18" s="268">
        <v>145.80000000000001</v>
      </c>
      <c r="W18" s="268">
        <v>146.5</v>
      </c>
      <c r="X18" s="268">
        <v>195.10999999999999</v>
      </c>
      <c r="Y18" s="268">
        <v>199.755</v>
      </c>
      <c r="Z18" s="268">
        <v>202.9</v>
      </c>
      <c r="AA18" s="268">
        <v>193.73000000000002</v>
      </c>
      <c r="AB18" s="265">
        <v>198.55</v>
      </c>
      <c r="AC18" s="265">
        <v>199.74700000000001</v>
      </c>
      <c r="AD18" s="265">
        <v>211.11993393999995</v>
      </c>
      <c r="AE18" s="265">
        <v>242.12944282999996</v>
      </c>
      <c r="AF18" s="265">
        <v>269.28320039000005</v>
      </c>
      <c r="AG18" s="265">
        <v>295.31872501999993</v>
      </c>
      <c r="AH18" s="266">
        <v>321.94</v>
      </c>
      <c r="AI18" s="366">
        <v>317.7</v>
      </c>
      <c r="AJ18" s="365">
        <v>322.40148199999999</v>
      </c>
      <c r="AK18" s="365">
        <v>343.16651961999997</v>
      </c>
      <c r="AL18" s="364">
        <v>346.34075089999999</v>
      </c>
      <c r="AM18" s="363">
        <v>339.92931034499998</v>
      </c>
      <c r="AN18" s="262">
        <f t="shared" si="0"/>
        <v>5805.201365044999</v>
      </c>
      <c r="AO18" s="258"/>
      <c r="AP18" s="258"/>
      <c r="AQ18" s="258"/>
      <c r="AR18" s="258"/>
      <c r="AS18" s="258"/>
      <c r="AT18" s="258"/>
      <c r="AU18" s="258"/>
      <c r="AV18" s="258"/>
      <c r="AW18" s="258"/>
      <c r="AX18" s="258"/>
      <c r="AY18" s="258"/>
      <c r="AZ18" s="258"/>
      <c r="BA18" s="258"/>
      <c r="BB18" s="258"/>
      <c r="BC18" s="258"/>
      <c r="BD18" s="258"/>
      <c r="BE18" s="258"/>
      <c r="BF18" s="258"/>
      <c r="BG18" s="258"/>
      <c r="BH18" s="258"/>
      <c r="BI18" s="258"/>
      <c r="BJ18" s="258"/>
      <c r="BK18" s="258"/>
      <c r="BL18" s="258"/>
      <c r="BM18" s="258"/>
      <c r="BN18" s="258"/>
      <c r="BO18" s="258"/>
      <c r="BP18" s="258"/>
      <c r="BQ18" s="258"/>
      <c r="BR18" s="258"/>
      <c r="BS18" s="258"/>
      <c r="BT18" s="258"/>
      <c r="BU18" s="258"/>
      <c r="BV18" s="258"/>
      <c r="BW18" s="258"/>
      <c r="BX18" s="258"/>
      <c r="BY18" s="258"/>
      <c r="BZ18" s="258"/>
      <c r="CA18" s="258"/>
      <c r="CB18" s="258"/>
      <c r="CC18" s="258"/>
      <c r="CD18" s="258"/>
      <c r="CE18" s="258"/>
      <c r="CF18" s="258"/>
      <c r="CG18" s="258"/>
      <c r="CH18" s="258"/>
      <c r="CI18" s="258"/>
      <c r="CJ18" s="258"/>
      <c r="CK18" s="258"/>
      <c r="CL18" s="258"/>
      <c r="CM18" s="258"/>
      <c r="CN18" s="258"/>
      <c r="CO18" s="258"/>
      <c r="CP18" s="258"/>
      <c r="CQ18" s="258"/>
      <c r="CR18" s="258"/>
      <c r="CS18" s="258"/>
      <c r="CT18" s="258"/>
      <c r="CU18" s="258"/>
      <c r="CV18" s="258"/>
      <c r="CW18" s="258"/>
      <c r="CX18" s="258"/>
      <c r="CY18" s="258"/>
      <c r="CZ18" s="258"/>
      <c r="DA18" s="258"/>
      <c r="DB18" s="258"/>
      <c r="DC18" s="258"/>
      <c r="DD18" s="258"/>
      <c r="DE18" s="258"/>
      <c r="DF18" s="258"/>
      <c r="DG18" s="258"/>
      <c r="DH18" s="258"/>
      <c r="DI18" s="258"/>
      <c r="DJ18" s="258"/>
      <c r="DK18" s="258"/>
      <c r="DL18" s="258"/>
      <c r="DM18" s="258"/>
      <c r="DN18" s="258"/>
      <c r="DO18" s="258"/>
      <c r="DP18" s="258"/>
      <c r="DQ18" s="258"/>
      <c r="DR18" s="258"/>
      <c r="DS18" s="258"/>
      <c r="DT18" s="258"/>
      <c r="DU18" s="258"/>
      <c r="DV18" s="258"/>
      <c r="DW18" s="258"/>
      <c r="DX18" s="258"/>
      <c r="DY18" s="258"/>
      <c r="DZ18" s="258"/>
      <c r="EA18" s="258"/>
      <c r="EB18" s="258"/>
      <c r="EC18" s="258"/>
      <c r="ED18" s="258"/>
      <c r="EE18" s="258"/>
      <c r="EF18" s="258"/>
      <c r="EG18" s="258"/>
      <c r="EH18" s="258"/>
      <c r="EI18" s="258"/>
      <c r="EJ18" s="258"/>
      <c r="EK18" s="258"/>
      <c r="EL18" s="258"/>
      <c r="EM18" s="258"/>
      <c r="EN18" s="258"/>
      <c r="EO18" s="258"/>
      <c r="EP18" s="258"/>
      <c r="EQ18" s="258"/>
      <c r="ER18" s="258"/>
      <c r="ES18" s="258"/>
      <c r="ET18" s="258"/>
      <c r="EU18" s="258"/>
      <c r="EV18" s="258"/>
      <c r="EW18" s="258"/>
      <c r="EX18" s="258"/>
      <c r="EY18" s="258"/>
      <c r="EZ18" s="258"/>
      <c r="FA18" s="258"/>
      <c r="FB18" s="258"/>
      <c r="FC18" s="258"/>
      <c r="FD18" s="258"/>
      <c r="FE18" s="258"/>
      <c r="FF18" s="258"/>
      <c r="FG18" s="258"/>
      <c r="FH18" s="258"/>
      <c r="FI18" s="258"/>
      <c r="FJ18" s="258"/>
      <c r="FK18" s="258"/>
      <c r="FL18" s="258"/>
      <c r="FM18" s="258"/>
      <c r="FN18" s="258"/>
      <c r="FO18" s="258"/>
      <c r="FP18" s="258"/>
      <c r="FQ18" s="258"/>
      <c r="FR18" s="258"/>
      <c r="FS18" s="258"/>
      <c r="FT18" s="258"/>
      <c r="FU18" s="258"/>
      <c r="FV18" s="258"/>
      <c r="FW18" s="258"/>
      <c r="FX18" s="258"/>
      <c r="FY18" s="258"/>
      <c r="FZ18" s="258"/>
      <c r="GA18" s="258"/>
      <c r="GB18" s="258"/>
      <c r="GC18" s="258"/>
      <c r="GD18" s="258"/>
      <c r="GE18" s="258"/>
      <c r="GF18" s="258"/>
      <c r="GG18" s="258"/>
      <c r="GH18" s="258"/>
      <c r="GI18" s="258"/>
      <c r="GJ18" s="258"/>
      <c r="GK18" s="258"/>
      <c r="GL18" s="258"/>
      <c r="GM18" s="258"/>
      <c r="GN18" s="258"/>
      <c r="GO18" s="258"/>
      <c r="GP18" s="258"/>
      <c r="GQ18" s="258"/>
      <c r="GR18" s="258"/>
      <c r="GS18" s="258"/>
      <c r="GT18" s="258"/>
      <c r="GU18" s="258"/>
      <c r="GV18" s="258"/>
      <c r="GW18" s="258"/>
      <c r="GX18" s="258"/>
      <c r="GY18" s="258"/>
      <c r="GZ18" s="258"/>
      <c r="HA18" s="258"/>
      <c r="HB18" s="258"/>
      <c r="HC18" s="258"/>
      <c r="HD18" s="258"/>
      <c r="HE18" s="258"/>
      <c r="HF18" s="258"/>
      <c r="HG18" s="258"/>
      <c r="HH18" s="258"/>
      <c r="HI18" s="258"/>
      <c r="HJ18" s="258"/>
      <c r="HK18" s="258"/>
      <c r="HL18" s="258"/>
      <c r="HM18" s="258"/>
      <c r="HN18" s="258"/>
      <c r="HO18" s="258"/>
      <c r="HP18" s="258"/>
      <c r="HQ18" s="258"/>
      <c r="HR18" s="258"/>
      <c r="HS18" s="258"/>
      <c r="HT18" s="258"/>
      <c r="HU18" s="258"/>
      <c r="HV18" s="258"/>
      <c r="HW18" s="258"/>
      <c r="HX18" s="258"/>
      <c r="HY18" s="258"/>
      <c r="HZ18" s="258"/>
      <c r="IA18" s="258"/>
      <c r="IB18" s="258"/>
      <c r="IC18" s="258"/>
      <c r="ID18" s="258"/>
      <c r="IE18" s="258"/>
      <c r="IF18" s="258"/>
      <c r="IG18" s="258"/>
      <c r="IH18" s="258"/>
      <c r="II18" s="258"/>
      <c r="IJ18" s="258"/>
      <c r="IK18" s="258"/>
      <c r="IL18" s="258"/>
      <c r="IM18" s="258"/>
      <c r="IN18" s="258"/>
      <c r="IO18" s="258"/>
      <c r="IP18" s="258"/>
      <c r="IQ18" s="258"/>
    </row>
    <row r="19" spans="1:251" s="271" customFormat="1" ht="25.5" customHeight="1">
      <c r="A19" s="361" t="s">
        <v>464</v>
      </c>
      <c r="B19" s="360">
        <v>0</v>
      </c>
      <c r="C19" s="360">
        <v>0</v>
      </c>
      <c r="D19" s="360">
        <v>0</v>
      </c>
      <c r="E19" s="360">
        <v>0</v>
      </c>
      <c r="F19" s="360">
        <v>0</v>
      </c>
      <c r="G19" s="360">
        <v>0</v>
      </c>
      <c r="H19" s="360">
        <v>0</v>
      </c>
      <c r="I19" s="360">
        <v>0</v>
      </c>
      <c r="J19" s="360">
        <v>0</v>
      </c>
      <c r="K19" s="360">
        <v>0</v>
      </c>
      <c r="L19" s="360">
        <v>0</v>
      </c>
      <c r="M19" s="360">
        <v>0</v>
      </c>
      <c r="N19" s="360">
        <v>0</v>
      </c>
      <c r="O19" s="360">
        <v>0</v>
      </c>
      <c r="P19" s="360">
        <v>0</v>
      </c>
      <c r="Q19" s="359"/>
      <c r="R19" s="359"/>
      <c r="S19" s="359"/>
      <c r="T19" s="359"/>
      <c r="U19" s="359"/>
      <c r="V19" s="359"/>
      <c r="W19" s="359"/>
      <c r="X19" s="359"/>
      <c r="Y19" s="359"/>
      <c r="Z19" s="359"/>
      <c r="AA19" s="359"/>
      <c r="AB19" s="358"/>
      <c r="AC19" s="356"/>
      <c r="AD19" s="356"/>
      <c r="AE19" s="356"/>
      <c r="AF19" s="356"/>
      <c r="AG19" s="356"/>
      <c r="AH19" s="357"/>
      <c r="AI19" s="356"/>
      <c r="AJ19" s="355"/>
      <c r="AK19" s="355"/>
      <c r="AL19" s="354"/>
      <c r="AM19" s="334"/>
      <c r="AN19" s="333"/>
      <c r="AO19" s="258"/>
      <c r="AP19" s="258"/>
      <c r="AQ19" s="258"/>
      <c r="AR19" s="258"/>
      <c r="AS19" s="258"/>
      <c r="AT19" s="258"/>
      <c r="AU19" s="258"/>
      <c r="AV19" s="258"/>
      <c r="AW19" s="258"/>
      <c r="AX19" s="258"/>
      <c r="AY19" s="258"/>
      <c r="AZ19" s="258"/>
      <c r="BA19" s="258"/>
      <c r="BB19" s="258"/>
      <c r="BC19" s="258"/>
      <c r="BD19" s="258"/>
      <c r="BE19" s="258"/>
      <c r="BF19" s="258"/>
      <c r="BG19" s="258"/>
      <c r="BH19" s="258"/>
      <c r="BI19" s="258"/>
      <c r="BJ19" s="258"/>
      <c r="BK19" s="258"/>
      <c r="BL19" s="258"/>
      <c r="BM19" s="258"/>
      <c r="BN19" s="258"/>
      <c r="BO19" s="258"/>
      <c r="BP19" s="258"/>
      <c r="BQ19" s="258"/>
      <c r="BR19" s="258"/>
      <c r="BS19" s="258"/>
      <c r="BT19" s="258"/>
      <c r="BU19" s="258"/>
      <c r="BV19" s="258"/>
      <c r="BW19" s="258"/>
      <c r="BX19" s="258"/>
      <c r="BY19" s="258"/>
      <c r="BZ19" s="258"/>
      <c r="CA19" s="258"/>
      <c r="CB19" s="258"/>
      <c r="CC19" s="258"/>
      <c r="CD19" s="258"/>
      <c r="CE19" s="258"/>
      <c r="CF19" s="258"/>
      <c r="CG19" s="258"/>
      <c r="CH19" s="258"/>
      <c r="CI19" s="258"/>
      <c r="CJ19" s="258"/>
      <c r="CK19" s="258"/>
      <c r="CL19" s="258"/>
      <c r="CM19" s="258"/>
      <c r="CN19" s="258"/>
      <c r="CO19" s="258"/>
      <c r="CP19" s="258"/>
      <c r="CQ19" s="258"/>
      <c r="CR19" s="258"/>
      <c r="CS19" s="258"/>
      <c r="CT19" s="258"/>
      <c r="CU19" s="258"/>
      <c r="CV19" s="258"/>
      <c r="CW19" s="258"/>
      <c r="CX19" s="258"/>
      <c r="CY19" s="258"/>
      <c r="CZ19" s="258"/>
      <c r="DA19" s="258"/>
      <c r="DB19" s="258"/>
      <c r="DC19" s="258"/>
      <c r="DD19" s="258"/>
      <c r="DE19" s="258"/>
      <c r="DF19" s="258"/>
      <c r="DG19" s="258"/>
      <c r="DH19" s="258"/>
      <c r="DI19" s="258"/>
      <c r="DJ19" s="258"/>
      <c r="DK19" s="258"/>
      <c r="DL19" s="258"/>
      <c r="DM19" s="258"/>
      <c r="DN19" s="258"/>
      <c r="DO19" s="258"/>
      <c r="DP19" s="258"/>
      <c r="DQ19" s="258"/>
      <c r="DR19" s="258"/>
      <c r="DS19" s="258"/>
      <c r="DT19" s="258"/>
      <c r="DU19" s="258"/>
      <c r="DV19" s="258"/>
      <c r="DW19" s="258"/>
      <c r="DX19" s="258"/>
      <c r="DY19" s="258"/>
      <c r="DZ19" s="258"/>
      <c r="EA19" s="258"/>
      <c r="EB19" s="258"/>
      <c r="EC19" s="258"/>
      <c r="ED19" s="258"/>
      <c r="EE19" s="258"/>
      <c r="EF19" s="258"/>
      <c r="EG19" s="258"/>
      <c r="EH19" s="258"/>
      <c r="EI19" s="258"/>
      <c r="EJ19" s="258"/>
      <c r="EK19" s="258"/>
      <c r="EL19" s="258"/>
      <c r="EM19" s="258"/>
      <c r="EN19" s="258"/>
      <c r="EO19" s="258"/>
      <c r="EP19" s="258"/>
      <c r="EQ19" s="258"/>
      <c r="ER19" s="258"/>
      <c r="ES19" s="258"/>
      <c r="ET19" s="258"/>
      <c r="EU19" s="258"/>
      <c r="EV19" s="258"/>
      <c r="EW19" s="258"/>
      <c r="EX19" s="258"/>
      <c r="EY19" s="258"/>
      <c r="EZ19" s="258"/>
      <c r="FA19" s="258"/>
      <c r="FB19" s="258"/>
      <c r="FC19" s="258"/>
      <c r="FD19" s="258"/>
      <c r="FE19" s="258"/>
      <c r="FF19" s="258"/>
      <c r="FG19" s="258"/>
      <c r="FH19" s="258"/>
      <c r="FI19" s="258"/>
      <c r="FJ19" s="258"/>
      <c r="FK19" s="258"/>
      <c r="FL19" s="258"/>
      <c r="FM19" s="258"/>
      <c r="FN19" s="258"/>
      <c r="FO19" s="258"/>
      <c r="FP19" s="258"/>
      <c r="FQ19" s="258"/>
      <c r="FR19" s="258"/>
      <c r="FS19" s="258"/>
      <c r="FT19" s="258"/>
      <c r="FU19" s="258"/>
      <c r="FV19" s="258"/>
      <c r="FW19" s="258"/>
      <c r="FX19" s="258"/>
      <c r="FY19" s="258"/>
      <c r="FZ19" s="258"/>
      <c r="GA19" s="258"/>
      <c r="GB19" s="258"/>
      <c r="GC19" s="258"/>
      <c r="GD19" s="258"/>
      <c r="GE19" s="258"/>
      <c r="GF19" s="258"/>
      <c r="GG19" s="258"/>
      <c r="GH19" s="258"/>
      <c r="GI19" s="258"/>
      <c r="GJ19" s="258"/>
      <c r="GK19" s="258"/>
      <c r="GL19" s="258"/>
      <c r="GM19" s="258"/>
      <c r="GN19" s="258"/>
      <c r="GO19" s="258"/>
      <c r="GP19" s="258"/>
      <c r="GQ19" s="258"/>
      <c r="GR19" s="258"/>
      <c r="GS19" s="258"/>
      <c r="GT19" s="258"/>
      <c r="GU19" s="258"/>
      <c r="GV19" s="258"/>
      <c r="GW19" s="258"/>
      <c r="GX19" s="258"/>
      <c r="GY19" s="258"/>
      <c r="GZ19" s="258"/>
      <c r="HA19" s="258"/>
      <c r="HB19" s="258"/>
      <c r="HC19" s="258"/>
      <c r="HD19" s="258"/>
      <c r="HE19" s="258"/>
      <c r="HF19" s="258"/>
      <c r="HG19" s="258"/>
      <c r="HH19" s="258"/>
      <c r="HI19" s="258"/>
      <c r="HJ19" s="258"/>
      <c r="HK19" s="258"/>
      <c r="HL19" s="258"/>
      <c r="HM19" s="258"/>
      <c r="HN19" s="258"/>
      <c r="HO19" s="258"/>
      <c r="HP19" s="258"/>
      <c r="HQ19" s="258"/>
      <c r="HR19" s="258"/>
      <c r="HS19" s="258"/>
      <c r="HT19" s="258"/>
      <c r="HU19" s="258"/>
      <c r="HV19" s="258"/>
      <c r="HW19" s="258"/>
      <c r="HX19" s="258"/>
      <c r="HY19" s="258"/>
      <c r="HZ19" s="258"/>
      <c r="IA19" s="258"/>
      <c r="IB19" s="258"/>
      <c r="IC19" s="258"/>
      <c r="ID19" s="258"/>
      <c r="IE19" s="258"/>
      <c r="IF19" s="258"/>
      <c r="IG19" s="258"/>
      <c r="IH19" s="258"/>
      <c r="II19" s="258"/>
      <c r="IJ19" s="258"/>
      <c r="IK19" s="258"/>
      <c r="IL19" s="258"/>
      <c r="IM19" s="258"/>
      <c r="IN19" s="258"/>
      <c r="IO19" s="258"/>
      <c r="IP19" s="258"/>
      <c r="IQ19" s="258"/>
    </row>
    <row r="20" spans="1:251" s="271" customFormat="1" ht="19.899999999999999" customHeight="1">
      <c r="A20" s="353" t="s">
        <v>463</v>
      </c>
      <c r="B20" s="288">
        <v>15</v>
      </c>
      <c r="C20" s="288">
        <v>6.4</v>
      </c>
      <c r="D20" s="288">
        <v>9.1999999999999993</v>
      </c>
      <c r="E20" s="288">
        <v>12.1</v>
      </c>
      <c r="F20" s="288">
        <v>12.7</v>
      </c>
      <c r="G20" s="288">
        <v>15.3</v>
      </c>
      <c r="H20" s="288">
        <v>17.100000000000001</v>
      </c>
      <c r="I20" s="288">
        <v>22.2</v>
      </c>
      <c r="J20" s="288">
        <v>24.3</v>
      </c>
      <c r="K20" s="288">
        <v>24.5</v>
      </c>
      <c r="L20" s="288">
        <v>26</v>
      </c>
      <c r="M20" s="288">
        <v>29.2</v>
      </c>
      <c r="N20" s="288">
        <v>31.4</v>
      </c>
      <c r="O20" s="288">
        <v>40.6</v>
      </c>
      <c r="P20" s="288">
        <v>46.1</v>
      </c>
      <c r="Q20" s="287">
        <v>44.9</v>
      </c>
      <c r="R20" s="287">
        <v>51.1</v>
      </c>
      <c r="S20" s="287">
        <v>52.4</v>
      </c>
      <c r="T20" s="287">
        <v>48.9</v>
      </c>
      <c r="U20" s="287">
        <v>49.4</v>
      </c>
      <c r="V20" s="287">
        <v>48.4</v>
      </c>
      <c r="W20" s="287">
        <v>49.1</v>
      </c>
      <c r="X20" s="287">
        <v>48.5</v>
      </c>
      <c r="Y20" s="287">
        <v>49.9</v>
      </c>
      <c r="Z20" s="287">
        <v>53.3</v>
      </c>
      <c r="AA20" s="287">
        <v>56.4</v>
      </c>
      <c r="AB20" s="286">
        <v>53.4</v>
      </c>
      <c r="AC20" s="284">
        <v>76.009</v>
      </c>
      <c r="AD20" s="284">
        <v>76.900000000000006</v>
      </c>
      <c r="AE20" s="284">
        <v>78.7</v>
      </c>
      <c r="AF20" s="284">
        <v>80.530576881176245</v>
      </c>
      <c r="AG20" s="284">
        <v>79.209488511332921</v>
      </c>
      <c r="AH20" s="332">
        <v>80.599999999999994</v>
      </c>
      <c r="AI20" s="331">
        <v>89.1</v>
      </c>
      <c r="AJ20" s="330">
        <v>83.4</v>
      </c>
      <c r="AK20" s="330">
        <v>89.190742819737665</v>
      </c>
      <c r="AL20" s="329">
        <v>85.597791098136184</v>
      </c>
      <c r="AM20" s="328">
        <v>58.618173032121199</v>
      </c>
      <c r="AN20" s="327">
        <f>SUM(B20:AM20)</f>
        <v>1815.655772342504</v>
      </c>
      <c r="AO20" s="258"/>
      <c r="AP20" s="258"/>
      <c r="AQ20" s="258"/>
      <c r="AR20" s="258"/>
      <c r="AS20" s="258"/>
      <c r="AT20" s="258"/>
      <c r="AU20" s="258"/>
      <c r="AV20" s="258"/>
      <c r="AW20" s="258"/>
      <c r="AX20" s="258"/>
      <c r="AY20" s="258"/>
      <c r="AZ20" s="258"/>
      <c r="BA20" s="258"/>
      <c r="BB20" s="258"/>
      <c r="BC20" s="258"/>
      <c r="BD20" s="258"/>
      <c r="BE20" s="258"/>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258"/>
      <c r="CM20" s="258"/>
      <c r="CN20" s="258"/>
      <c r="CO20" s="258"/>
      <c r="CP20" s="258"/>
      <c r="CQ20" s="258"/>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c r="DS20" s="258"/>
      <c r="DT20" s="258"/>
      <c r="DU20" s="258"/>
      <c r="DV20" s="258"/>
      <c r="DW20" s="258"/>
      <c r="DX20" s="258"/>
      <c r="DY20" s="258"/>
      <c r="DZ20" s="258"/>
      <c r="EA20" s="258"/>
      <c r="EB20" s="258"/>
      <c r="EC20" s="258"/>
      <c r="ED20" s="258"/>
      <c r="EE20" s="258"/>
      <c r="EF20" s="258"/>
      <c r="EG20" s="258"/>
      <c r="EH20" s="258"/>
      <c r="EI20" s="258"/>
      <c r="EJ20" s="258"/>
      <c r="EK20" s="258"/>
      <c r="EL20" s="258"/>
      <c r="EM20" s="258"/>
      <c r="EN20" s="258"/>
      <c r="EO20" s="258"/>
      <c r="EP20" s="258"/>
      <c r="EQ20" s="258"/>
      <c r="ER20" s="258"/>
      <c r="ES20" s="258"/>
      <c r="ET20" s="258"/>
      <c r="EU20" s="258"/>
      <c r="EV20" s="258"/>
      <c r="EW20" s="258"/>
      <c r="EX20" s="258"/>
      <c r="EY20" s="258"/>
      <c r="EZ20" s="258"/>
      <c r="FA20" s="258"/>
      <c r="FB20" s="258"/>
      <c r="FC20" s="258"/>
      <c r="FD20" s="258"/>
      <c r="FE20" s="258"/>
      <c r="FF20" s="258"/>
      <c r="FG20" s="258"/>
      <c r="FH20" s="258"/>
      <c r="FI20" s="258"/>
      <c r="FJ20" s="258"/>
      <c r="FK20" s="258"/>
      <c r="FL20" s="258"/>
      <c r="FM20" s="258"/>
      <c r="FN20" s="258"/>
      <c r="FO20" s="258"/>
      <c r="FP20" s="258"/>
      <c r="FQ20" s="258"/>
      <c r="FR20" s="258"/>
      <c r="FS20" s="258"/>
      <c r="FT20" s="258"/>
      <c r="FU20" s="258"/>
      <c r="FV20" s="258"/>
      <c r="FW20" s="258"/>
      <c r="FX20" s="258"/>
      <c r="FY20" s="258"/>
      <c r="FZ20" s="258"/>
      <c r="GA20" s="258"/>
      <c r="GB20" s="258"/>
      <c r="GC20" s="258"/>
      <c r="GD20" s="258"/>
      <c r="GE20" s="258"/>
      <c r="GF20" s="258"/>
      <c r="GG20" s="258"/>
      <c r="GH20" s="258"/>
      <c r="GI20" s="258"/>
      <c r="GJ20" s="258"/>
      <c r="GK20" s="258"/>
      <c r="GL20" s="258"/>
      <c r="GM20" s="258"/>
      <c r="GN20" s="258"/>
      <c r="GO20" s="258"/>
      <c r="GP20" s="258"/>
      <c r="GQ20" s="258"/>
      <c r="GR20" s="258"/>
      <c r="GS20" s="258"/>
      <c r="GT20" s="258"/>
      <c r="GU20" s="258"/>
      <c r="GV20" s="258"/>
      <c r="GW20" s="258"/>
      <c r="GX20" s="258"/>
      <c r="GY20" s="258"/>
      <c r="GZ20" s="258"/>
      <c r="HA20" s="258"/>
      <c r="HB20" s="258"/>
      <c r="HC20" s="258"/>
      <c r="HD20" s="258"/>
      <c r="HE20" s="258"/>
      <c r="HF20" s="258"/>
      <c r="HG20" s="258"/>
      <c r="HH20" s="258"/>
      <c r="HI20" s="258"/>
      <c r="HJ20" s="258"/>
      <c r="HK20" s="258"/>
      <c r="HL20" s="258"/>
      <c r="HM20" s="258"/>
      <c r="HN20" s="258"/>
      <c r="HO20" s="258"/>
      <c r="HP20" s="258"/>
      <c r="HQ20" s="258"/>
      <c r="HR20" s="258"/>
      <c r="HS20" s="258"/>
      <c r="HT20" s="258"/>
      <c r="HU20" s="258"/>
      <c r="HV20" s="258"/>
      <c r="HW20" s="258"/>
      <c r="HX20" s="258"/>
      <c r="HY20" s="258"/>
      <c r="HZ20" s="258"/>
      <c r="IA20" s="258"/>
      <c r="IB20" s="258"/>
      <c r="IC20" s="258"/>
      <c r="ID20" s="258"/>
      <c r="IE20" s="258"/>
      <c r="IF20" s="258"/>
      <c r="IG20" s="258"/>
      <c r="IH20" s="258"/>
      <c r="II20" s="258"/>
      <c r="IJ20" s="258"/>
      <c r="IK20" s="258"/>
      <c r="IL20" s="258"/>
      <c r="IM20" s="258"/>
      <c r="IN20" s="258"/>
      <c r="IO20" s="258"/>
      <c r="IP20" s="258"/>
      <c r="IQ20" s="258"/>
    </row>
    <row r="21" spans="1:251" s="271" customFormat="1" ht="19.899999999999999" customHeight="1">
      <c r="A21" s="353" t="s">
        <v>462</v>
      </c>
      <c r="B21" s="288">
        <v>0</v>
      </c>
      <c r="C21" s="288">
        <v>0</v>
      </c>
      <c r="D21" s="288">
        <v>0</v>
      </c>
      <c r="E21" s="288">
        <v>0</v>
      </c>
      <c r="F21" s="288">
        <v>0</v>
      </c>
      <c r="G21" s="288">
        <v>0.1</v>
      </c>
      <c r="H21" s="288">
        <v>0.5</v>
      </c>
      <c r="I21" s="288">
        <v>0.8</v>
      </c>
      <c r="J21" s="288">
        <v>1.1000000000000001</v>
      </c>
      <c r="K21" s="288">
        <v>1.7</v>
      </c>
      <c r="L21" s="288">
        <v>2.4</v>
      </c>
      <c r="M21" s="288">
        <v>3.6</v>
      </c>
      <c r="N21" s="288">
        <v>4.8</v>
      </c>
      <c r="O21" s="288">
        <v>5.5</v>
      </c>
      <c r="P21" s="288">
        <v>6.8</v>
      </c>
      <c r="Q21" s="287">
        <v>8.5</v>
      </c>
      <c r="R21" s="287">
        <v>10.6</v>
      </c>
      <c r="S21" s="287">
        <v>12.4</v>
      </c>
      <c r="T21" s="287">
        <v>14.1</v>
      </c>
      <c r="U21" s="287">
        <v>15.3</v>
      </c>
      <c r="V21" s="287">
        <v>16.100000000000001</v>
      </c>
      <c r="W21" s="287">
        <v>16.8</v>
      </c>
      <c r="X21" s="287">
        <v>17.2</v>
      </c>
      <c r="Y21" s="287">
        <v>17.399999999999999</v>
      </c>
      <c r="Z21" s="287">
        <v>17.5</v>
      </c>
      <c r="AA21" s="287">
        <v>17.399999999999999</v>
      </c>
      <c r="AB21" s="286">
        <v>17.399999999999999</v>
      </c>
      <c r="AC21" s="284">
        <v>22.885000000000002</v>
      </c>
      <c r="AD21" s="284">
        <v>24.4</v>
      </c>
      <c r="AE21" s="284">
        <v>24.6</v>
      </c>
      <c r="AF21" s="284">
        <v>24.957999999999998</v>
      </c>
      <c r="AG21" s="284">
        <v>28.347999999999999</v>
      </c>
      <c r="AH21" s="332">
        <v>30.2</v>
      </c>
      <c r="AI21" s="331">
        <v>35.700000000000003</v>
      </c>
      <c r="AJ21" s="330">
        <v>38.700000000000003</v>
      </c>
      <c r="AK21" s="330">
        <v>41.33590118</v>
      </c>
      <c r="AL21" s="329">
        <v>42.480182859999999</v>
      </c>
      <c r="AM21" s="328">
        <v>42.482427940000001</v>
      </c>
      <c r="AN21" s="327">
        <f>SUM(B21:AM21)</f>
        <v>564.08951197999988</v>
      </c>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Q21" s="258"/>
      <c r="CR21" s="258"/>
      <c r="CS21" s="258"/>
      <c r="CT21" s="258"/>
      <c r="CU21" s="258"/>
      <c r="CV21" s="258"/>
      <c r="CW21" s="258"/>
      <c r="CX21" s="258"/>
      <c r="CY21" s="258"/>
      <c r="CZ21" s="258"/>
      <c r="DA21" s="258"/>
      <c r="DB21" s="258"/>
      <c r="DC21" s="258"/>
      <c r="DD21" s="258"/>
      <c r="DE21" s="258"/>
      <c r="DF21" s="258"/>
      <c r="DG21" s="258"/>
      <c r="DH21" s="258"/>
      <c r="DI21" s="258"/>
      <c r="DJ21" s="258"/>
      <c r="DK21" s="258"/>
      <c r="DL21" s="258"/>
      <c r="DM21" s="258"/>
      <c r="DN21" s="258"/>
      <c r="DO21" s="258"/>
      <c r="DP21" s="258"/>
      <c r="DQ21" s="258"/>
      <c r="DR21" s="258"/>
      <c r="DS21" s="258"/>
      <c r="DT21" s="258"/>
      <c r="DU21" s="258"/>
      <c r="DV21" s="258"/>
      <c r="DW21" s="258"/>
      <c r="DX21" s="258"/>
      <c r="DY21" s="258"/>
      <c r="DZ21" s="258"/>
      <c r="EA21" s="258"/>
      <c r="EB21" s="258"/>
      <c r="EC21" s="258"/>
      <c r="ED21" s="258"/>
      <c r="EE21" s="258"/>
      <c r="EF21" s="258"/>
      <c r="EG21" s="258"/>
      <c r="EH21" s="258"/>
      <c r="EI21" s="258"/>
      <c r="EJ21" s="258"/>
      <c r="EK21" s="258"/>
      <c r="EL21" s="258"/>
      <c r="EM21" s="258"/>
      <c r="EN21" s="258"/>
      <c r="EO21" s="258"/>
      <c r="EP21" s="258"/>
      <c r="EQ21" s="258"/>
      <c r="ER21" s="258"/>
      <c r="ES21" s="258"/>
      <c r="ET21" s="258"/>
      <c r="EU21" s="258"/>
      <c r="EV21" s="258"/>
      <c r="EW21" s="258"/>
      <c r="EX21" s="258"/>
      <c r="EY21" s="258"/>
      <c r="EZ21" s="258"/>
      <c r="FA21" s="258"/>
      <c r="FB21" s="258"/>
      <c r="FC21" s="258"/>
      <c r="FD21" s="258"/>
      <c r="FE21" s="258"/>
      <c r="FF21" s="258"/>
      <c r="FG21" s="258"/>
      <c r="FH21" s="258"/>
      <c r="FI21" s="258"/>
      <c r="FJ21" s="258"/>
      <c r="FK21" s="258"/>
      <c r="FL21" s="258"/>
      <c r="FM21" s="258"/>
      <c r="FN21" s="258"/>
      <c r="FO21" s="258"/>
      <c r="FP21" s="258"/>
      <c r="FQ21" s="258"/>
      <c r="FR21" s="258"/>
      <c r="FS21" s="258"/>
      <c r="FT21" s="258"/>
      <c r="FU21" s="258"/>
      <c r="FV21" s="258"/>
      <c r="FW21" s="258"/>
      <c r="FX21" s="258"/>
      <c r="FY21" s="258"/>
      <c r="FZ21" s="258"/>
      <c r="GA21" s="258"/>
      <c r="GB21" s="258"/>
      <c r="GC21" s="258"/>
      <c r="GD21" s="258"/>
      <c r="GE21" s="258"/>
      <c r="GF21" s="258"/>
      <c r="GG21" s="258"/>
      <c r="GH21" s="258"/>
      <c r="GI21" s="258"/>
      <c r="GJ21" s="258"/>
      <c r="GK21" s="258"/>
      <c r="GL21" s="258"/>
      <c r="GM21" s="258"/>
      <c r="GN21" s="258"/>
      <c r="GO21" s="258"/>
      <c r="GP21" s="258"/>
      <c r="GQ21" s="258"/>
      <c r="GR21" s="258"/>
      <c r="GS21" s="258"/>
      <c r="GT21" s="258"/>
      <c r="GU21" s="258"/>
      <c r="GV21" s="258"/>
      <c r="GW21" s="258"/>
      <c r="GX21" s="258"/>
      <c r="GY21" s="258"/>
      <c r="GZ21" s="258"/>
      <c r="HA21" s="258"/>
      <c r="HB21" s="258"/>
      <c r="HC21" s="258"/>
      <c r="HD21" s="258"/>
      <c r="HE21" s="258"/>
      <c r="HF21" s="258"/>
      <c r="HG21" s="258"/>
      <c r="HH21" s="258"/>
      <c r="HI21" s="258"/>
      <c r="HJ21" s="258"/>
      <c r="HK21" s="258"/>
      <c r="HL21" s="258"/>
      <c r="HM21" s="258"/>
      <c r="HN21" s="258"/>
      <c r="HO21" s="258"/>
      <c r="HP21" s="258"/>
      <c r="HQ21" s="258"/>
      <c r="HR21" s="258"/>
      <c r="HS21" s="258"/>
      <c r="HT21" s="258"/>
      <c r="HU21" s="258"/>
      <c r="HV21" s="258"/>
      <c r="HW21" s="258"/>
      <c r="HX21" s="258"/>
      <c r="HY21" s="258"/>
      <c r="HZ21" s="258"/>
      <c r="IA21" s="258"/>
      <c r="IB21" s="258"/>
      <c r="IC21" s="258"/>
      <c r="ID21" s="258"/>
      <c r="IE21" s="258"/>
      <c r="IF21" s="258"/>
      <c r="IG21" s="258"/>
      <c r="IH21" s="258"/>
      <c r="II21" s="258"/>
      <c r="IJ21" s="258"/>
      <c r="IK21" s="258"/>
      <c r="IL21" s="258"/>
      <c r="IM21" s="258"/>
      <c r="IN21" s="258"/>
      <c r="IO21" s="258"/>
      <c r="IP21" s="258"/>
      <c r="IQ21" s="258"/>
    </row>
    <row r="22" spans="1:251" s="271" customFormat="1" ht="19.899999999999999" customHeight="1">
      <c r="A22" s="352" t="s">
        <v>461</v>
      </c>
      <c r="B22" s="278">
        <v>9</v>
      </c>
      <c r="C22" s="278">
        <v>2.4</v>
      </c>
      <c r="D22" s="278">
        <v>3.2</v>
      </c>
      <c r="E22" s="278">
        <v>3.8</v>
      </c>
      <c r="F22" s="278">
        <v>3.9</v>
      </c>
      <c r="G22" s="278">
        <v>4.3</v>
      </c>
      <c r="H22" s="278">
        <v>4.5</v>
      </c>
      <c r="I22" s="278">
        <v>5.5</v>
      </c>
      <c r="J22" s="278">
        <v>5.6</v>
      </c>
      <c r="K22" s="278">
        <v>5.7</v>
      </c>
      <c r="L22" s="278">
        <v>5.9</v>
      </c>
      <c r="M22" s="278">
        <v>5.4</v>
      </c>
      <c r="N22" s="278">
        <v>5.7</v>
      </c>
      <c r="O22" s="278">
        <v>7.5</v>
      </c>
      <c r="P22" s="278">
        <v>8.4</v>
      </c>
      <c r="Q22" s="277">
        <v>10.199999999999999</v>
      </c>
      <c r="R22" s="277">
        <v>11.4</v>
      </c>
      <c r="S22" s="277">
        <v>11.5</v>
      </c>
      <c r="T22" s="277">
        <v>11.1</v>
      </c>
      <c r="U22" s="277">
        <v>11.4</v>
      </c>
      <c r="V22" s="277">
        <v>11.8</v>
      </c>
      <c r="W22" s="277">
        <v>12.3</v>
      </c>
      <c r="X22" s="277">
        <v>12.5</v>
      </c>
      <c r="Y22" s="277">
        <v>13.2</v>
      </c>
      <c r="Z22" s="277">
        <v>14.6</v>
      </c>
      <c r="AA22" s="277">
        <v>15.9</v>
      </c>
      <c r="AB22" s="286">
        <v>16.7</v>
      </c>
      <c r="AC22" s="284">
        <v>14.016</v>
      </c>
      <c r="AD22" s="284">
        <v>14.9</v>
      </c>
      <c r="AE22" s="284">
        <v>16.7</v>
      </c>
      <c r="AF22" s="284">
        <v>18.027533333333334</v>
      </c>
      <c r="AG22" s="284">
        <v>19.615093333333334</v>
      </c>
      <c r="AH22" s="332">
        <v>20.7</v>
      </c>
      <c r="AI22" s="331">
        <v>18.600000000000001</v>
      </c>
      <c r="AJ22" s="330">
        <v>19.2</v>
      </c>
      <c r="AK22" s="330">
        <v>20.052135293333333</v>
      </c>
      <c r="AL22" s="329">
        <v>20.139013176666666</v>
      </c>
      <c r="AM22" s="328">
        <v>20.276881626666665</v>
      </c>
      <c r="AN22" s="327">
        <f>SUM(B22:AM22)</f>
        <v>435.62665676333324</v>
      </c>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c r="BT22" s="258"/>
      <c r="BU22" s="258"/>
      <c r="BV22" s="258"/>
      <c r="BW22" s="258"/>
      <c r="BX22" s="258"/>
      <c r="BY22" s="258"/>
      <c r="BZ22" s="258"/>
      <c r="CA22" s="258"/>
      <c r="CB22" s="258"/>
      <c r="CC22" s="258"/>
      <c r="CD22" s="258"/>
      <c r="CE22" s="258"/>
      <c r="CF22" s="258"/>
      <c r="CG22" s="258"/>
      <c r="CH22" s="258"/>
      <c r="CI22" s="258"/>
      <c r="CJ22" s="258"/>
      <c r="CK22" s="258"/>
      <c r="CL22" s="258"/>
      <c r="CM22" s="258"/>
      <c r="CN22" s="258"/>
      <c r="CO22" s="258"/>
      <c r="CP22" s="258"/>
      <c r="CQ22" s="258"/>
      <c r="CR22" s="258"/>
      <c r="CS22" s="258"/>
      <c r="CT22" s="258"/>
      <c r="CU22" s="258"/>
      <c r="CV22" s="258"/>
      <c r="CW22" s="258"/>
      <c r="CX22" s="258"/>
      <c r="CY22" s="258"/>
      <c r="CZ22" s="258"/>
      <c r="DA22" s="258"/>
      <c r="DB22" s="258"/>
      <c r="DC22" s="258"/>
      <c r="DD22" s="258"/>
      <c r="DE22" s="258"/>
      <c r="DF22" s="258"/>
      <c r="DG22" s="258"/>
      <c r="DH22" s="258"/>
      <c r="DI22" s="258"/>
      <c r="DJ22" s="258"/>
      <c r="DK22" s="258"/>
      <c r="DL22" s="258"/>
      <c r="DM22" s="258"/>
      <c r="DN22" s="258"/>
      <c r="DO22" s="258"/>
      <c r="DP22" s="258"/>
      <c r="DQ22" s="258"/>
      <c r="DR22" s="258"/>
      <c r="DS22" s="258"/>
      <c r="DT22" s="258"/>
      <c r="DU22" s="258"/>
      <c r="DV22" s="258"/>
      <c r="DW22" s="258"/>
      <c r="DX22" s="258"/>
      <c r="DY22" s="258"/>
      <c r="DZ22" s="258"/>
      <c r="EA22" s="258"/>
      <c r="EB22" s="258"/>
      <c r="EC22" s="258"/>
      <c r="ED22" s="258"/>
      <c r="EE22" s="258"/>
      <c r="EF22" s="258"/>
      <c r="EG22" s="258"/>
      <c r="EH22" s="258"/>
      <c r="EI22" s="258"/>
      <c r="EJ22" s="258"/>
      <c r="EK22" s="258"/>
      <c r="EL22" s="258"/>
      <c r="EM22" s="258"/>
      <c r="EN22" s="258"/>
      <c r="EO22" s="258"/>
      <c r="EP22" s="258"/>
      <c r="EQ22" s="258"/>
      <c r="ER22" s="258"/>
      <c r="ES22" s="258"/>
      <c r="ET22" s="258"/>
      <c r="EU22" s="258"/>
      <c r="EV22" s="258"/>
      <c r="EW22" s="258"/>
      <c r="EX22" s="258"/>
      <c r="EY22" s="258"/>
      <c r="EZ22" s="258"/>
      <c r="FA22" s="258"/>
      <c r="FB22" s="258"/>
      <c r="FC22" s="258"/>
      <c r="FD22" s="258"/>
      <c r="FE22" s="258"/>
      <c r="FF22" s="258"/>
      <c r="FG22" s="258"/>
      <c r="FH22" s="258"/>
      <c r="FI22" s="258"/>
      <c r="FJ22" s="258"/>
      <c r="FK22" s="258"/>
      <c r="FL22" s="258"/>
      <c r="FM22" s="258"/>
      <c r="FN22" s="258"/>
      <c r="FO22" s="258"/>
      <c r="FP22" s="258"/>
      <c r="FQ22" s="258"/>
      <c r="FR22" s="258"/>
      <c r="FS22" s="258"/>
      <c r="FT22" s="258"/>
      <c r="FU22" s="258"/>
      <c r="FV22" s="258"/>
      <c r="FW22" s="258"/>
      <c r="FX22" s="258"/>
      <c r="FY22" s="258"/>
      <c r="FZ22" s="258"/>
      <c r="GA22" s="258"/>
      <c r="GB22" s="258"/>
      <c r="GC22" s="258"/>
      <c r="GD22" s="258"/>
      <c r="GE22" s="258"/>
      <c r="GF22" s="258"/>
      <c r="GG22" s="258"/>
      <c r="GH22" s="258"/>
      <c r="GI22" s="258"/>
      <c r="GJ22" s="258"/>
      <c r="GK22" s="258"/>
      <c r="GL22" s="258"/>
      <c r="GM22" s="258"/>
      <c r="GN22" s="258"/>
      <c r="GO22" s="258"/>
      <c r="GP22" s="258"/>
      <c r="GQ22" s="258"/>
      <c r="GR22" s="258"/>
      <c r="GS22" s="258"/>
      <c r="GT22" s="258"/>
      <c r="GU22" s="258"/>
      <c r="GV22" s="258"/>
      <c r="GW22" s="258"/>
      <c r="GX22" s="258"/>
      <c r="GY22" s="258"/>
      <c r="GZ22" s="258"/>
      <c r="HA22" s="258"/>
      <c r="HB22" s="258"/>
      <c r="HC22" s="258"/>
      <c r="HD22" s="258"/>
      <c r="HE22" s="258"/>
      <c r="HF22" s="258"/>
      <c r="HG22" s="258"/>
      <c r="HH22" s="258"/>
      <c r="HI22" s="258"/>
      <c r="HJ22" s="258"/>
      <c r="HK22" s="258"/>
      <c r="HL22" s="258"/>
      <c r="HM22" s="258"/>
      <c r="HN22" s="258"/>
      <c r="HO22" s="258"/>
      <c r="HP22" s="258"/>
      <c r="HQ22" s="258"/>
      <c r="HR22" s="258"/>
      <c r="HS22" s="258"/>
      <c r="HT22" s="258"/>
      <c r="HU22" s="258"/>
      <c r="HV22" s="258"/>
      <c r="HW22" s="258"/>
      <c r="HX22" s="258"/>
      <c r="HY22" s="258"/>
      <c r="HZ22" s="258"/>
      <c r="IA22" s="258"/>
      <c r="IB22" s="258"/>
      <c r="IC22" s="258"/>
      <c r="ID22" s="258"/>
      <c r="IE22" s="258"/>
      <c r="IF22" s="258"/>
      <c r="IG22" s="258"/>
      <c r="IH22" s="258"/>
      <c r="II22" s="258"/>
      <c r="IJ22" s="258"/>
      <c r="IK22" s="258"/>
      <c r="IL22" s="258"/>
      <c r="IM22" s="258"/>
      <c r="IN22" s="258"/>
      <c r="IO22" s="258"/>
      <c r="IP22" s="258"/>
      <c r="IQ22" s="258"/>
    </row>
    <row r="23" spans="1:251" s="261" customFormat="1" ht="19.899999999999999" customHeight="1" thickBot="1">
      <c r="A23" s="315" t="s">
        <v>460</v>
      </c>
      <c r="B23" s="351">
        <v>24</v>
      </c>
      <c r="C23" s="351">
        <v>8.8000000000000007</v>
      </c>
      <c r="D23" s="351">
        <v>12.399999999999999</v>
      </c>
      <c r="E23" s="351">
        <v>15.899999999999999</v>
      </c>
      <c r="F23" s="351">
        <v>16.599999999999998</v>
      </c>
      <c r="G23" s="351">
        <v>19.7</v>
      </c>
      <c r="H23" s="351">
        <v>22.1</v>
      </c>
      <c r="I23" s="351">
        <v>28.5</v>
      </c>
      <c r="J23" s="351">
        <v>31</v>
      </c>
      <c r="K23" s="351">
        <v>31.9</v>
      </c>
      <c r="L23" s="351">
        <v>34.299999999999997</v>
      </c>
      <c r="M23" s="351">
        <v>38.199999999999996</v>
      </c>
      <c r="N23" s="351">
        <v>41.9</v>
      </c>
      <c r="O23" s="351">
        <v>53.6</v>
      </c>
      <c r="P23" s="351">
        <v>61.3</v>
      </c>
      <c r="Q23" s="351">
        <v>63.599999999999994</v>
      </c>
      <c r="R23" s="351">
        <v>73.100000000000009</v>
      </c>
      <c r="S23" s="351">
        <v>76.3</v>
      </c>
      <c r="T23" s="351">
        <v>74.099999999999994</v>
      </c>
      <c r="U23" s="351">
        <v>76.100000000000009</v>
      </c>
      <c r="V23" s="351">
        <v>76.3</v>
      </c>
      <c r="W23" s="351">
        <v>78.2</v>
      </c>
      <c r="X23" s="351">
        <v>78.2</v>
      </c>
      <c r="Y23" s="351">
        <v>80.5</v>
      </c>
      <c r="Z23" s="351">
        <v>85.399999999999991</v>
      </c>
      <c r="AA23" s="351">
        <v>89.7</v>
      </c>
      <c r="AB23" s="349">
        <v>87.5</v>
      </c>
      <c r="AC23" s="349">
        <v>112.91000000000001</v>
      </c>
      <c r="AD23" s="349">
        <v>116.20000000000002</v>
      </c>
      <c r="AE23" s="349">
        <v>120.00000000000001</v>
      </c>
      <c r="AF23" s="349">
        <v>123.51611021450958</v>
      </c>
      <c r="AG23" s="349">
        <v>127.17258184466625</v>
      </c>
      <c r="AH23" s="350">
        <v>131.5</v>
      </c>
      <c r="AI23" s="349">
        <v>143.4</v>
      </c>
      <c r="AJ23" s="348">
        <v>141.30000000000001</v>
      </c>
      <c r="AK23" s="348">
        <v>150.57877929307099</v>
      </c>
      <c r="AL23" s="347">
        <v>148.21698713480282</v>
      </c>
      <c r="AM23" s="346">
        <v>121.37748259878786</v>
      </c>
      <c r="AN23" s="345">
        <f>SUM(B23:AM23)</f>
        <v>2815.371941085838</v>
      </c>
      <c r="AO23" s="258"/>
      <c r="AP23" s="258"/>
      <c r="AQ23" s="258"/>
      <c r="AR23" s="258"/>
      <c r="AS23" s="258"/>
      <c r="AT23" s="258"/>
      <c r="AU23" s="258"/>
      <c r="AV23" s="258"/>
      <c r="AW23" s="258"/>
      <c r="AX23" s="258"/>
      <c r="AY23" s="258"/>
      <c r="AZ23" s="258"/>
      <c r="BA23" s="258"/>
      <c r="BB23" s="258"/>
      <c r="BC23" s="258"/>
      <c r="BD23" s="258"/>
      <c r="BE23" s="258"/>
      <c r="BF23" s="258"/>
      <c r="BG23" s="258"/>
      <c r="BH23" s="258"/>
      <c r="BI23" s="258"/>
      <c r="BJ23" s="258"/>
      <c r="BK23" s="258"/>
      <c r="BL23" s="258"/>
      <c r="BM23" s="258"/>
      <c r="BN23" s="258"/>
      <c r="BO23" s="258"/>
      <c r="BP23" s="258"/>
      <c r="BQ23" s="258"/>
      <c r="BR23" s="258"/>
      <c r="BS23" s="258"/>
      <c r="BT23" s="258"/>
      <c r="BU23" s="258"/>
      <c r="BV23" s="258"/>
      <c r="BW23" s="258"/>
      <c r="BX23" s="258"/>
      <c r="BY23" s="258"/>
      <c r="BZ23" s="258"/>
      <c r="CA23" s="258"/>
      <c r="CB23" s="258"/>
      <c r="CC23" s="258"/>
      <c r="CD23" s="258"/>
      <c r="CE23" s="258"/>
      <c r="CF23" s="258"/>
      <c r="CG23" s="258"/>
      <c r="CH23" s="258"/>
      <c r="CI23" s="258"/>
      <c r="CJ23" s="258"/>
      <c r="CK23" s="258"/>
      <c r="CL23" s="258"/>
      <c r="CM23" s="258"/>
      <c r="CN23" s="258"/>
      <c r="CO23" s="258"/>
      <c r="CP23" s="258"/>
      <c r="CQ23" s="258"/>
      <c r="CR23" s="258"/>
      <c r="CS23" s="258"/>
      <c r="CT23" s="258"/>
      <c r="CU23" s="258"/>
      <c r="CV23" s="258"/>
      <c r="CW23" s="258"/>
      <c r="CX23" s="258"/>
      <c r="CY23" s="258"/>
      <c r="CZ23" s="258"/>
      <c r="DA23" s="258"/>
      <c r="DB23" s="258"/>
      <c r="DC23" s="258"/>
      <c r="DD23" s="258"/>
      <c r="DE23" s="258"/>
      <c r="DF23" s="258"/>
      <c r="DG23" s="258"/>
      <c r="DH23" s="258"/>
      <c r="DI23" s="258"/>
      <c r="DJ23" s="258"/>
      <c r="DK23" s="258"/>
      <c r="DL23" s="258"/>
      <c r="DM23" s="258"/>
      <c r="DN23" s="258"/>
      <c r="DO23" s="258"/>
      <c r="DP23" s="258"/>
      <c r="DQ23" s="258"/>
      <c r="DR23" s="258"/>
      <c r="DS23" s="258"/>
      <c r="DT23" s="258"/>
      <c r="DU23" s="258"/>
      <c r="DV23" s="258"/>
      <c r="DW23" s="258"/>
      <c r="DX23" s="258"/>
      <c r="DY23" s="258"/>
      <c r="DZ23" s="258"/>
      <c r="EA23" s="258"/>
      <c r="EB23" s="258"/>
      <c r="EC23" s="258"/>
      <c r="ED23" s="258"/>
      <c r="EE23" s="258"/>
      <c r="EF23" s="258"/>
      <c r="EG23" s="258"/>
      <c r="EH23" s="258"/>
      <c r="EI23" s="258"/>
      <c r="EJ23" s="258"/>
      <c r="EK23" s="258"/>
      <c r="EL23" s="258"/>
      <c r="EM23" s="258"/>
      <c r="EN23" s="258"/>
      <c r="EO23" s="258"/>
      <c r="EP23" s="258"/>
      <c r="EQ23" s="258"/>
      <c r="ER23" s="258"/>
      <c r="ES23" s="258"/>
      <c r="ET23" s="258"/>
      <c r="EU23" s="258"/>
      <c r="EV23" s="258"/>
      <c r="EW23" s="258"/>
      <c r="EX23" s="258"/>
      <c r="EY23" s="258"/>
      <c r="EZ23" s="258"/>
      <c r="FA23" s="258"/>
      <c r="FB23" s="258"/>
      <c r="FC23" s="258"/>
      <c r="FD23" s="258"/>
      <c r="FE23" s="258"/>
      <c r="FF23" s="258"/>
      <c r="FG23" s="258"/>
      <c r="FH23" s="258"/>
      <c r="FI23" s="258"/>
      <c r="FJ23" s="258"/>
      <c r="FK23" s="258"/>
      <c r="FL23" s="258"/>
      <c r="FM23" s="258"/>
      <c r="FN23" s="258"/>
      <c r="FO23" s="258"/>
      <c r="FP23" s="258"/>
      <c r="FQ23" s="258"/>
      <c r="FR23" s="258"/>
      <c r="FS23" s="258"/>
      <c r="FT23" s="258"/>
      <c r="FU23" s="258"/>
      <c r="FV23" s="258"/>
      <c r="FW23" s="258"/>
      <c r="FX23" s="258"/>
      <c r="FY23" s="258"/>
      <c r="FZ23" s="258"/>
      <c r="GA23" s="258"/>
      <c r="GB23" s="258"/>
      <c r="GC23" s="258"/>
      <c r="GD23" s="258"/>
      <c r="GE23" s="258"/>
      <c r="GF23" s="258"/>
      <c r="GG23" s="258"/>
      <c r="GH23" s="258"/>
      <c r="GI23" s="258"/>
      <c r="GJ23" s="258"/>
      <c r="GK23" s="258"/>
      <c r="GL23" s="258"/>
      <c r="GM23" s="258"/>
      <c r="GN23" s="258"/>
      <c r="GO23" s="258"/>
      <c r="GP23" s="258"/>
      <c r="GQ23" s="258"/>
      <c r="GR23" s="258"/>
      <c r="GS23" s="258"/>
      <c r="GT23" s="258"/>
      <c r="GU23" s="258"/>
      <c r="GV23" s="258"/>
      <c r="GW23" s="258"/>
      <c r="GX23" s="258"/>
      <c r="GY23" s="258"/>
      <c r="GZ23" s="258"/>
      <c r="HA23" s="258"/>
      <c r="HB23" s="258"/>
      <c r="HC23" s="258"/>
      <c r="HD23" s="258"/>
      <c r="HE23" s="258"/>
      <c r="HF23" s="258"/>
      <c r="HG23" s="258"/>
      <c r="HH23" s="258"/>
      <c r="HI23" s="258"/>
      <c r="HJ23" s="258"/>
      <c r="HK23" s="258"/>
      <c r="HL23" s="258"/>
      <c r="HM23" s="258"/>
      <c r="HN23" s="258"/>
      <c r="HO23" s="258"/>
      <c r="HP23" s="258"/>
      <c r="HQ23" s="258"/>
      <c r="HR23" s="258"/>
      <c r="HS23" s="258"/>
      <c r="HT23" s="258"/>
      <c r="HU23" s="258"/>
      <c r="HV23" s="258"/>
      <c r="HW23" s="258"/>
      <c r="HX23" s="258"/>
      <c r="HY23" s="258"/>
      <c r="HZ23" s="258"/>
      <c r="IA23" s="258"/>
      <c r="IB23" s="258"/>
      <c r="IC23" s="258"/>
      <c r="ID23" s="258"/>
      <c r="IE23" s="258"/>
      <c r="IF23" s="258"/>
      <c r="IG23" s="258"/>
      <c r="IH23" s="258"/>
      <c r="II23" s="258"/>
      <c r="IJ23" s="258"/>
      <c r="IK23" s="258"/>
      <c r="IL23" s="258"/>
      <c r="IM23" s="258"/>
      <c r="IN23" s="258"/>
      <c r="IO23" s="258"/>
      <c r="IP23" s="258"/>
      <c r="IQ23" s="258"/>
    </row>
    <row r="24" spans="1:251" s="261" customFormat="1" ht="19.899999999999999" customHeight="1" thickBot="1">
      <c r="A24" s="307" t="s">
        <v>459</v>
      </c>
      <c r="B24" s="268">
        <v>41.3</v>
      </c>
      <c r="C24" s="268">
        <v>17.2</v>
      </c>
      <c r="D24" s="268">
        <v>28.5</v>
      </c>
      <c r="E24" s="268">
        <v>39.199999999999996</v>
      </c>
      <c r="F24" s="268">
        <v>52.2</v>
      </c>
      <c r="G24" s="268">
        <v>55.5</v>
      </c>
      <c r="H24" s="268">
        <v>65.400000000000006</v>
      </c>
      <c r="I24" s="268">
        <v>80.400000000000006</v>
      </c>
      <c r="J24" s="268">
        <v>68.8</v>
      </c>
      <c r="K24" s="268">
        <v>78.5</v>
      </c>
      <c r="L24" s="268">
        <v>90.5</v>
      </c>
      <c r="M24" s="268">
        <v>95.5</v>
      </c>
      <c r="N24" s="268">
        <v>137.30000000000001</v>
      </c>
      <c r="O24" s="268">
        <v>133.69999999999999</v>
      </c>
      <c r="P24" s="268">
        <v>152.1</v>
      </c>
      <c r="Q24" s="268">
        <v>171.1</v>
      </c>
      <c r="R24" s="268">
        <v>177</v>
      </c>
      <c r="S24" s="268">
        <v>194.4</v>
      </c>
      <c r="T24" s="268">
        <v>215.38</v>
      </c>
      <c r="U24" s="268">
        <v>223.2</v>
      </c>
      <c r="V24" s="268">
        <v>222.10000000000002</v>
      </c>
      <c r="W24" s="268">
        <v>224.7</v>
      </c>
      <c r="X24" s="268">
        <v>273.31</v>
      </c>
      <c r="Y24" s="268">
        <v>280.255</v>
      </c>
      <c r="Z24" s="268">
        <v>288.3</v>
      </c>
      <c r="AA24" s="268">
        <v>283.43</v>
      </c>
      <c r="AB24" s="265">
        <v>286.05</v>
      </c>
      <c r="AC24" s="265">
        <v>312.65700000000004</v>
      </c>
      <c r="AD24" s="265">
        <v>327.31993393999994</v>
      </c>
      <c r="AE24" s="265">
        <v>362.12944282999996</v>
      </c>
      <c r="AF24" s="265">
        <v>392.79931060450963</v>
      </c>
      <c r="AG24" s="265">
        <v>422.49130686466617</v>
      </c>
      <c r="AH24" s="266">
        <v>453.44</v>
      </c>
      <c r="AI24" s="265">
        <v>461.1</v>
      </c>
      <c r="AJ24" s="344">
        <v>463.701482</v>
      </c>
      <c r="AK24" s="344">
        <v>493.745298913071</v>
      </c>
      <c r="AL24" s="343">
        <v>494.55773803480281</v>
      </c>
      <c r="AM24" s="342">
        <v>461.30679294378785</v>
      </c>
      <c r="AN24" s="262">
        <f>SUM(B24:AM24)</f>
        <v>8620.5733061308383</v>
      </c>
      <c r="AO24" s="258"/>
      <c r="AP24" s="258"/>
      <c r="AQ24" s="258"/>
      <c r="AR24" s="258"/>
      <c r="AS24" s="258"/>
      <c r="AT24" s="258"/>
      <c r="AU24" s="258"/>
      <c r="AV24" s="258"/>
      <c r="AW24" s="258"/>
      <c r="AX24" s="258"/>
      <c r="AY24" s="258"/>
      <c r="AZ24" s="258"/>
      <c r="BA24" s="258"/>
      <c r="BB24" s="258"/>
      <c r="BC24" s="258"/>
      <c r="BD24" s="258"/>
      <c r="BE24" s="258"/>
      <c r="BF24" s="258"/>
      <c r="BG24" s="258"/>
      <c r="BH24" s="258"/>
      <c r="BI24" s="258"/>
      <c r="BJ24" s="258"/>
      <c r="BK24" s="258"/>
      <c r="BL24" s="258"/>
      <c r="BM24" s="258"/>
      <c r="BN24" s="258"/>
      <c r="BO24" s="258"/>
      <c r="BP24" s="258"/>
      <c r="BQ24" s="258"/>
      <c r="BR24" s="258"/>
      <c r="BS24" s="258"/>
      <c r="BT24" s="258"/>
      <c r="BU24" s="258"/>
      <c r="BV24" s="258"/>
      <c r="BW24" s="258"/>
      <c r="BX24" s="258"/>
      <c r="BY24" s="258"/>
      <c r="BZ24" s="258"/>
      <c r="CA24" s="258"/>
      <c r="CB24" s="258"/>
      <c r="CC24" s="258"/>
      <c r="CD24" s="258"/>
      <c r="CE24" s="258"/>
      <c r="CF24" s="258"/>
      <c r="CG24" s="258"/>
      <c r="CH24" s="258"/>
      <c r="CI24" s="258"/>
      <c r="CJ24" s="258"/>
      <c r="CK24" s="258"/>
      <c r="CL24" s="258"/>
      <c r="CM24" s="258"/>
      <c r="CN24" s="258"/>
      <c r="CO24" s="258"/>
      <c r="CP24" s="258"/>
      <c r="CQ24" s="258"/>
      <c r="CR24" s="258"/>
      <c r="CS24" s="258"/>
      <c r="CT24" s="258"/>
      <c r="CU24" s="258"/>
      <c r="CV24" s="258"/>
      <c r="CW24" s="258"/>
      <c r="CX24" s="258"/>
      <c r="CY24" s="258"/>
      <c r="CZ24" s="258"/>
      <c r="DA24" s="258"/>
      <c r="DB24" s="258"/>
      <c r="DC24" s="258"/>
      <c r="DD24" s="258"/>
      <c r="DE24" s="258"/>
      <c r="DF24" s="258"/>
      <c r="DG24" s="258"/>
      <c r="DH24" s="258"/>
      <c r="DI24" s="258"/>
      <c r="DJ24" s="258"/>
      <c r="DK24" s="258"/>
      <c r="DL24" s="258"/>
      <c r="DM24" s="258"/>
      <c r="DN24" s="258"/>
      <c r="DO24" s="258"/>
      <c r="DP24" s="258"/>
      <c r="DQ24" s="258"/>
      <c r="DR24" s="258"/>
      <c r="DS24" s="258"/>
      <c r="DT24" s="258"/>
      <c r="DU24" s="258"/>
      <c r="DV24" s="258"/>
      <c r="DW24" s="258"/>
      <c r="DX24" s="258"/>
      <c r="DY24" s="258"/>
      <c r="DZ24" s="258"/>
      <c r="EA24" s="258"/>
      <c r="EB24" s="258"/>
      <c r="EC24" s="258"/>
      <c r="ED24" s="258"/>
      <c r="EE24" s="258"/>
      <c r="EF24" s="258"/>
      <c r="EG24" s="258"/>
      <c r="EH24" s="258"/>
      <c r="EI24" s="258"/>
      <c r="EJ24" s="258"/>
      <c r="EK24" s="258"/>
      <c r="EL24" s="258"/>
      <c r="EM24" s="258"/>
      <c r="EN24" s="258"/>
      <c r="EO24" s="258"/>
      <c r="EP24" s="258"/>
      <c r="EQ24" s="258"/>
      <c r="ER24" s="258"/>
      <c r="ES24" s="258"/>
      <c r="ET24" s="258"/>
      <c r="EU24" s="258"/>
      <c r="EV24" s="258"/>
      <c r="EW24" s="258"/>
      <c r="EX24" s="258"/>
      <c r="EY24" s="258"/>
      <c r="EZ24" s="258"/>
      <c r="FA24" s="258"/>
      <c r="FB24" s="258"/>
      <c r="FC24" s="258"/>
      <c r="FD24" s="258"/>
      <c r="FE24" s="258"/>
      <c r="FF24" s="258"/>
      <c r="FG24" s="258"/>
      <c r="FH24" s="258"/>
      <c r="FI24" s="258"/>
      <c r="FJ24" s="258"/>
      <c r="FK24" s="258"/>
      <c r="FL24" s="258"/>
      <c r="FM24" s="258"/>
      <c r="FN24" s="258"/>
      <c r="FO24" s="258"/>
      <c r="FP24" s="258"/>
      <c r="FQ24" s="258"/>
      <c r="FR24" s="258"/>
      <c r="FS24" s="258"/>
      <c r="FT24" s="258"/>
      <c r="FU24" s="258"/>
      <c r="FV24" s="258"/>
      <c r="FW24" s="258"/>
      <c r="FX24" s="258"/>
      <c r="FY24" s="258"/>
      <c r="FZ24" s="258"/>
      <c r="GA24" s="258"/>
      <c r="GB24" s="258"/>
      <c r="GC24" s="258"/>
      <c r="GD24" s="258"/>
      <c r="GE24" s="258"/>
      <c r="GF24" s="258"/>
      <c r="GG24" s="258"/>
      <c r="GH24" s="258"/>
      <c r="GI24" s="258"/>
      <c r="GJ24" s="258"/>
      <c r="GK24" s="258"/>
      <c r="GL24" s="258"/>
      <c r="GM24" s="258"/>
      <c r="GN24" s="258"/>
      <c r="GO24" s="258"/>
      <c r="GP24" s="258"/>
      <c r="GQ24" s="258"/>
      <c r="GR24" s="258"/>
      <c r="GS24" s="258"/>
      <c r="GT24" s="258"/>
      <c r="GU24" s="258"/>
      <c r="GV24" s="258"/>
      <c r="GW24" s="258"/>
      <c r="GX24" s="258"/>
      <c r="GY24" s="258"/>
      <c r="GZ24" s="258"/>
      <c r="HA24" s="258"/>
      <c r="HB24" s="258"/>
      <c r="HC24" s="258"/>
      <c r="HD24" s="258"/>
      <c r="HE24" s="258"/>
      <c r="HF24" s="258"/>
      <c r="HG24" s="258"/>
      <c r="HH24" s="258"/>
      <c r="HI24" s="258"/>
      <c r="HJ24" s="258"/>
      <c r="HK24" s="258"/>
      <c r="HL24" s="258"/>
      <c r="HM24" s="258"/>
      <c r="HN24" s="258"/>
      <c r="HO24" s="258"/>
      <c r="HP24" s="258"/>
      <c r="HQ24" s="258"/>
      <c r="HR24" s="258"/>
      <c r="HS24" s="258"/>
      <c r="HT24" s="258"/>
      <c r="HU24" s="258"/>
      <c r="HV24" s="258"/>
      <c r="HW24" s="258"/>
      <c r="HX24" s="258"/>
      <c r="HY24" s="258"/>
      <c r="HZ24" s="258"/>
      <c r="IA24" s="258"/>
      <c r="IB24" s="258"/>
      <c r="IC24" s="258"/>
      <c r="ID24" s="258"/>
      <c r="IE24" s="258"/>
      <c r="IF24" s="258"/>
      <c r="IG24" s="258"/>
      <c r="IH24" s="258"/>
      <c r="II24" s="258"/>
      <c r="IJ24" s="258"/>
      <c r="IK24" s="258"/>
      <c r="IL24" s="258"/>
      <c r="IM24" s="258"/>
      <c r="IN24" s="258"/>
      <c r="IO24" s="258"/>
      <c r="IP24" s="258"/>
      <c r="IQ24" s="258"/>
    </row>
    <row r="25" spans="1:251" s="261" customFormat="1" ht="19.899999999999999" customHeight="1">
      <c r="A25" s="341" t="s">
        <v>458</v>
      </c>
      <c r="B25" s="340">
        <v>0</v>
      </c>
      <c r="C25" s="340">
        <v>0</v>
      </c>
      <c r="D25" s="340">
        <v>0</v>
      </c>
      <c r="E25" s="340">
        <v>0</v>
      </c>
      <c r="F25" s="340">
        <v>0</v>
      </c>
      <c r="G25" s="340">
        <v>0</v>
      </c>
      <c r="H25" s="340">
        <v>0</v>
      </c>
      <c r="I25" s="340">
        <v>0</v>
      </c>
      <c r="J25" s="340">
        <v>0</v>
      </c>
      <c r="K25" s="340">
        <v>0</v>
      </c>
      <c r="L25" s="340">
        <v>0</v>
      </c>
      <c r="M25" s="340">
        <v>0</v>
      </c>
      <c r="N25" s="340">
        <v>0</v>
      </c>
      <c r="O25" s="340">
        <v>0</v>
      </c>
      <c r="P25" s="340">
        <v>0</v>
      </c>
      <c r="Q25" s="339"/>
      <c r="R25" s="340"/>
      <c r="S25" s="340"/>
      <c r="T25" s="340"/>
      <c r="U25" s="340"/>
      <c r="V25" s="339"/>
      <c r="W25" s="339"/>
      <c r="X25" s="339"/>
      <c r="Y25" s="339"/>
      <c r="Z25" s="339"/>
      <c r="AA25" s="339"/>
      <c r="AB25" s="296"/>
      <c r="AC25" s="337"/>
      <c r="AD25" s="337"/>
      <c r="AE25" s="337"/>
      <c r="AF25" s="337"/>
      <c r="AG25" s="337"/>
      <c r="AH25" s="338"/>
      <c r="AI25" s="337"/>
      <c r="AJ25" s="336"/>
      <c r="AK25" s="336"/>
      <c r="AL25" s="335"/>
      <c r="AM25" s="334"/>
      <c r="AN25" s="333"/>
      <c r="AO25" s="258"/>
      <c r="AP25" s="258"/>
      <c r="AQ25" s="258"/>
      <c r="AR25" s="258"/>
      <c r="AS25" s="258"/>
      <c r="AT25" s="258"/>
      <c r="AU25" s="258"/>
      <c r="AV25" s="258"/>
      <c r="AW25" s="258"/>
      <c r="AX25" s="258"/>
      <c r="AY25" s="258"/>
      <c r="AZ25" s="258"/>
      <c r="BA25" s="258"/>
      <c r="BB25" s="258"/>
      <c r="BC25" s="258"/>
      <c r="BD25" s="258"/>
      <c r="BE25" s="258"/>
      <c r="BF25" s="258"/>
      <c r="BG25" s="258"/>
      <c r="BH25" s="258"/>
      <c r="BI25" s="258"/>
      <c r="BJ25" s="258"/>
      <c r="BK25" s="258"/>
      <c r="BL25" s="258"/>
      <c r="BM25" s="258"/>
      <c r="BN25" s="258"/>
      <c r="BO25" s="258"/>
      <c r="BP25" s="258"/>
      <c r="BQ25" s="258"/>
      <c r="BR25" s="258"/>
      <c r="BS25" s="258"/>
      <c r="BT25" s="258"/>
      <c r="BU25" s="258"/>
      <c r="BV25" s="258"/>
      <c r="BW25" s="258"/>
      <c r="BX25" s="258"/>
      <c r="BY25" s="258"/>
      <c r="BZ25" s="258"/>
      <c r="CA25" s="258"/>
      <c r="CB25" s="258"/>
      <c r="CC25" s="258"/>
      <c r="CD25" s="258"/>
      <c r="CE25" s="258"/>
      <c r="CF25" s="258"/>
      <c r="CG25" s="258"/>
      <c r="CH25" s="258"/>
      <c r="CI25" s="258"/>
      <c r="CJ25" s="258"/>
      <c r="CK25" s="258"/>
      <c r="CL25" s="258"/>
      <c r="CM25" s="258"/>
      <c r="CN25" s="258"/>
      <c r="CO25" s="258"/>
      <c r="CP25" s="258"/>
      <c r="CQ25" s="258"/>
      <c r="CR25" s="258"/>
      <c r="CS25" s="258"/>
      <c r="CT25" s="258"/>
      <c r="CU25" s="258"/>
      <c r="CV25" s="258"/>
      <c r="CW25" s="258"/>
      <c r="CX25" s="258"/>
      <c r="CY25" s="258"/>
      <c r="CZ25" s="258"/>
      <c r="DA25" s="258"/>
      <c r="DB25" s="258"/>
      <c r="DC25" s="258"/>
      <c r="DD25" s="258"/>
      <c r="DE25" s="258"/>
      <c r="DF25" s="258"/>
      <c r="DG25" s="258"/>
      <c r="DH25" s="258"/>
      <c r="DI25" s="258"/>
      <c r="DJ25" s="258"/>
      <c r="DK25" s="258"/>
      <c r="DL25" s="258"/>
      <c r="DM25" s="258"/>
      <c r="DN25" s="258"/>
      <c r="DO25" s="258"/>
      <c r="DP25" s="258"/>
      <c r="DQ25" s="258"/>
      <c r="DR25" s="258"/>
      <c r="DS25" s="258"/>
      <c r="DT25" s="258"/>
      <c r="DU25" s="258"/>
      <c r="DV25" s="258"/>
      <c r="DW25" s="258"/>
      <c r="DX25" s="258"/>
      <c r="DY25" s="258"/>
      <c r="DZ25" s="258"/>
      <c r="EA25" s="258"/>
      <c r="EB25" s="258"/>
      <c r="EC25" s="258"/>
      <c r="ED25" s="258"/>
      <c r="EE25" s="258"/>
      <c r="EF25" s="258"/>
      <c r="EG25" s="258"/>
      <c r="EH25" s="258"/>
      <c r="EI25" s="258"/>
      <c r="EJ25" s="258"/>
      <c r="EK25" s="258"/>
      <c r="EL25" s="258"/>
      <c r="EM25" s="258"/>
      <c r="EN25" s="258"/>
      <c r="EO25" s="258"/>
      <c r="EP25" s="258"/>
      <c r="EQ25" s="258"/>
      <c r="ER25" s="258"/>
      <c r="ES25" s="258"/>
      <c r="ET25" s="258"/>
      <c r="EU25" s="258"/>
      <c r="EV25" s="258"/>
      <c r="EW25" s="258"/>
      <c r="EX25" s="258"/>
      <c r="EY25" s="258"/>
      <c r="EZ25" s="258"/>
      <c r="FA25" s="258"/>
      <c r="FB25" s="258"/>
      <c r="FC25" s="258"/>
      <c r="FD25" s="258"/>
      <c r="FE25" s="258"/>
      <c r="FF25" s="258"/>
      <c r="FG25" s="258"/>
      <c r="FH25" s="258"/>
      <c r="FI25" s="258"/>
      <c r="FJ25" s="258"/>
      <c r="FK25" s="258"/>
      <c r="FL25" s="258"/>
      <c r="FM25" s="258"/>
      <c r="FN25" s="258"/>
      <c r="FO25" s="258"/>
      <c r="FP25" s="258"/>
      <c r="FQ25" s="258"/>
      <c r="FR25" s="258"/>
      <c r="FS25" s="258"/>
      <c r="FT25" s="258"/>
      <c r="FU25" s="258"/>
      <c r="FV25" s="258"/>
      <c r="FW25" s="258"/>
      <c r="FX25" s="258"/>
      <c r="FY25" s="258"/>
      <c r="FZ25" s="258"/>
      <c r="GA25" s="258"/>
      <c r="GB25" s="258"/>
      <c r="GC25" s="258"/>
      <c r="GD25" s="258"/>
      <c r="GE25" s="258"/>
      <c r="GF25" s="258"/>
      <c r="GG25" s="258"/>
      <c r="GH25" s="258"/>
      <c r="GI25" s="258"/>
      <c r="GJ25" s="258"/>
      <c r="GK25" s="258"/>
      <c r="GL25" s="258"/>
      <c r="GM25" s="258"/>
      <c r="GN25" s="258"/>
      <c r="GO25" s="258"/>
      <c r="GP25" s="258"/>
      <c r="GQ25" s="258"/>
      <c r="GR25" s="258"/>
      <c r="GS25" s="258"/>
      <c r="GT25" s="258"/>
      <c r="GU25" s="258"/>
      <c r="GV25" s="258"/>
      <c r="GW25" s="258"/>
      <c r="GX25" s="258"/>
      <c r="GY25" s="258"/>
      <c r="GZ25" s="258"/>
      <c r="HA25" s="258"/>
      <c r="HB25" s="258"/>
      <c r="HC25" s="258"/>
      <c r="HD25" s="258"/>
      <c r="HE25" s="258"/>
      <c r="HF25" s="258"/>
      <c r="HG25" s="258"/>
      <c r="HH25" s="258"/>
      <c r="HI25" s="258"/>
      <c r="HJ25" s="258"/>
      <c r="HK25" s="258"/>
      <c r="HL25" s="258"/>
      <c r="HM25" s="258"/>
      <c r="HN25" s="258"/>
      <c r="HO25" s="258"/>
      <c r="HP25" s="258"/>
      <c r="HQ25" s="258"/>
      <c r="HR25" s="258"/>
      <c r="HS25" s="258"/>
      <c r="HT25" s="258"/>
      <c r="HU25" s="258"/>
      <c r="HV25" s="258"/>
      <c r="HW25" s="258"/>
      <c r="HX25" s="258"/>
      <c r="HY25" s="258"/>
      <c r="HZ25" s="258"/>
      <c r="IA25" s="258"/>
      <c r="IB25" s="258"/>
      <c r="IC25" s="258"/>
      <c r="ID25" s="258"/>
      <c r="IE25" s="258"/>
      <c r="IF25" s="258"/>
      <c r="IG25" s="258"/>
      <c r="IH25" s="258"/>
      <c r="II25" s="258"/>
      <c r="IJ25" s="258"/>
      <c r="IK25" s="258"/>
      <c r="IL25" s="258"/>
      <c r="IM25" s="258"/>
      <c r="IN25" s="258"/>
      <c r="IO25" s="258"/>
      <c r="IP25" s="258"/>
      <c r="IQ25" s="258"/>
    </row>
    <row r="26" spans="1:251" s="261" customFormat="1" ht="19.899999999999999" customHeight="1">
      <c r="A26" s="326" t="s">
        <v>457</v>
      </c>
      <c r="B26" s="288">
        <v>0</v>
      </c>
      <c r="C26" s="288">
        <v>3</v>
      </c>
      <c r="D26" s="288">
        <v>14</v>
      </c>
      <c r="E26" s="288">
        <v>1</v>
      </c>
      <c r="F26" s="288">
        <v>8</v>
      </c>
      <c r="G26" s="288">
        <v>27</v>
      </c>
      <c r="H26" s="288">
        <v>19</v>
      </c>
      <c r="I26" s="288">
        <v>9</v>
      </c>
      <c r="J26" s="288">
        <v>10</v>
      </c>
      <c r="K26" s="288">
        <v>15</v>
      </c>
      <c r="L26" s="288">
        <v>15</v>
      </c>
      <c r="M26" s="288">
        <v>15</v>
      </c>
      <c r="N26" s="288">
        <v>23</v>
      </c>
      <c r="O26" s="288">
        <v>45</v>
      </c>
      <c r="P26" s="288">
        <v>62</v>
      </c>
      <c r="Q26" s="287">
        <v>7.1</v>
      </c>
      <c r="R26" s="288">
        <v>81.7</v>
      </c>
      <c r="S26" s="288">
        <v>107.8</v>
      </c>
      <c r="T26" s="288">
        <v>116.5</v>
      </c>
      <c r="U26" s="288">
        <v>197.8</v>
      </c>
      <c r="V26" s="287">
        <v>193.1</v>
      </c>
      <c r="W26" s="287">
        <v>115.9</v>
      </c>
      <c r="X26" s="287">
        <v>12.6</v>
      </c>
      <c r="Y26" s="287">
        <v>79.2</v>
      </c>
      <c r="Z26" s="287">
        <v>21.7</v>
      </c>
      <c r="AA26" s="287">
        <v>182.1</v>
      </c>
      <c r="AB26" s="286">
        <v>397.43809968000011</v>
      </c>
      <c r="AC26" s="284">
        <v>282.625</v>
      </c>
      <c r="AD26" s="284">
        <v>273.51942685714278</v>
      </c>
      <c r="AE26" s="284">
        <v>142.81399999999999</v>
      </c>
      <c r="AF26" s="284">
        <v>99.430963576774104</v>
      </c>
      <c r="AG26" s="284">
        <v>156.68200350000001</v>
      </c>
      <c r="AH26" s="332">
        <v>152.19999999999999</v>
      </c>
      <c r="AI26" s="331">
        <v>135.50800000000001</v>
      </c>
      <c r="AJ26" s="330">
        <v>122.74434447903229</v>
      </c>
      <c r="AK26" s="330">
        <v>195.79544710838707</v>
      </c>
      <c r="AL26" s="329">
        <v>76.641885441290313</v>
      </c>
      <c r="AM26" s="328">
        <v>9.6</v>
      </c>
      <c r="AN26" s="327">
        <f>SUM(B26:AM26)</f>
        <v>3426.4991706426263</v>
      </c>
      <c r="AO26" s="258"/>
      <c r="AP26" s="258"/>
      <c r="AQ26" s="258"/>
      <c r="AR26" s="258"/>
      <c r="AS26" s="258"/>
      <c r="AT26" s="258"/>
      <c r="AU26" s="258"/>
      <c r="AV26" s="258"/>
      <c r="AW26" s="258"/>
      <c r="AX26" s="258"/>
      <c r="AY26" s="258"/>
      <c r="AZ26" s="258"/>
      <c r="BA26" s="258"/>
      <c r="BB26" s="258"/>
      <c r="BC26" s="258"/>
      <c r="BD26" s="258"/>
      <c r="BE26" s="258"/>
      <c r="BF26" s="258"/>
      <c r="BG26" s="258"/>
      <c r="BH26" s="258"/>
      <c r="BI26" s="258"/>
      <c r="BJ26" s="258"/>
      <c r="BK26" s="258"/>
      <c r="BL26" s="258"/>
      <c r="BM26" s="258"/>
      <c r="BN26" s="258"/>
      <c r="BO26" s="258"/>
      <c r="BP26" s="258"/>
      <c r="BQ26" s="258"/>
      <c r="BR26" s="258"/>
      <c r="BS26" s="258"/>
      <c r="BT26" s="258"/>
      <c r="BU26" s="258"/>
      <c r="BV26" s="258"/>
      <c r="BW26" s="258"/>
      <c r="BX26" s="258"/>
      <c r="BY26" s="258"/>
      <c r="BZ26" s="258"/>
      <c r="CA26" s="258"/>
      <c r="CB26" s="258"/>
      <c r="CC26" s="258"/>
      <c r="CD26" s="258"/>
      <c r="CE26" s="258"/>
      <c r="CF26" s="258"/>
      <c r="CG26" s="258"/>
      <c r="CH26" s="258"/>
      <c r="CI26" s="258"/>
      <c r="CJ26" s="258"/>
      <c r="CK26" s="258"/>
      <c r="CL26" s="258"/>
      <c r="CM26" s="258"/>
      <c r="CN26" s="258"/>
      <c r="CO26" s="258"/>
      <c r="CP26" s="258"/>
      <c r="CQ26" s="258"/>
      <c r="CR26" s="258"/>
      <c r="CS26" s="258"/>
      <c r="CT26" s="258"/>
      <c r="CU26" s="258"/>
      <c r="CV26" s="258"/>
      <c r="CW26" s="258"/>
      <c r="CX26" s="258"/>
      <c r="CY26" s="258"/>
      <c r="CZ26" s="258"/>
      <c r="DA26" s="258"/>
      <c r="DB26" s="258"/>
      <c r="DC26" s="258"/>
      <c r="DD26" s="258"/>
      <c r="DE26" s="258"/>
      <c r="DF26" s="258"/>
      <c r="DG26" s="258"/>
      <c r="DH26" s="258"/>
      <c r="DI26" s="258"/>
      <c r="DJ26" s="258"/>
      <c r="DK26" s="258"/>
      <c r="DL26" s="258"/>
      <c r="DM26" s="258"/>
      <c r="DN26" s="258"/>
      <c r="DO26" s="258"/>
      <c r="DP26" s="258"/>
      <c r="DQ26" s="258"/>
      <c r="DR26" s="258"/>
      <c r="DS26" s="258"/>
      <c r="DT26" s="258"/>
      <c r="DU26" s="258"/>
      <c r="DV26" s="258"/>
      <c r="DW26" s="258"/>
      <c r="DX26" s="258"/>
      <c r="DY26" s="258"/>
      <c r="DZ26" s="258"/>
      <c r="EA26" s="258"/>
      <c r="EB26" s="258"/>
      <c r="EC26" s="258"/>
      <c r="ED26" s="258"/>
      <c r="EE26" s="258"/>
      <c r="EF26" s="258"/>
      <c r="EG26" s="258"/>
      <c r="EH26" s="258"/>
      <c r="EI26" s="258"/>
      <c r="EJ26" s="258"/>
      <c r="EK26" s="258"/>
      <c r="EL26" s="258"/>
      <c r="EM26" s="258"/>
      <c r="EN26" s="258"/>
      <c r="EO26" s="258"/>
      <c r="EP26" s="258"/>
      <c r="EQ26" s="258"/>
      <c r="ER26" s="258"/>
      <c r="ES26" s="258"/>
      <c r="ET26" s="258"/>
      <c r="EU26" s="258"/>
      <c r="EV26" s="258"/>
      <c r="EW26" s="258"/>
      <c r="EX26" s="258"/>
      <c r="EY26" s="258"/>
      <c r="EZ26" s="258"/>
      <c r="FA26" s="258"/>
      <c r="FB26" s="258"/>
      <c r="FC26" s="258"/>
      <c r="FD26" s="258"/>
      <c r="FE26" s="258"/>
      <c r="FF26" s="258"/>
      <c r="FG26" s="258"/>
      <c r="FH26" s="258"/>
      <c r="FI26" s="258"/>
      <c r="FJ26" s="258"/>
      <c r="FK26" s="258"/>
      <c r="FL26" s="258"/>
      <c r="FM26" s="258"/>
      <c r="FN26" s="258"/>
      <c r="FO26" s="258"/>
      <c r="FP26" s="258"/>
      <c r="FQ26" s="258"/>
      <c r="FR26" s="258"/>
      <c r="FS26" s="258"/>
      <c r="FT26" s="258"/>
      <c r="FU26" s="258"/>
      <c r="FV26" s="258"/>
      <c r="FW26" s="258"/>
      <c r="FX26" s="258"/>
      <c r="FY26" s="258"/>
      <c r="FZ26" s="258"/>
      <c r="GA26" s="258"/>
      <c r="GB26" s="258"/>
      <c r="GC26" s="258"/>
      <c r="GD26" s="258"/>
      <c r="GE26" s="258"/>
      <c r="GF26" s="258"/>
      <c r="GG26" s="258"/>
      <c r="GH26" s="258"/>
      <c r="GI26" s="258"/>
      <c r="GJ26" s="258"/>
      <c r="GK26" s="258"/>
      <c r="GL26" s="258"/>
      <c r="GM26" s="258"/>
      <c r="GN26" s="258"/>
      <c r="GO26" s="258"/>
      <c r="GP26" s="258"/>
      <c r="GQ26" s="258"/>
      <c r="GR26" s="258"/>
      <c r="GS26" s="258"/>
      <c r="GT26" s="258"/>
      <c r="GU26" s="258"/>
      <c r="GV26" s="258"/>
      <c r="GW26" s="258"/>
      <c r="GX26" s="258"/>
      <c r="GY26" s="258"/>
      <c r="GZ26" s="258"/>
      <c r="HA26" s="258"/>
      <c r="HB26" s="258"/>
      <c r="HC26" s="258"/>
      <c r="HD26" s="258"/>
      <c r="HE26" s="258"/>
      <c r="HF26" s="258"/>
      <c r="HG26" s="258"/>
      <c r="HH26" s="258"/>
      <c r="HI26" s="258"/>
      <c r="HJ26" s="258"/>
      <c r="HK26" s="258"/>
      <c r="HL26" s="258"/>
      <c r="HM26" s="258"/>
      <c r="HN26" s="258"/>
      <c r="HO26" s="258"/>
      <c r="HP26" s="258"/>
      <c r="HQ26" s="258"/>
      <c r="HR26" s="258"/>
      <c r="HS26" s="258"/>
      <c r="HT26" s="258"/>
      <c r="HU26" s="258"/>
      <c r="HV26" s="258"/>
      <c r="HW26" s="258"/>
      <c r="HX26" s="258"/>
      <c r="HY26" s="258"/>
      <c r="HZ26" s="258"/>
      <c r="IA26" s="258"/>
      <c r="IB26" s="258"/>
      <c r="IC26" s="258"/>
      <c r="ID26" s="258"/>
      <c r="IE26" s="258"/>
      <c r="IF26" s="258"/>
      <c r="IG26" s="258"/>
      <c r="IH26" s="258"/>
      <c r="II26" s="258"/>
      <c r="IJ26" s="258"/>
      <c r="IK26" s="258"/>
      <c r="IL26" s="258"/>
      <c r="IM26" s="258"/>
      <c r="IN26" s="258"/>
      <c r="IO26" s="258"/>
      <c r="IP26" s="258"/>
      <c r="IQ26" s="258"/>
    </row>
    <row r="27" spans="1:251" s="271" customFormat="1" ht="37.5" customHeight="1" thickBot="1">
      <c r="A27" s="326" t="s">
        <v>456</v>
      </c>
      <c r="B27" s="278">
        <v>0</v>
      </c>
      <c r="C27" s="278">
        <v>0</v>
      </c>
      <c r="D27" s="278">
        <v>0</v>
      </c>
      <c r="E27" s="278">
        <v>0</v>
      </c>
      <c r="F27" s="278">
        <v>12</v>
      </c>
      <c r="G27" s="278">
        <v>17</v>
      </c>
      <c r="H27" s="278">
        <v>74</v>
      </c>
      <c r="I27" s="278">
        <v>11</v>
      </c>
      <c r="J27" s="278">
        <v>40</v>
      </c>
      <c r="K27" s="278">
        <v>40</v>
      </c>
      <c r="L27" s="278">
        <v>40</v>
      </c>
      <c r="M27" s="278">
        <v>40</v>
      </c>
      <c r="N27" s="278">
        <v>59</v>
      </c>
      <c r="O27" s="278">
        <v>104</v>
      </c>
      <c r="P27" s="325">
        <v>111.7</v>
      </c>
      <c r="Q27" s="324">
        <v>63.5</v>
      </c>
      <c r="R27" s="325">
        <v>0</v>
      </c>
      <c r="S27" s="325">
        <v>0</v>
      </c>
      <c r="T27" s="325">
        <v>5.4</v>
      </c>
      <c r="U27" s="325">
        <v>47.6</v>
      </c>
      <c r="V27" s="324">
        <v>64.8</v>
      </c>
      <c r="W27" s="324">
        <v>1389.6</v>
      </c>
      <c r="X27" s="324">
        <v>147.80000000000001</v>
      </c>
      <c r="Y27" s="324">
        <v>171.1</v>
      </c>
      <c r="Z27" s="324">
        <v>191</v>
      </c>
      <c r="AA27" s="324">
        <v>110.8</v>
      </c>
      <c r="AB27" s="323">
        <v>168.17764031279995</v>
      </c>
      <c r="AC27" s="322">
        <v>120.69</v>
      </c>
      <c r="AD27" s="322">
        <v>274.94753118857147</v>
      </c>
      <c r="AE27" s="322">
        <v>240.31142110419358</v>
      </c>
      <c r="AF27" s="322">
        <v>310.06640616322585</v>
      </c>
      <c r="AG27" s="322">
        <v>70.690476160000003</v>
      </c>
      <c r="AH27" s="321">
        <v>38.450000000000003</v>
      </c>
      <c r="AI27" s="320">
        <v>85.804000000000002</v>
      </c>
      <c r="AJ27" s="319">
        <v>196.15177862000002</v>
      </c>
      <c r="AK27" s="319">
        <v>67.48132308645161</v>
      </c>
      <c r="AL27" s="318">
        <v>50.291036205161291</v>
      </c>
      <c r="AM27" s="317">
        <v>-20.536000000000001</v>
      </c>
      <c r="AN27" s="316">
        <f>SUM(B27:AM27)</f>
        <v>4342.8256128404046</v>
      </c>
      <c r="AO27" s="258"/>
      <c r="AP27" s="258"/>
      <c r="AQ27" s="258"/>
      <c r="AR27" s="258"/>
      <c r="AS27" s="258"/>
      <c r="AT27" s="258"/>
      <c r="AU27" s="258"/>
      <c r="AV27" s="258"/>
      <c r="AW27" s="258"/>
      <c r="AX27" s="258"/>
      <c r="AY27" s="258"/>
      <c r="AZ27" s="258"/>
      <c r="BA27" s="258"/>
      <c r="BB27" s="258"/>
      <c r="BC27" s="258"/>
      <c r="BD27" s="258"/>
      <c r="BE27" s="258"/>
      <c r="BF27" s="258"/>
      <c r="BG27" s="258"/>
      <c r="BH27" s="258"/>
      <c r="BI27" s="258"/>
      <c r="BJ27" s="258"/>
      <c r="BK27" s="258"/>
      <c r="BL27" s="258"/>
      <c r="BM27" s="258"/>
      <c r="BN27" s="258"/>
      <c r="BO27" s="258"/>
      <c r="BP27" s="258"/>
      <c r="BQ27" s="258"/>
      <c r="BR27" s="258"/>
      <c r="BS27" s="258"/>
      <c r="BT27" s="258"/>
      <c r="BU27" s="258"/>
      <c r="BV27" s="258"/>
      <c r="BW27" s="258"/>
      <c r="BX27" s="258"/>
      <c r="BY27" s="258"/>
      <c r="BZ27" s="258"/>
      <c r="CA27" s="258"/>
      <c r="CB27" s="258"/>
      <c r="CC27" s="258"/>
      <c r="CD27" s="258"/>
      <c r="CE27" s="258"/>
      <c r="CF27" s="258"/>
      <c r="CG27" s="258"/>
      <c r="CH27" s="258"/>
      <c r="CI27" s="258"/>
      <c r="CJ27" s="258"/>
      <c r="CK27" s="258"/>
      <c r="CL27" s="258"/>
      <c r="CM27" s="258"/>
      <c r="CN27" s="258"/>
      <c r="CO27" s="258"/>
      <c r="CP27" s="258"/>
      <c r="CQ27" s="258"/>
      <c r="CR27" s="258"/>
      <c r="CS27" s="258"/>
      <c r="CT27" s="258"/>
      <c r="CU27" s="258"/>
      <c r="CV27" s="258"/>
      <c r="CW27" s="258"/>
      <c r="CX27" s="258"/>
      <c r="CY27" s="258"/>
      <c r="CZ27" s="258"/>
      <c r="DA27" s="258"/>
      <c r="DB27" s="258"/>
      <c r="DC27" s="258"/>
      <c r="DD27" s="258"/>
      <c r="DE27" s="258"/>
      <c r="DF27" s="258"/>
      <c r="DG27" s="258"/>
      <c r="DH27" s="258"/>
      <c r="DI27" s="258"/>
      <c r="DJ27" s="258"/>
      <c r="DK27" s="258"/>
      <c r="DL27" s="258"/>
      <c r="DM27" s="258"/>
      <c r="DN27" s="258"/>
      <c r="DO27" s="258"/>
      <c r="DP27" s="258"/>
      <c r="DQ27" s="258"/>
      <c r="DR27" s="258"/>
      <c r="DS27" s="258"/>
      <c r="DT27" s="258"/>
      <c r="DU27" s="258"/>
      <c r="DV27" s="258"/>
      <c r="DW27" s="258"/>
      <c r="DX27" s="258"/>
      <c r="DY27" s="258"/>
      <c r="DZ27" s="258"/>
      <c r="EA27" s="258"/>
      <c r="EB27" s="258"/>
      <c r="EC27" s="258"/>
      <c r="ED27" s="258"/>
      <c r="EE27" s="258"/>
      <c r="EF27" s="258"/>
      <c r="EG27" s="258"/>
      <c r="EH27" s="258"/>
      <c r="EI27" s="258"/>
      <c r="EJ27" s="258"/>
      <c r="EK27" s="258"/>
      <c r="EL27" s="258"/>
      <c r="EM27" s="258"/>
      <c r="EN27" s="258"/>
      <c r="EO27" s="258"/>
      <c r="EP27" s="258"/>
      <c r="EQ27" s="258"/>
      <c r="ER27" s="258"/>
      <c r="ES27" s="258"/>
      <c r="ET27" s="258"/>
      <c r="EU27" s="258"/>
      <c r="EV27" s="258"/>
      <c r="EW27" s="258"/>
      <c r="EX27" s="258"/>
      <c r="EY27" s="258"/>
      <c r="EZ27" s="258"/>
      <c r="FA27" s="258"/>
      <c r="FB27" s="258"/>
      <c r="FC27" s="258"/>
      <c r="FD27" s="258"/>
      <c r="FE27" s="258"/>
      <c r="FF27" s="258"/>
      <c r="FG27" s="258"/>
      <c r="FH27" s="258"/>
      <c r="FI27" s="258"/>
      <c r="FJ27" s="258"/>
      <c r="FK27" s="258"/>
      <c r="FL27" s="258"/>
      <c r="FM27" s="258"/>
      <c r="FN27" s="258"/>
      <c r="FO27" s="258"/>
      <c r="FP27" s="258"/>
      <c r="FQ27" s="258"/>
      <c r="FR27" s="258"/>
      <c r="FS27" s="258"/>
      <c r="FT27" s="258"/>
      <c r="FU27" s="258"/>
      <c r="FV27" s="258"/>
      <c r="FW27" s="258"/>
      <c r="FX27" s="258"/>
      <c r="FY27" s="258"/>
      <c r="FZ27" s="258"/>
      <c r="GA27" s="258"/>
      <c r="GB27" s="258"/>
      <c r="GC27" s="258"/>
      <c r="GD27" s="258"/>
      <c r="GE27" s="258"/>
      <c r="GF27" s="258"/>
      <c r="GG27" s="258"/>
      <c r="GH27" s="258"/>
      <c r="GI27" s="258"/>
      <c r="GJ27" s="258"/>
      <c r="GK27" s="258"/>
      <c r="GL27" s="258"/>
      <c r="GM27" s="258"/>
      <c r="GN27" s="258"/>
      <c r="GO27" s="258"/>
      <c r="GP27" s="258"/>
      <c r="GQ27" s="258"/>
      <c r="GR27" s="258"/>
      <c r="GS27" s="258"/>
      <c r="GT27" s="258"/>
      <c r="GU27" s="258"/>
      <c r="GV27" s="258"/>
      <c r="GW27" s="258"/>
      <c r="GX27" s="258"/>
      <c r="GY27" s="258"/>
      <c r="GZ27" s="258"/>
      <c r="HA27" s="258"/>
      <c r="HB27" s="258"/>
      <c r="HC27" s="258"/>
      <c r="HD27" s="258"/>
      <c r="HE27" s="258"/>
      <c r="HF27" s="258"/>
      <c r="HG27" s="258"/>
      <c r="HH27" s="258"/>
      <c r="HI27" s="258"/>
      <c r="HJ27" s="258"/>
      <c r="HK27" s="258"/>
      <c r="HL27" s="258"/>
      <c r="HM27" s="258"/>
      <c r="HN27" s="258"/>
      <c r="HO27" s="258"/>
      <c r="HP27" s="258"/>
      <c r="HQ27" s="258"/>
      <c r="HR27" s="258"/>
      <c r="HS27" s="258"/>
      <c r="HT27" s="258"/>
      <c r="HU27" s="258"/>
      <c r="HV27" s="258"/>
      <c r="HW27" s="258"/>
      <c r="HX27" s="258"/>
      <c r="HY27" s="258"/>
      <c r="HZ27" s="258"/>
      <c r="IA27" s="258"/>
      <c r="IB27" s="258"/>
      <c r="IC27" s="258"/>
      <c r="ID27" s="258"/>
      <c r="IE27" s="258"/>
      <c r="IF27" s="258"/>
      <c r="IG27" s="258"/>
      <c r="IH27" s="258"/>
      <c r="II27" s="258"/>
      <c r="IJ27" s="258"/>
      <c r="IK27" s="258"/>
      <c r="IL27" s="258"/>
      <c r="IM27" s="258"/>
      <c r="IN27" s="258"/>
      <c r="IO27" s="258"/>
      <c r="IP27" s="258"/>
      <c r="IQ27" s="258"/>
    </row>
    <row r="28" spans="1:251" s="300" customFormat="1" ht="19.899999999999999" customHeight="1" thickTop="1" thickBot="1">
      <c r="A28" s="315" t="s">
        <v>455</v>
      </c>
      <c r="B28" s="314">
        <v>0</v>
      </c>
      <c r="C28" s="314">
        <v>3</v>
      </c>
      <c r="D28" s="314">
        <v>14</v>
      </c>
      <c r="E28" s="314">
        <v>1</v>
      </c>
      <c r="F28" s="314">
        <v>20</v>
      </c>
      <c r="G28" s="314">
        <v>44</v>
      </c>
      <c r="H28" s="314">
        <v>93</v>
      </c>
      <c r="I28" s="314">
        <v>20</v>
      </c>
      <c r="J28" s="314">
        <v>50</v>
      </c>
      <c r="K28" s="314">
        <v>55</v>
      </c>
      <c r="L28" s="314">
        <v>55</v>
      </c>
      <c r="M28" s="314">
        <v>55</v>
      </c>
      <c r="N28" s="314">
        <v>82</v>
      </c>
      <c r="O28" s="314">
        <v>149</v>
      </c>
      <c r="P28" s="314">
        <v>173.7</v>
      </c>
      <c r="Q28" s="314">
        <v>70.599999999999994</v>
      </c>
      <c r="R28" s="314">
        <v>81.7</v>
      </c>
      <c r="S28" s="314">
        <v>107.8</v>
      </c>
      <c r="T28" s="314">
        <v>121.9</v>
      </c>
      <c r="U28" s="314">
        <v>245.4</v>
      </c>
      <c r="V28" s="314">
        <v>257.89999999999998</v>
      </c>
      <c r="W28" s="314">
        <v>1505.5</v>
      </c>
      <c r="X28" s="314">
        <v>160.4</v>
      </c>
      <c r="Y28" s="314">
        <v>250.3</v>
      </c>
      <c r="Z28" s="314">
        <v>212.7</v>
      </c>
      <c r="AA28" s="314">
        <v>292.89999999999998</v>
      </c>
      <c r="AB28" s="312">
        <v>565.61573999280006</v>
      </c>
      <c r="AC28" s="312">
        <v>403.315</v>
      </c>
      <c r="AD28" s="312">
        <v>548.46695804571425</v>
      </c>
      <c r="AE28" s="312">
        <v>383.12542110419361</v>
      </c>
      <c r="AF28" s="312">
        <v>409.49736973999995</v>
      </c>
      <c r="AG28" s="312">
        <v>227.37247966000001</v>
      </c>
      <c r="AH28" s="313">
        <v>190.64999999999998</v>
      </c>
      <c r="AI28" s="312">
        <v>221.31200000000001</v>
      </c>
      <c r="AJ28" s="311">
        <v>318.89612309903231</v>
      </c>
      <c r="AK28" s="311">
        <v>263.27677019483866</v>
      </c>
      <c r="AL28" s="310">
        <v>126.9329216464516</v>
      </c>
      <c r="AM28" s="309">
        <v>-10.936000000000002</v>
      </c>
      <c r="AN28" s="308">
        <f>SUM(B28:AM28)</f>
        <v>7769.324783483029</v>
      </c>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8"/>
      <c r="BS28" s="258"/>
      <c r="BT28" s="258"/>
      <c r="BU28" s="258"/>
      <c r="BV28" s="258"/>
      <c r="BW28" s="258"/>
      <c r="BX28" s="258"/>
      <c r="BY28" s="258"/>
      <c r="BZ28" s="258"/>
      <c r="CA28" s="258"/>
      <c r="CB28" s="258"/>
      <c r="CC28" s="258"/>
      <c r="CD28" s="258"/>
      <c r="CE28" s="258"/>
      <c r="CF28" s="258"/>
      <c r="CG28" s="258"/>
      <c r="CH28" s="258"/>
      <c r="CI28" s="258"/>
      <c r="CJ28" s="258"/>
      <c r="CK28" s="258"/>
      <c r="CL28" s="258"/>
      <c r="CM28" s="258"/>
      <c r="CN28" s="258"/>
      <c r="CO28" s="258"/>
      <c r="CP28" s="258"/>
      <c r="CQ28" s="258"/>
      <c r="CR28" s="258"/>
      <c r="CS28" s="258"/>
      <c r="CT28" s="258"/>
      <c r="CU28" s="258"/>
      <c r="CV28" s="258"/>
      <c r="CW28" s="258"/>
      <c r="CX28" s="258"/>
      <c r="CY28" s="258"/>
      <c r="CZ28" s="258"/>
      <c r="DA28" s="258"/>
      <c r="DB28" s="258"/>
      <c r="DC28" s="258"/>
      <c r="DD28" s="258"/>
      <c r="DE28" s="258"/>
      <c r="DF28" s="258"/>
      <c r="DG28" s="258"/>
      <c r="DH28" s="258"/>
      <c r="DI28" s="258"/>
      <c r="DJ28" s="258"/>
      <c r="DK28" s="258"/>
      <c r="DL28" s="258"/>
      <c r="DM28" s="258"/>
      <c r="DN28" s="258"/>
      <c r="DO28" s="258"/>
      <c r="DP28" s="258"/>
      <c r="DQ28" s="258"/>
      <c r="DR28" s="258"/>
      <c r="DS28" s="258"/>
      <c r="DT28" s="258"/>
      <c r="DU28" s="258"/>
      <c r="DV28" s="258"/>
      <c r="DW28" s="258"/>
      <c r="DX28" s="258"/>
      <c r="DY28" s="258"/>
      <c r="DZ28" s="258"/>
      <c r="EA28" s="258"/>
      <c r="EB28" s="258"/>
      <c r="EC28" s="258"/>
      <c r="ED28" s="258"/>
      <c r="EE28" s="258"/>
      <c r="EF28" s="258"/>
      <c r="EG28" s="258"/>
      <c r="EH28" s="258"/>
      <c r="EI28" s="258"/>
      <c r="EJ28" s="258"/>
      <c r="EK28" s="258"/>
      <c r="EL28" s="258"/>
      <c r="EM28" s="258"/>
      <c r="EN28" s="258"/>
      <c r="EO28" s="258"/>
      <c r="EP28" s="258"/>
      <c r="EQ28" s="258"/>
      <c r="ER28" s="258"/>
      <c r="ES28" s="258"/>
      <c r="ET28" s="258"/>
      <c r="EU28" s="258"/>
      <c r="EV28" s="258"/>
      <c r="EW28" s="258"/>
      <c r="EX28" s="258"/>
      <c r="EY28" s="258"/>
      <c r="EZ28" s="258"/>
      <c r="FA28" s="258"/>
      <c r="FB28" s="258"/>
      <c r="FC28" s="258"/>
      <c r="FD28" s="258"/>
      <c r="FE28" s="258"/>
      <c r="FF28" s="258"/>
      <c r="FG28" s="258"/>
      <c r="FH28" s="258"/>
      <c r="FI28" s="258"/>
      <c r="FJ28" s="258"/>
      <c r="FK28" s="258"/>
      <c r="FL28" s="258"/>
      <c r="FM28" s="258"/>
      <c r="FN28" s="258"/>
      <c r="FO28" s="258"/>
      <c r="FP28" s="258"/>
      <c r="FQ28" s="258"/>
      <c r="FR28" s="258"/>
      <c r="FS28" s="258"/>
      <c r="FT28" s="258"/>
      <c r="FU28" s="258"/>
      <c r="FV28" s="258"/>
      <c r="FW28" s="258"/>
      <c r="FX28" s="258"/>
      <c r="FY28" s="258"/>
      <c r="FZ28" s="258"/>
      <c r="GA28" s="258"/>
      <c r="GB28" s="258"/>
      <c r="GC28" s="258"/>
      <c r="GD28" s="258"/>
      <c r="GE28" s="258"/>
      <c r="GF28" s="258"/>
      <c r="GG28" s="258"/>
      <c r="GH28" s="258"/>
      <c r="GI28" s="258"/>
      <c r="GJ28" s="258"/>
      <c r="GK28" s="258"/>
      <c r="GL28" s="258"/>
      <c r="GM28" s="258"/>
      <c r="GN28" s="258"/>
      <c r="GO28" s="258"/>
      <c r="GP28" s="258"/>
      <c r="GQ28" s="258"/>
      <c r="GR28" s="258"/>
      <c r="GS28" s="258"/>
      <c r="GT28" s="258"/>
      <c r="GU28" s="258"/>
      <c r="GV28" s="258"/>
      <c r="GW28" s="258"/>
      <c r="GX28" s="258"/>
      <c r="GY28" s="258"/>
      <c r="GZ28" s="258"/>
      <c r="HA28" s="258"/>
      <c r="HB28" s="258"/>
      <c r="HC28" s="258"/>
      <c r="HD28" s="258"/>
      <c r="HE28" s="258"/>
      <c r="HF28" s="258"/>
      <c r="HG28" s="258"/>
      <c r="HH28" s="258"/>
      <c r="HI28" s="258"/>
      <c r="HJ28" s="258"/>
      <c r="HK28" s="258"/>
      <c r="HL28" s="258"/>
      <c r="HM28" s="258"/>
      <c r="HN28" s="258"/>
      <c r="HO28" s="258"/>
      <c r="HP28" s="258"/>
      <c r="HQ28" s="258"/>
      <c r="HR28" s="258"/>
      <c r="HS28" s="258"/>
      <c r="HT28" s="258"/>
      <c r="HU28" s="258"/>
      <c r="HV28" s="258"/>
      <c r="HW28" s="258"/>
      <c r="HX28" s="258"/>
      <c r="HY28" s="258"/>
      <c r="HZ28" s="258"/>
      <c r="IA28" s="258"/>
      <c r="IB28" s="258"/>
      <c r="IC28" s="258"/>
      <c r="ID28" s="258"/>
      <c r="IE28" s="258"/>
      <c r="IF28" s="258"/>
      <c r="IG28" s="258"/>
      <c r="IH28" s="258"/>
      <c r="II28" s="258"/>
      <c r="IJ28" s="258"/>
      <c r="IK28" s="258"/>
      <c r="IL28" s="258"/>
      <c r="IM28" s="258"/>
      <c r="IN28" s="258"/>
      <c r="IO28" s="258"/>
      <c r="IP28" s="258"/>
      <c r="IQ28" s="258"/>
    </row>
    <row r="29" spans="1:251" s="300" customFormat="1" ht="19.899999999999999" customHeight="1" thickBot="1">
      <c r="A29" s="307" t="s">
        <v>454</v>
      </c>
      <c r="B29" s="268">
        <v>41.3</v>
      </c>
      <c r="C29" s="268">
        <v>20.2</v>
      </c>
      <c r="D29" s="268">
        <v>42.5</v>
      </c>
      <c r="E29" s="268">
        <v>40.199999999999996</v>
      </c>
      <c r="F29" s="268">
        <v>72.2</v>
      </c>
      <c r="G29" s="268">
        <v>99.5</v>
      </c>
      <c r="H29" s="268">
        <v>158.4</v>
      </c>
      <c r="I29" s="268">
        <v>100.4</v>
      </c>
      <c r="J29" s="268">
        <v>118.8</v>
      </c>
      <c r="K29" s="268">
        <v>133.5</v>
      </c>
      <c r="L29" s="268">
        <v>145.5</v>
      </c>
      <c r="M29" s="268">
        <v>150.5</v>
      </c>
      <c r="N29" s="268">
        <v>219.3</v>
      </c>
      <c r="O29" s="268">
        <v>282.7</v>
      </c>
      <c r="P29" s="268">
        <v>325.79999999999995</v>
      </c>
      <c r="Q29" s="268">
        <v>241.7</v>
      </c>
      <c r="R29" s="268">
        <v>258.7</v>
      </c>
      <c r="S29" s="268">
        <v>302.2</v>
      </c>
      <c r="T29" s="268">
        <v>337.28</v>
      </c>
      <c r="U29" s="268">
        <v>468.6</v>
      </c>
      <c r="V29" s="268">
        <v>480</v>
      </c>
      <c r="W29" s="268">
        <v>1730.2</v>
      </c>
      <c r="X29" s="268">
        <v>433.71000000000004</v>
      </c>
      <c r="Y29" s="268">
        <v>530.55500000000006</v>
      </c>
      <c r="Z29" s="268">
        <v>501</v>
      </c>
      <c r="AA29" s="268">
        <v>576.32999999999993</v>
      </c>
      <c r="AB29" s="265">
        <v>851.66573999280013</v>
      </c>
      <c r="AC29" s="305">
        <v>715.97199999999998</v>
      </c>
      <c r="AD29" s="305">
        <v>875.78689198571419</v>
      </c>
      <c r="AE29" s="305">
        <v>745.25486393419351</v>
      </c>
      <c r="AF29" s="305">
        <v>802.29668034450958</v>
      </c>
      <c r="AG29" s="305">
        <v>649.86378652466624</v>
      </c>
      <c r="AH29" s="306">
        <v>644.08999999999992</v>
      </c>
      <c r="AI29" s="305">
        <v>682.41200000000003</v>
      </c>
      <c r="AJ29" s="304">
        <v>782.59760509903231</v>
      </c>
      <c r="AK29" s="304">
        <v>757.0220691079096</v>
      </c>
      <c r="AL29" s="303">
        <v>621.49065968125444</v>
      </c>
      <c r="AM29" s="302">
        <v>450.37079294378788</v>
      </c>
      <c r="AN29" s="301">
        <f>SUM(B29:AM29)</f>
        <v>16389.898089613867</v>
      </c>
      <c r="AO29" s="258"/>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8"/>
      <c r="BU29" s="258"/>
      <c r="BV29" s="258"/>
      <c r="BW29" s="258"/>
      <c r="BX29" s="258"/>
      <c r="BY29" s="258"/>
      <c r="BZ29" s="258"/>
      <c r="CA29" s="258"/>
      <c r="CB29" s="258"/>
      <c r="CC29" s="258"/>
      <c r="CD29" s="258"/>
      <c r="CE29" s="258"/>
      <c r="CF29" s="258"/>
      <c r="CG29" s="258"/>
      <c r="CH29" s="258"/>
      <c r="CI29" s="258"/>
      <c r="CJ29" s="258"/>
      <c r="CK29" s="258"/>
      <c r="CL29" s="258"/>
      <c r="CM29" s="258"/>
      <c r="CN29" s="258"/>
      <c r="CO29" s="258"/>
      <c r="CP29" s="258"/>
      <c r="CQ29" s="258"/>
      <c r="CR29" s="258"/>
      <c r="CS29" s="258"/>
      <c r="CT29" s="258"/>
      <c r="CU29" s="258"/>
      <c r="CV29" s="258"/>
      <c r="CW29" s="258"/>
      <c r="CX29" s="258"/>
      <c r="CY29" s="258"/>
      <c r="CZ29" s="258"/>
      <c r="DA29" s="258"/>
      <c r="DB29" s="258"/>
      <c r="DC29" s="258"/>
      <c r="DD29" s="258"/>
      <c r="DE29" s="258"/>
      <c r="DF29" s="258"/>
      <c r="DG29" s="258"/>
      <c r="DH29" s="258"/>
      <c r="DI29" s="258"/>
      <c r="DJ29" s="258"/>
      <c r="DK29" s="258"/>
      <c r="DL29" s="258"/>
      <c r="DM29" s="258"/>
      <c r="DN29" s="258"/>
      <c r="DO29" s="258"/>
      <c r="DP29" s="258"/>
      <c r="DQ29" s="258"/>
      <c r="DR29" s="258"/>
      <c r="DS29" s="258"/>
      <c r="DT29" s="258"/>
      <c r="DU29" s="258"/>
      <c r="DV29" s="258"/>
      <c r="DW29" s="258"/>
      <c r="DX29" s="258"/>
      <c r="DY29" s="258"/>
      <c r="DZ29" s="258"/>
      <c r="EA29" s="258"/>
      <c r="EB29" s="258"/>
      <c r="EC29" s="258"/>
      <c r="ED29" s="258"/>
      <c r="EE29" s="258"/>
      <c r="EF29" s="258"/>
      <c r="EG29" s="258"/>
      <c r="EH29" s="258"/>
      <c r="EI29" s="258"/>
      <c r="EJ29" s="258"/>
      <c r="EK29" s="258"/>
      <c r="EL29" s="258"/>
      <c r="EM29" s="258"/>
      <c r="EN29" s="258"/>
      <c r="EO29" s="258"/>
      <c r="EP29" s="258"/>
      <c r="EQ29" s="258"/>
      <c r="ER29" s="258"/>
      <c r="ES29" s="258"/>
      <c r="ET29" s="258"/>
      <c r="EU29" s="258"/>
      <c r="EV29" s="258"/>
      <c r="EW29" s="258"/>
      <c r="EX29" s="258"/>
      <c r="EY29" s="258"/>
      <c r="EZ29" s="258"/>
      <c r="FA29" s="258"/>
      <c r="FB29" s="258"/>
      <c r="FC29" s="258"/>
      <c r="FD29" s="258"/>
      <c r="FE29" s="258"/>
      <c r="FF29" s="258"/>
      <c r="FG29" s="258"/>
      <c r="FH29" s="258"/>
      <c r="FI29" s="258"/>
      <c r="FJ29" s="258"/>
      <c r="FK29" s="258"/>
      <c r="FL29" s="258"/>
      <c r="FM29" s="258"/>
      <c r="FN29" s="258"/>
      <c r="FO29" s="258"/>
      <c r="FP29" s="258"/>
      <c r="FQ29" s="258"/>
      <c r="FR29" s="258"/>
      <c r="FS29" s="258"/>
      <c r="FT29" s="258"/>
      <c r="FU29" s="258"/>
      <c r="FV29" s="258"/>
      <c r="FW29" s="258"/>
      <c r="FX29" s="258"/>
      <c r="FY29" s="258"/>
      <c r="FZ29" s="258"/>
      <c r="GA29" s="258"/>
      <c r="GB29" s="258"/>
      <c r="GC29" s="258"/>
      <c r="GD29" s="258"/>
      <c r="GE29" s="258"/>
      <c r="GF29" s="258"/>
      <c r="GG29" s="258"/>
      <c r="GH29" s="258"/>
      <c r="GI29" s="258"/>
      <c r="GJ29" s="258"/>
      <c r="GK29" s="258"/>
      <c r="GL29" s="258"/>
      <c r="GM29" s="258"/>
      <c r="GN29" s="258"/>
      <c r="GO29" s="258"/>
      <c r="GP29" s="258"/>
      <c r="GQ29" s="258"/>
      <c r="GR29" s="258"/>
      <c r="GS29" s="258"/>
      <c r="GT29" s="258"/>
      <c r="GU29" s="258"/>
      <c r="GV29" s="258"/>
      <c r="GW29" s="258"/>
      <c r="GX29" s="258"/>
      <c r="GY29" s="258"/>
      <c r="GZ29" s="258"/>
      <c r="HA29" s="258"/>
      <c r="HB29" s="258"/>
      <c r="HC29" s="258"/>
      <c r="HD29" s="258"/>
      <c r="HE29" s="258"/>
      <c r="HF29" s="258"/>
      <c r="HG29" s="258"/>
      <c r="HH29" s="258"/>
      <c r="HI29" s="258"/>
      <c r="HJ29" s="258"/>
      <c r="HK29" s="258"/>
      <c r="HL29" s="258"/>
      <c r="HM29" s="258"/>
      <c r="HN29" s="258"/>
      <c r="HO29" s="258"/>
      <c r="HP29" s="258"/>
      <c r="HQ29" s="258"/>
      <c r="HR29" s="258"/>
      <c r="HS29" s="258"/>
      <c r="HT29" s="258"/>
      <c r="HU29" s="258"/>
      <c r="HV29" s="258"/>
      <c r="HW29" s="258"/>
      <c r="HX29" s="258"/>
      <c r="HY29" s="258"/>
      <c r="HZ29" s="258"/>
      <c r="IA29" s="258"/>
      <c r="IB29" s="258"/>
      <c r="IC29" s="258"/>
      <c r="ID29" s="258"/>
      <c r="IE29" s="258"/>
      <c r="IF29" s="258"/>
      <c r="IG29" s="258"/>
      <c r="IH29" s="258"/>
      <c r="II29" s="258"/>
      <c r="IJ29" s="258"/>
      <c r="IK29" s="258"/>
      <c r="IL29" s="258"/>
      <c r="IM29" s="258"/>
      <c r="IN29" s="258"/>
      <c r="IO29" s="258"/>
      <c r="IP29" s="258"/>
      <c r="IQ29" s="258"/>
    </row>
    <row r="30" spans="1:251" s="261" customFormat="1" ht="19.899999999999999" customHeight="1">
      <c r="A30" s="299" t="s">
        <v>453</v>
      </c>
      <c r="B30" s="298">
        <v>0</v>
      </c>
      <c r="C30" s="298">
        <v>0</v>
      </c>
      <c r="D30" s="298">
        <v>0</v>
      </c>
      <c r="E30" s="298">
        <v>0</v>
      </c>
      <c r="F30" s="298">
        <v>0</v>
      </c>
      <c r="G30" s="298">
        <v>0</v>
      </c>
      <c r="H30" s="298">
        <v>0</v>
      </c>
      <c r="I30" s="298">
        <v>0</v>
      </c>
      <c r="J30" s="298">
        <v>0</v>
      </c>
      <c r="K30" s="298">
        <v>0</v>
      </c>
      <c r="L30" s="298">
        <v>0</v>
      </c>
      <c r="M30" s="298">
        <v>0</v>
      </c>
      <c r="N30" s="298">
        <v>0</v>
      </c>
      <c r="O30" s="298">
        <v>0</v>
      </c>
      <c r="P30" s="298">
        <v>0</v>
      </c>
      <c r="Q30" s="297"/>
      <c r="R30" s="298"/>
      <c r="S30" s="298"/>
      <c r="T30" s="298"/>
      <c r="U30" s="298"/>
      <c r="V30" s="297"/>
      <c r="W30" s="297"/>
      <c r="X30" s="297"/>
      <c r="Y30" s="297"/>
      <c r="Z30" s="297"/>
      <c r="AA30" s="297"/>
      <c r="AB30" s="296"/>
      <c r="AC30" s="294"/>
      <c r="AD30" s="294"/>
      <c r="AE30" s="294"/>
      <c r="AF30" s="294"/>
      <c r="AG30" s="294"/>
      <c r="AH30" s="295"/>
      <c r="AI30" s="294"/>
      <c r="AJ30" s="293"/>
      <c r="AK30" s="293"/>
      <c r="AL30" s="292"/>
      <c r="AM30" s="291"/>
      <c r="AN30" s="290"/>
      <c r="AO30" s="258"/>
      <c r="AP30" s="258"/>
      <c r="AQ30" s="258"/>
      <c r="AR30" s="258"/>
      <c r="AS30" s="258"/>
      <c r="AT30" s="258"/>
      <c r="AU30" s="258"/>
      <c r="AV30" s="258"/>
      <c r="AW30" s="258"/>
      <c r="AX30" s="258"/>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58"/>
      <c r="BV30" s="258"/>
      <c r="BW30" s="258"/>
      <c r="BX30" s="258"/>
      <c r="BY30" s="258"/>
      <c r="BZ30" s="258"/>
      <c r="CA30" s="258"/>
      <c r="CB30" s="258"/>
      <c r="CC30" s="258"/>
      <c r="CD30" s="258"/>
      <c r="CE30" s="258"/>
      <c r="CF30" s="258"/>
      <c r="CG30" s="258"/>
      <c r="CH30" s="258"/>
      <c r="CI30" s="258"/>
      <c r="CJ30" s="258"/>
      <c r="CK30" s="258"/>
      <c r="CL30" s="258"/>
      <c r="CM30" s="258"/>
      <c r="CN30" s="258"/>
      <c r="CO30" s="258"/>
      <c r="CP30" s="258"/>
      <c r="CQ30" s="258"/>
      <c r="CR30" s="258"/>
      <c r="CS30" s="258"/>
      <c r="CT30" s="258"/>
      <c r="CU30" s="258"/>
      <c r="CV30" s="258"/>
      <c r="CW30" s="258"/>
      <c r="CX30" s="258"/>
      <c r="CY30" s="258"/>
      <c r="CZ30" s="258"/>
      <c r="DA30" s="258"/>
      <c r="DB30" s="258"/>
      <c r="DC30" s="258"/>
      <c r="DD30" s="258"/>
      <c r="DE30" s="258"/>
      <c r="DF30" s="258"/>
      <c r="DG30" s="258"/>
      <c r="DH30" s="258"/>
      <c r="DI30" s="258"/>
      <c r="DJ30" s="258"/>
      <c r="DK30" s="258"/>
      <c r="DL30" s="258"/>
      <c r="DM30" s="258"/>
      <c r="DN30" s="258"/>
      <c r="DO30" s="258"/>
      <c r="DP30" s="258"/>
      <c r="DQ30" s="258"/>
      <c r="DR30" s="258"/>
      <c r="DS30" s="258"/>
      <c r="DT30" s="258"/>
      <c r="DU30" s="258"/>
      <c r="DV30" s="258"/>
      <c r="DW30" s="258"/>
      <c r="DX30" s="258"/>
      <c r="DY30" s="258"/>
      <c r="DZ30" s="258"/>
      <c r="EA30" s="258"/>
      <c r="EB30" s="258"/>
      <c r="EC30" s="258"/>
      <c r="ED30" s="258"/>
      <c r="EE30" s="258"/>
      <c r="EF30" s="258"/>
      <c r="EG30" s="258"/>
      <c r="EH30" s="258"/>
      <c r="EI30" s="258"/>
      <c r="EJ30" s="258"/>
      <c r="EK30" s="258"/>
      <c r="EL30" s="258"/>
      <c r="EM30" s="258"/>
      <c r="EN30" s="258"/>
      <c r="EO30" s="258"/>
      <c r="EP30" s="258"/>
      <c r="EQ30" s="258"/>
      <c r="ER30" s="258"/>
      <c r="ES30" s="258"/>
      <c r="ET30" s="258"/>
      <c r="EU30" s="258"/>
      <c r="EV30" s="258"/>
      <c r="EW30" s="258"/>
      <c r="EX30" s="258"/>
      <c r="EY30" s="258"/>
      <c r="EZ30" s="258"/>
      <c r="FA30" s="258"/>
      <c r="FB30" s="258"/>
      <c r="FC30" s="258"/>
      <c r="FD30" s="258"/>
      <c r="FE30" s="258"/>
      <c r="FF30" s="258"/>
      <c r="FG30" s="258"/>
      <c r="FH30" s="258"/>
      <c r="FI30" s="258"/>
      <c r="FJ30" s="258"/>
      <c r="FK30" s="258"/>
      <c r="FL30" s="258"/>
      <c r="FM30" s="258"/>
      <c r="FN30" s="258"/>
      <c r="FO30" s="258"/>
      <c r="FP30" s="258"/>
      <c r="FQ30" s="258"/>
      <c r="FR30" s="258"/>
      <c r="FS30" s="258"/>
      <c r="FT30" s="258"/>
      <c r="FU30" s="258"/>
      <c r="FV30" s="258"/>
      <c r="FW30" s="258"/>
      <c r="FX30" s="258"/>
      <c r="FY30" s="258"/>
      <c r="FZ30" s="258"/>
      <c r="GA30" s="258"/>
      <c r="GB30" s="258"/>
      <c r="GC30" s="258"/>
      <c r="GD30" s="258"/>
      <c r="GE30" s="258"/>
      <c r="GF30" s="258"/>
      <c r="GG30" s="258"/>
      <c r="GH30" s="258"/>
      <c r="GI30" s="258"/>
      <c r="GJ30" s="258"/>
      <c r="GK30" s="258"/>
      <c r="GL30" s="258"/>
      <c r="GM30" s="258"/>
      <c r="GN30" s="258"/>
      <c r="GO30" s="258"/>
      <c r="GP30" s="258"/>
      <c r="GQ30" s="258"/>
      <c r="GR30" s="258"/>
      <c r="GS30" s="258"/>
      <c r="GT30" s="258"/>
      <c r="GU30" s="258"/>
      <c r="GV30" s="258"/>
      <c r="GW30" s="258"/>
      <c r="GX30" s="258"/>
      <c r="GY30" s="258"/>
      <c r="GZ30" s="258"/>
      <c r="HA30" s="258"/>
      <c r="HB30" s="258"/>
      <c r="HC30" s="258"/>
      <c r="HD30" s="258"/>
      <c r="HE30" s="258"/>
      <c r="HF30" s="258"/>
      <c r="HG30" s="258"/>
      <c r="HH30" s="258"/>
      <c r="HI30" s="258"/>
      <c r="HJ30" s="258"/>
      <c r="HK30" s="258"/>
      <c r="HL30" s="258"/>
      <c r="HM30" s="258"/>
      <c r="HN30" s="258"/>
      <c r="HO30" s="258"/>
      <c r="HP30" s="258"/>
      <c r="HQ30" s="258"/>
      <c r="HR30" s="258"/>
      <c r="HS30" s="258"/>
      <c r="HT30" s="258"/>
      <c r="HU30" s="258"/>
      <c r="HV30" s="258"/>
      <c r="HW30" s="258"/>
      <c r="HX30" s="258"/>
      <c r="HY30" s="258"/>
      <c r="HZ30" s="258"/>
      <c r="IA30" s="258"/>
      <c r="IB30" s="258"/>
      <c r="IC30" s="258"/>
      <c r="ID30" s="258"/>
      <c r="IE30" s="258"/>
      <c r="IF30" s="258"/>
      <c r="IG30" s="258"/>
      <c r="IH30" s="258"/>
      <c r="II30" s="258"/>
      <c r="IJ30" s="258"/>
      <c r="IK30" s="258"/>
      <c r="IL30" s="258"/>
      <c r="IM30" s="258"/>
      <c r="IN30" s="258"/>
      <c r="IO30" s="258"/>
      <c r="IP30" s="258"/>
      <c r="IQ30" s="258"/>
    </row>
    <row r="31" spans="1:251" s="271" customFormat="1" ht="19.899999999999999" customHeight="1">
      <c r="A31" s="289" t="s">
        <v>452</v>
      </c>
      <c r="B31" s="288">
        <v>0</v>
      </c>
      <c r="C31" s="288">
        <v>0</v>
      </c>
      <c r="D31" s="288">
        <v>0</v>
      </c>
      <c r="E31" s="288">
        <v>0</v>
      </c>
      <c r="F31" s="288">
        <v>0</v>
      </c>
      <c r="G31" s="288">
        <v>0</v>
      </c>
      <c r="H31" s="288">
        <v>0</v>
      </c>
      <c r="I31" s="288">
        <v>0</v>
      </c>
      <c r="J31" s="288">
        <v>0</v>
      </c>
      <c r="K31" s="288">
        <v>0</v>
      </c>
      <c r="L31" s="288">
        <v>0</v>
      </c>
      <c r="M31" s="288">
        <v>0</v>
      </c>
      <c r="N31" s="288">
        <v>0</v>
      </c>
      <c r="O31" s="288">
        <v>0</v>
      </c>
      <c r="P31" s="288">
        <v>0</v>
      </c>
      <c r="Q31" s="287">
        <v>-45.2</v>
      </c>
      <c r="R31" s="288">
        <v>-25.5</v>
      </c>
      <c r="S31" s="288">
        <v>-29.7</v>
      </c>
      <c r="T31" s="288">
        <v>-35.700000000000003</v>
      </c>
      <c r="U31" s="288">
        <v>-46</v>
      </c>
      <c r="V31" s="287">
        <v>-50.4</v>
      </c>
      <c r="W31" s="287">
        <v>-336.6</v>
      </c>
      <c r="X31" s="287">
        <v>-66.400000000000006</v>
      </c>
      <c r="Y31" s="287">
        <v>-73.599999999999994</v>
      </c>
      <c r="Z31" s="287">
        <v>-77</v>
      </c>
      <c r="AA31" s="287">
        <v>-57.7</v>
      </c>
      <c r="AB31" s="286">
        <v>-76.352833301624401</v>
      </c>
      <c r="AC31" s="284">
        <v>-66.099999999999994</v>
      </c>
      <c r="AD31" s="284">
        <v>-100.50973003828143</v>
      </c>
      <c r="AE31" s="284">
        <v>-99.498658511615204</v>
      </c>
      <c r="AF31" s="284">
        <v>-122.842830841389</v>
      </c>
      <c r="AG31" s="284">
        <v>-85.34922832657</v>
      </c>
      <c r="AH31" s="285">
        <v>-76.981896231000007</v>
      </c>
      <c r="AI31" s="284">
        <v>-84.094192000000007</v>
      </c>
      <c r="AJ31" s="283">
        <v>-103.85257379362</v>
      </c>
      <c r="AK31" s="283">
        <v>-77.718258299588697</v>
      </c>
      <c r="AL31" s="282">
        <v>-72.627647443790963</v>
      </c>
      <c r="AM31" s="281">
        <v>-53.72833313836</v>
      </c>
      <c r="AN31" s="280">
        <f>SUM(B31:AM31)</f>
        <v>-1863.4561819258402</v>
      </c>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8"/>
      <c r="BX31" s="258"/>
      <c r="BY31" s="258"/>
      <c r="BZ31" s="258"/>
      <c r="CA31" s="258"/>
      <c r="CB31" s="258"/>
      <c r="CC31" s="258"/>
      <c r="CD31" s="258"/>
      <c r="CE31" s="258"/>
      <c r="CF31" s="258"/>
      <c r="CG31" s="258"/>
      <c r="CH31" s="258"/>
      <c r="CI31" s="258"/>
      <c r="CJ31" s="258"/>
      <c r="CK31" s="258"/>
      <c r="CL31" s="258"/>
      <c r="CM31" s="258"/>
      <c r="CN31" s="258"/>
      <c r="CO31" s="258"/>
      <c r="CP31" s="258"/>
      <c r="CQ31" s="258"/>
      <c r="CR31" s="258"/>
      <c r="CS31" s="258"/>
      <c r="CT31" s="258"/>
      <c r="CU31" s="258"/>
      <c r="CV31" s="258"/>
      <c r="CW31" s="258"/>
      <c r="CX31" s="258"/>
      <c r="CY31" s="258"/>
      <c r="CZ31" s="258"/>
      <c r="DA31" s="258"/>
      <c r="DB31" s="258"/>
      <c r="DC31" s="258"/>
      <c r="DD31" s="258"/>
      <c r="DE31" s="258"/>
      <c r="DF31" s="258"/>
      <c r="DG31" s="258"/>
      <c r="DH31" s="258"/>
      <c r="DI31" s="258"/>
      <c r="DJ31" s="258"/>
      <c r="DK31" s="258"/>
      <c r="DL31" s="258"/>
      <c r="DM31" s="258"/>
      <c r="DN31" s="258"/>
      <c r="DO31" s="258"/>
      <c r="DP31" s="258"/>
      <c r="DQ31" s="258"/>
      <c r="DR31" s="258"/>
      <c r="DS31" s="258"/>
      <c r="DT31" s="258"/>
      <c r="DU31" s="258"/>
      <c r="DV31" s="258"/>
      <c r="DW31" s="258"/>
      <c r="DX31" s="258"/>
      <c r="DY31" s="258"/>
      <c r="DZ31" s="258"/>
      <c r="EA31" s="258"/>
      <c r="EB31" s="258"/>
      <c r="EC31" s="258"/>
      <c r="ED31" s="258"/>
      <c r="EE31" s="258"/>
      <c r="EF31" s="258"/>
      <c r="EG31" s="258"/>
      <c r="EH31" s="258"/>
      <c r="EI31" s="258"/>
      <c r="EJ31" s="258"/>
      <c r="EK31" s="258"/>
      <c r="EL31" s="258"/>
      <c r="EM31" s="258"/>
      <c r="EN31" s="258"/>
      <c r="EO31" s="258"/>
      <c r="EP31" s="258"/>
      <c r="EQ31" s="258"/>
      <c r="ER31" s="258"/>
      <c r="ES31" s="258"/>
      <c r="ET31" s="258"/>
      <c r="EU31" s="258"/>
      <c r="EV31" s="258"/>
      <c r="EW31" s="258"/>
      <c r="EX31" s="258"/>
      <c r="EY31" s="258"/>
      <c r="EZ31" s="258"/>
      <c r="FA31" s="258"/>
      <c r="FB31" s="258"/>
      <c r="FC31" s="258"/>
      <c r="FD31" s="258"/>
      <c r="FE31" s="258"/>
      <c r="FF31" s="258"/>
      <c r="FG31" s="258"/>
      <c r="FH31" s="258"/>
      <c r="FI31" s="258"/>
      <c r="FJ31" s="258"/>
      <c r="FK31" s="258"/>
      <c r="FL31" s="258"/>
      <c r="FM31" s="258"/>
      <c r="FN31" s="258"/>
      <c r="FO31" s="258"/>
      <c r="FP31" s="258"/>
      <c r="FQ31" s="258"/>
      <c r="FR31" s="258"/>
      <c r="FS31" s="258"/>
      <c r="FT31" s="258"/>
      <c r="FU31" s="258"/>
      <c r="FV31" s="258"/>
      <c r="FW31" s="258"/>
      <c r="FX31" s="258"/>
      <c r="FY31" s="258"/>
      <c r="FZ31" s="258"/>
      <c r="GA31" s="258"/>
      <c r="GB31" s="258"/>
      <c r="GC31" s="258"/>
      <c r="GD31" s="258"/>
      <c r="GE31" s="258"/>
      <c r="GF31" s="258"/>
      <c r="GG31" s="258"/>
      <c r="GH31" s="258"/>
      <c r="GI31" s="258"/>
      <c r="GJ31" s="258"/>
      <c r="GK31" s="258"/>
      <c r="GL31" s="258"/>
      <c r="GM31" s="258"/>
      <c r="GN31" s="258"/>
      <c r="GO31" s="258"/>
      <c r="GP31" s="258"/>
      <c r="GQ31" s="258"/>
      <c r="GR31" s="258"/>
      <c r="GS31" s="258"/>
      <c r="GT31" s="258"/>
      <c r="GU31" s="258"/>
      <c r="GV31" s="258"/>
      <c r="GW31" s="258"/>
      <c r="GX31" s="258"/>
      <c r="GY31" s="258"/>
      <c r="GZ31" s="258"/>
      <c r="HA31" s="258"/>
      <c r="HB31" s="258"/>
      <c r="HC31" s="258"/>
      <c r="HD31" s="258"/>
      <c r="HE31" s="258"/>
      <c r="HF31" s="258"/>
      <c r="HG31" s="258"/>
      <c r="HH31" s="258"/>
      <c r="HI31" s="258"/>
      <c r="HJ31" s="258"/>
      <c r="HK31" s="258"/>
      <c r="HL31" s="258"/>
      <c r="HM31" s="258"/>
      <c r="HN31" s="258"/>
      <c r="HO31" s="258"/>
      <c r="HP31" s="258"/>
      <c r="HQ31" s="258"/>
      <c r="HR31" s="258"/>
      <c r="HS31" s="258"/>
      <c r="HT31" s="258"/>
      <c r="HU31" s="258"/>
      <c r="HV31" s="258"/>
      <c r="HW31" s="258"/>
      <c r="HX31" s="258"/>
      <c r="HY31" s="258"/>
      <c r="HZ31" s="258"/>
      <c r="IA31" s="258"/>
      <c r="IB31" s="258"/>
      <c r="IC31" s="258"/>
      <c r="ID31" s="258"/>
      <c r="IE31" s="258"/>
      <c r="IF31" s="258"/>
      <c r="IG31" s="258"/>
      <c r="IH31" s="258"/>
      <c r="II31" s="258"/>
      <c r="IJ31" s="258"/>
      <c r="IK31" s="258"/>
      <c r="IL31" s="258"/>
      <c r="IM31" s="258"/>
      <c r="IN31" s="258"/>
      <c r="IO31" s="258"/>
      <c r="IP31" s="258"/>
      <c r="IQ31" s="258"/>
    </row>
    <row r="32" spans="1:251" s="271" customFormat="1" ht="16.5" thickBot="1">
      <c r="A32" s="279" t="s">
        <v>451</v>
      </c>
      <c r="B32" s="278">
        <v>0</v>
      </c>
      <c r="C32" s="278">
        <v>0</v>
      </c>
      <c r="D32" s="278">
        <v>0</v>
      </c>
      <c r="E32" s="278">
        <v>0</v>
      </c>
      <c r="F32" s="278">
        <v>0</v>
      </c>
      <c r="G32" s="278">
        <v>0</v>
      </c>
      <c r="H32" s="278">
        <v>0</v>
      </c>
      <c r="I32" s="278">
        <v>0</v>
      </c>
      <c r="J32" s="278">
        <v>0</v>
      </c>
      <c r="K32" s="278">
        <v>0</v>
      </c>
      <c r="L32" s="278">
        <v>0</v>
      </c>
      <c r="M32" s="278">
        <v>0</v>
      </c>
      <c r="N32" s="278">
        <v>0</v>
      </c>
      <c r="O32" s="278">
        <v>0</v>
      </c>
      <c r="P32" s="278">
        <v>0</v>
      </c>
      <c r="Q32" s="277">
        <v>0</v>
      </c>
      <c r="R32" s="278">
        <v>0</v>
      </c>
      <c r="S32" s="278">
        <v>0</v>
      </c>
      <c r="T32" s="278">
        <v>0</v>
      </c>
      <c r="U32" s="278">
        <v>0</v>
      </c>
      <c r="V32" s="277">
        <v>0</v>
      </c>
      <c r="W32" s="277">
        <v>-246.5</v>
      </c>
      <c r="X32" s="277">
        <v>0</v>
      </c>
      <c r="Y32" s="277">
        <v>-78.7</v>
      </c>
      <c r="Z32" s="277">
        <v>0</v>
      </c>
      <c r="AA32" s="277">
        <v>0</v>
      </c>
      <c r="AB32" s="275">
        <v>0</v>
      </c>
      <c r="AC32" s="275">
        <v>0</v>
      </c>
      <c r="AD32" s="275">
        <v>0</v>
      </c>
      <c r="AE32" s="275">
        <v>0</v>
      </c>
      <c r="AF32" s="275">
        <v>0</v>
      </c>
      <c r="AG32" s="275">
        <v>0</v>
      </c>
      <c r="AH32" s="276">
        <v>0</v>
      </c>
      <c r="AI32" s="275">
        <v>0</v>
      </c>
      <c r="AJ32" s="274">
        <v>0</v>
      </c>
      <c r="AK32" s="274">
        <v>0</v>
      </c>
      <c r="AL32" s="274">
        <v>0</v>
      </c>
      <c r="AM32" s="273">
        <v>0</v>
      </c>
      <c r="AN32" s="272">
        <f>SUM(B32:AM32)</f>
        <v>-325.2</v>
      </c>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8"/>
      <c r="BY32" s="258"/>
      <c r="BZ32" s="258"/>
      <c r="CA32" s="258"/>
      <c r="CB32" s="258"/>
      <c r="CC32" s="258"/>
      <c r="CD32" s="258"/>
      <c r="CE32" s="258"/>
      <c r="CF32" s="258"/>
      <c r="CG32" s="258"/>
      <c r="CH32" s="258"/>
      <c r="CI32" s="258"/>
      <c r="CJ32" s="258"/>
      <c r="CK32" s="258"/>
      <c r="CL32" s="258"/>
      <c r="CM32" s="258"/>
      <c r="CN32" s="258"/>
      <c r="CO32" s="258"/>
      <c r="CP32" s="258"/>
      <c r="CQ32" s="258"/>
      <c r="CR32" s="258"/>
      <c r="CS32" s="258"/>
      <c r="CT32" s="258"/>
      <c r="CU32" s="258"/>
      <c r="CV32" s="258"/>
      <c r="CW32" s="258"/>
      <c r="CX32" s="258"/>
      <c r="CY32" s="258"/>
      <c r="CZ32" s="258"/>
      <c r="DA32" s="258"/>
      <c r="DB32" s="258"/>
      <c r="DC32" s="258"/>
      <c r="DD32" s="258"/>
      <c r="DE32" s="258"/>
      <c r="DF32" s="258"/>
      <c r="DG32" s="258"/>
      <c r="DH32" s="258"/>
      <c r="DI32" s="258"/>
      <c r="DJ32" s="258"/>
      <c r="DK32" s="258"/>
      <c r="DL32" s="258"/>
      <c r="DM32" s="258"/>
      <c r="DN32" s="258"/>
      <c r="DO32" s="258"/>
      <c r="DP32" s="258"/>
      <c r="DQ32" s="258"/>
      <c r="DR32" s="258"/>
      <c r="DS32" s="258"/>
      <c r="DT32" s="258"/>
      <c r="DU32" s="258"/>
      <c r="DV32" s="258"/>
      <c r="DW32" s="258"/>
      <c r="DX32" s="258"/>
      <c r="DY32" s="258"/>
      <c r="DZ32" s="258"/>
      <c r="EA32" s="258"/>
      <c r="EB32" s="258"/>
      <c r="EC32" s="258"/>
      <c r="ED32" s="258"/>
      <c r="EE32" s="258"/>
      <c r="EF32" s="258"/>
      <c r="EG32" s="258"/>
      <c r="EH32" s="258"/>
      <c r="EI32" s="258"/>
      <c r="EJ32" s="258"/>
      <c r="EK32" s="258"/>
      <c r="EL32" s="258"/>
      <c r="EM32" s="258"/>
      <c r="EN32" s="258"/>
      <c r="EO32" s="258"/>
      <c r="EP32" s="258"/>
      <c r="EQ32" s="258"/>
      <c r="ER32" s="258"/>
      <c r="ES32" s="258"/>
      <c r="ET32" s="258"/>
      <c r="EU32" s="258"/>
      <c r="EV32" s="258"/>
      <c r="EW32" s="258"/>
      <c r="EX32" s="258"/>
      <c r="EY32" s="258"/>
      <c r="EZ32" s="258"/>
      <c r="FA32" s="258"/>
      <c r="FB32" s="258"/>
      <c r="FC32" s="258"/>
      <c r="FD32" s="258"/>
      <c r="FE32" s="258"/>
      <c r="FF32" s="258"/>
      <c r="FG32" s="258"/>
      <c r="FH32" s="258"/>
      <c r="FI32" s="258"/>
      <c r="FJ32" s="258"/>
      <c r="FK32" s="258"/>
      <c r="FL32" s="258"/>
      <c r="FM32" s="258"/>
      <c r="FN32" s="258"/>
      <c r="FO32" s="258"/>
      <c r="FP32" s="258"/>
      <c r="FQ32" s="258"/>
      <c r="FR32" s="258"/>
      <c r="FS32" s="258"/>
      <c r="FT32" s="258"/>
      <c r="FU32" s="258"/>
      <c r="FV32" s="258"/>
      <c r="FW32" s="258"/>
      <c r="FX32" s="258"/>
      <c r="FY32" s="258"/>
      <c r="FZ32" s="258"/>
      <c r="GA32" s="258"/>
      <c r="GB32" s="258"/>
      <c r="GC32" s="258"/>
      <c r="GD32" s="258"/>
      <c r="GE32" s="258"/>
      <c r="GF32" s="258"/>
      <c r="GG32" s="258"/>
      <c r="GH32" s="258"/>
      <c r="GI32" s="258"/>
      <c r="GJ32" s="258"/>
      <c r="GK32" s="258"/>
      <c r="GL32" s="258"/>
      <c r="GM32" s="258"/>
      <c r="GN32" s="258"/>
      <c r="GO32" s="258"/>
      <c r="GP32" s="258"/>
      <c r="GQ32" s="258"/>
      <c r="GR32" s="258"/>
      <c r="GS32" s="258"/>
      <c r="GT32" s="258"/>
      <c r="GU32" s="258"/>
      <c r="GV32" s="258"/>
      <c r="GW32" s="258"/>
      <c r="GX32" s="258"/>
      <c r="GY32" s="258"/>
      <c r="GZ32" s="258"/>
      <c r="HA32" s="258"/>
      <c r="HB32" s="258"/>
      <c r="HC32" s="258"/>
      <c r="HD32" s="258"/>
      <c r="HE32" s="258"/>
      <c r="HF32" s="258"/>
      <c r="HG32" s="258"/>
      <c r="HH32" s="258"/>
      <c r="HI32" s="258"/>
      <c r="HJ32" s="258"/>
      <c r="HK32" s="258"/>
      <c r="HL32" s="258"/>
      <c r="HM32" s="258"/>
      <c r="HN32" s="258"/>
      <c r="HO32" s="258"/>
      <c r="HP32" s="258"/>
      <c r="HQ32" s="258"/>
      <c r="HR32" s="258"/>
      <c r="HS32" s="258"/>
      <c r="HT32" s="258"/>
      <c r="HU32" s="258"/>
      <c r="HV32" s="258"/>
      <c r="HW32" s="258"/>
      <c r="HX32" s="258"/>
      <c r="HY32" s="258"/>
      <c r="HZ32" s="258"/>
      <c r="IA32" s="258"/>
      <c r="IB32" s="258"/>
      <c r="IC32" s="258"/>
      <c r="ID32" s="258"/>
      <c r="IE32" s="258"/>
      <c r="IF32" s="258"/>
      <c r="IG32" s="258"/>
      <c r="IH32" s="258"/>
      <c r="II32" s="258"/>
      <c r="IJ32" s="258"/>
      <c r="IK32" s="258"/>
      <c r="IL32" s="258"/>
      <c r="IM32" s="258"/>
      <c r="IN32" s="258"/>
      <c r="IO32" s="258"/>
      <c r="IP32" s="258"/>
      <c r="IQ32" s="258"/>
    </row>
    <row r="33" spans="1:251" s="261" customFormat="1" ht="19.899999999999999" customHeight="1" thickBot="1">
      <c r="A33" s="270" t="s">
        <v>450</v>
      </c>
      <c r="B33" s="268">
        <v>0</v>
      </c>
      <c r="C33" s="268">
        <v>0</v>
      </c>
      <c r="D33" s="268">
        <v>0</v>
      </c>
      <c r="E33" s="268">
        <v>0</v>
      </c>
      <c r="F33" s="268">
        <v>0</v>
      </c>
      <c r="G33" s="268">
        <v>0</v>
      </c>
      <c r="H33" s="268">
        <v>0</v>
      </c>
      <c r="I33" s="268">
        <v>0</v>
      </c>
      <c r="J33" s="268">
        <v>0</v>
      </c>
      <c r="K33" s="268">
        <v>0</v>
      </c>
      <c r="L33" s="268">
        <v>0</v>
      </c>
      <c r="M33" s="268">
        <v>0</v>
      </c>
      <c r="N33" s="268">
        <v>0</v>
      </c>
      <c r="O33" s="268">
        <v>0</v>
      </c>
      <c r="P33" s="268">
        <v>0</v>
      </c>
      <c r="Q33" s="268">
        <v>-45.2</v>
      </c>
      <c r="R33" s="269">
        <v>-25.5</v>
      </c>
      <c r="S33" s="269">
        <v>-29.7</v>
      </c>
      <c r="T33" s="269">
        <v>-35.700000000000003</v>
      </c>
      <c r="U33" s="269">
        <v>-46</v>
      </c>
      <c r="V33" s="268">
        <v>-50.4</v>
      </c>
      <c r="W33" s="268">
        <v>-583.1</v>
      </c>
      <c r="X33" s="268">
        <v>-66.400000000000006</v>
      </c>
      <c r="Y33" s="268">
        <v>-152.30000000000001</v>
      </c>
      <c r="Z33" s="268">
        <v>-77</v>
      </c>
      <c r="AA33" s="268">
        <v>-57.7</v>
      </c>
      <c r="AB33" s="264">
        <v>-76.352833301624401</v>
      </c>
      <c r="AC33" s="267">
        <v>-66.099999999999994</v>
      </c>
      <c r="AD33" s="267">
        <v>-100.50973003828143</v>
      </c>
      <c r="AE33" s="267">
        <v>-99.498658511615204</v>
      </c>
      <c r="AF33" s="267">
        <v>-122.842830841389</v>
      </c>
      <c r="AG33" s="265">
        <v>-85.34922832657</v>
      </c>
      <c r="AH33" s="266">
        <v>-76.981896231000007</v>
      </c>
      <c r="AI33" s="265">
        <v>-84.094192000000007</v>
      </c>
      <c r="AJ33" s="265">
        <v>-103.85257379362</v>
      </c>
      <c r="AK33" s="265">
        <v>-77.718258299588697</v>
      </c>
      <c r="AL33" s="264">
        <v>-72.627647443790963</v>
      </c>
      <c r="AM33" s="263">
        <v>-53.72833313836</v>
      </c>
      <c r="AN33" s="262">
        <f>SUM(B33:AM33)</f>
        <v>-2188.65618192584</v>
      </c>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S33" s="258"/>
      <c r="BT33" s="258"/>
      <c r="BU33" s="258"/>
      <c r="BV33" s="258"/>
      <c r="BW33" s="258"/>
      <c r="BX33" s="258"/>
      <c r="BY33" s="258"/>
      <c r="BZ33" s="258"/>
      <c r="CA33" s="258"/>
      <c r="CB33" s="258"/>
      <c r="CC33" s="258"/>
      <c r="CD33" s="258"/>
      <c r="CE33" s="258"/>
      <c r="CF33" s="258"/>
      <c r="CG33" s="258"/>
      <c r="CH33" s="258"/>
      <c r="CI33" s="258"/>
      <c r="CJ33" s="258"/>
      <c r="CK33" s="258"/>
      <c r="CL33" s="258"/>
      <c r="CM33" s="258"/>
      <c r="CN33" s="258"/>
      <c r="CO33" s="258"/>
      <c r="CP33" s="258"/>
      <c r="CQ33" s="258"/>
      <c r="CR33" s="258"/>
      <c r="CS33" s="258"/>
      <c r="CT33" s="258"/>
      <c r="CU33" s="258"/>
      <c r="CV33" s="258"/>
      <c r="CW33" s="258"/>
      <c r="CX33" s="258"/>
      <c r="CY33" s="258"/>
      <c r="CZ33" s="258"/>
      <c r="DA33" s="258"/>
      <c r="DB33" s="258"/>
      <c r="DC33" s="258"/>
      <c r="DD33" s="258"/>
      <c r="DE33" s="258"/>
      <c r="DF33" s="258"/>
      <c r="DG33" s="258"/>
      <c r="DH33" s="258"/>
      <c r="DI33" s="258"/>
      <c r="DJ33" s="258"/>
      <c r="DK33" s="258"/>
      <c r="DL33" s="258"/>
      <c r="DM33" s="258"/>
      <c r="DN33" s="258"/>
      <c r="DO33" s="258"/>
      <c r="DP33" s="258"/>
      <c r="DQ33" s="258"/>
      <c r="DR33" s="258"/>
      <c r="DS33" s="258"/>
      <c r="DT33" s="258"/>
      <c r="DU33" s="258"/>
      <c r="DV33" s="258"/>
      <c r="DW33" s="258"/>
      <c r="DX33" s="258"/>
      <c r="DY33" s="258"/>
      <c r="DZ33" s="258"/>
      <c r="EA33" s="258"/>
      <c r="EB33" s="258"/>
      <c r="EC33" s="258"/>
      <c r="ED33" s="258"/>
      <c r="EE33" s="258"/>
      <c r="EF33" s="258"/>
      <c r="EG33" s="258"/>
      <c r="EH33" s="258"/>
      <c r="EI33" s="258"/>
      <c r="EJ33" s="258"/>
      <c r="EK33" s="258"/>
      <c r="EL33" s="258"/>
      <c r="EM33" s="258"/>
      <c r="EN33" s="258"/>
      <c r="EO33" s="258"/>
      <c r="EP33" s="258"/>
      <c r="EQ33" s="258"/>
      <c r="ER33" s="258"/>
      <c r="ES33" s="258"/>
      <c r="ET33" s="258"/>
      <c r="EU33" s="258"/>
      <c r="EV33" s="258"/>
      <c r="EW33" s="258"/>
      <c r="EX33" s="258"/>
      <c r="EY33" s="258"/>
      <c r="EZ33" s="258"/>
      <c r="FA33" s="258"/>
      <c r="FB33" s="258"/>
      <c r="FC33" s="258"/>
      <c r="FD33" s="258"/>
      <c r="FE33" s="258"/>
      <c r="FF33" s="258"/>
      <c r="FG33" s="258"/>
      <c r="FH33" s="258"/>
      <c r="FI33" s="258"/>
      <c r="FJ33" s="258"/>
      <c r="FK33" s="258"/>
      <c r="FL33" s="258"/>
      <c r="FM33" s="258"/>
      <c r="FN33" s="258"/>
      <c r="FO33" s="258"/>
      <c r="FP33" s="258"/>
      <c r="FQ33" s="258"/>
      <c r="FR33" s="258"/>
      <c r="FS33" s="258"/>
      <c r="FT33" s="258"/>
      <c r="FU33" s="258"/>
      <c r="FV33" s="258"/>
      <c r="FW33" s="258"/>
      <c r="FX33" s="258"/>
      <c r="FY33" s="258"/>
      <c r="FZ33" s="258"/>
      <c r="GA33" s="258"/>
      <c r="GB33" s="258"/>
      <c r="GC33" s="258"/>
      <c r="GD33" s="258"/>
      <c r="GE33" s="258"/>
      <c r="GF33" s="258"/>
      <c r="GG33" s="258"/>
      <c r="GH33" s="258"/>
      <c r="GI33" s="258"/>
      <c r="GJ33" s="258"/>
      <c r="GK33" s="258"/>
      <c r="GL33" s="258"/>
      <c r="GM33" s="258"/>
      <c r="GN33" s="258"/>
      <c r="GO33" s="258"/>
      <c r="GP33" s="258"/>
      <c r="GQ33" s="258"/>
      <c r="GR33" s="258"/>
      <c r="GS33" s="258"/>
      <c r="GT33" s="258"/>
      <c r="GU33" s="258"/>
      <c r="GV33" s="258"/>
      <c r="GW33" s="258"/>
      <c r="GX33" s="258"/>
      <c r="GY33" s="258"/>
      <c r="GZ33" s="258"/>
      <c r="HA33" s="258"/>
      <c r="HB33" s="258"/>
      <c r="HC33" s="258"/>
      <c r="HD33" s="258"/>
      <c r="HE33" s="258"/>
      <c r="HF33" s="258"/>
      <c r="HG33" s="258"/>
      <c r="HH33" s="258"/>
      <c r="HI33" s="258"/>
      <c r="HJ33" s="258"/>
      <c r="HK33" s="258"/>
      <c r="HL33" s="258"/>
      <c r="HM33" s="258"/>
      <c r="HN33" s="258"/>
      <c r="HO33" s="258"/>
      <c r="HP33" s="258"/>
      <c r="HQ33" s="258"/>
      <c r="HR33" s="258"/>
      <c r="HS33" s="258"/>
      <c r="HT33" s="258"/>
      <c r="HU33" s="258"/>
      <c r="HV33" s="258"/>
      <c r="HW33" s="258"/>
      <c r="HX33" s="258"/>
      <c r="HY33" s="258"/>
      <c r="HZ33" s="258"/>
      <c r="IA33" s="258"/>
      <c r="IB33" s="258"/>
      <c r="IC33" s="258"/>
      <c r="ID33" s="258"/>
      <c r="IE33" s="258"/>
      <c r="IF33" s="258"/>
      <c r="IG33" s="258"/>
      <c r="IH33" s="258"/>
      <c r="II33" s="258"/>
      <c r="IJ33" s="258"/>
      <c r="IK33" s="258"/>
      <c r="IL33" s="258"/>
      <c r="IM33" s="258"/>
      <c r="IN33" s="258"/>
      <c r="IO33" s="258"/>
      <c r="IP33" s="258"/>
      <c r="IQ33" s="258"/>
    </row>
    <row r="34" spans="1:251" ht="21" customHeight="1">
      <c r="A34" s="459" t="s">
        <v>310</v>
      </c>
      <c r="B34" s="460"/>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257"/>
      <c r="AE34" s="257"/>
      <c r="AF34" s="258"/>
      <c r="AG34" s="258"/>
      <c r="AH34" s="258"/>
      <c r="AI34" s="258"/>
      <c r="AJ34" s="258"/>
      <c r="AK34" s="258"/>
      <c r="AL34" s="258"/>
      <c r="AM34" s="260"/>
      <c r="AN34" s="259"/>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R34" s="258"/>
      <c r="BS34" s="258"/>
      <c r="BT34" s="258"/>
      <c r="BU34" s="258"/>
      <c r="BV34" s="258"/>
      <c r="BW34" s="258"/>
      <c r="BX34" s="258"/>
      <c r="BY34" s="258"/>
      <c r="BZ34" s="258"/>
      <c r="CA34" s="258"/>
      <c r="CB34" s="258"/>
      <c r="CC34" s="258"/>
      <c r="CD34" s="258"/>
      <c r="CE34" s="258"/>
      <c r="CF34" s="258"/>
      <c r="CG34" s="258"/>
      <c r="CH34" s="258"/>
      <c r="CI34" s="258"/>
      <c r="CJ34" s="258"/>
      <c r="CK34" s="258"/>
      <c r="CL34" s="258"/>
      <c r="CM34" s="258"/>
      <c r="CN34" s="258"/>
      <c r="CO34" s="258"/>
      <c r="CP34" s="258"/>
      <c r="CQ34" s="258"/>
      <c r="CR34" s="258"/>
      <c r="CS34" s="258"/>
      <c r="CT34" s="258"/>
      <c r="CU34" s="258"/>
      <c r="CV34" s="258"/>
      <c r="CW34" s="258"/>
      <c r="CX34" s="258"/>
      <c r="CY34" s="258"/>
      <c r="CZ34" s="258"/>
      <c r="DA34" s="258"/>
      <c r="DB34" s="258"/>
      <c r="DC34" s="258"/>
      <c r="DD34" s="258"/>
      <c r="DE34" s="258"/>
      <c r="DF34" s="258"/>
      <c r="DG34" s="258"/>
      <c r="DH34" s="258"/>
      <c r="DI34" s="258"/>
      <c r="DJ34" s="258"/>
      <c r="DK34" s="258"/>
      <c r="DL34" s="258"/>
      <c r="DM34" s="258"/>
      <c r="DN34" s="258"/>
      <c r="DO34" s="258"/>
      <c r="DP34" s="258"/>
      <c r="DQ34" s="258"/>
      <c r="DR34" s="258"/>
      <c r="DS34" s="258"/>
      <c r="DT34" s="258"/>
      <c r="DU34" s="258"/>
      <c r="DV34" s="258"/>
      <c r="DW34" s="258"/>
      <c r="DX34" s="258"/>
      <c r="DY34" s="258"/>
      <c r="DZ34" s="258"/>
      <c r="EA34" s="258"/>
      <c r="EB34" s="258"/>
      <c r="EC34" s="258"/>
      <c r="ED34" s="258"/>
      <c r="EE34" s="258"/>
      <c r="EF34" s="258"/>
      <c r="EG34" s="258"/>
      <c r="EH34" s="258"/>
      <c r="EI34" s="258"/>
      <c r="EJ34" s="258"/>
      <c r="EK34" s="258"/>
      <c r="EL34" s="258"/>
      <c r="EM34" s="258"/>
      <c r="EN34" s="258"/>
      <c r="EO34" s="258"/>
      <c r="EP34" s="258"/>
      <c r="EQ34" s="258"/>
      <c r="ER34" s="258"/>
      <c r="ES34" s="258"/>
      <c r="ET34" s="258"/>
      <c r="EU34" s="258"/>
      <c r="EV34" s="258"/>
      <c r="EW34" s="258"/>
      <c r="EX34" s="258"/>
      <c r="EY34" s="258"/>
      <c r="EZ34" s="258"/>
      <c r="FA34" s="258"/>
      <c r="FB34" s="258"/>
      <c r="FC34" s="258"/>
      <c r="FD34" s="258"/>
      <c r="FE34" s="258"/>
      <c r="FF34" s="258"/>
      <c r="FG34" s="258"/>
      <c r="FH34" s="258"/>
      <c r="FI34" s="258"/>
      <c r="FJ34" s="258"/>
      <c r="FK34" s="258"/>
      <c r="FL34" s="258"/>
      <c r="FM34" s="258"/>
      <c r="FN34" s="258"/>
      <c r="FO34" s="258"/>
      <c r="FP34" s="258"/>
      <c r="FQ34" s="258"/>
      <c r="FR34" s="258"/>
      <c r="FS34" s="258"/>
      <c r="FT34" s="258"/>
      <c r="FU34" s="258"/>
      <c r="FV34" s="258"/>
      <c r="FW34" s="258"/>
      <c r="FX34" s="258"/>
      <c r="FY34" s="258"/>
      <c r="FZ34" s="258"/>
      <c r="GA34" s="258"/>
      <c r="GB34" s="258"/>
      <c r="GC34" s="258"/>
      <c r="GD34" s="258"/>
      <c r="GE34" s="258"/>
      <c r="GF34" s="258"/>
      <c r="GG34" s="258"/>
      <c r="GH34" s="258"/>
      <c r="GI34" s="258"/>
      <c r="GJ34" s="258"/>
      <c r="GK34" s="258"/>
      <c r="GL34" s="258"/>
      <c r="GM34" s="258"/>
      <c r="GN34" s="258"/>
      <c r="GO34" s="258"/>
      <c r="GP34" s="258"/>
      <c r="GQ34" s="258"/>
      <c r="GR34" s="258"/>
      <c r="GS34" s="258"/>
      <c r="GT34" s="258"/>
      <c r="GU34" s="258"/>
      <c r="GV34" s="258"/>
      <c r="GW34" s="258"/>
      <c r="GX34" s="258"/>
      <c r="GY34" s="258"/>
      <c r="GZ34" s="258"/>
      <c r="HA34" s="258"/>
      <c r="HB34" s="258"/>
      <c r="HC34" s="258"/>
      <c r="HD34" s="258"/>
      <c r="HE34" s="258"/>
      <c r="HF34" s="258"/>
      <c r="HG34" s="258"/>
      <c r="HH34" s="258"/>
      <c r="HI34" s="258"/>
      <c r="HJ34" s="258"/>
      <c r="HK34" s="258"/>
      <c r="HL34" s="258"/>
      <c r="HM34" s="258"/>
      <c r="HN34" s="258"/>
      <c r="HO34" s="258"/>
      <c r="HP34" s="258"/>
      <c r="HQ34" s="258"/>
      <c r="HR34" s="258"/>
      <c r="HS34" s="258"/>
      <c r="HT34" s="258"/>
      <c r="HU34" s="258"/>
      <c r="HV34" s="258"/>
      <c r="HW34" s="258"/>
      <c r="HX34" s="258"/>
      <c r="HY34" s="258"/>
      <c r="HZ34" s="258"/>
      <c r="IA34" s="258"/>
      <c r="IB34" s="258"/>
      <c r="IC34" s="258"/>
      <c r="ID34" s="258"/>
      <c r="IE34" s="258"/>
      <c r="IF34" s="258"/>
      <c r="IG34" s="258"/>
      <c r="IH34" s="258"/>
      <c r="II34" s="258"/>
      <c r="IJ34" s="258"/>
      <c r="IK34" s="258"/>
      <c r="IL34" s="258"/>
      <c r="IM34" s="258"/>
      <c r="IN34" s="258"/>
      <c r="IO34" s="258"/>
      <c r="IP34" s="258"/>
      <c r="IQ34" s="258"/>
    </row>
    <row r="35" spans="1:251" ht="49.5" customHeight="1">
      <c r="A35" s="461" t="s">
        <v>311</v>
      </c>
      <c r="B35" s="461"/>
      <c r="C35" s="461"/>
      <c r="D35" s="461"/>
      <c r="E35" s="461"/>
      <c r="F35" s="461"/>
      <c r="G35" s="461"/>
      <c r="H35" s="461"/>
      <c r="I35" s="461"/>
      <c r="J35" s="461"/>
      <c r="K35" s="461"/>
      <c r="L35" s="461"/>
      <c r="M35" s="461"/>
      <c r="N35" s="461"/>
      <c r="O35" s="461"/>
      <c r="P35" s="461"/>
      <c r="Q35" s="462"/>
      <c r="R35" s="462"/>
      <c r="S35" s="462"/>
      <c r="T35" s="462"/>
      <c r="U35" s="462"/>
      <c r="V35" s="462"/>
      <c r="W35" s="462"/>
      <c r="X35" s="462"/>
      <c r="Y35" s="462"/>
      <c r="Z35" s="462"/>
      <c r="AA35" s="255"/>
      <c r="AB35" s="255"/>
      <c r="AC35" s="257"/>
    </row>
    <row r="36" spans="1:251" ht="26.25" customHeight="1">
      <c r="A36" s="256" t="s">
        <v>312</v>
      </c>
      <c r="B36" s="256"/>
      <c r="C36" s="256"/>
      <c r="D36" s="256"/>
      <c r="E36" s="256"/>
      <c r="F36" s="256"/>
      <c r="G36" s="256"/>
      <c r="H36" s="256"/>
      <c r="I36" s="256"/>
      <c r="J36" s="256"/>
      <c r="K36" s="256"/>
      <c r="L36" s="256"/>
      <c r="M36" s="256"/>
      <c r="N36" s="256"/>
      <c r="O36" s="256"/>
      <c r="P36" s="256"/>
      <c r="Q36" s="255"/>
      <c r="R36" s="255"/>
      <c r="S36" s="255"/>
      <c r="T36" s="255"/>
      <c r="U36" s="255"/>
      <c r="V36" s="255"/>
      <c r="W36" s="255"/>
      <c r="X36" s="255"/>
      <c r="Y36" s="255"/>
      <c r="Z36" s="255"/>
      <c r="AA36" s="255"/>
      <c r="AB36" s="255"/>
    </row>
    <row r="37" spans="1:251" ht="41.25" customHeight="1">
      <c r="A37" s="461" t="s">
        <v>313</v>
      </c>
      <c r="B37" s="461"/>
      <c r="C37" s="461"/>
      <c r="D37" s="461"/>
      <c r="E37" s="461"/>
      <c r="F37" s="461"/>
      <c r="G37" s="461"/>
      <c r="H37" s="461"/>
      <c r="I37" s="461"/>
      <c r="J37" s="461"/>
      <c r="K37" s="461"/>
      <c r="L37" s="461"/>
      <c r="M37" s="461"/>
      <c r="N37" s="461"/>
      <c r="O37" s="461"/>
      <c r="P37" s="461"/>
      <c r="Q37" s="462"/>
      <c r="R37" s="462"/>
      <c r="S37" s="462"/>
      <c r="T37" s="462"/>
      <c r="U37" s="462"/>
      <c r="V37" s="462"/>
      <c r="W37" s="462"/>
      <c r="X37" s="462"/>
      <c r="Y37" s="462"/>
      <c r="Z37" s="462"/>
      <c r="AA37" s="255"/>
      <c r="AB37" s="255"/>
    </row>
    <row r="38" spans="1:251" ht="36.75" customHeight="1">
      <c r="A38" s="463" t="s">
        <v>314</v>
      </c>
      <c r="B38" s="463"/>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251"/>
      <c r="AB38" s="251"/>
    </row>
    <row r="39" spans="1:251" ht="15" customHeight="1">
      <c r="A39" s="252"/>
      <c r="B39" s="252"/>
      <c r="C39" s="252"/>
      <c r="D39" s="252"/>
      <c r="E39" s="252"/>
      <c r="F39" s="252"/>
      <c r="G39" s="252"/>
      <c r="H39" s="252"/>
      <c r="I39" s="252"/>
      <c r="J39" s="252"/>
      <c r="K39" s="252"/>
      <c r="L39" s="252"/>
      <c r="M39" s="252"/>
      <c r="N39" s="252"/>
      <c r="O39" s="252"/>
      <c r="P39" s="252"/>
      <c r="Q39" s="253"/>
      <c r="R39" s="252"/>
      <c r="S39" s="252"/>
      <c r="T39" s="252"/>
      <c r="U39" s="252"/>
      <c r="V39" s="251"/>
      <c r="W39" s="251"/>
      <c r="X39" s="251"/>
      <c r="Y39" s="251"/>
      <c r="Z39" s="251"/>
      <c r="AA39" s="251"/>
      <c r="AB39" s="251"/>
    </row>
    <row r="40" spans="1:251" ht="15" customHeight="1">
      <c r="A40" s="252"/>
      <c r="B40" s="252"/>
      <c r="C40" s="252"/>
      <c r="D40" s="252"/>
      <c r="E40" s="252"/>
      <c r="F40" s="252"/>
      <c r="G40" s="252"/>
      <c r="H40" s="252"/>
      <c r="I40" s="252"/>
      <c r="J40" s="252"/>
      <c r="K40" s="252"/>
      <c r="L40" s="252"/>
      <c r="M40" s="252"/>
      <c r="N40" s="252"/>
      <c r="O40" s="252"/>
      <c r="P40" s="252"/>
      <c r="Q40" s="253"/>
      <c r="R40" s="252"/>
      <c r="S40" s="252"/>
      <c r="T40" s="252"/>
      <c r="U40" s="252"/>
      <c r="V40" s="251"/>
      <c r="W40" s="251"/>
      <c r="X40" s="251"/>
      <c r="Y40" s="251"/>
      <c r="Z40" s="251"/>
      <c r="AA40" s="251"/>
      <c r="AB40" s="251"/>
    </row>
    <row r="41" spans="1:251" ht="15" customHeight="1">
      <c r="A41" s="252"/>
      <c r="B41" s="252"/>
      <c r="C41" s="252"/>
      <c r="D41" s="252"/>
      <c r="E41" s="252"/>
      <c r="F41" s="252"/>
      <c r="G41" s="252"/>
      <c r="H41" s="252"/>
      <c r="I41" s="252"/>
      <c r="J41" s="252"/>
      <c r="K41" s="252"/>
      <c r="L41" s="252"/>
      <c r="M41" s="252"/>
      <c r="N41" s="252"/>
      <c r="O41" s="252"/>
      <c r="P41" s="252"/>
      <c r="Q41" s="253"/>
      <c r="R41" s="252"/>
      <c r="S41" s="252"/>
      <c r="T41" s="252"/>
      <c r="U41" s="252"/>
      <c r="V41" s="251"/>
      <c r="W41" s="251"/>
      <c r="X41" s="251"/>
      <c r="Y41" s="251"/>
      <c r="Z41" s="251"/>
      <c r="AA41" s="251"/>
      <c r="AB41" s="251"/>
    </row>
    <row r="42" spans="1:251" ht="15" customHeight="1">
      <c r="A42" s="252"/>
      <c r="B42" s="252"/>
      <c r="C42" s="252"/>
      <c r="D42" s="252"/>
      <c r="E42" s="252"/>
      <c r="F42" s="252"/>
      <c r="G42" s="252"/>
      <c r="H42" s="252"/>
      <c r="I42" s="252"/>
      <c r="J42" s="252"/>
      <c r="K42" s="252"/>
      <c r="L42" s="252"/>
      <c r="M42" s="252"/>
      <c r="N42" s="252"/>
      <c r="O42" s="252"/>
      <c r="P42" s="252"/>
      <c r="Q42" s="253"/>
      <c r="R42" s="252"/>
      <c r="S42" s="252"/>
      <c r="T42" s="252"/>
      <c r="U42" s="252"/>
      <c r="V42" s="251"/>
      <c r="W42" s="251"/>
      <c r="X42" s="251"/>
      <c r="Y42" s="251"/>
      <c r="Z42" s="251"/>
      <c r="AA42" s="251"/>
      <c r="AB42" s="251"/>
    </row>
    <row r="43" spans="1:251" ht="15" customHeight="1">
      <c r="A43" s="252"/>
      <c r="B43" s="252"/>
      <c r="C43" s="252"/>
      <c r="D43" s="252"/>
      <c r="E43" s="252"/>
      <c r="F43" s="252"/>
      <c r="G43" s="252"/>
      <c r="H43" s="252"/>
      <c r="I43" s="252"/>
      <c r="J43" s="252"/>
      <c r="K43" s="252"/>
      <c r="L43" s="252"/>
      <c r="M43" s="252"/>
      <c r="N43" s="252"/>
      <c r="O43" s="252"/>
      <c r="P43" s="252"/>
      <c r="Q43" s="253"/>
      <c r="R43" s="252"/>
      <c r="S43" s="252"/>
      <c r="T43" s="252"/>
      <c r="U43" s="252"/>
      <c r="V43" s="251"/>
      <c r="W43" s="251"/>
      <c r="X43" s="251"/>
      <c r="Y43" s="251"/>
      <c r="Z43" s="251"/>
      <c r="AA43" s="251"/>
      <c r="AB43" s="251"/>
    </row>
    <row r="44" spans="1:251" ht="15" customHeight="1">
      <c r="A44" s="252"/>
      <c r="B44" s="252"/>
      <c r="C44" s="252"/>
      <c r="D44" s="252"/>
      <c r="E44" s="252"/>
      <c r="F44" s="252"/>
      <c r="G44" s="252"/>
      <c r="H44" s="252"/>
      <c r="I44" s="252"/>
      <c r="J44" s="252"/>
      <c r="K44" s="252"/>
      <c r="L44" s="252"/>
      <c r="M44" s="252"/>
      <c r="N44" s="252"/>
      <c r="O44" s="252"/>
      <c r="P44" s="252"/>
      <c r="Q44" s="253"/>
      <c r="R44" s="252"/>
      <c r="S44" s="252"/>
      <c r="T44" s="252"/>
      <c r="U44" s="252"/>
      <c r="V44" s="251"/>
      <c r="W44" s="251"/>
      <c r="X44" s="251"/>
      <c r="Y44" s="251"/>
      <c r="Z44" s="251"/>
      <c r="AA44" s="251"/>
      <c r="AB44" s="251"/>
    </row>
    <row r="45" spans="1:251" ht="15" customHeight="1">
      <c r="A45" s="252"/>
      <c r="B45" s="252"/>
      <c r="C45" s="252"/>
      <c r="D45" s="252"/>
      <c r="E45" s="252"/>
      <c r="F45" s="252"/>
      <c r="G45" s="252"/>
      <c r="H45" s="252"/>
      <c r="I45" s="252"/>
      <c r="J45" s="252"/>
      <c r="K45" s="252"/>
      <c r="L45" s="252"/>
      <c r="M45" s="252"/>
      <c r="N45" s="252"/>
      <c r="O45" s="252"/>
      <c r="P45" s="252"/>
      <c r="Q45" s="253"/>
      <c r="R45" s="252"/>
      <c r="S45" s="252"/>
      <c r="T45" s="252"/>
      <c r="U45" s="252"/>
      <c r="V45" s="251"/>
      <c r="W45" s="251"/>
      <c r="X45" s="251"/>
      <c r="Y45" s="251"/>
      <c r="Z45" s="251"/>
      <c r="AA45" s="251"/>
      <c r="AB45" s="251"/>
    </row>
    <row r="46" spans="1:251" ht="15" customHeight="1">
      <c r="A46" s="252"/>
      <c r="B46" s="252"/>
      <c r="C46" s="252"/>
      <c r="D46" s="252"/>
      <c r="E46" s="252"/>
      <c r="F46" s="252"/>
      <c r="G46" s="252"/>
      <c r="H46" s="252"/>
      <c r="I46" s="252"/>
      <c r="J46" s="252"/>
      <c r="K46" s="252"/>
      <c r="L46" s="252"/>
      <c r="M46" s="252"/>
      <c r="N46" s="252"/>
      <c r="O46" s="252"/>
      <c r="P46" s="252"/>
      <c r="Q46" s="253"/>
      <c r="R46" s="252"/>
      <c r="S46" s="252"/>
      <c r="T46" s="252"/>
      <c r="U46" s="252"/>
      <c r="V46" s="251"/>
      <c r="W46" s="251"/>
      <c r="X46" s="251"/>
      <c r="Y46" s="251"/>
      <c r="Z46" s="251"/>
      <c r="AA46" s="251"/>
      <c r="AB46" s="251"/>
    </row>
    <row r="47" spans="1:251" ht="15" customHeight="1">
      <c r="A47" s="252"/>
      <c r="B47" s="252"/>
      <c r="C47" s="252"/>
      <c r="D47" s="252"/>
      <c r="E47" s="252"/>
      <c r="F47" s="252"/>
      <c r="G47" s="252"/>
      <c r="H47" s="252"/>
      <c r="I47" s="252"/>
      <c r="J47" s="252"/>
      <c r="K47" s="252"/>
      <c r="L47" s="252"/>
      <c r="M47" s="252"/>
      <c r="N47" s="252"/>
      <c r="O47" s="252"/>
      <c r="P47" s="252"/>
      <c r="Q47" s="253"/>
      <c r="R47" s="252"/>
      <c r="S47" s="252"/>
      <c r="T47" s="252"/>
      <c r="U47" s="252"/>
      <c r="V47" s="251"/>
      <c r="W47" s="251"/>
      <c r="X47" s="251"/>
      <c r="Y47" s="251"/>
      <c r="Z47" s="251"/>
      <c r="AA47" s="251"/>
      <c r="AB47" s="251"/>
    </row>
    <row r="48" spans="1:251" ht="15" customHeight="1">
      <c r="A48" s="252"/>
      <c r="B48" s="254">
        <v>3</v>
      </c>
      <c r="C48" s="254">
        <v>4</v>
      </c>
      <c r="D48" s="254">
        <v>5</v>
      </c>
      <c r="E48" s="254">
        <v>6</v>
      </c>
      <c r="F48" s="254">
        <v>7</v>
      </c>
      <c r="G48" s="254">
        <v>8</v>
      </c>
      <c r="H48" s="254">
        <v>9</v>
      </c>
      <c r="I48" s="254">
        <v>10</v>
      </c>
      <c r="J48" s="254">
        <v>11</v>
      </c>
      <c r="K48" s="254">
        <v>12</v>
      </c>
      <c r="L48" s="254">
        <v>13</v>
      </c>
      <c r="M48" s="254">
        <v>14</v>
      </c>
      <c r="N48" s="254">
        <v>15</v>
      </c>
      <c r="O48" s="254">
        <v>16</v>
      </c>
      <c r="P48" s="254">
        <v>17</v>
      </c>
      <c r="Q48" s="254">
        <v>18</v>
      </c>
      <c r="R48" s="254">
        <v>19</v>
      </c>
      <c r="S48" s="254">
        <v>20</v>
      </c>
      <c r="T48" s="254">
        <v>21</v>
      </c>
      <c r="U48" s="254">
        <v>22</v>
      </c>
      <c r="V48" s="254">
        <v>23</v>
      </c>
      <c r="W48" s="254">
        <v>24</v>
      </c>
      <c r="X48" s="254">
        <v>25</v>
      </c>
      <c r="Y48" s="254">
        <v>26</v>
      </c>
      <c r="Z48" s="254">
        <v>27</v>
      </c>
      <c r="AA48" s="254">
        <v>28</v>
      </c>
      <c r="AB48" s="254">
        <v>29</v>
      </c>
      <c r="AC48" s="254">
        <v>30</v>
      </c>
    </row>
    <row r="49" spans="1:30" ht="15" customHeight="1">
      <c r="A49" s="252"/>
      <c r="B49" s="252"/>
      <c r="C49" s="252"/>
      <c r="D49" s="252"/>
      <c r="E49" s="252"/>
      <c r="F49" s="252"/>
      <c r="G49" s="252"/>
      <c r="H49" s="252"/>
      <c r="I49" s="252"/>
      <c r="J49" s="252"/>
      <c r="K49" s="252"/>
      <c r="L49" s="252"/>
      <c r="M49" s="252"/>
      <c r="N49" s="252"/>
      <c r="O49" s="252"/>
      <c r="P49" s="252"/>
      <c r="Q49" s="253"/>
      <c r="R49" s="252"/>
      <c r="S49" s="252"/>
      <c r="T49" s="252"/>
      <c r="U49" s="252"/>
      <c r="V49" s="251"/>
      <c r="W49" s="251"/>
      <c r="X49" s="251"/>
      <c r="Y49" s="251"/>
      <c r="Z49" s="251"/>
      <c r="AA49" s="251"/>
      <c r="AB49" s="251"/>
    </row>
    <row r="50" spans="1:30" ht="15" customHeight="1">
      <c r="A50" s="252"/>
      <c r="B50" s="252"/>
      <c r="C50" s="252"/>
      <c r="D50" s="252"/>
      <c r="E50" s="252"/>
      <c r="F50" s="252"/>
      <c r="G50" s="252"/>
      <c r="H50" s="252"/>
      <c r="I50" s="252"/>
      <c r="J50" s="252"/>
      <c r="K50" s="252"/>
      <c r="L50" s="252"/>
      <c r="M50" s="252"/>
      <c r="N50" s="252"/>
      <c r="O50" s="252"/>
      <c r="P50" s="252"/>
      <c r="Q50" s="253"/>
      <c r="R50" s="252"/>
      <c r="S50" s="252"/>
      <c r="T50" s="252"/>
      <c r="U50" s="252"/>
      <c r="V50" s="251"/>
      <c r="W50" s="251"/>
      <c r="X50" s="251"/>
      <c r="Y50" s="251"/>
      <c r="Z50" s="251"/>
      <c r="AA50" s="251"/>
      <c r="AB50" s="251"/>
    </row>
    <row r="51" spans="1:30" ht="20.25">
      <c r="E51" s="250" t="s">
        <v>449</v>
      </c>
      <c r="O51" s="250" t="s">
        <v>449</v>
      </c>
      <c r="Q51" s="227"/>
      <c r="V51" s="227"/>
      <c r="W51" s="227"/>
      <c r="X51" s="227"/>
      <c r="Y51" s="250" t="s">
        <v>449</v>
      </c>
      <c r="Z51" s="227"/>
      <c r="AA51" s="227"/>
      <c r="AB51" s="227"/>
      <c r="AC51" s="227"/>
    </row>
    <row r="52" spans="1:30" ht="20.25">
      <c r="A52" s="249"/>
      <c r="B52" s="248" t="s">
        <v>448</v>
      </c>
      <c r="C52" s="248" t="s">
        <v>447</v>
      </c>
      <c r="D52" s="248" t="s">
        <v>446</v>
      </c>
      <c r="E52" s="248" t="s">
        <v>445</v>
      </c>
      <c r="F52" s="248" t="s">
        <v>444</v>
      </c>
      <c r="G52" s="248" t="s">
        <v>443</v>
      </c>
      <c r="H52" s="248" t="s">
        <v>442</v>
      </c>
      <c r="I52" s="248" t="s">
        <v>441</v>
      </c>
      <c r="J52" s="248" t="s">
        <v>440</v>
      </c>
      <c r="K52" s="248" t="s">
        <v>439</v>
      </c>
      <c r="L52" s="248" t="s">
        <v>438</v>
      </c>
      <c r="M52" s="248" t="s">
        <v>437</v>
      </c>
      <c r="N52" s="248">
        <v>1992</v>
      </c>
      <c r="O52" s="248">
        <v>1993</v>
      </c>
      <c r="P52" s="248">
        <v>1994</v>
      </c>
      <c r="Q52" s="248">
        <v>1995</v>
      </c>
      <c r="R52" s="248">
        <v>1996</v>
      </c>
      <c r="S52" s="248">
        <v>1997</v>
      </c>
      <c r="T52" s="248">
        <v>1998</v>
      </c>
      <c r="U52" s="248">
        <v>1999</v>
      </c>
      <c r="V52" s="248">
        <v>2000</v>
      </c>
      <c r="W52" s="248">
        <v>2001</v>
      </c>
      <c r="X52" s="248">
        <v>2002</v>
      </c>
      <c r="Y52" s="248">
        <v>2003</v>
      </c>
      <c r="Z52" s="248">
        <v>2004</v>
      </c>
      <c r="AA52" s="248">
        <v>2005</v>
      </c>
      <c r="AB52" s="248">
        <v>2006</v>
      </c>
      <c r="AC52" s="248">
        <v>2007</v>
      </c>
    </row>
    <row r="53" spans="1:30" ht="23.25" customHeight="1">
      <c r="A53" s="247" t="s">
        <v>436</v>
      </c>
      <c r="B53" s="246">
        <v>41.3</v>
      </c>
      <c r="C53" s="246">
        <v>20.2</v>
      </c>
      <c r="D53" s="246">
        <v>42.5</v>
      </c>
      <c r="E53" s="246">
        <v>40.199999999999996</v>
      </c>
      <c r="F53" s="246">
        <v>72.2</v>
      </c>
      <c r="G53" s="246">
        <v>99.5</v>
      </c>
      <c r="H53" s="246">
        <v>158.4</v>
      </c>
      <c r="I53" s="246">
        <v>100.4</v>
      </c>
      <c r="J53" s="246">
        <v>118.8</v>
      </c>
      <c r="K53" s="246">
        <v>133.5</v>
      </c>
      <c r="L53" s="246">
        <v>145.5</v>
      </c>
      <c r="M53" s="246">
        <v>150.5</v>
      </c>
      <c r="N53" s="246">
        <v>219.3</v>
      </c>
      <c r="O53" s="246">
        <v>282.7</v>
      </c>
      <c r="P53" s="246">
        <v>325.79999999999995</v>
      </c>
      <c r="Q53" s="246">
        <v>196.5</v>
      </c>
      <c r="R53" s="246">
        <v>233.2</v>
      </c>
      <c r="S53" s="246">
        <v>272.5</v>
      </c>
      <c r="T53" s="246">
        <v>301.58</v>
      </c>
      <c r="U53" s="246">
        <v>422.6</v>
      </c>
      <c r="V53" s="246">
        <v>429.6</v>
      </c>
      <c r="W53" s="246">
        <v>1147.0999999999999</v>
      </c>
      <c r="X53" s="246">
        <v>367.31000000000006</v>
      </c>
      <c r="Y53" s="246">
        <v>378.25500000000005</v>
      </c>
      <c r="Z53" s="246">
        <v>424</v>
      </c>
      <c r="AA53" s="246">
        <v>518.62999999999988</v>
      </c>
      <c r="AB53" s="246">
        <v>775.31290669117573</v>
      </c>
      <c r="AC53" s="246">
        <v>649.87199999999996</v>
      </c>
    </row>
    <row r="54" spans="1:30" ht="23.25" customHeight="1">
      <c r="A54" s="245" t="s">
        <v>432</v>
      </c>
      <c r="B54" s="244">
        <v>41.3</v>
      </c>
      <c r="C54" s="244">
        <v>61.5</v>
      </c>
      <c r="D54" s="244">
        <v>104</v>
      </c>
      <c r="E54" s="244">
        <v>144.19999999999999</v>
      </c>
      <c r="F54" s="244">
        <v>216.39999999999998</v>
      </c>
      <c r="G54" s="244">
        <v>315.89999999999998</v>
      </c>
      <c r="H54" s="244">
        <v>474.29999999999995</v>
      </c>
      <c r="I54" s="244">
        <v>574.69999999999993</v>
      </c>
      <c r="J54" s="244">
        <v>693.49999999999989</v>
      </c>
      <c r="K54" s="244">
        <v>826.99999999999989</v>
      </c>
      <c r="L54" s="244">
        <v>972.49999999999989</v>
      </c>
      <c r="M54" s="244">
        <v>1123</v>
      </c>
      <c r="N54" s="244">
        <v>1342.3</v>
      </c>
      <c r="O54" s="244">
        <v>1625</v>
      </c>
      <c r="P54" s="244">
        <v>1950.8</v>
      </c>
      <c r="Q54" s="244">
        <v>2147.3000000000002</v>
      </c>
      <c r="R54" s="244">
        <v>2380.5</v>
      </c>
      <c r="S54" s="244">
        <v>2653</v>
      </c>
      <c r="T54" s="244">
        <v>2954.58</v>
      </c>
      <c r="U54" s="244">
        <v>3377.18</v>
      </c>
      <c r="V54" s="244">
        <v>3806.7799999999997</v>
      </c>
      <c r="W54" s="244">
        <v>4953.8799999999992</v>
      </c>
      <c r="X54" s="244">
        <v>5321.19</v>
      </c>
      <c r="Y54" s="244">
        <v>5699.4449999999997</v>
      </c>
      <c r="Z54" s="244">
        <v>6123.4449999999997</v>
      </c>
      <c r="AA54" s="244">
        <v>6642.0749999999998</v>
      </c>
      <c r="AB54" s="244">
        <v>7417.3879066911759</v>
      </c>
      <c r="AC54" s="244">
        <v>8067.2599066911762</v>
      </c>
    </row>
    <row r="55" spans="1:30" ht="23.25" customHeight="1">
      <c r="A55" s="243" t="s">
        <v>435</v>
      </c>
      <c r="B55" s="242">
        <v>41.3</v>
      </c>
      <c r="C55" s="242">
        <v>20.2</v>
      </c>
      <c r="D55" s="242">
        <v>42.5</v>
      </c>
      <c r="E55" s="242">
        <v>40.199999999999996</v>
      </c>
      <c r="F55" s="242">
        <v>72.2</v>
      </c>
      <c r="G55" s="242">
        <v>99.5</v>
      </c>
      <c r="H55" s="242">
        <v>158.4</v>
      </c>
      <c r="I55" s="242">
        <v>100.4</v>
      </c>
      <c r="J55" s="242">
        <v>118.8</v>
      </c>
      <c r="K55" s="242">
        <v>133.5</v>
      </c>
      <c r="L55" s="242">
        <v>145.5</v>
      </c>
      <c r="M55" s="242">
        <v>150.5</v>
      </c>
      <c r="N55" s="242">
        <v>219.3</v>
      </c>
      <c r="O55" s="242">
        <v>282.7</v>
      </c>
      <c r="P55" s="242">
        <v>325.79999999999995</v>
      </c>
      <c r="Q55" s="242">
        <v>241.7</v>
      </c>
      <c r="R55" s="242">
        <v>258.7</v>
      </c>
      <c r="S55" s="242">
        <v>302.2</v>
      </c>
      <c r="T55" s="242">
        <v>337.28</v>
      </c>
      <c r="U55" s="242">
        <v>468.6</v>
      </c>
      <c r="V55" s="242">
        <v>480</v>
      </c>
      <c r="W55" s="242">
        <v>1730.2</v>
      </c>
      <c r="X55" s="242">
        <v>433.71000000000004</v>
      </c>
      <c r="Y55" s="242">
        <v>530.55500000000006</v>
      </c>
      <c r="Z55" s="242">
        <v>501</v>
      </c>
      <c r="AA55" s="242">
        <v>576.32999999999993</v>
      </c>
      <c r="AB55" s="242">
        <v>851.66573999280013</v>
      </c>
      <c r="AC55" s="242">
        <v>715.97199999999998</v>
      </c>
      <c r="AD55" s="227"/>
    </row>
    <row r="56" spans="1:30" ht="23.25" customHeight="1">
      <c r="A56" s="241" t="s">
        <v>432</v>
      </c>
      <c r="B56" s="240">
        <v>41.3</v>
      </c>
      <c r="C56" s="240">
        <v>61.5</v>
      </c>
      <c r="D56" s="240">
        <v>104</v>
      </c>
      <c r="E56" s="240">
        <v>144.19999999999999</v>
      </c>
      <c r="F56" s="240">
        <v>216.39999999999998</v>
      </c>
      <c r="G56" s="240">
        <v>315.89999999999998</v>
      </c>
      <c r="H56" s="240">
        <v>474.29999999999995</v>
      </c>
      <c r="I56" s="240">
        <v>574.69999999999993</v>
      </c>
      <c r="J56" s="240">
        <v>693.49999999999989</v>
      </c>
      <c r="K56" s="240">
        <v>826.99999999999989</v>
      </c>
      <c r="L56" s="240">
        <v>972.49999999999989</v>
      </c>
      <c r="M56" s="240">
        <v>1123</v>
      </c>
      <c r="N56" s="240">
        <v>1342.3</v>
      </c>
      <c r="O56" s="240">
        <v>1625</v>
      </c>
      <c r="P56" s="240">
        <v>1950.8</v>
      </c>
      <c r="Q56" s="240">
        <v>2192.5</v>
      </c>
      <c r="R56" s="240">
        <v>2451.1999999999998</v>
      </c>
      <c r="S56" s="240">
        <v>2753.3999999999996</v>
      </c>
      <c r="T56" s="240">
        <v>3090.6799999999994</v>
      </c>
      <c r="U56" s="240">
        <v>3559.2799999999993</v>
      </c>
      <c r="V56" s="240">
        <v>4039.2799999999993</v>
      </c>
      <c r="W56" s="240">
        <v>5769.48</v>
      </c>
      <c r="X56" s="240">
        <v>6203.19</v>
      </c>
      <c r="Y56" s="240">
        <v>6733.7449999999999</v>
      </c>
      <c r="Z56" s="240">
        <v>7234.7449999999999</v>
      </c>
      <c r="AA56" s="240">
        <v>7811.0749999999998</v>
      </c>
      <c r="AB56" s="240">
        <v>8662.7407399927997</v>
      </c>
      <c r="AC56" s="240">
        <v>9378.7127399927995</v>
      </c>
      <c r="AD56" s="227"/>
    </row>
    <row r="57" spans="1:30" ht="20.25">
      <c r="A57" s="239" t="s">
        <v>434</v>
      </c>
      <c r="B57" s="237">
        <v>0</v>
      </c>
      <c r="C57" s="237">
        <v>3</v>
      </c>
      <c r="D57" s="237">
        <v>14</v>
      </c>
      <c r="E57" s="237">
        <v>1</v>
      </c>
      <c r="F57" s="237">
        <v>20</v>
      </c>
      <c r="G57" s="237">
        <v>44</v>
      </c>
      <c r="H57" s="237">
        <v>93</v>
      </c>
      <c r="I57" s="237">
        <v>20</v>
      </c>
      <c r="J57" s="237">
        <v>50</v>
      </c>
      <c r="K57" s="237">
        <v>55</v>
      </c>
      <c r="L57" s="237">
        <v>55</v>
      </c>
      <c r="M57" s="237">
        <v>55</v>
      </c>
      <c r="N57" s="237">
        <v>82</v>
      </c>
      <c r="O57" s="237">
        <v>149</v>
      </c>
      <c r="P57" s="237">
        <v>173.7</v>
      </c>
      <c r="Q57" s="237">
        <v>70.599999999999994</v>
      </c>
      <c r="R57" s="237">
        <v>81.7</v>
      </c>
      <c r="S57" s="237">
        <v>107.8</v>
      </c>
      <c r="T57" s="237">
        <v>121.9</v>
      </c>
      <c r="U57" s="237">
        <v>245.4</v>
      </c>
      <c r="V57" s="237">
        <v>257.89999999999998</v>
      </c>
      <c r="W57" s="237">
        <v>1505.5</v>
      </c>
      <c r="X57" s="237">
        <v>160.4</v>
      </c>
      <c r="Y57" s="237">
        <v>250.3</v>
      </c>
      <c r="Z57" s="237">
        <v>212.7</v>
      </c>
      <c r="AA57" s="237">
        <v>292.89999999999998</v>
      </c>
      <c r="AB57" s="237">
        <v>565.61573999280006</v>
      </c>
      <c r="AC57" s="237">
        <v>403.315</v>
      </c>
      <c r="AD57" s="227"/>
    </row>
    <row r="58" spans="1:30" ht="18">
      <c r="A58" s="238" t="s">
        <v>432</v>
      </c>
      <c r="B58" s="237">
        <v>0</v>
      </c>
      <c r="C58" s="237">
        <v>3</v>
      </c>
      <c r="D58" s="237">
        <v>17</v>
      </c>
      <c r="E58" s="237">
        <v>18</v>
      </c>
      <c r="F58" s="237">
        <v>38</v>
      </c>
      <c r="G58" s="237">
        <v>82</v>
      </c>
      <c r="H58" s="237">
        <v>175</v>
      </c>
      <c r="I58" s="237">
        <v>195</v>
      </c>
      <c r="J58" s="237">
        <v>245</v>
      </c>
      <c r="K58" s="237">
        <v>300</v>
      </c>
      <c r="L58" s="237">
        <v>355</v>
      </c>
      <c r="M58" s="237">
        <v>410</v>
      </c>
      <c r="N58" s="237">
        <v>492</v>
      </c>
      <c r="O58" s="237">
        <v>641</v>
      </c>
      <c r="P58" s="237">
        <v>814.7</v>
      </c>
      <c r="Q58" s="237">
        <v>885.30000000000007</v>
      </c>
      <c r="R58" s="237">
        <v>967.00000000000011</v>
      </c>
      <c r="S58" s="237">
        <v>1074.8000000000002</v>
      </c>
      <c r="T58" s="237">
        <v>1196.7000000000003</v>
      </c>
      <c r="U58" s="237">
        <v>1442.1000000000004</v>
      </c>
      <c r="V58" s="237">
        <v>1700.0000000000005</v>
      </c>
      <c r="W58" s="237">
        <v>3205.5000000000005</v>
      </c>
      <c r="X58" s="237">
        <v>3365.9000000000005</v>
      </c>
      <c r="Y58" s="237">
        <v>3616.2000000000007</v>
      </c>
      <c r="Z58" s="237">
        <v>3828.9000000000005</v>
      </c>
      <c r="AA58" s="237">
        <v>4121.8</v>
      </c>
      <c r="AB58" s="237">
        <v>4687.4157399927999</v>
      </c>
      <c r="AC58" s="237">
        <v>5090.7307399927995</v>
      </c>
      <c r="AD58" s="227"/>
    </row>
    <row r="59" spans="1:30" ht="20.25">
      <c r="A59" s="236" t="s">
        <v>433</v>
      </c>
      <c r="B59" s="234">
        <v>0</v>
      </c>
      <c r="C59" s="234">
        <v>0</v>
      </c>
      <c r="D59" s="234">
        <v>0</v>
      </c>
      <c r="E59" s="234">
        <v>0</v>
      </c>
      <c r="F59" s="234">
        <v>0</v>
      </c>
      <c r="G59" s="234">
        <v>0</v>
      </c>
      <c r="H59" s="234">
        <v>0</v>
      </c>
      <c r="I59" s="234">
        <v>0</v>
      </c>
      <c r="J59" s="234">
        <v>0</v>
      </c>
      <c r="K59" s="234">
        <v>0</v>
      </c>
      <c r="L59" s="234">
        <v>0</v>
      </c>
      <c r="M59" s="234">
        <v>0</v>
      </c>
      <c r="N59" s="234">
        <v>0</v>
      </c>
      <c r="O59" s="234">
        <v>0</v>
      </c>
      <c r="P59" s="234">
        <v>0</v>
      </c>
      <c r="Q59" s="234">
        <v>45.2</v>
      </c>
      <c r="R59" s="234">
        <v>25.5</v>
      </c>
      <c r="S59" s="234">
        <v>29.7</v>
      </c>
      <c r="T59" s="234">
        <v>35.700000000000003</v>
      </c>
      <c r="U59" s="234">
        <v>46</v>
      </c>
      <c r="V59" s="234">
        <v>50.4</v>
      </c>
      <c r="W59" s="234">
        <v>583.1</v>
      </c>
      <c r="X59" s="234">
        <v>66.400000000000006</v>
      </c>
      <c r="Y59" s="234">
        <v>152.30000000000001</v>
      </c>
      <c r="Z59" s="234">
        <v>77</v>
      </c>
      <c r="AA59" s="234">
        <v>57.7</v>
      </c>
      <c r="AB59" s="234">
        <v>76.352833301624401</v>
      </c>
      <c r="AC59" s="234">
        <v>66.099999999999994</v>
      </c>
      <c r="AD59" s="227"/>
    </row>
    <row r="60" spans="1:30" ht="18">
      <c r="A60" s="235" t="s">
        <v>432</v>
      </c>
      <c r="B60" s="234">
        <v>0</v>
      </c>
      <c r="C60" s="234">
        <v>0</v>
      </c>
      <c r="D60" s="234">
        <v>0</v>
      </c>
      <c r="E60" s="234">
        <v>0</v>
      </c>
      <c r="F60" s="234">
        <v>0</v>
      </c>
      <c r="G60" s="234">
        <v>0</v>
      </c>
      <c r="H60" s="234">
        <v>0</v>
      </c>
      <c r="I60" s="234">
        <v>0</v>
      </c>
      <c r="J60" s="234">
        <v>0</v>
      </c>
      <c r="K60" s="234">
        <v>0</v>
      </c>
      <c r="L60" s="234">
        <v>0</v>
      </c>
      <c r="M60" s="234">
        <v>0</v>
      </c>
      <c r="N60" s="234">
        <v>0</v>
      </c>
      <c r="O60" s="234">
        <v>0</v>
      </c>
      <c r="P60" s="234">
        <v>0</v>
      </c>
      <c r="Q60" s="234">
        <v>45.2</v>
      </c>
      <c r="R60" s="234">
        <v>70.7</v>
      </c>
      <c r="S60" s="234">
        <v>100.4</v>
      </c>
      <c r="T60" s="234">
        <v>136.10000000000002</v>
      </c>
      <c r="U60" s="234">
        <v>182.10000000000002</v>
      </c>
      <c r="V60" s="234">
        <v>232.50000000000003</v>
      </c>
      <c r="W60" s="234">
        <v>815.6</v>
      </c>
      <c r="X60" s="234">
        <v>882</v>
      </c>
      <c r="Y60" s="234">
        <v>1034.3</v>
      </c>
      <c r="Z60" s="234">
        <v>1111.3</v>
      </c>
      <c r="AA60" s="234">
        <v>1169</v>
      </c>
      <c r="AB60" s="234">
        <v>1245.3528333016243</v>
      </c>
      <c r="AC60" s="234">
        <v>1311.4528333016242</v>
      </c>
      <c r="AD60" s="227"/>
    </row>
    <row r="61" spans="1:30">
      <c r="AD61" s="227"/>
    </row>
    <row r="62" spans="1:30">
      <c r="AD62" s="227"/>
    </row>
    <row r="63" spans="1:30">
      <c r="AD63" s="227"/>
    </row>
    <row r="64" spans="1:30">
      <c r="AD64" s="227"/>
    </row>
    <row r="65" spans="30:30">
      <c r="AD65" s="227"/>
    </row>
    <row r="66" spans="30:30">
      <c r="AD66" s="227"/>
    </row>
    <row r="67" spans="30:30">
      <c r="AD67" s="227"/>
    </row>
    <row r="68" spans="30:30">
      <c r="AD68" s="227"/>
    </row>
    <row r="69" spans="30:30">
      <c r="AD69" s="227"/>
    </row>
    <row r="70" spans="30:30">
      <c r="AD70" s="227"/>
    </row>
    <row r="71" spans="30:30">
      <c r="AD71" s="227"/>
    </row>
    <row r="72" spans="30:30">
      <c r="AD72" s="227"/>
    </row>
    <row r="73" spans="30:30">
      <c r="AD73" s="227"/>
    </row>
    <row r="74" spans="30:30">
      <c r="AD74" s="227"/>
    </row>
    <row r="75" spans="30:30">
      <c r="AD75" s="227"/>
    </row>
    <row r="76" spans="30:30">
      <c r="AD76" s="227"/>
    </row>
    <row r="77" spans="30:30">
      <c r="AD77" s="227"/>
    </row>
    <row r="78" spans="30:30">
      <c r="AD78" s="227"/>
    </row>
    <row r="79" spans="30:30">
      <c r="AD79" s="227"/>
    </row>
    <row r="80" spans="30:30">
      <c r="AD80" s="227"/>
    </row>
    <row r="81" spans="1:30">
      <c r="AD81" s="227"/>
    </row>
    <row r="82" spans="1:30">
      <c r="AD82" s="227"/>
    </row>
    <row r="83" spans="1:30">
      <c r="AD83" s="227"/>
    </row>
    <row r="84" spans="1:30">
      <c r="AD84" s="227"/>
    </row>
    <row r="85" spans="1:30">
      <c r="A85" s="230"/>
      <c r="Q85" s="227"/>
      <c r="V85" s="227"/>
      <c r="W85" s="227"/>
      <c r="X85" s="227"/>
      <c r="Y85" s="227"/>
      <c r="Z85" s="227"/>
      <c r="AA85" s="227"/>
      <c r="AB85" s="227"/>
      <c r="AC85" s="227"/>
      <c r="AD85" s="227"/>
    </row>
    <row r="86" spans="1:30">
      <c r="A86" s="230"/>
      <c r="Q86" s="227"/>
      <c r="V86" s="227"/>
      <c r="W86" s="227"/>
      <c r="X86" s="227"/>
      <c r="Y86" s="227"/>
      <c r="Z86" s="227"/>
      <c r="AA86" s="227"/>
      <c r="AB86" s="227"/>
      <c r="AC86" s="227"/>
      <c r="AD86" s="227"/>
    </row>
    <row r="87" spans="1:30">
      <c r="A87" s="230"/>
      <c r="Q87" s="227"/>
      <c r="V87" s="227"/>
      <c r="W87" s="227"/>
      <c r="X87" s="227"/>
      <c r="Y87" s="227"/>
      <c r="Z87" s="227"/>
      <c r="AA87" s="227"/>
      <c r="AB87" s="227"/>
      <c r="AC87" s="227"/>
      <c r="AD87" s="227"/>
    </row>
    <row r="88" spans="1:30">
      <c r="A88" s="230"/>
      <c r="Q88" s="227"/>
      <c r="V88" s="227"/>
      <c r="W88" s="227"/>
      <c r="X88" s="227"/>
      <c r="Y88" s="227"/>
      <c r="Z88" s="227"/>
      <c r="AA88" s="227"/>
      <c r="AB88" s="227"/>
      <c r="AC88" s="227"/>
      <c r="AD88" s="227"/>
    </row>
    <row r="89" spans="1:30">
      <c r="A89" s="230"/>
      <c r="Q89" s="227"/>
      <c r="V89" s="227"/>
      <c r="W89" s="227"/>
      <c r="X89" s="227"/>
      <c r="Y89" s="227"/>
      <c r="Z89" s="227"/>
      <c r="AA89" s="227"/>
      <c r="AB89" s="227"/>
      <c r="AC89" s="227"/>
      <c r="AD89" s="227"/>
    </row>
    <row r="90" spans="1:30">
      <c r="A90" s="230"/>
      <c r="Q90" s="227"/>
      <c r="V90" s="227"/>
      <c r="W90" s="227"/>
      <c r="X90" s="227"/>
      <c r="Y90" s="227"/>
      <c r="Z90" s="227"/>
      <c r="AA90" s="227"/>
      <c r="AB90" s="227"/>
      <c r="AC90" s="227"/>
      <c r="AD90" s="227"/>
    </row>
    <row r="91" spans="1:30">
      <c r="A91" s="230"/>
      <c r="Q91" s="227"/>
      <c r="V91" s="227"/>
      <c r="W91" s="227"/>
      <c r="X91" s="227"/>
      <c r="Y91" s="227"/>
      <c r="Z91" s="227"/>
      <c r="AA91" s="227"/>
      <c r="AB91" s="227"/>
      <c r="AC91" s="227"/>
      <c r="AD91" s="227"/>
    </row>
    <row r="92" spans="1:30" ht="19.5" customHeight="1">
      <c r="A92" s="230"/>
      <c r="Q92" s="227"/>
      <c r="V92" s="227"/>
      <c r="W92" s="227"/>
      <c r="X92" s="227"/>
      <c r="Y92" s="227"/>
      <c r="Z92" s="227"/>
      <c r="AA92" s="227"/>
      <c r="AB92" s="227"/>
      <c r="AC92" s="227"/>
      <c r="AD92" s="227"/>
    </row>
    <row r="93" spans="1:30">
      <c r="A93" s="230"/>
      <c r="Q93" s="227"/>
      <c r="V93" s="227"/>
      <c r="W93" s="227"/>
      <c r="X93" s="227"/>
      <c r="Y93" s="227"/>
      <c r="Z93" s="227"/>
      <c r="AA93" s="227"/>
      <c r="AB93" s="227"/>
      <c r="AC93" s="227"/>
      <c r="AD93" s="227"/>
    </row>
    <row r="94" spans="1:30" ht="19.5" customHeight="1">
      <c r="A94" s="230"/>
      <c r="Q94" s="227"/>
      <c r="V94" s="227"/>
      <c r="W94" s="227"/>
      <c r="X94" s="227"/>
      <c r="Y94" s="227"/>
      <c r="Z94" s="227"/>
      <c r="AA94" s="227"/>
      <c r="AB94" s="227"/>
      <c r="AC94" s="227"/>
      <c r="AD94" s="227"/>
    </row>
    <row r="95" spans="1:30" ht="19.5" customHeight="1">
      <c r="A95" s="230"/>
      <c r="Q95" s="227"/>
      <c r="V95" s="227"/>
      <c r="W95" s="227"/>
      <c r="X95" s="227"/>
      <c r="Y95" s="227"/>
      <c r="Z95" s="227"/>
      <c r="AA95" s="227"/>
      <c r="AB95" s="227"/>
      <c r="AC95" s="227"/>
      <c r="AD95" s="227"/>
    </row>
    <row r="96" spans="1:30" ht="19.5" customHeight="1">
      <c r="A96" s="230"/>
      <c r="Q96" s="227"/>
      <c r="V96" s="227"/>
      <c r="W96" s="227"/>
      <c r="X96" s="227"/>
      <c r="Y96" s="227"/>
      <c r="Z96" s="227"/>
      <c r="AA96" s="227"/>
      <c r="AB96" s="227"/>
      <c r="AC96" s="227"/>
      <c r="AD96" s="227"/>
    </row>
    <row r="97" spans="1:30" ht="19.5" customHeight="1">
      <c r="A97" s="230"/>
      <c r="Q97" s="227"/>
      <c r="V97" s="227"/>
      <c r="W97" s="227"/>
      <c r="X97" s="227"/>
      <c r="Y97" s="227"/>
      <c r="Z97" s="227"/>
      <c r="AA97" s="227"/>
      <c r="AB97" s="227"/>
      <c r="AC97" s="227"/>
      <c r="AD97" s="227"/>
    </row>
    <row r="98" spans="1:30" ht="19.5" customHeight="1">
      <c r="A98" s="230"/>
      <c r="Q98" s="227"/>
      <c r="V98" s="227"/>
      <c r="W98" s="227"/>
      <c r="X98" s="227"/>
      <c r="Y98" s="227"/>
      <c r="Z98" s="227"/>
      <c r="AA98" s="227"/>
      <c r="AB98" s="227"/>
      <c r="AC98" s="227"/>
      <c r="AD98" s="227"/>
    </row>
    <row r="99" spans="1:30">
      <c r="A99" s="230"/>
      <c r="Q99" s="227"/>
      <c r="V99" s="227"/>
      <c r="W99" s="227"/>
      <c r="X99" s="227"/>
      <c r="Y99" s="227"/>
      <c r="Z99" s="227"/>
      <c r="AA99" s="227"/>
      <c r="AB99" s="227"/>
      <c r="AC99" s="227"/>
      <c r="AD99" s="227"/>
    </row>
    <row r="100" spans="1:30">
      <c r="A100" s="230"/>
      <c r="Q100" s="227"/>
      <c r="V100" s="227"/>
      <c r="W100" s="227"/>
      <c r="X100" s="227"/>
      <c r="Y100" s="227"/>
      <c r="Z100" s="227"/>
      <c r="AA100" s="227"/>
      <c r="AB100" s="227"/>
      <c r="AC100" s="227"/>
      <c r="AD100" s="227"/>
    </row>
    <row r="101" spans="1:30">
      <c r="A101" s="230"/>
      <c r="Q101" s="227"/>
      <c r="V101" s="227"/>
      <c r="W101" s="227"/>
      <c r="X101" s="227"/>
      <c r="Y101" s="227"/>
      <c r="Z101" s="227"/>
      <c r="AA101" s="227"/>
      <c r="AB101" s="227"/>
      <c r="AC101" s="227"/>
      <c r="AD101" s="227"/>
    </row>
    <row r="102" spans="1:30">
      <c r="A102" s="230"/>
      <c r="Q102" s="227"/>
      <c r="V102" s="227"/>
      <c r="W102" s="227"/>
      <c r="X102" s="227"/>
      <c r="Y102" s="227"/>
      <c r="Z102" s="227"/>
      <c r="AA102" s="227"/>
      <c r="AB102" s="227"/>
      <c r="AC102" s="227"/>
      <c r="AD102" s="227"/>
    </row>
    <row r="103" spans="1:30">
      <c r="A103" s="230"/>
      <c r="Q103" s="227"/>
      <c r="V103" s="227"/>
      <c r="W103" s="227"/>
      <c r="X103" s="227"/>
      <c r="Y103" s="227"/>
      <c r="Z103" s="227"/>
      <c r="AA103" s="227"/>
      <c r="AB103" s="227"/>
      <c r="AC103" s="227"/>
      <c r="AD103" s="227"/>
    </row>
    <row r="104" spans="1:30">
      <c r="A104" s="230"/>
      <c r="Q104" s="227"/>
      <c r="V104" s="227"/>
      <c r="W104" s="227"/>
      <c r="X104" s="227"/>
      <c r="Y104" s="227"/>
      <c r="Z104" s="227"/>
      <c r="AA104" s="227"/>
      <c r="AB104" s="227"/>
      <c r="AC104" s="227"/>
      <c r="AD104" s="227"/>
    </row>
    <row r="105" spans="1:30">
      <c r="A105" s="230"/>
      <c r="Q105" s="227"/>
      <c r="V105" s="227"/>
      <c r="W105" s="227"/>
      <c r="X105" s="227"/>
      <c r="Y105" s="227"/>
      <c r="Z105" s="227"/>
      <c r="AA105" s="227"/>
      <c r="AB105" s="227"/>
      <c r="AC105" s="227"/>
      <c r="AD105" s="227"/>
    </row>
    <row r="106" spans="1:30">
      <c r="A106" s="230"/>
      <c r="Q106" s="227"/>
      <c r="V106" s="227"/>
      <c r="W106" s="227"/>
      <c r="X106" s="227"/>
      <c r="Y106" s="227"/>
      <c r="Z106" s="227"/>
      <c r="AA106" s="227"/>
      <c r="AB106" s="227"/>
      <c r="AC106" s="227"/>
      <c r="AD106" s="227"/>
    </row>
  </sheetData>
  <mergeCells count="5">
    <mergeCell ref="A1:Z1"/>
    <mergeCell ref="A34:AC34"/>
    <mergeCell ref="A35:Z35"/>
    <mergeCell ref="A37:Z37"/>
    <mergeCell ref="A38:Z38"/>
  </mergeCells>
  <pageMargins left="0.25" right="0.25" top="1" bottom="1" header="0.5" footer="0.5"/>
  <pageSetup scale="45" fitToWidth="2" fitToHeight="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opLeftCell="A22" zoomScaleNormal="100" workbookViewId="0">
      <selection activeCell="D34" sqref="D34:K34"/>
    </sheetView>
  </sheetViews>
  <sheetFormatPr defaultRowHeight="11.25"/>
  <cols>
    <col min="1" max="1" width="22.140625" style="2" customWidth="1"/>
    <col min="2" max="8" width="15.42578125" style="1" customWidth="1"/>
    <col min="9" max="9" width="15.85546875" style="1" customWidth="1"/>
    <col min="10" max="10" width="11.5703125" style="1" bestFit="1" customWidth="1"/>
    <col min="11" max="16384" width="9.140625" style="1"/>
  </cols>
  <sheetData>
    <row r="1" spans="1:12" ht="33" customHeight="1">
      <c r="A1" s="423" t="s">
        <v>230</v>
      </c>
      <c r="B1" s="423"/>
      <c r="C1" s="423"/>
      <c r="D1" s="423"/>
      <c r="E1" s="423"/>
      <c r="F1" s="423"/>
      <c r="G1" s="423"/>
      <c r="H1" s="423"/>
      <c r="I1" s="423"/>
    </row>
    <row r="2" spans="1:12" ht="24" customHeight="1">
      <c r="A2" s="13" t="s">
        <v>11</v>
      </c>
      <c r="B2" s="45">
        <v>2011</v>
      </c>
      <c r="C2" s="45">
        <v>2012</v>
      </c>
      <c r="D2" s="45">
        <v>2013</v>
      </c>
      <c r="E2" s="45">
        <v>2014</v>
      </c>
      <c r="F2" s="45">
        <v>2015</v>
      </c>
      <c r="G2" s="45" t="s">
        <v>286</v>
      </c>
      <c r="H2" s="45">
        <v>2017</v>
      </c>
      <c r="I2" s="12"/>
      <c r="J2" s="12"/>
      <c r="K2" s="12"/>
      <c r="L2" s="11"/>
    </row>
    <row r="3" spans="1:12" ht="17.25">
      <c r="A3" s="9" t="s">
        <v>10</v>
      </c>
      <c r="B3" s="46"/>
      <c r="C3" s="46"/>
      <c r="D3" s="46"/>
      <c r="E3" s="46"/>
      <c r="F3" s="46"/>
      <c r="G3" s="46"/>
      <c r="H3" s="46"/>
      <c r="I3" s="6"/>
      <c r="J3" s="6"/>
      <c r="K3" s="6"/>
    </row>
    <row r="4" spans="1:12" ht="17.25">
      <c r="A4" s="10" t="s">
        <v>8</v>
      </c>
      <c r="B4" s="163">
        <v>152268151.75</v>
      </c>
      <c r="C4" s="163">
        <v>172625716.75</v>
      </c>
      <c r="D4" s="163">
        <v>162598812.96000001</v>
      </c>
      <c r="E4" s="164">
        <v>160287940</v>
      </c>
      <c r="F4" s="163">
        <v>181979402</v>
      </c>
      <c r="G4" s="164">
        <v>187114842</v>
      </c>
      <c r="H4" s="164">
        <v>175006231</v>
      </c>
      <c r="I4" s="6"/>
      <c r="J4" s="6"/>
      <c r="K4" s="6"/>
    </row>
    <row r="5" spans="1:12" ht="17.25">
      <c r="A5" s="10" t="s">
        <v>7</v>
      </c>
      <c r="B5" s="163">
        <v>38469679.740000002</v>
      </c>
      <c r="C5" s="163">
        <v>41986003.759999998</v>
      </c>
      <c r="D5" s="163">
        <v>39747604.240000002</v>
      </c>
      <c r="E5" s="164">
        <v>34671529</v>
      </c>
      <c r="F5" s="163">
        <v>36131999</v>
      </c>
      <c r="G5" s="164">
        <v>43312217</v>
      </c>
      <c r="H5" s="164">
        <v>41693701</v>
      </c>
      <c r="I5" s="6"/>
      <c r="J5" s="6"/>
      <c r="K5" s="6"/>
    </row>
    <row r="6" spans="1:12" ht="17.25">
      <c r="A6" s="10" t="s">
        <v>6</v>
      </c>
      <c r="B6" s="163">
        <v>12032226</v>
      </c>
      <c r="C6" s="163">
        <v>13214569.75</v>
      </c>
      <c r="D6" s="163">
        <v>11401470.98</v>
      </c>
      <c r="E6" s="164">
        <v>11970486</v>
      </c>
      <c r="F6" s="163">
        <v>16630031</v>
      </c>
      <c r="G6" s="164">
        <v>14095153</v>
      </c>
      <c r="H6" s="164">
        <v>12472078</v>
      </c>
      <c r="I6" s="6"/>
      <c r="J6" s="6"/>
      <c r="K6" s="6"/>
    </row>
    <row r="7" spans="1:12" ht="17.25">
      <c r="A7" s="10" t="s">
        <v>5</v>
      </c>
      <c r="B7" s="163">
        <v>18278218</v>
      </c>
      <c r="C7" s="163">
        <v>21130595.140000001</v>
      </c>
      <c r="D7" s="163">
        <v>25235638.289999999</v>
      </c>
      <c r="E7" s="164">
        <v>24850807</v>
      </c>
      <c r="F7" s="163">
        <v>23435779.190000001</v>
      </c>
      <c r="G7" s="164">
        <v>13619977.65</v>
      </c>
      <c r="H7" s="164">
        <v>25383607</v>
      </c>
      <c r="I7" s="6"/>
      <c r="J7" s="6"/>
      <c r="K7" s="6"/>
    </row>
    <row r="8" spans="1:12" ht="17.25">
      <c r="A8" s="9" t="s">
        <v>9</v>
      </c>
      <c r="B8" s="46"/>
      <c r="C8" s="46"/>
      <c r="D8" s="46"/>
      <c r="E8" s="46"/>
      <c r="F8" s="46"/>
      <c r="G8" s="46"/>
      <c r="H8" s="46"/>
      <c r="I8" s="6"/>
      <c r="J8" s="6"/>
      <c r="K8" s="6"/>
    </row>
    <row r="9" spans="1:12" ht="17.25">
      <c r="A9" s="8" t="s">
        <v>8</v>
      </c>
      <c r="B9" s="163">
        <v>56777878.75</v>
      </c>
      <c r="C9" s="163">
        <v>33006552</v>
      </c>
      <c r="D9" s="163">
        <v>32488550.530000001</v>
      </c>
      <c r="E9" s="164">
        <v>6079913</v>
      </c>
      <c r="F9" s="163">
        <v>10173686</v>
      </c>
      <c r="G9" s="164">
        <v>4896855</v>
      </c>
      <c r="H9" s="164">
        <v>122159</v>
      </c>
      <c r="I9" s="6"/>
      <c r="J9" s="6"/>
      <c r="K9" s="6"/>
    </row>
    <row r="10" spans="1:12" ht="17.25">
      <c r="A10" s="8" t="s">
        <v>7</v>
      </c>
      <c r="B10" s="163">
        <v>20472137.739999998</v>
      </c>
      <c r="C10" s="163">
        <v>11692569</v>
      </c>
      <c r="D10" s="163">
        <v>8440507.1400000006</v>
      </c>
      <c r="E10" s="164">
        <v>16958535</v>
      </c>
      <c r="F10" s="163">
        <v>2603188</v>
      </c>
      <c r="G10" s="164">
        <v>2164485</v>
      </c>
      <c r="H10" s="164">
        <v>241080</v>
      </c>
      <c r="I10" s="6"/>
      <c r="J10" s="6"/>
      <c r="K10" s="6"/>
    </row>
    <row r="11" spans="1:12" ht="17.25">
      <c r="A11" s="8" t="s">
        <v>6</v>
      </c>
      <c r="B11" s="163">
        <v>18676436.75</v>
      </c>
      <c r="C11" s="163">
        <v>15853187</v>
      </c>
      <c r="D11" s="163">
        <v>10813833.08</v>
      </c>
      <c r="E11" s="164">
        <v>14438818</v>
      </c>
      <c r="F11" s="163">
        <v>9789350</v>
      </c>
      <c r="G11" s="164">
        <v>8973342</v>
      </c>
      <c r="H11" s="164">
        <v>5038680</v>
      </c>
      <c r="J11" s="6"/>
      <c r="K11" s="6"/>
    </row>
    <row r="12" spans="1:12" ht="34.5">
      <c r="A12" s="8" t="s">
        <v>227</v>
      </c>
      <c r="B12" s="163">
        <v>-101012.25</v>
      </c>
      <c r="C12" s="163">
        <v>42215.48</v>
      </c>
      <c r="D12" s="163">
        <v>375475.23</v>
      </c>
      <c r="E12" s="164">
        <v>-123917.97</v>
      </c>
      <c r="F12" s="164">
        <v>-1192886.3999999999</v>
      </c>
      <c r="G12" s="164">
        <v>-4698.03</v>
      </c>
      <c r="H12" s="164">
        <v>0</v>
      </c>
      <c r="I12" s="57" t="s">
        <v>88</v>
      </c>
      <c r="J12" s="6"/>
      <c r="K12" s="6"/>
    </row>
    <row r="13" spans="1:12" ht="17.25">
      <c r="A13" s="8" t="s">
        <v>4</v>
      </c>
      <c r="B13" s="163">
        <v>-5658821</v>
      </c>
      <c r="C13" s="163">
        <v>-3141637</v>
      </c>
      <c r="D13" s="163"/>
      <c r="E13" s="163"/>
      <c r="F13" s="164"/>
      <c r="G13" s="163"/>
      <c r="H13" s="163"/>
      <c r="I13" s="57">
        <f>SUM(H9:H13)</f>
        <v>5401919</v>
      </c>
      <c r="J13" s="6"/>
      <c r="K13" s="6"/>
    </row>
    <row r="14" spans="1:12" ht="15">
      <c r="A14" s="5" t="s">
        <v>3</v>
      </c>
      <c r="B14" s="48">
        <f>SUM(B3:B13)</f>
        <v>311214895.48000002</v>
      </c>
      <c r="C14" s="48">
        <f t="shared" ref="C14:H14" si="0">SUM(C3:C13)</f>
        <v>306409771.88</v>
      </c>
      <c r="D14" s="48">
        <f t="shared" si="0"/>
        <v>291101892.44999999</v>
      </c>
      <c r="E14" s="48">
        <f t="shared" si="0"/>
        <v>269134110.02999997</v>
      </c>
      <c r="F14" s="48">
        <f t="shared" si="0"/>
        <v>279550548.79000002</v>
      </c>
      <c r="G14" s="48">
        <f t="shared" si="0"/>
        <v>274172173.62</v>
      </c>
      <c r="H14" s="48">
        <f t="shared" si="0"/>
        <v>259957536</v>
      </c>
      <c r="I14" s="6"/>
      <c r="J14" s="6"/>
      <c r="K14" s="6"/>
    </row>
    <row r="15" spans="1:12" ht="17.25">
      <c r="A15" s="4"/>
      <c r="B15" s="3"/>
      <c r="C15" s="3"/>
      <c r="D15" s="3"/>
      <c r="E15" s="3"/>
      <c r="F15" s="3"/>
      <c r="G15" s="3"/>
    </row>
    <row r="16" spans="1:12" ht="17.25">
      <c r="A16" s="55" t="s">
        <v>279</v>
      </c>
      <c r="B16" s="3"/>
      <c r="C16" s="3"/>
      <c r="D16" s="3"/>
      <c r="E16" s="3"/>
      <c r="F16" s="3"/>
      <c r="G16" s="3"/>
    </row>
    <row r="17" spans="1:12" ht="15">
      <c r="A17" s="13" t="s">
        <v>11</v>
      </c>
      <c r="B17" s="45">
        <f>B2</f>
        <v>2011</v>
      </c>
      <c r="C17" s="45">
        <f t="shared" ref="C17:H17" si="1">C2</f>
        <v>2012</v>
      </c>
      <c r="D17" s="45">
        <f t="shared" si="1"/>
        <v>2013</v>
      </c>
      <c r="E17" s="45">
        <f t="shared" si="1"/>
        <v>2014</v>
      </c>
      <c r="F17" s="45">
        <f t="shared" si="1"/>
        <v>2015</v>
      </c>
      <c r="G17" s="45" t="str">
        <f t="shared" si="1"/>
        <v>2016 3</v>
      </c>
      <c r="H17" s="45">
        <f t="shared" si="1"/>
        <v>2017</v>
      </c>
    </row>
    <row r="18" spans="1:12" ht="17.25">
      <c r="A18" s="8" t="s">
        <v>8</v>
      </c>
      <c r="B18" s="7">
        <f t="shared" ref="B18:H18" si="2">B4+B9</f>
        <v>209046030.5</v>
      </c>
      <c r="C18" s="7">
        <f t="shared" si="2"/>
        <v>205632268.75</v>
      </c>
      <c r="D18" s="7">
        <f t="shared" si="2"/>
        <v>195087363.49000001</v>
      </c>
      <c r="E18" s="7">
        <f t="shared" si="2"/>
        <v>166367853</v>
      </c>
      <c r="F18" s="7">
        <f t="shared" si="2"/>
        <v>192153088</v>
      </c>
      <c r="G18" s="7">
        <f t="shared" si="2"/>
        <v>192011697</v>
      </c>
      <c r="H18" s="7">
        <f t="shared" si="2"/>
        <v>175128390</v>
      </c>
    </row>
    <row r="19" spans="1:12" ht="17.25">
      <c r="A19" s="8" t="s">
        <v>7</v>
      </c>
      <c r="B19" s="7">
        <f t="shared" ref="B19:H19" si="3">B5+B10</f>
        <v>58941817.480000004</v>
      </c>
      <c r="C19" s="7">
        <f t="shared" si="3"/>
        <v>53678572.759999998</v>
      </c>
      <c r="D19" s="7">
        <f t="shared" si="3"/>
        <v>48188111.380000003</v>
      </c>
      <c r="E19" s="7">
        <f t="shared" si="3"/>
        <v>51630064</v>
      </c>
      <c r="F19" s="7">
        <f t="shared" si="3"/>
        <v>38735187</v>
      </c>
      <c r="G19" s="7">
        <f t="shared" si="3"/>
        <v>45476702</v>
      </c>
      <c r="H19" s="7">
        <f t="shared" si="3"/>
        <v>41934781</v>
      </c>
    </row>
    <row r="20" spans="1:12" ht="17.25">
      <c r="A20" s="8" t="s">
        <v>6</v>
      </c>
      <c r="B20" s="7">
        <f t="shared" ref="B20:H20" si="4">B6+B11</f>
        <v>30708662.75</v>
      </c>
      <c r="C20" s="7">
        <f t="shared" si="4"/>
        <v>29067756.75</v>
      </c>
      <c r="D20" s="7">
        <f t="shared" si="4"/>
        <v>22215304.060000002</v>
      </c>
      <c r="E20" s="7">
        <f t="shared" si="4"/>
        <v>26409304</v>
      </c>
      <c r="F20" s="7">
        <f t="shared" si="4"/>
        <v>26419381</v>
      </c>
      <c r="G20" s="7">
        <f t="shared" si="4"/>
        <v>23068495</v>
      </c>
      <c r="H20" s="7">
        <f t="shared" si="4"/>
        <v>17510758</v>
      </c>
    </row>
    <row r="21" spans="1:12" ht="19.5">
      <c r="A21" s="8" t="s">
        <v>87</v>
      </c>
      <c r="B21" s="7">
        <f t="shared" ref="B21:H21" si="5">B7+B12</f>
        <v>18177205.75</v>
      </c>
      <c r="C21" s="7">
        <f t="shared" si="5"/>
        <v>21172810.620000001</v>
      </c>
      <c r="D21" s="7">
        <f t="shared" si="5"/>
        <v>25611113.52</v>
      </c>
      <c r="E21" s="7">
        <f t="shared" si="5"/>
        <v>24726889.030000001</v>
      </c>
      <c r="F21" s="7">
        <f t="shared" si="5"/>
        <v>22242892.790000003</v>
      </c>
      <c r="G21" s="7">
        <f t="shared" si="5"/>
        <v>13615279.620000001</v>
      </c>
      <c r="H21" s="7">
        <f t="shared" si="5"/>
        <v>25383607</v>
      </c>
    </row>
    <row r="22" spans="1:12" ht="17.25">
      <c r="A22" s="8" t="s">
        <v>4</v>
      </c>
      <c r="B22" s="7">
        <f t="shared" ref="B22:H22" si="6">B13</f>
        <v>-5658821</v>
      </c>
      <c r="C22" s="7">
        <f t="shared" si="6"/>
        <v>-3141637</v>
      </c>
      <c r="D22" s="7">
        <f t="shared" si="6"/>
        <v>0</v>
      </c>
      <c r="E22" s="7">
        <f t="shared" si="6"/>
        <v>0</v>
      </c>
      <c r="F22" s="7">
        <f t="shared" si="6"/>
        <v>0</v>
      </c>
      <c r="G22" s="7">
        <f t="shared" si="6"/>
        <v>0</v>
      </c>
      <c r="H22" s="7">
        <f t="shared" si="6"/>
        <v>0</v>
      </c>
    </row>
    <row r="23" spans="1:12" ht="15">
      <c r="A23" s="5" t="s">
        <v>3</v>
      </c>
      <c r="B23" s="48">
        <f t="shared" ref="B23:H23" si="7">B14</f>
        <v>311214895.48000002</v>
      </c>
      <c r="C23" s="48">
        <f t="shared" si="7"/>
        <v>306409771.88</v>
      </c>
      <c r="D23" s="48">
        <f t="shared" si="7"/>
        <v>291101892.44999999</v>
      </c>
      <c r="E23" s="48">
        <f t="shared" si="7"/>
        <v>269134110.02999997</v>
      </c>
      <c r="F23" s="48">
        <f t="shared" si="7"/>
        <v>279550548.79000002</v>
      </c>
      <c r="G23" s="48">
        <f t="shared" si="7"/>
        <v>274172173.62</v>
      </c>
      <c r="H23" s="48">
        <f t="shared" si="7"/>
        <v>259957536</v>
      </c>
    </row>
    <row r="24" spans="1:12" ht="17.25">
      <c r="A24" s="4"/>
      <c r="B24" s="3"/>
      <c r="C24" s="3"/>
      <c r="D24" s="3"/>
      <c r="E24" s="3"/>
      <c r="F24" s="3"/>
      <c r="G24" s="3"/>
      <c r="H24" s="3"/>
    </row>
    <row r="25" spans="1:12" ht="17.25">
      <c r="A25" s="49" t="s">
        <v>2</v>
      </c>
      <c r="B25" s="50"/>
      <c r="C25" s="50"/>
      <c r="D25" s="50"/>
      <c r="E25" s="50"/>
      <c r="F25" s="50"/>
      <c r="G25" s="50"/>
      <c r="H25" s="50"/>
      <c r="I25" s="51"/>
      <c r="J25" s="51"/>
    </row>
    <row r="26" spans="1:12" ht="34.5" customHeight="1">
      <c r="A26" s="425" t="s">
        <v>1</v>
      </c>
      <c r="B26" s="425"/>
      <c r="C26" s="425"/>
      <c r="D26" s="425"/>
      <c r="E26" s="425"/>
      <c r="F26" s="425"/>
      <c r="G26" s="425"/>
      <c r="H26" s="425"/>
      <c r="I26" s="425"/>
      <c r="J26" s="425"/>
      <c r="K26" s="425"/>
      <c r="L26" s="425"/>
    </row>
    <row r="27" spans="1:12" ht="17.25" customHeight="1">
      <c r="A27" s="425" t="s">
        <v>0</v>
      </c>
      <c r="B27" s="425"/>
      <c r="C27" s="425"/>
      <c r="D27" s="425"/>
      <c r="E27" s="425"/>
      <c r="F27" s="425"/>
      <c r="G27" s="425"/>
      <c r="H27" s="425"/>
      <c r="I27" s="425"/>
      <c r="J27" s="425"/>
      <c r="K27" s="425"/>
      <c r="L27" s="425"/>
    </row>
    <row r="28" spans="1:12" ht="22.5" customHeight="1">
      <c r="A28" s="421" t="s">
        <v>285</v>
      </c>
      <c r="B28" s="421"/>
      <c r="C28" s="421"/>
      <c r="D28" s="421"/>
      <c r="E28" s="421"/>
      <c r="F28" s="421"/>
      <c r="G28" s="421"/>
      <c r="H28" s="421"/>
      <c r="I28" s="421"/>
      <c r="J28" s="421"/>
      <c r="K28" s="421"/>
      <c r="L28" s="421"/>
    </row>
    <row r="30" spans="1:12" ht="17.25">
      <c r="A30" s="421"/>
      <c r="B30" s="424"/>
      <c r="C30" s="424"/>
      <c r="D30" s="424"/>
      <c r="E30" s="424"/>
      <c r="F30" s="424"/>
      <c r="G30" s="424"/>
      <c r="H30" s="424"/>
    </row>
    <row r="31" spans="1:12" ht="17.25">
      <c r="A31" s="52"/>
      <c r="B31" s="53" t="str">
        <f>TEXT(H17,0)&amp;" exp+capital"</f>
        <v>2017 exp+capital</v>
      </c>
      <c r="D31" s="56" t="s">
        <v>231</v>
      </c>
    </row>
    <row r="32" spans="1:12" ht="17.25">
      <c r="A32" s="52" t="s">
        <v>8</v>
      </c>
      <c r="B32" s="54">
        <f>H18</f>
        <v>175128390</v>
      </c>
    </row>
    <row r="33" spans="1:11" ht="17.25">
      <c r="A33" s="52" t="s">
        <v>7</v>
      </c>
      <c r="B33" s="54">
        <f t="shared" ref="B33:B35" si="8">H19</f>
        <v>41934781</v>
      </c>
      <c r="D33" s="419" t="s">
        <v>101</v>
      </c>
      <c r="E33" s="420"/>
      <c r="F33" s="420"/>
      <c r="G33" s="420"/>
      <c r="H33" s="420"/>
      <c r="I33" s="420"/>
      <c r="J33" s="420"/>
      <c r="K33" s="420"/>
    </row>
    <row r="34" spans="1:11" ht="17.25">
      <c r="A34" s="52" t="s">
        <v>6</v>
      </c>
      <c r="B34" s="54">
        <f t="shared" si="8"/>
        <v>17510758</v>
      </c>
      <c r="D34" s="421" t="str">
        <f>"Total: $" &amp; TEXT(H23,"#0.0,,") &amp; " million includes $" &amp; TEXT(I13,"#0.0,,") &amp; " million in obligations to capital projects"</f>
        <v>Total: $260.0 million includes $5.4 million in obligations to capital projects</v>
      </c>
      <c r="E34" s="422"/>
      <c r="F34" s="422"/>
      <c r="G34" s="422"/>
      <c r="H34" s="422"/>
      <c r="I34" s="422"/>
      <c r="J34" s="422"/>
      <c r="K34" s="422"/>
    </row>
    <row r="35" spans="1:11" ht="17.25">
      <c r="A35" s="52" t="s">
        <v>5</v>
      </c>
      <c r="B35" s="54">
        <f t="shared" si="8"/>
        <v>25383607</v>
      </c>
    </row>
    <row r="36" spans="1:11" ht="17.25">
      <c r="A36" s="52"/>
      <c r="B36" s="54"/>
    </row>
    <row r="37" spans="1:11" ht="17.25">
      <c r="A37" s="52"/>
      <c r="B37" s="52"/>
    </row>
    <row r="38" spans="1:11" ht="17.25">
      <c r="A38" s="52"/>
      <c r="B38" s="52"/>
    </row>
    <row r="39" spans="1:11" ht="17.25">
      <c r="A39" s="52"/>
      <c r="B39" s="52"/>
    </row>
    <row r="40" spans="1:11" ht="17.25">
      <c r="A40" s="52"/>
      <c r="B40" s="52"/>
    </row>
    <row r="41" spans="1:11" ht="17.25">
      <c r="A41" s="1"/>
      <c r="B41" s="52"/>
    </row>
  </sheetData>
  <mergeCells count="7">
    <mergeCell ref="D33:K33"/>
    <mergeCell ref="D34:K34"/>
    <mergeCell ref="A1:I1"/>
    <mergeCell ref="A30:H30"/>
    <mergeCell ref="A26:L26"/>
    <mergeCell ref="A27:L27"/>
    <mergeCell ref="A28:L28"/>
  </mergeCells>
  <pageMargins left="0.36" right="0.35" top="0.82" bottom="0.28000000000000003" header="0.21" footer="0.16"/>
  <pageSetup scale="7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opLeftCell="A10" zoomScaleNormal="100" workbookViewId="0">
      <selection activeCell="H21" sqref="H21"/>
    </sheetView>
  </sheetViews>
  <sheetFormatPr defaultRowHeight="17.25"/>
  <cols>
    <col min="1" max="5" width="16.28515625" style="15" customWidth="1"/>
    <col min="6" max="10" width="15.42578125" style="15" bestFit="1" customWidth="1"/>
    <col min="11" max="12" width="15.42578125" style="14" customWidth="1"/>
    <col min="13" max="13" width="15.5703125" style="14" customWidth="1"/>
    <col min="14" max="16384" width="9.140625" style="14"/>
  </cols>
  <sheetData>
    <row r="1" spans="1:14" ht="30.75" customHeight="1">
      <c r="A1" s="21" t="s">
        <v>228</v>
      </c>
      <c r="B1" s="21"/>
      <c r="C1" s="21"/>
      <c r="D1" s="21"/>
      <c r="E1" s="21"/>
    </row>
    <row r="2" spans="1:14" ht="21.75" customHeight="1">
      <c r="A2" s="58" t="s">
        <v>14</v>
      </c>
      <c r="B2" s="59">
        <v>2006</v>
      </c>
      <c r="C2" s="59">
        <v>2007</v>
      </c>
      <c r="D2" s="59">
        <v>2008</v>
      </c>
      <c r="E2" s="59">
        <v>2009</v>
      </c>
      <c r="F2" s="59">
        <v>2010</v>
      </c>
      <c r="G2" s="59">
        <v>2011</v>
      </c>
      <c r="H2" s="59">
        <v>2012</v>
      </c>
      <c r="I2" s="59">
        <v>2013</v>
      </c>
      <c r="J2" s="59">
        <v>2014</v>
      </c>
      <c r="K2" s="59">
        <v>2015</v>
      </c>
      <c r="L2" s="59" t="s">
        <v>283</v>
      </c>
      <c r="M2" s="165">
        <v>2017</v>
      </c>
    </row>
    <row r="3" spans="1:14">
      <c r="A3" s="60" t="s">
        <v>13</v>
      </c>
      <c r="B3" s="47">
        <v>74024959.329999998</v>
      </c>
      <c r="C3" s="47">
        <v>78219265.00000003</v>
      </c>
      <c r="D3" s="47">
        <v>91806508</v>
      </c>
      <c r="E3" s="47">
        <v>113900603</v>
      </c>
      <c r="F3" s="47">
        <v>129758323</v>
      </c>
      <c r="G3" s="47">
        <v>143477289</v>
      </c>
      <c r="H3" s="47">
        <v>162060445</v>
      </c>
      <c r="I3" s="47">
        <v>151177409</v>
      </c>
      <c r="J3" s="47">
        <v>143128947.90000001</v>
      </c>
      <c r="K3" s="47">
        <v>165362220.78999999</v>
      </c>
      <c r="L3" s="166">
        <v>159987743.56999999</v>
      </c>
      <c r="M3" s="166">
        <v>156828472.72999999</v>
      </c>
    </row>
    <row r="4" spans="1:14">
      <c r="A4" s="60" t="s">
        <v>12</v>
      </c>
      <c r="B4" s="47">
        <v>5086155.01</v>
      </c>
      <c r="C4" s="47">
        <v>8839587.0300000012</v>
      </c>
      <c r="D4" s="47">
        <v>9869097</v>
      </c>
      <c r="E4" s="47">
        <v>11668863</v>
      </c>
      <c r="F4" s="47">
        <v>21761323</v>
      </c>
      <c r="G4" s="47">
        <v>31297548</v>
      </c>
      <c r="H4" s="47">
        <v>29240867</v>
      </c>
      <c r="I4" s="47">
        <v>29683425</v>
      </c>
      <c r="J4" s="47">
        <v>5925196.1100000003</v>
      </c>
      <c r="K4" s="47">
        <v>7703153.2699999996</v>
      </c>
      <c r="L4" s="166">
        <v>1249955.1399999999</v>
      </c>
      <c r="M4" s="166">
        <v>-396792.47</v>
      </c>
    </row>
    <row r="5" spans="1:14" s="17" customFormat="1" ht="15">
      <c r="A5" s="20" t="s">
        <v>3</v>
      </c>
      <c r="B5" s="19">
        <f t="shared" ref="B5:E5" si="0">SUM(B3:B4)</f>
        <v>79111114.340000004</v>
      </c>
      <c r="C5" s="19">
        <f t="shared" si="0"/>
        <v>87058852.030000031</v>
      </c>
      <c r="D5" s="19">
        <f t="shared" si="0"/>
        <v>101675605</v>
      </c>
      <c r="E5" s="19">
        <f t="shared" si="0"/>
        <v>125569466</v>
      </c>
      <c r="F5" s="19">
        <f t="shared" ref="F5:M5" si="1">SUM(F3:F4)</f>
        <v>151519646</v>
      </c>
      <c r="G5" s="19">
        <f t="shared" si="1"/>
        <v>174774837</v>
      </c>
      <c r="H5" s="19">
        <f t="shared" si="1"/>
        <v>191301312</v>
      </c>
      <c r="I5" s="19">
        <f t="shared" si="1"/>
        <v>180860834</v>
      </c>
      <c r="J5" s="18">
        <f t="shared" si="1"/>
        <v>149054144.01000002</v>
      </c>
      <c r="K5" s="18">
        <f t="shared" si="1"/>
        <v>173065374.06</v>
      </c>
      <c r="L5" s="18">
        <f t="shared" si="1"/>
        <v>161237698.70999998</v>
      </c>
      <c r="M5" s="18">
        <f t="shared" si="1"/>
        <v>156431680.25999999</v>
      </c>
    </row>
    <row r="6" spans="1:14" s="17" customFormat="1" ht="15">
      <c r="A6" s="16"/>
      <c r="B6" s="16"/>
      <c r="C6" s="16"/>
      <c r="D6" s="16"/>
      <c r="E6" s="16"/>
      <c r="F6" s="61"/>
      <c r="G6" s="61"/>
      <c r="H6" s="61"/>
      <c r="I6" s="61"/>
      <c r="J6" s="61"/>
      <c r="K6" s="61"/>
      <c r="L6" s="61"/>
      <c r="M6" s="61"/>
    </row>
    <row r="7" spans="1:14" s="17" customFormat="1" ht="15">
      <c r="A7" s="16" t="s">
        <v>89</v>
      </c>
      <c r="B7" s="16"/>
      <c r="C7" s="16"/>
      <c r="D7" s="16"/>
      <c r="E7" s="16"/>
      <c r="F7" s="61"/>
      <c r="G7" s="61"/>
      <c r="H7" s="61"/>
      <c r="I7" s="61"/>
      <c r="J7" s="61"/>
      <c r="K7" s="61"/>
      <c r="L7" s="61"/>
      <c r="M7" s="61"/>
    </row>
    <row r="8" spans="1:14">
      <c r="B8" s="15" t="str">
        <f t="shared" ref="B8:E8" si="2">LEFT(B2,4)</f>
        <v>2006</v>
      </c>
      <c r="C8" s="15" t="str">
        <f t="shared" si="2"/>
        <v>2007</v>
      </c>
      <c r="D8" s="15" t="str">
        <f t="shared" si="2"/>
        <v>2008</v>
      </c>
      <c r="E8" s="15" t="str">
        <f t="shared" si="2"/>
        <v>2009</v>
      </c>
      <c r="F8" s="15" t="str">
        <f>LEFT(F2,4)</f>
        <v>2010</v>
      </c>
      <c r="G8" s="15" t="str">
        <f t="shared" ref="G8:M8" si="3">LEFT(G2,4)</f>
        <v>2011</v>
      </c>
      <c r="H8" s="15" t="str">
        <f t="shared" si="3"/>
        <v>2012</v>
      </c>
      <c r="I8" s="15" t="str">
        <f t="shared" si="3"/>
        <v>2013</v>
      </c>
      <c r="J8" s="15" t="str">
        <f t="shared" si="3"/>
        <v>2014</v>
      </c>
      <c r="K8" s="15" t="str">
        <f t="shared" si="3"/>
        <v>2015</v>
      </c>
      <c r="L8" s="15" t="str">
        <f t="shared" si="3"/>
        <v>2016</v>
      </c>
      <c r="M8" s="15" t="str">
        <f t="shared" si="3"/>
        <v>2017</v>
      </c>
    </row>
    <row r="9" spans="1:14">
      <c r="A9" s="16" t="s">
        <v>2</v>
      </c>
      <c r="B9" s="16"/>
      <c r="C9" s="16"/>
      <c r="D9" s="16"/>
      <c r="E9" s="16"/>
    </row>
    <row r="10" spans="1:14" ht="41.25" customHeight="1">
      <c r="A10" s="426" t="s">
        <v>229</v>
      </c>
      <c r="B10" s="426"/>
      <c r="C10" s="426"/>
      <c r="D10" s="426"/>
      <c r="E10" s="426"/>
      <c r="F10" s="426"/>
      <c r="G10" s="426"/>
      <c r="H10" s="426"/>
      <c r="I10" s="426"/>
      <c r="J10" s="426"/>
      <c r="K10" s="426"/>
      <c r="L10" s="426"/>
      <c r="M10" s="426"/>
      <c r="N10" s="426"/>
    </row>
    <row r="11" spans="1:14" ht="18" customHeight="1">
      <c r="A11" s="182" t="s">
        <v>280</v>
      </c>
      <c r="B11" s="208"/>
      <c r="C11" s="208"/>
      <c r="D11" s="205"/>
      <c r="E11" s="205"/>
      <c r="F11" s="181"/>
      <c r="G11" s="181"/>
      <c r="H11" s="181"/>
      <c r="I11" s="181"/>
      <c r="J11" s="181"/>
      <c r="K11" s="181"/>
      <c r="L11" s="181"/>
      <c r="M11" s="181"/>
      <c r="N11" s="181"/>
    </row>
    <row r="12" spans="1:14">
      <c r="A12" s="182" t="s">
        <v>284</v>
      </c>
      <c r="B12" s="208"/>
      <c r="C12" s="208"/>
      <c r="D12" s="205"/>
      <c r="E12" s="205"/>
      <c r="F12" s="157"/>
      <c r="G12" s="157"/>
      <c r="H12" s="157"/>
      <c r="I12" s="157"/>
      <c r="J12" s="157"/>
      <c r="K12"/>
      <c r="L12"/>
      <c r="M12"/>
      <c r="N12"/>
    </row>
    <row r="13" spans="1:14">
      <c r="A13" s="203" t="s">
        <v>320</v>
      </c>
      <c r="B13" s="208"/>
      <c r="C13" s="208"/>
      <c r="D13" s="205"/>
      <c r="E13" s="205"/>
      <c r="F13" s="203"/>
      <c r="G13" s="203"/>
      <c r="H13" s="203"/>
      <c r="I13" s="203"/>
      <c r="J13" s="203"/>
      <c r="K13"/>
      <c r="L13"/>
      <c r="M13"/>
      <c r="N13"/>
    </row>
    <row r="14" spans="1:14">
      <c r="A14" s="203"/>
      <c r="B14" s="208"/>
      <c r="C14" s="208"/>
      <c r="D14" s="205"/>
      <c r="E14" s="205"/>
      <c r="F14" s="203"/>
      <c r="G14" s="203"/>
      <c r="H14" s="203"/>
      <c r="I14" s="203"/>
      <c r="J14" s="203"/>
      <c r="K14"/>
      <c r="L14"/>
      <c r="M14"/>
      <c r="N14"/>
    </row>
  </sheetData>
  <mergeCells count="1">
    <mergeCell ref="A10:N10"/>
  </mergeCells>
  <pageMargins left="0.56000000000000005" right="0.5" top="1.03" bottom="1.08" header="0.16" footer="0.22"/>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opLeftCell="A19" workbookViewId="0">
      <selection activeCell="A29" sqref="A29:D29"/>
    </sheetView>
  </sheetViews>
  <sheetFormatPr defaultRowHeight="16.5"/>
  <cols>
    <col min="1" max="1" width="62.85546875" style="22" bestFit="1" customWidth="1"/>
    <col min="2" max="2" width="14.5703125" style="25" bestFit="1" customWidth="1"/>
    <col min="3" max="3" width="16.7109375" style="25" bestFit="1" customWidth="1"/>
    <col min="4" max="4" width="16.42578125" style="24" bestFit="1" customWidth="1"/>
    <col min="5" max="5" width="17.42578125" style="25" customWidth="1"/>
    <col min="6" max="6" width="16.7109375" style="25" bestFit="1" customWidth="1"/>
    <col min="7" max="7" width="15.42578125" style="24" bestFit="1" customWidth="1"/>
    <col min="8" max="8" width="14.5703125" style="23" bestFit="1" customWidth="1"/>
    <col min="9" max="16384" width="9.140625" style="22"/>
  </cols>
  <sheetData>
    <row r="1" spans="1:8" ht="33" customHeight="1">
      <c r="A1" s="428" t="s">
        <v>287</v>
      </c>
      <c r="B1" s="428"/>
      <c r="C1" s="428"/>
      <c r="D1" s="428"/>
      <c r="E1" s="428"/>
      <c r="F1" s="428"/>
      <c r="G1" s="428"/>
      <c r="H1" s="428"/>
    </row>
    <row r="2" spans="1:8" s="28" customFormat="1" ht="58.5">
      <c r="A2" s="31" t="s">
        <v>38</v>
      </c>
      <c r="B2" s="29" t="s">
        <v>37</v>
      </c>
      <c r="C2" s="29" t="s">
        <v>36</v>
      </c>
      <c r="D2" s="30" t="s">
        <v>35</v>
      </c>
      <c r="E2" s="29" t="s">
        <v>34</v>
      </c>
      <c r="F2" s="29" t="s">
        <v>33</v>
      </c>
      <c r="G2" s="30" t="s">
        <v>32</v>
      </c>
      <c r="H2" s="29" t="s">
        <v>31</v>
      </c>
    </row>
    <row r="3" spans="1:8">
      <c r="A3" s="62" t="s">
        <v>30</v>
      </c>
      <c r="B3" s="63">
        <v>4733445.4000000004</v>
      </c>
      <c r="C3" s="63">
        <v>1540958.8</v>
      </c>
      <c r="D3" s="64">
        <f>B3+C3</f>
        <v>6274404.2000000002</v>
      </c>
      <c r="E3" s="63">
        <v>471454.2</v>
      </c>
      <c r="F3" s="63">
        <v>-4991.5</v>
      </c>
      <c r="G3" s="64">
        <f>E3+F3</f>
        <v>466462.7</v>
      </c>
      <c r="H3" s="65">
        <f>D3+G3</f>
        <v>6740866.9000000004</v>
      </c>
    </row>
    <row r="4" spans="1:8">
      <c r="A4" s="62" t="s">
        <v>29</v>
      </c>
      <c r="B4" s="63">
        <v>8893903.1999999993</v>
      </c>
      <c r="C4" s="63">
        <v>4143784.8</v>
      </c>
      <c r="D4" s="64">
        <f t="shared" ref="D4:D19" si="0">B4+C4</f>
        <v>13037688</v>
      </c>
      <c r="E4" s="63">
        <v>0</v>
      </c>
      <c r="F4" s="63">
        <v>0</v>
      </c>
      <c r="G4" s="64">
        <f t="shared" ref="G4:G19" si="1">E4+F4</f>
        <v>0</v>
      </c>
      <c r="H4" s="65">
        <f t="shared" ref="H4:H19" si="2">D4+G4</f>
        <v>13037688</v>
      </c>
    </row>
    <row r="5" spans="1:8">
      <c r="A5" s="62" t="s">
        <v>28</v>
      </c>
      <c r="B5" s="63">
        <v>19921802</v>
      </c>
      <c r="C5" s="63">
        <v>5166815</v>
      </c>
      <c r="D5" s="64">
        <f t="shared" si="0"/>
        <v>25088617</v>
      </c>
      <c r="E5" s="63">
        <v>0</v>
      </c>
      <c r="F5" s="63">
        <v>0</v>
      </c>
      <c r="G5" s="64">
        <f t="shared" si="1"/>
        <v>0</v>
      </c>
      <c r="H5" s="66">
        <f t="shared" si="2"/>
        <v>25088617</v>
      </c>
    </row>
    <row r="6" spans="1:8">
      <c r="A6" s="62" t="s">
        <v>27</v>
      </c>
      <c r="B6" s="63">
        <v>8868306.1999999993</v>
      </c>
      <c r="C6" s="63">
        <v>4504925</v>
      </c>
      <c r="D6" s="64">
        <f t="shared" si="0"/>
        <v>13373231.199999999</v>
      </c>
      <c r="E6" s="63">
        <v>-22555.25</v>
      </c>
      <c r="F6" s="63">
        <v>-841759</v>
      </c>
      <c r="G6" s="64">
        <f t="shared" si="1"/>
        <v>-864314.25</v>
      </c>
      <c r="H6" s="66">
        <f t="shared" si="2"/>
        <v>12508916.949999999</v>
      </c>
    </row>
    <row r="7" spans="1:8">
      <c r="A7" s="62" t="s">
        <v>26</v>
      </c>
      <c r="B7" s="63">
        <v>3320657.2</v>
      </c>
      <c r="C7" s="63">
        <v>1878858</v>
      </c>
      <c r="D7" s="64">
        <f t="shared" si="0"/>
        <v>5199515.2</v>
      </c>
      <c r="E7" s="63">
        <v>0</v>
      </c>
      <c r="F7" s="63">
        <v>0</v>
      </c>
      <c r="G7" s="64">
        <f t="shared" si="1"/>
        <v>0</v>
      </c>
      <c r="H7" s="66">
        <f t="shared" si="2"/>
        <v>5199515.2</v>
      </c>
    </row>
    <row r="8" spans="1:8">
      <c r="A8" s="62" t="s">
        <v>25</v>
      </c>
      <c r="B8" s="63">
        <v>2202500.2000000002</v>
      </c>
      <c r="C8" s="63">
        <v>445003</v>
      </c>
      <c r="D8" s="64">
        <f t="shared" si="0"/>
        <v>2647503.2000000002</v>
      </c>
      <c r="E8" s="63">
        <v>0</v>
      </c>
      <c r="F8" s="63">
        <v>0</v>
      </c>
      <c r="G8" s="64">
        <f t="shared" si="1"/>
        <v>0</v>
      </c>
      <c r="H8" s="66">
        <f t="shared" si="2"/>
        <v>2647503.2000000002</v>
      </c>
    </row>
    <row r="9" spans="1:8">
      <c r="A9" s="62" t="s">
        <v>24</v>
      </c>
      <c r="B9" s="63">
        <v>2534026.4500000002</v>
      </c>
      <c r="C9" s="63">
        <v>664563.25</v>
      </c>
      <c r="D9" s="64">
        <f t="shared" si="0"/>
        <v>3198589.7</v>
      </c>
      <c r="E9" s="63">
        <v>-25842</v>
      </c>
      <c r="F9" s="63">
        <v>-6115.6</v>
      </c>
      <c r="G9" s="64">
        <f t="shared" si="1"/>
        <v>-31957.599999999999</v>
      </c>
      <c r="H9" s="66">
        <f t="shared" si="2"/>
        <v>3166632.1</v>
      </c>
    </row>
    <row r="10" spans="1:8">
      <c r="A10" s="62" t="s">
        <v>23</v>
      </c>
      <c r="B10" s="63">
        <v>6014738.2000000002</v>
      </c>
      <c r="C10" s="63">
        <v>1263844</v>
      </c>
      <c r="D10" s="64">
        <f t="shared" si="0"/>
        <v>7278582.2000000002</v>
      </c>
      <c r="E10" s="63">
        <v>0</v>
      </c>
      <c r="F10" s="63">
        <v>0</v>
      </c>
      <c r="G10" s="64">
        <f t="shared" si="1"/>
        <v>0</v>
      </c>
      <c r="H10" s="66">
        <f t="shared" si="2"/>
        <v>7278582.2000000002</v>
      </c>
    </row>
    <row r="11" spans="1:8">
      <c r="A11" s="62" t="s">
        <v>22</v>
      </c>
      <c r="B11" s="63">
        <v>4252253.45</v>
      </c>
      <c r="C11" s="63">
        <v>1168950.33</v>
      </c>
      <c r="D11" s="64">
        <f t="shared" si="0"/>
        <v>5421203.7800000003</v>
      </c>
      <c r="E11" s="63">
        <v>32878.49</v>
      </c>
      <c r="F11" s="63">
        <v>-6115.51</v>
      </c>
      <c r="G11" s="64">
        <f t="shared" si="1"/>
        <v>26762.979999999996</v>
      </c>
      <c r="H11" s="66">
        <f t="shared" si="2"/>
        <v>5447966.7600000007</v>
      </c>
    </row>
    <row r="12" spans="1:8">
      <c r="A12" s="62" t="s">
        <v>21</v>
      </c>
      <c r="B12" s="63">
        <v>27726471.449999999</v>
      </c>
      <c r="C12" s="63">
        <v>11187839.33</v>
      </c>
      <c r="D12" s="64">
        <f t="shared" si="0"/>
        <v>38914310.780000001</v>
      </c>
      <c r="E12" s="63">
        <v>0</v>
      </c>
      <c r="F12" s="63">
        <v>0</v>
      </c>
      <c r="G12" s="64">
        <f t="shared" si="1"/>
        <v>0</v>
      </c>
      <c r="H12" s="66">
        <f t="shared" si="2"/>
        <v>38914310.780000001</v>
      </c>
    </row>
    <row r="13" spans="1:8">
      <c r="A13" s="62" t="s">
        <v>20</v>
      </c>
      <c r="B13" s="63">
        <v>20896643.199999999</v>
      </c>
      <c r="C13" s="63">
        <v>5286845</v>
      </c>
      <c r="D13" s="64">
        <f t="shared" si="0"/>
        <v>26183488.199999999</v>
      </c>
      <c r="E13" s="63">
        <v>0</v>
      </c>
      <c r="F13" s="63">
        <v>0</v>
      </c>
      <c r="G13" s="64">
        <f t="shared" si="1"/>
        <v>0</v>
      </c>
      <c r="H13" s="66">
        <f t="shared" si="2"/>
        <v>26183488.199999999</v>
      </c>
    </row>
    <row r="14" spans="1:8">
      <c r="A14" s="62" t="s">
        <v>288</v>
      </c>
      <c r="B14" s="63">
        <v>10252030</v>
      </c>
      <c r="C14" s="63">
        <v>4234738</v>
      </c>
      <c r="D14" s="64">
        <f t="shared" si="0"/>
        <v>14486768</v>
      </c>
      <c r="E14" s="63">
        <v>3631.75</v>
      </c>
      <c r="F14" s="63">
        <v>2622</v>
      </c>
      <c r="G14" s="64">
        <f t="shared" si="1"/>
        <v>6253.75</v>
      </c>
      <c r="H14" s="66">
        <f t="shared" si="2"/>
        <v>14493021.75</v>
      </c>
    </row>
    <row r="15" spans="1:8">
      <c r="A15" s="62" t="s">
        <v>19</v>
      </c>
      <c r="B15" s="63">
        <v>2352649.7000000002</v>
      </c>
      <c r="C15" s="63">
        <v>1445512.7</v>
      </c>
      <c r="D15" s="64">
        <f t="shared" si="0"/>
        <v>3798162.4000000004</v>
      </c>
      <c r="E15" s="63">
        <v>0</v>
      </c>
      <c r="F15" s="63">
        <v>0</v>
      </c>
      <c r="G15" s="64">
        <f t="shared" si="1"/>
        <v>0</v>
      </c>
      <c r="H15" s="66">
        <f t="shared" si="2"/>
        <v>3798162.4000000004</v>
      </c>
    </row>
    <row r="16" spans="1:8" ht="18">
      <c r="A16" s="62" t="s">
        <v>321</v>
      </c>
      <c r="B16" s="63">
        <v>0</v>
      </c>
      <c r="C16" s="63">
        <v>0</v>
      </c>
      <c r="D16" s="64">
        <f t="shared" si="0"/>
        <v>0</v>
      </c>
      <c r="E16" s="63">
        <v>0</v>
      </c>
      <c r="F16" s="63">
        <v>0</v>
      </c>
      <c r="G16" s="64">
        <f t="shared" si="1"/>
        <v>0</v>
      </c>
      <c r="H16" s="65">
        <f t="shared" si="2"/>
        <v>0</v>
      </c>
    </row>
    <row r="17" spans="1:8">
      <c r="A17" s="62" t="s">
        <v>18</v>
      </c>
      <c r="B17" s="63">
        <v>908519.8</v>
      </c>
      <c r="C17" s="63">
        <v>773751</v>
      </c>
      <c r="D17" s="64">
        <f t="shared" si="0"/>
        <v>1682270.8</v>
      </c>
      <c r="E17" s="67">
        <v>0</v>
      </c>
      <c r="F17" s="67">
        <v>0</v>
      </c>
      <c r="G17" s="64">
        <f t="shared" si="1"/>
        <v>0</v>
      </c>
      <c r="H17" s="66">
        <f t="shared" si="2"/>
        <v>1682270.8</v>
      </c>
    </row>
    <row r="18" spans="1:8">
      <c r="A18" s="62" t="s">
        <v>17</v>
      </c>
      <c r="B18" s="63">
        <v>7940397.7999999998</v>
      </c>
      <c r="C18" s="63">
        <v>2219442</v>
      </c>
      <c r="D18" s="64">
        <f t="shared" si="0"/>
        <v>10159839.800000001</v>
      </c>
      <c r="E18" s="63">
        <v>0</v>
      </c>
      <c r="F18" s="63">
        <v>0</v>
      </c>
      <c r="G18" s="64">
        <f t="shared" si="1"/>
        <v>0</v>
      </c>
      <c r="H18" s="65">
        <f t="shared" si="2"/>
        <v>10159839.800000001</v>
      </c>
    </row>
    <row r="19" spans="1:8">
      <c r="A19" s="62" t="s">
        <v>16</v>
      </c>
      <c r="B19" s="167">
        <v>9611963.7300000004</v>
      </c>
      <c r="C19" s="167">
        <v>5331457.75</v>
      </c>
      <c r="D19" s="183">
        <f t="shared" si="0"/>
        <v>14943421.48</v>
      </c>
      <c r="E19" s="167">
        <v>0</v>
      </c>
      <c r="F19" s="167">
        <v>0</v>
      </c>
      <c r="G19" s="183">
        <f t="shared" si="1"/>
        <v>0</v>
      </c>
      <c r="H19" s="168">
        <f t="shared" si="2"/>
        <v>14943421.48</v>
      </c>
    </row>
    <row r="20" spans="1:8" s="26" customFormat="1" ht="14.25">
      <c r="A20" s="26" t="s">
        <v>3</v>
      </c>
      <c r="B20" s="27">
        <f t="shared" ref="B20:G20" si="3">SUM(B3:B19)</f>
        <v>140430307.98000002</v>
      </c>
      <c r="C20" s="27">
        <f t="shared" si="3"/>
        <v>51257287.960000001</v>
      </c>
      <c r="D20" s="27">
        <f t="shared" si="3"/>
        <v>191687595.94000003</v>
      </c>
      <c r="E20" s="27">
        <f t="shared" si="3"/>
        <v>459567.19</v>
      </c>
      <c r="F20" s="27">
        <f t="shared" si="3"/>
        <v>-856359.61</v>
      </c>
      <c r="G20" s="27">
        <f t="shared" si="3"/>
        <v>-396792.42</v>
      </c>
      <c r="H20" s="27">
        <f t="shared" ref="H20" si="4">D20+G20</f>
        <v>191290803.52000004</v>
      </c>
    </row>
    <row r="22" spans="1:8">
      <c r="A22" s="26" t="s">
        <v>2</v>
      </c>
    </row>
    <row r="23" spans="1:8" ht="16.5" customHeight="1">
      <c r="A23" s="429" t="s">
        <v>289</v>
      </c>
      <c r="B23" s="429"/>
      <c r="C23" s="429"/>
      <c r="D23" s="429"/>
      <c r="E23" s="429"/>
      <c r="F23" s="429"/>
      <c r="G23" s="429"/>
      <c r="H23" s="429"/>
    </row>
    <row r="24" spans="1:8" ht="33.75" customHeight="1">
      <c r="A24" s="429" t="s">
        <v>15</v>
      </c>
      <c r="B24" s="429"/>
      <c r="C24" s="429"/>
      <c r="D24" s="429"/>
      <c r="E24" s="429"/>
      <c r="F24" s="429"/>
      <c r="G24" s="429"/>
      <c r="H24" s="429"/>
    </row>
    <row r="25" spans="1:8" ht="17.25" customHeight="1">
      <c r="A25" s="184" t="s">
        <v>290</v>
      </c>
      <c r="B25" s="185"/>
      <c r="C25" s="185"/>
      <c r="D25" s="186"/>
      <c r="E25" s="185"/>
      <c r="F25" s="185"/>
      <c r="G25" s="186"/>
      <c r="H25" s="187"/>
    </row>
    <row r="26" spans="1:8">
      <c r="A26" s="184" t="s">
        <v>322</v>
      </c>
      <c r="B26" s="185"/>
      <c r="C26" s="185"/>
      <c r="D26" s="186"/>
      <c r="E26" s="185"/>
      <c r="F26" s="185"/>
      <c r="G26" s="186"/>
      <c r="H26" s="187"/>
    </row>
    <row r="27" spans="1:8">
      <c r="A27" s="143"/>
      <c r="B27" s="143"/>
      <c r="C27" s="143"/>
      <c r="D27" s="143"/>
      <c r="E27" s="143"/>
      <c r="F27" s="143"/>
      <c r="G27" s="143"/>
      <c r="H27" s="143"/>
    </row>
    <row r="28" spans="1:8">
      <c r="A28" s="22" t="s">
        <v>102</v>
      </c>
    </row>
    <row r="29" spans="1:8" ht="33.75" customHeight="1">
      <c r="A29" s="427" t="str">
        <f>"Total: $" &amp; TEXT(H20,"#.0,,") &amp; " million (Expense: $" &amp; TEXT(D20,"#.0,,") &amp; " million, Capital: $" &amp; TEXT(G20,"#.0,,") &amp; " million)"</f>
        <v>Total: $191.3 million (Expense: $191.7 million, Capital: $-.4 million)</v>
      </c>
      <c r="B29" s="427"/>
      <c r="C29" s="427"/>
      <c r="D29" s="427"/>
    </row>
  </sheetData>
  <mergeCells count="4">
    <mergeCell ref="A29:D29"/>
    <mergeCell ref="A1:H1"/>
    <mergeCell ref="A24:H24"/>
    <mergeCell ref="A23:H23"/>
  </mergeCells>
  <pageMargins left="0.25" right="0.25" top="0.75" bottom="0.75" header="0.3" footer="0.3"/>
  <pageSetup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topLeftCell="A4" zoomScaleNormal="100" workbookViewId="0">
      <selection activeCell="B6" sqref="B6"/>
    </sheetView>
  </sheetViews>
  <sheetFormatPr defaultRowHeight="17.25"/>
  <cols>
    <col min="1" max="1" width="32.85546875" style="68" customWidth="1"/>
    <col min="2" max="2" width="17.140625" style="68" customWidth="1"/>
    <col min="3" max="6" width="17.140625" style="68" bestFit="1" customWidth="1"/>
    <col min="7" max="8" width="17.7109375" style="68" customWidth="1"/>
    <col min="9" max="16384" width="9.140625" style="68"/>
  </cols>
  <sheetData>
    <row r="1" spans="1:10">
      <c r="A1" s="430" t="str">
        <f>"Table/Figure 5: Direct Program Expenditures by Fund, FY"&amp;H4</f>
        <v>Table/Figure 5: Direct Program Expenditures by Fund, FY2017</v>
      </c>
      <c r="B1" s="430"/>
      <c r="C1" s="430"/>
      <c r="D1" s="430"/>
      <c r="E1" s="430"/>
      <c r="F1" s="430"/>
      <c r="G1" s="430"/>
      <c r="H1" s="430"/>
    </row>
    <row r="2" spans="1:10">
      <c r="A2" s="70"/>
      <c r="B2" s="69"/>
      <c r="C2" s="69"/>
      <c r="D2" s="69"/>
      <c r="E2" s="69"/>
      <c r="F2" s="69"/>
    </row>
    <row r="3" spans="1:10">
      <c r="A3" s="69"/>
      <c r="B3" s="69"/>
      <c r="C3" s="69"/>
      <c r="D3" s="69"/>
      <c r="E3" s="69"/>
      <c r="F3" s="69"/>
    </row>
    <row r="4" spans="1:10" ht="19.5">
      <c r="A4" s="76" t="s">
        <v>98</v>
      </c>
      <c r="B4" s="165">
        <v>2011</v>
      </c>
      <c r="C4" s="165">
        <v>2012</v>
      </c>
      <c r="D4" s="165">
        <v>2013</v>
      </c>
      <c r="E4" s="165">
        <v>2014</v>
      </c>
      <c r="F4" s="165">
        <v>2015</v>
      </c>
      <c r="G4" s="165" t="s">
        <v>282</v>
      </c>
      <c r="H4" s="165">
        <v>2017</v>
      </c>
    </row>
    <row r="5" spans="1:10">
      <c r="A5" s="3" t="s">
        <v>232</v>
      </c>
      <c r="B5" s="73">
        <v>105257648</v>
      </c>
      <c r="C5" s="73">
        <v>109818406</v>
      </c>
      <c r="D5" s="169">
        <v>102742463.01000001</v>
      </c>
      <c r="E5" s="169">
        <v>93422644</v>
      </c>
      <c r="F5" s="169">
        <v>102350719.14</v>
      </c>
      <c r="G5" s="169">
        <v>104327574.5</v>
      </c>
      <c r="H5" s="169">
        <v>98725347.159999996</v>
      </c>
    </row>
    <row r="6" spans="1:10" ht="19.5">
      <c r="A6" s="3" t="s">
        <v>96</v>
      </c>
      <c r="B6" s="73"/>
      <c r="C6" s="73"/>
      <c r="D6" s="169"/>
      <c r="E6" s="169"/>
      <c r="F6" s="169"/>
      <c r="G6" s="169"/>
      <c r="H6" s="169"/>
      <c r="J6" s="75"/>
    </row>
    <row r="7" spans="1:10">
      <c r="A7" s="74" t="s">
        <v>95</v>
      </c>
      <c r="B7" s="73">
        <v>79829739</v>
      </c>
      <c r="C7" s="73">
        <v>76351240</v>
      </c>
      <c r="D7" s="169">
        <v>75238564.810000002</v>
      </c>
      <c r="E7" s="169">
        <v>53057116.689999998</v>
      </c>
      <c r="F7" s="169">
        <v>78332688.890000001</v>
      </c>
      <c r="G7" s="169">
        <v>56949840.909999996</v>
      </c>
      <c r="H7" s="169">
        <v>57016537.530000001</v>
      </c>
    </row>
    <row r="8" spans="1:10">
      <c r="A8" s="74" t="s">
        <v>233</v>
      </c>
      <c r="B8" s="73">
        <v>37606835</v>
      </c>
      <c r="C8" s="73">
        <v>45782424</v>
      </c>
      <c r="D8" s="169">
        <v>48583014.189999998</v>
      </c>
      <c r="E8" s="169">
        <v>50913614.200000003</v>
      </c>
      <c r="F8" s="169">
        <v>36986093.710000001</v>
      </c>
      <c r="G8" s="169">
        <v>48852497.590000004</v>
      </c>
      <c r="H8" s="169">
        <v>46974613.799999997</v>
      </c>
    </row>
    <row r="9" spans="1:10">
      <c r="A9" s="3" t="s">
        <v>94</v>
      </c>
      <c r="B9" s="73">
        <v>73608793</v>
      </c>
      <c r="C9" s="73">
        <v>58956587</v>
      </c>
      <c r="D9" s="169">
        <v>48813940.990000002</v>
      </c>
      <c r="E9" s="169">
        <v>54828830</v>
      </c>
      <c r="F9" s="169">
        <v>44748863.060000002</v>
      </c>
      <c r="G9" s="169">
        <v>46978408.5</v>
      </c>
      <c r="H9" s="169">
        <v>40674976.170000002</v>
      </c>
    </row>
    <row r="10" spans="1:10">
      <c r="A10" s="3" t="s">
        <v>93</v>
      </c>
      <c r="B10" s="73">
        <v>14911880</v>
      </c>
      <c r="C10" s="73">
        <v>15501115</v>
      </c>
      <c r="D10" s="169">
        <v>15723909</v>
      </c>
      <c r="E10" s="169">
        <v>16911905</v>
      </c>
      <c r="F10" s="169">
        <v>17132184</v>
      </c>
      <c r="G10" s="169">
        <v>17063852.5</v>
      </c>
      <c r="H10" s="169">
        <v>16566061.33</v>
      </c>
    </row>
    <row r="11" spans="1:10">
      <c r="A11" s="72" t="s">
        <v>92</v>
      </c>
      <c r="B11" s="71">
        <f t="shared" ref="B11:H11" si="0">SUM(B5:B10)</f>
        <v>311214895</v>
      </c>
      <c r="C11" s="71">
        <f t="shared" si="0"/>
        <v>306409772</v>
      </c>
      <c r="D11" s="71">
        <f t="shared" si="0"/>
        <v>291101892</v>
      </c>
      <c r="E11" s="71">
        <f t="shared" si="0"/>
        <v>269134109.88999999</v>
      </c>
      <c r="F11" s="71">
        <f t="shared" si="0"/>
        <v>279550548.80000001</v>
      </c>
      <c r="G11" s="71">
        <f t="shared" si="0"/>
        <v>274172174</v>
      </c>
      <c r="H11" s="71">
        <f t="shared" si="0"/>
        <v>259957535.99000004</v>
      </c>
    </row>
    <row r="12" spans="1:10">
      <c r="A12" s="69"/>
      <c r="B12" s="69"/>
      <c r="C12" s="69"/>
      <c r="D12" s="69"/>
      <c r="E12" s="69"/>
      <c r="F12" s="69"/>
    </row>
    <row r="13" spans="1:10">
      <c r="A13" s="69"/>
      <c r="B13" s="69"/>
      <c r="C13" s="69"/>
      <c r="D13" s="69"/>
      <c r="E13" s="69"/>
      <c r="F13" s="69"/>
    </row>
    <row r="14" spans="1:10">
      <c r="A14" s="70" t="s">
        <v>2</v>
      </c>
      <c r="B14" s="69"/>
      <c r="C14" s="69"/>
      <c r="D14" s="69"/>
      <c r="E14" s="69"/>
      <c r="F14" s="69"/>
    </row>
    <row r="15" spans="1:10">
      <c r="A15" s="431" t="s">
        <v>91</v>
      </c>
      <c r="B15" s="431"/>
      <c r="C15" s="431"/>
      <c r="D15" s="431"/>
      <c r="E15" s="431"/>
      <c r="F15" s="431"/>
      <c r="G15" s="431"/>
      <c r="H15" s="431"/>
      <c r="I15" s="431"/>
    </row>
    <row r="16" spans="1:10" ht="36.75" customHeight="1">
      <c r="A16" s="426" t="s">
        <v>90</v>
      </c>
      <c r="B16" s="426"/>
      <c r="C16" s="426"/>
      <c r="D16" s="426"/>
      <c r="E16" s="426"/>
      <c r="F16" s="426"/>
      <c r="G16" s="426"/>
      <c r="H16" s="426"/>
      <c r="I16" s="426"/>
    </row>
    <row r="17" spans="1:9">
      <c r="A17" s="432" t="s">
        <v>281</v>
      </c>
      <c r="B17" s="432"/>
      <c r="C17" s="432"/>
      <c r="D17" s="432"/>
      <c r="E17" s="432"/>
      <c r="F17" s="432"/>
      <c r="G17" s="432"/>
      <c r="H17" s="432"/>
      <c r="I17" s="432"/>
    </row>
    <row r="18" spans="1:9">
      <c r="A18" s="68" t="s">
        <v>323</v>
      </c>
    </row>
    <row r="20" spans="1:9">
      <c r="A20" s="152" t="str">
        <f>H4&amp;" (make sure these formulas catch last column)"</f>
        <v>2017 (make sure these formulas catch last column)</v>
      </c>
    </row>
    <row r="21" spans="1:9">
      <c r="A21" s="3" t="s">
        <v>97</v>
      </c>
      <c r="B21" s="77">
        <f>H5</f>
        <v>98725347.159999996</v>
      </c>
    </row>
    <row r="22" spans="1:9">
      <c r="A22" s="3" t="s">
        <v>99</v>
      </c>
      <c r="B22" s="77">
        <f>H7</f>
        <v>57016537.530000001</v>
      </c>
    </row>
    <row r="23" spans="1:9">
      <c r="A23" s="3" t="s">
        <v>100</v>
      </c>
      <c r="B23" s="77">
        <f t="shared" ref="B23:B25" si="1">H8</f>
        <v>46974613.799999997</v>
      </c>
    </row>
    <row r="24" spans="1:9">
      <c r="A24" s="3" t="s">
        <v>94</v>
      </c>
      <c r="B24" s="77">
        <f t="shared" si="1"/>
        <v>40674976.170000002</v>
      </c>
    </row>
    <row r="25" spans="1:9">
      <c r="A25" s="3" t="s">
        <v>93</v>
      </c>
      <c r="B25" s="77">
        <f t="shared" si="1"/>
        <v>16566061.33</v>
      </c>
    </row>
    <row r="27" spans="1:9">
      <c r="A27" s="152" t="s">
        <v>103</v>
      </c>
    </row>
    <row r="28" spans="1:9">
      <c r="A28" s="68" t="str">
        <f>subtitle</f>
        <v>Total: $260.0 million includes $5.4 million in obligations to capital projects</v>
      </c>
    </row>
    <row r="48" ht="30" customHeight="1"/>
  </sheetData>
  <mergeCells count="4">
    <mergeCell ref="A1:H1"/>
    <mergeCell ref="A15:I15"/>
    <mergeCell ref="A16:I16"/>
    <mergeCell ref="A17:I17"/>
  </mergeCells>
  <pageMargins left="0.34" right="0.37" top="1" bottom="1" header="0.5" footer="0.5"/>
  <pageSetup scale="9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zoomScale="70" zoomScaleNormal="70" workbookViewId="0">
      <selection activeCell="A26" sqref="A26"/>
    </sheetView>
  </sheetViews>
  <sheetFormatPr defaultRowHeight="12.75"/>
  <cols>
    <col min="1" max="1" width="41.85546875" style="1" customWidth="1"/>
    <col min="2" max="2" width="15.42578125" style="80" customWidth="1"/>
    <col min="3" max="3" width="15.42578125" style="1" bestFit="1" customWidth="1"/>
    <col min="4" max="4" width="15.42578125" style="79" bestFit="1" customWidth="1"/>
    <col min="5" max="6" width="15.42578125" style="1" bestFit="1" customWidth="1"/>
    <col min="7" max="8" width="15.42578125" style="1" customWidth="1"/>
    <col min="9" max="9" width="17.7109375" style="1" customWidth="1"/>
    <col min="10" max="10" width="11.85546875" style="1" customWidth="1"/>
    <col min="11" max="16384" width="9.140625" style="1"/>
  </cols>
  <sheetData>
    <row r="1" spans="1:12" s="82" customFormat="1" ht="30.75" customHeight="1">
      <c r="A1" s="433" t="s">
        <v>275</v>
      </c>
      <c r="B1" s="433"/>
      <c r="C1" s="433"/>
      <c r="D1" s="433"/>
      <c r="E1" s="433"/>
      <c r="F1" s="433"/>
      <c r="G1" s="433"/>
      <c r="H1" s="433"/>
    </row>
    <row r="2" spans="1:12" s="91" customFormat="1" ht="19.5">
      <c r="A2" s="92" t="s">
        <v>14</v>
      </c>
      <c r="B2" s="170">
        <v>2011</v>
      </c>
      <c r="C2" s="170">
        <v>2012</v>
      </c>
      <c r="D2" s="170">
        <v>2013</v>
      </c>
      <c r="E2" s="170">
        <v>2014</v>
      </c>
      <c r="F2" s="170">
        <v>2015</v>
      </c>
      <c r="G2" s="170" t="s">
        <v>292</v>
      </c>
      <c r="H2" s="170">
        <v>2017</v>
      </c>
      <c r="I2" s="95" t="s">
        <v>107</v>
      </c>
      <c r="J2" s="95" t="s">
        <v>260</v>
      </c>
    </row>
    <row r="3" spans="1:12" s="82" customFormat="1" ht="17.25">
      <c r="A3" s="90" t="s">
        <v>234</v>
      </c>
      <c r="B3" s="171">
        <v>25185796</v>
      </c>
      <c r="C3" s="171">
        <v>28135259</v>
      </c>
      <c r="D3" s="171">
        <v>30074159.880000003</v>
      </c>
      <c r="E3" s="171">
        <v>13294304.619999999</v>
      </c>
      <c r="F3" s="172">
        <v>13500244.51</v>
      </c>
      <c r="G3" s="171">
        <v>13778450</v>
      </c>
      <c r="H3" s="172">
        <v>13866904.550000001</v>
      </c>
      <c r="I3" s="180">
        <f>H3</f>
        <v>13866904.550000001</v>
      </c>
      <c r="J3" s="90" t="s">
        <v>234</v>
      </c>
    </row>
    <row r="4" spans="1:12" s="82" customFormat="1" ht="19.5">
      <c r="A4" s="90" t="s">
        <v>291</v>
      </c>
      <c r="B4" s="171"/>
      <c r="C4" s="171"/>
      <c r="D4" s="171"/>
      <c r="E4" s="171">
        <v>14616141.960000001</v>
      </c>
      <c r="F4" s="172">
        <v>14404354.34</v>
      </c>
      <c r="G4" s="171">
        <v>15213335</v>
      </c>
      <c r="H4" s="172">
        <v>14542930.67</v>
      </c>
      <c r="I4" s="180">
        <f>H4</f>
        <v>14542930.67</v>
      </c>
      <c r="J4" s="90" t="s">
        <v>261</v>
      </c>
    </row>
    <row r="5" spans="1:12" s="82" customFormat="1" ht="17.25">
      <c r="A5" s="90" t="s">
        <v>43</v>
      </c>
      <c r="B5" s="84">
        <v>4319007</v>
      </c>
      <c r="C5" s="84">
        <v>4130748</v>
      </c>
      <c r="D5" s="84">
        <v>3980350.71</v>
      </c>
      <c r="E5" s="84">
        <v>4244806.68</v>
      </c>
      <c r="F5" s="84">
        <v>4077673.9</v>
      </c>
      <c r="G5" s="84">
        <v>7152515</v>
      </c>
      <c r="H5" s="84">
        <v>6798515.7999999998</v>
      </c>
      <c r="I5" s="180">
        <f t="shared" ref="I5:I11" si="0">H5</f>
        <v>6798515.7999999998</v>
      </c>
      <c r="J5" s="90" t="s">
        <v>43</v>
      </c>
    </row>
    <row r="6" spans="1:12" s="82" customFormat="1" ht="17.25">
      <c r="A6" s="90" t="s">
        <v>235</v>
      </c>
      <c r="B6" s="84">
        <v>123373947</v>
      </c>
      <c r="C6" s="84">
        <v>122609228</v>
      </c>
      <c r="D6" s="84">
        <v>118831308.82000001</v>
      </c>
      <c r="E6" s="84">
        <v>102422790.40000001</v>
      </c>
      <c r="F6" s="84">
        <v>124435134.92</v>
      </c>
      <c r="G6" s="84">
        <v>117933009</v>
      </c>
      <c r="H6" s="84">
        <v>98185616.640000001</v>
      </c>
      <c r="I6" s="180">
        <f t="shared" si="0"/>
        <v>98185616.640000001</v>
      </c>
      <c r="J6" s="90" t="s">
        <v>235</v>
      </c>
    </row>
    <row r="7" spans="1:12" s="82" customFormat="1" ht="36.75" customHeight="1">
      <c r="A7" s="90" t="s">
        <v>42</v>
      </c>
      <c r="B7" s="84">
        <v>3599302</v>
      </c>
      <c r="C7" s="84">
        <v>4429624</v>
      </c>
      <c r="D7" s="84">
        <v>4077995.11</v>
      </c>
      <c r="E7" s="84">
        <v>4062872.09</v>
      </c>
      <c r="F7" s="84">
        <v>4248774.49</v>
      </c>
      <c r="G7" s="84">
        <v>4206148</v>
      </c>
      <c r="H7" s="84">
        <v>4321384.6500000004</v>
      </c>
      <c r="I7" s="180">
        <f t="shared" si="0"/>
        <v>4321384.6500000004</v>
      </c>
      <c r="J7" s="90" t="s">
        <v>42</v>
      </c>
    </row>
    <row r="8" spans="1:12" s="82" customFormat="1" ht="37.5" customHeight="1">
      <c r="A8" s="90" t="s">
        <v>106</v>
      </c>
      <c r="B8" s="84">
        <v>61846889</v>
      </c>
      <c r="C8" s="84">
        <v>53165835</v>
      </c>
      <c r="D8" s="84">
        <v>50024766.200000003</v>
      </c>
      <c r="E8" s="84">
        <v>45146278.850000001</v>
      </c>
      <c r="F8" s="173">
        <v>32202008.149999999</v>
      </c>
      <c r="G8" s="84">
        <v>31490426</v>
      </c>
      <c r="H8" s="173">
        <v>34872455.259999998</v>
      </c>
      <c r="I8" s="180">
        <f t="shared" si="0"/>
        <v>34872455.259999998</v>
      </c>
      <c r="J8" s="90" t="s">
        <v>106</v>
      </c>
    </row>
    <row r="9" spans="1:12" s="82" customFormat="1" ht="17.25">
      <c r="A9" s="90" t="s">
        <v>41</v>
      </c>
      <c r="B9" s="84">
        <v>805250</v>
      </c>
      <c r="C9" s="84">
        <v>853122</v>
      </c>
      <c r="D9" s="84">
        <v>750779.54</v>
      </c>
      <c r="E9" s="84">
        <v>883679.1</v>
      </c>
      <c r="F9" s="84">
        <v>865989.83</v>
      </c>
      <c r="G9" s="84">
        <v>800717</v>
      </c>
      <c r="H9" s="84">
        <v>1007595</v>
      </c>
      <c r="I9" s="180">
        <f t="shared" si="0"/>
        <v>1007595</v>
      </c>
      <c r="J9" s="90" t="s">
        <v>41</v>
      </c>
    </row>
    <row r="10" spans="1:12" s="82" customFormat="1" ht="17.25">
      <c r="A10" s="90" t="s">
        <v>40</v>
      </c>
      <c r="B10" s="84">
        <v>2983190</v>
      </c>
      <c r="C10" s="84">
        <v>3558732</v>
      </c>
      <c r="D10" s="84">
        <v>3309063.57</v>
      </c>
      <c r="E10" s="84">
        <v>3879435.13</v>
      </c>
      <c r="F10" s="84">
        <v>3614166.46</v>
      </c>
      <c r="G10" s="84">
        <v>4251762</v>
      </c>
      <c r="H10" s="84">
        <v>4211395.18</v>
      </c>
      <c r="I10" s="180">
        <f t="shared" si="0"/>
        <v>4211395.18</v>
      </c>
      <c r="J10" s="90" t="s">
        <v>40</v>
      </c>
    </row>
    <row r="11" spans="1:12" s="82" customFormat="1" ht="17.25">
      <c r="A11" s="89" t="s">
        <v>105</v>
      </c>
      <c r="B11" s="84">
        <v>89101514</v>
      </c>
      <c r="C11" s="84">
        <v>89527224</v>
      </c>
      <c r="D11" s="84">
        <v>80053468.640000001</v>
      </c>
      <c r="E11" s="84">
        <v>80583800.829999998</v>
      </c>
      <c r="F11" s="84">
        <v>82202202.650000006</v>
      </c>
      <c r="G11" s="84">
        <v>79345812</v>
      </c>
      <c r="H11" s="84">
        <v>82150738.269999996</v>
      </c>
      <c r="I11" s="180">
        <f t="shared" si="0"/>
        <v>82150738.269999996</v>
      </c>
      <c r="J11" s="89" t="s">
        <v>105</v>
      </c>
    </row>
    <row r="12" spans="1:12" s="85" customFormat="1" ht="15">
      <c r="A12" s="88" t="s">
        <v>39</v>
      </c>
      <c r="B12" s="87">
        <f t="shared" ref="B12:H12" si="1">SUM(B3:B11)</f>
        <v>311214895</v>
      </c>
      <c r="C12" s="87">
        <f t="shared" si="1"/>
        <v>306409772</v>
      </c>
      <c r="D12" s="87">
        <f t="shared" si="1"/>
        <v>291101892.47000003</v>
      </c>
      <c r="E12" s="86">
        <f t="shared" si="1"/>
        <v>269134109.65999997</v>
      </c>
      <c r="F12" s="86">
        <f t="shared" si="1"/>
        <v>279550549.25000006</v>
      </c>
      <c r="G12" s="86">
        <f t="shared" si="1"/>
        <v>274172174</v>
      </c>
      <c r="H12" s="86">
        <f t="shared" si="1"/>
        <v>259957536.01999998</v>
      </c>
    </row>
    <row r="13" spans="1:12" s="82" customFormat="1" ht="17.25">
      <c r="A13" s="83"/>
      <c r="B13" s="84"/>
      <c r="C13" s="83"/>
      <c r="D13" s="84"/>
      <c r="E13" s="83"/>
      <c r="F13" s="83"/>
    </row>
    <row r="14" spans="1:12" s="82" customFormat="1" ht="17.25">
      <c r="A14" s="83"/>
      <c r="B14" s="84"/>
      <c r="C14" s="83"/>
      <c r="D14" s="84"/>
      <c r="E14" s="83"/>
      <c r="F14" s="83"/>
    </row>
    <row r="15" spans="1:12" ht="17.25">
      <c r="A15" s="52" t="s">
        <v>2</v>
      </c>
      <c r="B15" s="54"/>
      <c r="C15" s="52"/>
      <c r="D15" s="54"/>
      <c r="E15" s="52"/>
      <c r="F15" s="52"/>
    </row>
    <row r="16" spans="1:12" ht="105.75" customHeight="1">
      <c r="A16" s="435" t="s">
        <v>324</v>
      </c>
      <c r="B16" s="435"/>
      <c r="C16" s="435"/>
      <c r="D16" s="435"/>
      <c r="E16" s="435"/>
      <c r="F16" s="435"/>
      <c r="G16" s="435"/>
      <c r="H16" s="435"/>
      <c r="I16" s="435"/>
      <c r="J16" s="435"/>
      <c r="K16" s="435"/>
      <c r="L16" s="435"/>
    </row>
    <row r="17" spans="1:12" ht="35.25" customHeight="1">
      <c r="A17" s="434" t="s">
        <v>104</v>
      </c>
      <c r="B17" s="434"/>
      <c r="C17" s="434"/>
      <c r="D17" s="434"/>
      <c r="E17" s="434"/>
      <c r="F17" s="434"/>
      <c r="G17" s="434"/>
      <c r="H17" s="434"/>
      <c r="I17" s="434"/>
      <c r="J17" s="434"/>
      <c r="K17" s="434"/>
      <c r="L17" s="434"/>
    </row>
    <row r="18" spans="1:12" ht="17.25" customHeight="1">
      <c r="A18" s="434" t="s">
        <v>236</v>
      </c>
      <c r="B18" s="434"/>
      <c r="C18" s="434"/>
      <c r="D18" s="434"/>
      <c r="E18" s="434"/>
      <c r="F18" s="434"/>
      <c r="G18" s="434"/>
      <c r="H18" s="434"/>
      <c r="I18" s="434"/>
      <c r="J18" s="434"/>
      <c r="K18" s="434"/>
      <c r="L18" s="434"/>
    </row>
    <row r="19" spans="1:12" ht="17.25" customHeight="1">
      <c r="A19" s="434" t="s">
        <v>293</v>
      </c>
      <c r="B19" s="434"/>
      <c r="C19" s="434"/>
      <c r="D19" s="434"/>
      <c r="E19" s="434"/>
      <c r="F19" s="434"/>
      <c r="G19" s="434"/>
      <c r="H19" s="434"/>
      <c r="I19" s="434"/>
      <c r="J19" s="434"/>
      <c r="K19" s="434"/>
      <c r="L19" s="51"/>
    </row>
    <row r="20" spans="1:12" ht="17.25">
      <c r="A20" s="144"/>
      <c r="B20" s="144"/>
      <c r="C20" s="144"/>
      <c r="D20" s="144"/>
      <c r="E20" s="144"/>
      <c r="F20" s="144"/>
      <c r="G20" s="144"/>
      <c r="H20" s="144"/>
      <c r="I20" s="144"/>
      <c r="J20" s="144"/>
    </row>
    <row r="21" spans="1:12" ht="17.25">
      <c r="A21" s="93" t="s">
        <v>103</v>
      </c>
      <c r="B21" s="94" t="str">
        <f>subtitle</f>
        <v>Total: $260.0 million includes $5.4 million in obligations to capital projects</v>
      </c>
      <c r="C21" s="93"/>
      <c r="D21" s="93"/>
      <c r="E21" s="93"/>
      <c r="F21" s="93"/>
      <c r="G21" s="93"/>
      <c r="H21" s="93"/>
    </row>
    <row r="22" spans="1:12">
      <c r="A22" s="81"/>
    </row>
  </sheetData>
  <mergeCells count="5">
    <mergeCell ref="A1:H1"/>
    <mergeCell ref="A19:K19"/>
    <mergeCell ref="A16:L16"/>
    <mergeCell ref="A17:L17"/>
    <mergeCell ref="A18:L18"/>
  </mergeCells>
  <pageMargins left="0.41" right="0.39" top="0.55000000000000004" bottom="0.27" header="0.16" footer="0.16"/>
  <pageSetup scale="9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zoomScale="70" zoomScaleNormal="70" workbookViewId="0">
      <selection activeCell="B13" sqref="B13"/>
    </sheetView>
  </sheetViews>
  <sheetFormatPr defaultRowHeight="12.75"/>
  <cols>
    <col min="1" max="1" width="41.85546875" style="1" customWidth="1"/>
    <col min="2" max="2" width="15.42578125" style="80" customWidth="1"/>
    <col min="3" max="3" width="15.42578125" style="1" bestFit="1" customWidth="1"/>
    <col min="4" max="4" width="15.42578125" style="79" bestFit="1" customWidth="1"/>
    <col min="5" max="6" width="15.42578125" style="1" bestFit="1" customWidth="1"/>
    <col min="7" max="8" width="15.42578125" style="1" customWidth="1"/>
    <col min="9" max="9" width="17.7109375" style="1" customWidth="1"/>
    <col min="10" max="16384" width="9.140625" style="1"/>
  </cols>
  <sheetData>
    <row r="1" spans="1:11" s="82" customFormat="1" ht="30.75" customHeight="1">
      <c r="A1" s="179" t="s">
        <v>276</v>
      </c>
      <c r="B1" s="179"/>
      <c r="C1" s="179"/>
      <c r="D1" s="179"/>
      <c r="E1" s="179"/>
      <c r="F1" s="179"/>
      <c r="G1" s="179"/>
      <c r="H1" s="179"/>
      <c r="I1" s="179"/>
      <c r="J1" s="179"/>
    </row>
    <row r="2" spans="1:11" s="91" customFormat="1" ht="19.5">
      <c r="A2" s="92" t="s">
        <v>14</v>
      </c>
      <c r="B2" s="165">
        <v>2011</v>
      </c>
      <c r="C2" s="165">
        <v>2012</v>
      </c>
      <c r="D2" s="165">
        <v>2013</v>
      </c>
      <c r="E2" s="165">
        <v>2014</v>
      </c>
      <c r="F2" s="165">
        <v>2015</v>
      </c>
      <c r="G2" s="165" t="s">
        <v>307</v>
      </c>
      <c r="H2" s="165">
        <v>2017</v>
      </c>
      <c r="I2" s="95" t="s">
        <v>107</v>
      </c>
    </row>
    <row r="3" spans="1:11" s="82" customFormat="1" ht="17.25">
      <c r="A3" s="90" t="s">
        <v>234</v>
      </c>
      <c r="B3" s="47">
        <v>684891</v>
      </c>
      <c r="C3" s="47">
        <v>664088</v>
      </c>
      <c r="D3" s="47">
        <v>785308.52</v>
      </c>
      <c r="E3" s="47">
        <v>633508.71</v>
      </c>
      <c r="F3" s="47">
        <v>618853.43999999994</v>
      </c>
      <c r="G3" s="166">
        <v>703885.61</v>
      </c>
      <c r="H3" s="166">
        <v>690901</v>
      </c>
      <c r="I3" s="180">
        <f>H3</f>
        <v>690901</v>
      </c>
    </row>
    <row r="4" spans="1:11" s="82" customFormat="1" ht="17.25">
      <c r="A4" s="161" t="s">
        <v>42</v>
      </c>
      <c r="B4" s="47">
        <v>3599302</v>
      </c>
      <c r="C4" s="47">
        <v>4429624</v>
      </c>
      <c r="D4" s="47">
        <v>4077995.11</v>
      </c>
      <c r="E4" s="47">
        <v>4062872.09</v>
      </c>
      <c r="F4" s="47">
        <v>4248774.49</v>
      </c>
      <c r="G4" s="166">
        <v>4206148.1500000004</v>
      </c>
      <c r="H4" s="166">
        <v>4321385</v>
      </c>
      <c r="I4" s="180">
        <f>H4</f>
        <v>4321385</v>
      </c>
    </row>
    <row r="5" spans="1:11" s="82" customFormat="1" ht="17.25">
      <c r="A5" s="161" t="s">
        <v>272</v>
      </c>
      <c r="B5" s="47">
        <v>22583163</v>
      </c>
      <c r="C5" s="47">
        <v>25176585</v>
      </c>
      <c r="D5" s="47">
        <v>23588530.18</v>
      </c>
      <c r="E5" s="47">
        <v>24046105.84</v>
      </c>
      <c r="F5" s="47">
        <v>24079654.359999999</v>
      </c>
      <c r="G5" s="166">
        <v>24391057.350000001</v>
      </c>
      <c r="H5" s="166">
        <v>24937524</v>
      </c>
      <c r="I5" s="180">
        <f t="shared" ref="I5:I6" si="0">H5</f>
        <v>24937524</v>
      </c>
    </row>
    <row r="6" spans="1:11" s="82" customFormat="1" ht="17.25">
      <c r="A6" s="161" t="s">
        <v>273</v>
      </c>
      <c r="B6" s="47">
        <v>61846889</v>
      </c>
      <c r="C6" s="47">
        <v>53165835</v>
      </c>
      <c r="D6" s="47">
        <f>21326284.81+28698481.39</f>
        <v>50024766.200000003</v>
      </c>
      <c r="E6" s="47">
        <f>14595131.65+30551147.2</f>
        <v>45146278.850000001</v>
      </c>
      <c r="F6" s="47">
        <v>32202008.149999999</v>
      </c>
      <c r="G6" s="166">
        <v>31490426.289999999</v>
      </c>
      <c r="H6" s="166">
        <v>34872455</v>
      </c>
      <c r="I6" s="180">
        <f t="shared" si="0"/>
        <v>34872455</v>
      </c>
    </row>
    <row r="7" spans="1:11" s="85" customFormat="1" ht="15">
      <c r="A7" s="88" t="s">
        <v>39</v>
      </c>
      <c r="B7" s="87">
        <f t="shared" ref="B7:H7" si="1">SUM(B3:B6)</f>
        <v>88714245</v>
      </c>
      <c r="C7" s="87">
        <f t="shared" si="1"/>
        <v>83436132</v>
      </c>
      <c r="D7" s="87">
        <f t="shared" si="1"/>
        <v>78476600.010000005</v>
      </c>
      <c r="E7" s="86">
        <f t="shared" si="1"/>
        <v>73888765.49000001</v>
      </c>
      <c r="F7" s="86">
        <f t="shared" si="1"/>
        <v>61149290.439999998</v>
      </c>
      <c r="G7" s="86">
        <f t="shared" si="1"/>
        <v>60791517.400000006</v>
      </c>
      <c r="H7" s="86">
        <f t="shared" si="1"/>
        <v>64822265</v>
      </c>
    </row>
    <row r="8" spans="1:11" s="82" customFormat="1" ht="17.25">
      <c r="A8" s="83"/>
      <c r="B8" s="84"/>
      <c r="C8" s="83"/>
      <c r="D8" s="84"/>
      <c r="E8" s="83"/>
      <c r="F8" s="83"/>
    </row>
    <row r="9" spans="1:11" ht="17.25">
      <c r="A9" s="52" t="s">
        <v>2</v>
      </c>
      <c r="B9" s="54"/>
      <c r="C9" s="52"/>
      <c r="D9" s="54"/>
      <c r="E9" s="52"/>
      <c r="F9" s="52"/>
    </row>
    <row r="10" spans="1:11" ht="42" customHeight="1">
      <c r="A10" s="422" t="s">
        <v>274</v>
      </c>
      <c r="B10" s="422"/>
      <c r="C10" s="422"/>
      <c r="D10" s="422"/>
      <c r="E10" s="422"/>
      <c r="F10" s="422"/>
      <c r="G10" s="422"/>
      <c r="H10" s="422"/>
      <c r="I10" s="422"/>
      <c r="J10" s="422"/>
      <c r="K10" s="422"/>
    </row>
    <row r="11" spans="1:11" ht="21.75" customHeight="1">
      <c r="A11" s="431" t="s">
        <v>308</v>
      </c>
      <c r="B11" s="431"/>
      <c r="C11" s="431"/>
      <c r="D11" s="431"/>
      <c r="E11" s="431"/>
      <c r="F11" s="431"/>
      <c r="G11" s="431"/>
      <c r="H11" s="431"/>
      <c r="I11" s="431"/>
      <c r="J11" s="431"/>
      <c r="K11" s="431"/>
    </row>
    <row r="12" spans="1:11" ht="17.25">
      <c r="A12" s="162"/>
      <c r="B12" s="162"/>
      <c r="C12" s="162"/>
      <c r="D12" s="162"/>
      <c r="E12" s="162"/>
      <c r="F12" s="162"/>
      <c r="G12" s="162"/>
      <c r="H12" s="162"/>
      <c r="I12" s="162"/>
    </row>
    <row r="13" spans="1:11" ht="17.25">
      <c r="A13" s="93" t="s">
        <v>103</v>
      </c>
      <c r="B13" s="94" t="str">
        <f>"Total: $" &amp; TEXT(H7,"#0.0,,") &amp; " million does not include obligations to capital projects"</f>
        <v>Total: $64.8 million does not include obligations to capital projects</v>
      </c>
      <c r="C13" s="93"/>
      <c r="D13" s="93"/>
      <c r="E13" s="93"/>
      <c r="F13" s="93"/>
      <c r="G13" s="93"/>
      <c r="H13" s="93"/>
    </row>
    <row r="14" spans="1:11">
      <c r="A14" s="81"/>
    </row>
  </sheetData>
  <mergeCells count="2">
    <mergeCell ref="A10:K10"/>
    <mergeCell ref="A11:K11"/>
  </mergeCells>
  <pageMargins left="0.41" right="0.39" top="0.55000000000000004" bottom="0.27" header="0.16" footer="0.16"/>
  <pageSetup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workbookViewId="0">
      <selection activeCell="B4" sqref="B4"/>
    </sheetView>
  </sheetViews>
  <sheetFormatPr defaultRowHeight="16.5"/>
  <cols>
    <col min="1" max="1" width="31.7109375" style="145" customWidth="1"/>
    <col min="2" max="2" width="16.140625" style="146" bestFit="1" customWidth="1"/>
    <col min="3" max="3" width="14.5703125" style="146" customWidth="1"/>
    <col min="4" max="4" width="12.28515625" style="146" customWidth="1"/>
    <col min="5" max="5" width="20.140625" style="146" customWidth="1"/>
    <col min="6" max="6" width="9.140625" style="145"/>
    <col min="7" max="7" width="12.7109375" style="145" customWidth="1"/>
    <col min="8" max="15" width="15" style="145" customWidth="1"/>
    <col min="16" max="16384" width="9.140625" style="145"/>
  </cols>
  <sheetData>
    <row r="1" spans="1:14">
      <c r="A1" s="188" t="s">
        <v>294</v>
      </c>
      <c r="B1" s="188"/>
      <c r="C1" s="188"/>
      <c r="D1" s="188"/>
      <c r="E1" s="188"/>
    </row>
    <row r="2" spans="1:14">
      <c r="A2" s="188"/>
      <c r="B2" s="188"/>
      <c r="C2" s="188"/>
      <c r="D2" s="188"/>
      <c r="E2" s="188"/>
    </row>
    <row r="3" spans="1:14" ht="19.5">
      <c r="A3" s="170" t="s">
        <v>14</v>
      </c>
      <c r="B3" s="170">
        <v>2017</v>
      </c>
      <c r="G3" s="170" t="s">
        <v>14</v>
      </c>
      <c r="H3" s="170">
        <v>2011</v>
      </c>
      <c r="I3" s="170">
        <v>2012</v>
      </c>
      <c r="J3" s="170">
        <v>2013</v>
      </c>
      <c r="K3" s="170">
        <v>2014</v>
      </c>
      <c r="L3" s="170">
        <v>2015</v>
      </c>
      <c r="M3" s="170" t="s">
        <v>329</v>
      </c>
      <c r="N3" s="170">
        <v>2017</v>
      </c>
    </row>
    <row r="4" spans="1:14">
      <c r="A4" s="150" t="s">
        <v>49</v>
      </c>
      <c r="B4" s="189">
        <v>24937523.870000001</v>
      </c>
      <c r="C4" s="116">
        <f>B4</f>
        <v>24937523.870000001</v>
      </c>
      <c r="G4" s="211" t="s">
        <v>49</v>
      </c>
      <c r="H4" s="210">
        <v>22583162.569999997</v>
      </c>
      <c r="I4" s="210">
        <v>25176585</v>
      </c>
      <c r="J4" s="210">
        <v>23588530</v>
      </c>
      <c r="K4" s="210">
        <v>24046105.84</v>
      </c>
      <c r="L4" s="210">
        <v>24079654.359999999</v>
      </c>
      <c r="M4" s="210">
        <v>24391057</v>
      </c>
      <c r="N4" s="189">
        <v>24937523.870000001</v>
      </c>
    </row>
    <row r="5" spans="1:14">
      <c r="A5" s="149" t="s">
        <v>48</v>
      </c>
      <c r="B5" s="189">
        <v>13236006.130000001</v>
      </c>
      <c r="C5" s="116">
        <f t="shared" ref="C5:C9" si="0">B5</f>
        <v>13236006.130000001</v>
      </c>
      <c r="G5" s="211" t="s">
        <v>48</v>
      </c>
      <c r="H5" s="210">
        <v>15426001.169800008</v>
      </c>
      <c r="I5" s="210">
        <v>13469530</v>
      </c>
      <c r="J5" s="210">
        <v>12969684.76</v>
      </c>
      <c r="K5" s="210">
        <v>13133027.810000001</v>
      </c>
      <c r="L5" s="210">
        <v>13434942.029999999</v>
      </c>
      <c r="M5" s="210">
        <v>13332983</v>
      </c>
      <c r="N5" s="189">
        <v>13236006.130000001</v>
      </c>
    </row>
    <row r="6" spans="1:14">
      <c r="A6" s="149" t="s">
        <v>47</v>
      </c>
      <c r="B6" s="189">
        <v>1407032.65</v>
      </c>
      <c r="C6" s="116">
        <f t="shared" si="0"/>
        <v>1407032.65</v>
      </c>
      <c r="G6" s="211" t="s">
        <v>47</v>
      </c>
      <c r="H6" s="210">
        <v>1763066.9299999997</v>
      </c>
      <c r="I6" s="210">
        <v>1735888</v>
      </c>
      <c r="J6" s="210">
        <v>1053093.99</v>
      </c>
      <c r="K6" s="210">
        <v>1228057.49</v>
      </c>
      <c r="L6" s="210">
        <v>1098002.8799999999</v>
      </c>
      <c r="M6" s="210">
        <v>1216118</v>
      </c>
      <c r="N6" s="189">
        <v>1407032.65</v>
      </c>
    </row>
    <row r="7" spans="1:14">
      <c r="A7" s="149" t="s">
        <v>46</v>
      </c>
      <c r="B7" s="189">
        <v>8864829.0299999993</v>
      </c>
      <c r="C7" s="116">
        <f t="shared" si="0"/>
        <v>8864829.0299999993</v>
      </c>
      <c r="G7" s="211" t="s">
        <v>46</v>
      </c>
      <c r="H7" s="210">
        <v>8489904.4299999997</v>
      </c>
      <c r="I7" s="210">
        <v>7982519</v>
      </c>
      <c r="J7" s="210">
        <v>7218237.5999999996</v>
      </c>
      <c r="K7" s="210">
        <v>6753429.7699999996</v>
      </c>
      <c r="L7" s="210">
        <v>8107150.2199999997</v>
      </c>
      <c r="M7" s="210">
        <v>7908829</v>
      </c>
      <c r="N7" s="189">
        <v>8864829.0299999993</v>
      </c>
    </row>
    <row r="8" spans="1:14">
      <c r="A8" s="149" t="s">
        <v>45</v>
      </c>
      <c r="B8" s="189">
        <v>1246514</v>
      </c>
      <c r="C8" s="116">
        <f t="shared" si="0"/>
        <v>1246514</v>
      </c>
      <c r="G8" s="211" t="s">
        <v>45</v>
      </c>
      <c r="H8" s="210">
        <v>2826954.2899999996</v>
      </c>
      <c r="I8" s="210">
        <v>2212363</v>
      </c>
      <c r="J8" s="210">
        <v>2062169.76</v>
      </c>
      <c r="K8" s="210">
        <v>1991052.54</v>
      </c>
      <c r="L8" s="210">
        <v>1553864.78</v>
      </c>
      <c r="M8" s="210">
        <v>1264152</v>
      </c>
      <c r="N8" s="189">
        <v>1246514</v>
      </c>
    </row>
    <row r="9" spans="1:14">
      <c r="A9" s="149" t="s">
        <v>44</v>
      </c>
      <c r="B9" s="189">
        <v>32458832.59</v>
      </c>
      <c r="C9" s="116">
        <f t="shared" si="0"/>
        <v>32458832.59</v>
      </c>
      <c r="G9" s="211" t="s">
        <v>44</v>
      </c>
      <c r="H9" s="210">
        <v>38012425.010000005</v>
      </c>
      <c r="I9" s="210">
        <v>38950340</v>
      </c>
      <c r="J9" s="210">
        <v>33161752.350000001</v>
      </c>
      <c r="K9" s="210">
        <v>33432127.379999999</v>
      </c>
      <c r="L9" s="210">
        <v>33928588.380000003</v>
      </c>
      <c r="M9" s="210">
        <v>31232673</v>
      </c>
      <c r="N9" s="189">
        <v>32458832.59</v>
      </c>
    </row>
    <row r="10" spans="1:14" ht="17.25" thickBot="1">
      <c r="B10" s="148">
        <f>SUM(B4:B9)</f>
        <v>82150738.269999996</v>
      </c>
      <c r="G10" s="213"/>
      <c r="H10" s="212">
        <f t="shared" ref="H10:J10" si="1">SUM(H4:H9)</f>
        <v>89101514.399800003</v>
      </c>
      <c r="I10" s="212">
        <f t="shared" si="1"/>
        <v>89527225</v>
      </c>
      <c r="J10" s="212">
        <f t="shared" si="1"/>
        <v>80053468.460000008</v>
      </c>
      <c r="K10" s="212">
        <f>SUM(K4:K9)</f>
        <v>80583800.829999998</v>
      </c>
      <c r="L10" s="212">
        <f t="shared" ref="L10:M10" si="2">SUM(L4:L9)</f>
        <v>82202202.650000006</v>
      </c>
      <c r="M10" s="212">
        <f t="shared" si="2"/>
        <v>79345812</v>
      </c>
      <c r="N10" s="212">
        <f>SUM(N4:N9)</f>
        <v>82150738.269999996</v>
      </c>
    </row>
    <row r="12" spans="1:14">
      <c r="A12" s="147" t="s">
        <v>2</v>
      </c>
    </row>
    <row r="13" spans="1:14" ht="51" customHeight="1">
      <c r="A13" s="436" t="s">
        <v>325</v>
      </c>
      <c r="B13" s="436"/>
      <c r="C13" s="436"/>
      <c r="D13" s="436"/>
      <c r="E13" s="436"/>
    </row>
    <row r="14" spans="1:14" ht="87.75" customHeight="1">
      <c r="A14" s="437" t="s">
        <v>326</v>
      </c>
      <c r="B14" s="437"/>
      <c r="C14" s="437"/>
      <c r="D14" s="437"/>
      <c r="E14" s="437"/>
    </row>
    <row r="16" spans="1:14">
      <c r="A16" s="145" t="s">
        <v>103</v>
      </c>
      <c r="B16" s="174" t="str">
        <f>"Total: $" &amp; TEXT(B10,"#0.0,,") &amp; " million does not include obligations to capital projects"</f>
        <v>Total: $82.2 million does not include obligations to capital projects</v>
      </c>
    </row>
  </sheetData>
  <mergeCells count="2">
    <mergeCell ref="A13:E13"/>
    <mergeCell ref="A14:E14"/>
  </mergeCells>
  <pageMargins left="0.7" right="0.7" top="0.75" bottom="0.75" header="0.3" footer="0.3"/>
  <pageSetup scale="97"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workbookViewId="0">
      <selection activeCell="A4" sqref="A4"/>
    </sheetView>
  </sheetViews>
  <sheetFormatPr defaultRowHeight="12.75"/>
  <cols>
    <col min="1" max="1" width="17.5703125" style="214" bestFit="1" customWidth="1"/>
    <col min="2" max="2" width="84.140625" style="215" customWidth="1"/>
    <col min="3" max="3" width="15" style="214" customWidth="1"/>
    <col min="4" max="16384" width="9.140625" style="214"/>
  </cols>
  <sheetData>
    <row r="1" spans="1:8" ht="15" customHeight="1">
      <c r="A1" s="438" t="s">
        <v>430</v>
      </c>
      <c r="B1" s="438"/>
      <c r="C1" s="438"/>
      <c r="D1" s="225"/>
      <c r="E1" s="225"/>
      <c r="F1" s="225"/>
      <c r="G1" s="225"/>
      <c r="H1" s="225"/>
    </row>
    <row r="2" spans="1:8" ht="15">
      <c r="A2" s="438" t="s">
        <v>429</v>
      </c>
      <c r="B2" s="438"/>
      <c r="C2" s="438"/>
    </row>
    <row r="3" spans="1:8" ht="15">
      <c r="A3" s="225"/>
      <c r="B3" s="225"/>
      <c r="C3" s="225"/>
    </row>
    <row r="4" spans="1:8" ht="17.25">
      <c r="A4" s="226" t="s">
        <v>431</v>
      </c>
      <c r="B4" s="225"/>
      <c r="C4" s="225"/>
    </row>
    <row r="6" spans="1:8" ht="14.25">
      <c r="A6" s="224" t="s">
        <v>428</v>
      </c>
      <c r="B6" s="223" t="s">
        <v>427</v>
      </c>
      <c r="C6" s="222" t="s">
        <v>426</v>
      </c>
    </row>
    <row r="7" spans="1:8" ht="33">
      <c r="A7" s="221" t="s">
        <v>425</v>
      </c>
      <c r="B7" s="220" t="s">
        <v>424</v>
      </c>
      <c r="C7" s="219">
        <v>260750</v>
      </c>
    </row>
    <row r="8" spans="1:8" ht="16.5">
      <c r="A8" s="221" t="s">
        <v>423</v>
      </c>
      <c r="B8" s="220" t="s">
        <v>422</v>
      </c>
      <c r="C8" s="219">
        <v>36799</v>
      </c>
    </row>
    <row r="9" spans="1:8" ht="16.5">
      <c r="A9" s="221" t="s">
        <v>421</v>
      </c>
      <c r="B9" s="220" t="s">
        <v>420</v>
      </c>
      <c r="C9" s="219">
        <v>52473</v>
      </c>
    </row>
    <row r="10" spans="1:8" ht="16.5">
      <c r="A10" s="221" t="s">
        <v>419</v>
      </c>
      <c r="B10" s="220" t="s">
        <v>418</v>
      </c>
      <c r="C10" s="219">
        <v>24150</v>
      </c>
    </row>
    <row r="11" spans="1:8" ht="16.5">
      <c r="A11" s="221" t="s">
        <v>417</v>
      </c>
      <c r="B11" s="220" t="s">
        <v>416</v>
      </c>
      <c r="C11" s="219">
        <v>47130</v>
      </c>
    </row>
    <row r="12" spans="1:8" ht="16.5">
      <c r="A12" s="221" t="s">
        <v>415</v>
      </c>
      <c r="B12" s="220" t="s">
        <v>414</v>
      </c>
      <c r="C12" s="219">
        <v>1210901</v>
      </c>
    </row>
    <row r="13" spans="1:8" ht="16.5">
      <c r="A13" s="221" t="s">
        <v>413</v>
      </c>
      <c r="B13" s="220" t="s">
        <v>412</v>
      </c>
      <c r="C13" s="219">
        <v>121043.43000000001</v>
      </c>
    </row>
    <row r="14" spans="1:8" ht="33">
      <c r="A14" s="221" t="s">
        <v>411</v>
      </c>
      <c r="B14" s="220" t="s">
        <v>410</v>
      </c>
      <c r="C14" s="219">
        <v>597043</v>
      </c>
    </row>
    <row r="15" spans="1:8" ht="16.5">
      <c r="A15" s="221" t="s">
        <v>409</v>
      </c>
      <c r="B15" s="220" t="s">
        <v>408</v>
      </c>
      <c r="C15" s="219">
        <v>329993.34000000003</v>
      </c>
    </row>
    <row r="16" spans="1:8" ht="16.5">
      <c r="A16" s="221" t="s">
        <v>407</v>
      </c>
      <c r="B16" s="220" t="s">
        <v>406</v>
      </c>
      <c r="C16" s="219">
        <v>1113</v>
      </c>
    </row>
    <row r="17" spans="1:3" ht="16.5">
      <c r="A17" s="221" t="s">
        <v>405</v>
      </c>
      <c r="B17" s="220" t="s">
        <v>404</v>
      </c>
      <c r="C17" s="219">
        <v>364147.47</v>
      </c>
    </row>
    <row r="18" spans="1:3" ht="16.5">
      <c r="A18" s="221" t="s">
        <v>403</v>
      </c>
      <c r="B18" s="220" t="s">
        <v>402</v>
      </c>
      <c r="C18" s="219">
        <v>2188106.48</v>
      </c>
    </row>
    <row r="19" spans="1:3" ht="16.5">
      <c r="A19" s="221" t="s">
        <v>401</v>
      </c>
      <c r="B19" s="220" t="s">
        <v>400</v>
      </c>
      <c r="C19" s="219">
        <v>1396737.9400000002</v>
      </c>
    </row>
    <row r="20" spans="1:3" ht="16.5">
      <c r="A20" s="221" t="s">
        <v>399</v>
      </c>
      <c r="B20" s="220" t="s">
        <v>398</v>
      </c>
      <c r="C20" s="219">
        <v>391917.7</v>
      </c>
    </row>
    <row r="21" spans="1:3" ht="16.5">
      <c r="A21" s="221" t="s">
        <v>397</v>
      </c>
      <c r="B21" s="220" t="s">
        <v>396</v>
      </c>
      <c r="C21" s="219">
        <v>298918</v>
      </c>
    </row>
    <row r="22" spans="1:3" ht="16.5">
      <c r="A22" s="221" t="s">
        <v>395</v>
      </c>
      <c r="B22" s="220" t="s">
        <v>394</v>
      </c>
      <c r="C22" s="219">
        <v>148550</v>
      </c>
    </row>
    <row r="23" spans="1:3" ht="33">
      <c r="A23" s="221" t="s">
        <v>393</v>
      </c>
      <c r="B23" s="220" t="s">
        <v>392</v>
      </c>
      <c r="C23" s="219">
        <v>186304</v>
      </c>
    </row>
    <row r="24" spans="1:3" ht="33">
      <c r="A24" s="221" t="s">
        <v>391</v>
      </c>
      <c r="B24" s="220" t="s">
        <v>390</v>
      </c>
      <c r="C24" s="219">
        <v>409554</v>
      </c>
    </row>
    <row r="25" spans="1:3" ht="33">
      <c r="A25" s="221" t="s">
        <v>389</v>
      </c>
      <c r="B25" s="220" t="s">
        <v>388</v>
      </c>
      <c r="C25" s="219">
        <v>225529.67</v>
      </c>
    </row>
    <row r="26" spans="1:3" ht="16.5">
      <c r="A26" s="221" t="s">
        <v>387</v>
      </c>
      <c r="B26" s="220" t="s">
        <v>386</v>
      </c>
      <c r="C26" s="219">
        <v>1519744.6500000001</v>
      </c>
    </row>
    <row r="27" spans="1:3" ht="16.5">
      <c r="A27" s="221" t="s">
        <v>385</v>
      </c>
      <c r="B27" s="220" t="s">
        <v>384</v>
      </c>
      <c r="C27" s="219">
        <v>1089243</v>
      </c>
    </row>
    <row r="28" spans="1:3" ht="16.5">
      <c r="A28" s="221" t="s">
        <v>383</v>
      </c>
      <c r="B28" s="220" t="s">
        <v>382</v>
      </c>
      <c r="C28" s="219">
        <v>427770.45</v>
      </c>
    </row>
    <row r="29" spans="1:3" ht="16.5">
      <c r="A29" s="221" t="s">
        <v>381</v>
      </c>
      <c r="B29" s="220" t="s">
        <v>380</v>
      </c>
      <c r="C29" s="219">
        <v>214697.49</v>
      </c>
    </row>
    <row r="30" spans="1:3" ht="16.5">
      <c r="A30" s="221" t="s">
        <v>379</v>
      </c>
      <c r="B30" s="220" t="s">
        <v>378</v>
      </c>
      <c r="C30" s="219">
        <v>4650173.9799999995</v>
      </c>
    </row>
    <row r="31" spans="1:3" ht="34.5" customHeight="1">
      <c r="A31" s="221" t="s">
        <v>377</v>
      </c>
      <c r="B31" s="220" t="s">
        <v>376</v>
      </c>
      <c r="C31" s="219">
        <v>289572</v>
      </c>
    </row>
    <row r="32" spans="1:3" ht="16.5">
      <c r="A32" s="221" t="s">
        <v>375</v>
      </c>
      <c r="B32" s="220" t="s">
        <v>374</v>
      </c>
      <c r="C32" s="219">
        <v>296148.63</v>
      </c>
    </row>
    <row r="33" spans="1:3" ht="16.5">
      <c r="A33" s="221" t="s">
        <v>373</v>
      </c>
      <c r="B33" s="220" t="s">
        <v>372</v>
      </c>
      <c r="C33" s="219">
        <v>1663158</v>
      </c>
    </row>
    <row r="34" spans="1:3" ht="16.5">
      <c r="A34" s="221" t="s">
        <v>371</v>
      </c>
      <c r="B34" s="220" t="s">
        <v>370</v>
      </c>
      <c r="C34" s="219">
        <v>455359</v>
      </c>
    </row>
    <row r="35" spans="1:3" ht="16.5">
      <c r="A35" s="221" t="s">
        <v>369</v>
      </c>
      <c r="B35" s="220" t="s">
        <v>368</v>
      </c>
      <c r="C35" s="219">
        <v>117664</v>
      </c>
    </row>
    <row r="36" spans="1:3" ht="16.5">
      <c r="A36" s="221" t="s">
        <v>367</v>
      </c>
      <c r="B36" s="220" t="s">
        <v>366</v>
      </c>
      <c r="C36" s="219">
        <v>1048585</v>
      </c>
    </row>
    <row r="37" spans="1:3" ht="16.5">
      <c r="A37" s="221" t="s">
        <v>365</v>
      </c>
      <c r="B37" s="220" t="s">
        <v>364</v>
      </c>
      <c r="C37" s="219">
        <v>1473325</v>
      </c>
    </row>
    <row r="38" spans="1:3" ht="16.5">
      <c r="A38" s="221" t="s">
        <v>363</v>
      </c>
      <c r="B38" s="220" t="s">
        <v>362</v>
      </c>
      <c r="C38" s="219">
        <v>515632</v>
      </c>
    </row>
    <row r="39" spans="1:3" ht="16.5">
      <c r="A39" s="221" t="s">
        <v>361</v>
      </c>
      <c r="B39" s="220" t="s">
        <v>360</v>
      </c>
      <c r="C39" s="219">
        <v>9696</v>
      </c>
    </row>
    <row r="40" spans="1:3" ht="16.5">
      <c r="A40" s="221" t="s">
        <v>359</v>
      </c>
      <c r="B40" s="220" t="s">
        <v>358</v>
      </c>
      <c r="C40" s="219">
        <v>583672.46</v>
      </c>
    </row>
    <row r="41" spans="1:3" ht="33">
      <c r="A41" s="221" t="s">
        <v>357</v>
      </c>
      <c r="B41" s="220" t="s">
        <v>356</v>
      </c>
      <c r="C41" s="219">
        <v>634653.31000000006</v>
      </c>
    </row>
    <row r="42" spans="1:3" ht="16.5">
      <c r="A42" s="221" t="s">
        <v>355</v>
      </c>
      <c r="B42" s="220" t="s">
        <v>354</v>
      </c>
      <c r="C42" s="219">
        <v>365478.76</v>
      </c>
    </row>
    <row r="43" spans="1:3" ht="16.5">
      <c r="A43" s="221" t="s">
        <v>353</v>
      </c>
      <c r="B43" s="220" t="s">
        <v>352</v>
      </c>
      <c r="C43" s="219">
        <v>2449592.8600000003</v>
      </c>
    </row>
    <row r="44" spans="1:3" ht="16.5">
      <c r="A44" s="221" t="s">
        <v>351</v>
      </c>
      <c r="B44" s="220" t="s">
        <v>350</v>
      </c>
      <c r="C44" s="219">
        <v>1288876.27</v>
      </c>
    </row>
    <row r="45" spans="1:3" ht="16.5">
      <c r="A45" s="221" t="s">
        <v>349</v>
      </c>
      <c r="B45" s="220" t="s">
        <v>348</v>
      </c>
      <c r="C45" s="219">
        <v>255765</v>
      </c>
    </row>
    <row r="46" spans="1:3" ht="16.5">
      <c r="A46" s="221" t="s">
        <v>347</v>
      </c>
      <c r="B46" s="220" t="s">
        <v>346</v>
      </c>
      <c r="C46" s="219">
        <v>374577</v>
      </c>
    </row>
    <row r="47" spans="1:3" ht="33">
      <c r="A47" s="221" t="s">
        <v>345</v>
      </c>
      <c r="B47" s="220" t="s">
        <v>344</v>
      </c>
      <c r="C47" s="219">
        <v>310391</v>
      </c>
    </row>
    <row r="48" spans="1:3" ht="16.5">
      <c r="A48" s="221" t="s">
        <v>343</v>
      </c>
      <c r="B48" s="220" t="s">
        <v>342</v>
      </c>
      <c r="C48" s="219">
        <v>54363.479999999996</v>
      </c>
    </row>
    <row r="49" spans="1:3" ht="16.5">
      <c r="A49" s="221" t="s">
        <v>341</v>
      </c>
      <c r="B49" s="220" t="s">
        <v>340</v>
      </c>
      <c r="C49" s="219">
        <v>1336073</v>
      </c>
    </row>
    <row r="50" spans="1:3" ht="33">
      <c r="A50" s="221" t="s">
        <v>339</v>
      </c>
      <c r="B50" s="220" t="s">
        <v>338</v>
      </c>
      <c r="C50" s="219">
        <v>798186.76</v>
      </c>
    </row>
    <row r="51" spans="1:3" ht="16.5">
      <c r="A51" s="221" t="s">
        <v>337</v>
      </c>
      <c r="B51" s="220" t="s">
        <v>336</v>
      </c>
      <c r="C51" s="219">
        <v>355790</v>
      </c>
    </row>
    <row r="52" spans="1:3" ht="16.5">
      <c r="A52" s="221" t="s">
        <v>335</v>
      </c>
      <c r="B52" s="220" t="s">
        <v>334</v>
      </c>
      <c r="C52" s="219">
        <v>1049499</v>
      </c>
    </row>
    <row r="53" spans="1:3" ht="16.5">
      <c r="A53" s="221" t="s">
        <v>333</v>
      </c>
      <c r="B53" s="220" t="s">
        <v>332</v>
      </c>
      <c r="C53" s="219">
        <v>141946</v>
      </c>
    </row>
    <row r="54" spans="1:3" ht="16.5">
      <c r="A54" s="221" t="s">
        <v>331</v>
      </c>
      <c r="B54" s="220" t="s">
        <v>330</v>
      </c>
      <c r="C54" s="219">
        <v>398037.46</v>
      </c>
    </row>
    <row r="55" spans="1:3" ht="18.75" customHeight="1" thickBot="1">
      <c r="A55" s="218"/>
      <c r="B55" s="217" t="s">
        <v>39</v>
      </c>
      <c r="C55" s="216">
        <v>32458832.59</v>
      </c>
    </row>
    <row r="56" spans="1:3" ht="13.5" thickTop="1"/>
  </sheetData>
  <mergeCells count="2">
    <mergeCell ref="A1:C1"/>
    <mergeCell ref="A2:C2"/>
  </mergeCells>
  <pageMargins left="0.25" right="0.25" top="0.75" bottom="0.75" header="0.3" footer="0.3"/>
  <pageSetup scale="8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V i s u a l i z a t i o n   x m l n s : x s i = " h t t p : / / w w w . w 3 . o r g / 2 0 0 1 / X M L S c h e m a - i n s t a n c e "   x m l n s : x s d = " h t t p : / / w w w . w 3 . o r g / 2 0 0 1 / X M L S c h e m a "   x m l n s = " h t t p : / / m i c r o s o f t . d a t a . v i s u a l i z a t i o n . C l i e n t . E x c e l / 1 . 0 " > < T o u r s > < T o u r   N a m e = " T o u r   1 "   I d = " { F 9 F 5 8 C A 3 - E B 4 E - 4 6 A 6 - A 5 B 0 - C 1 8 5 6 D B 5 B D C A } "   T o u r I d = " e 2 6 0 1 2 e 5 - 0 e d b - 4 4 5 b - 9 5 1 9 - 1 4 b 5 e e 8 6 c 6 8 6 "   X m l V e r = " 1 "   M i n X m l V e r = " 1 " > < D e s c r i p t i o n > S o m e   d e s c r i p t i o n   f o r   t h e   t o u r   g o e s   h e r e < / D e s c r i p t i o n > < 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T o u r > < / T o u r s > < / V i s u a l i z a t i o n > 
</file>

<file path=customXml/item2.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 B i n g R o a d < / T h e m e > < T h e m e W i t h L a b e l > f a l s e < / T h e m e W i t h L a b e l > < F l a t M o d e E n a b l e d > f a l s e < / F l a t M o d e E n a b l e d > < D u r a t i o n > 6 0 0 0 0 0 0 0 < / D u r a t i o n > < T r a n s i t i o n D u r a t i o n > 3 0 0 0 0 0 0 0 < / T r a n s i t i o n D u r a t i o n > < S p e e d > 0 . 5 < / S p e e d > < F r a m e > < C a m e r a > < L a t i t u d e > 4 4 . 3 8 8 3 6 6 2 1 1 4 7 9 4 1 5 < / L a t i t u d e > < L o n g i t u d e > - 1 1 6 . 6 0 9 9 5 4 2 3 0 8 0 4 1 2 < / L o n g i t u d e > < R o t a t i o n > 0 < / R o t a t i o n > < P i v o t A n g l e > - 0 . 1 4 3 3 7 2 4 5 2 8 5 3 6 4 7 3 9 < / P i v o t A n g l e > < D i s t a n c e > 0 . 7 5 < / D i s t a n c e > < / C a m e r a > < 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 N a m e = " A r e a s "   G u i d = " 3 e 7 d 8 4 d d - 4 8 a 9 - 4 f 2 7 - b 8 7 0 - 9 f 7 1 9 5 3 c 5 d 9 e "   R e v = " 8 "   R e v G u i d = " 5 4 6 2 b 6 2 9 - 6 c 4 3 - 4 1 6 5 - a 7 8 f - d 6 c b 7 7 2 9 2 1 b 7 "   V i s i b l e = " t r u e "   I n s t O n l y = " f a l s e "   G e o D a t a G u i d = " 6 a 9 2 4 f 1 c - 2 8 a 3 - 4 8 6 0 - 9 e 1 c - 4 e 8 4 a d a 0 a 3 7 2 " & g t ; & l t ; G e o V i s   V i s i b l e = " t r u e "   L a y e r C o l o r S e t = " f a l s e "   R e g i o n S h a d i n g M o d e S e t = " f a l s e "   R e g i o n S h a d i n g M o d e = " G l o b a l "   V i s u a l T y p e = " P o i n t M a r k e r C h a r t "   N u l l s = " f a l s e "   Z e r o s = " t r u e "   N e g a t i v e s = " t r u e " 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 A c c u m u l a t e = " f a l s e "   D e c a y = " N o n e "   D e c a y T i m e I s N u l l = " t r u e "   D e c a y T i m e T i c k s = " 0 "   V M T i m e A c c u m u l a t e = " f a l s e "   V M T i m e P e r s i s t = " f a l s e "   U s e r N o t M a p B y = " t r u e "   S e l T i m e S t g = " N o n e "   C h o o s i n g G e o F i e l d s = " t r u e " & g t ; & l t ; G e o E n t i t y   N a m e = " G e o E n t i t y "   V i s i b l e = " f a l s e " & g t ; & l t ; G e o C o l u m n s & g t ; & l t ; G e o C o l u m n   N a m e = " W a s h i n g t o n "   V i s i b l e = " t r u e "   D a t a T y p e = " S t r i n g "   M o d e l Q u e r y N a m e = " ' R a n g e ' [ W a s h i n g t o n ] " & g t ; & l t ; T a b l e   M o d e l N a m e = " R a n g e "   N a m e I n S o u r c e = " R a n g e "   V i s i b l e = " t r u e "   L a s t R e f r e s h = " 0 0 0 1 - 0 1 - 0 1 T 0 0 : 0 0 : 0 0 "   / & g t ; & l t ; / G e o C o l u m n & g t ; & l t ; / G e o C o l u m n s & g t ; & l t ; A d m i n D i s t r i c t   N a m e = " W a s h i n g t o n "   V i s i b l e = " t r u e "   D a t a T y p e = " S t r i n g "   M o d e l Q u e r y N a m e = " ' R a n g e ' [ W a s h i n g t o n ] " & g t ; & l t ; T a b l e 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3.xml>��< ? x m l   v e r s i o n = " 1 . 0 "   e n c o d i n g = " u t f - 1 6 " ? > < V i s u a l i z a t i o n L S t a t e   x m l n s : x s i = " h t t p : / / w w w . w 3 . o r g / 2 0 0 1 / X M L S c h e m a - i n s t a n c e "   x m l n s : x s d = " h t t p : / / w w w . w 3 . o r g / 2 0 0 1 / X M L S c h e m a "   x m l n s = " h t t p : / / m i c r o s o f t . d a t a . v i s u a l i z a t i o n . C l i e n t . E x c e l . L S t a t e / 1 . 0 " > < c g > H 4 s I A A A A A A A E A N V Y 3 W 7 T M B h 9 l S g S l 3 N s f / 6 d 2 k x b E a h o W 6 U N E L e m C a 1 F m q D E 3 R C v x g W P x C v w t e l W b e u 0 r F o p X F V N 7 P j 0 n O P j k / 7 + + a t 3 9 H 1 W R F d 5 3 f i q 7 M e M 0 D j K y 3 G V + X L S j + f h y 4 G J j 9 L e C X 4 9 d e G 0 K g d u P M 0 j n F Q 2 h 9 8 b 3 4 + n I X w 7 T J L r 6 2 t y D a S q J w m n l C W f z k 4 v c e T M H f i y C a 4 c 5 / H t r O z p W X H a G z b t h N v B M z + u q 6 b 6 E k j m g i N X v p m 7 w v 9 w A a G T S V 5 B l i z w 4 8 z o a z 8 + c t n M l 6 9 9 E 2 o / D v 3 z / M p l D m 9 + d M U 8 j 6 b j f h z q e Y 4 X 3 u b V R d 5 U x X z x n O b e 9 6 g I / R g s A a n A W g m K A T e M x 1 G B b B 0 w p o i S E q y U V O N l i e T h + O N 2 Z Q S I T 2 S 4 x J u q n r k Q 8 u w 4 y + q 8 a d I W T S 9 5 c K O 3 G v H G 5 0 W G Y B b o y 0 m E T B + W v l h h j p L t b 6 T n H 3 t J + 9 Q n H 5 J + K D 2 C j i 6 D C 3 m z n p b c A 5 n c o f A x B i k T j C o t q T C G m x s G O S V a G a 4 5 0 m s p B 7 G B Q r 4 X C l c i R Y O K r H / 6 i r n B 8 f 1 L j 0 r 0 g i Q C U U p Q y a i U l p o b E 1 o g Q D V T m k r g n C u p / g s K j y 9 2 T u F d X + J u S p a b H z + H m 0 P i p P b B N 9 N X n A 4 w D 2 a f / Z a B I Q W R i h n F r Z B S o m j s 1 u 6 S M I o a a m C c M q Z R x G 6 J s Y K G b m y B 7 S U 7 T g b d N R u 4 E g N 3 P f 6 p 0 H i 2 W M P M T a v t A l 0 I A s Z S E F w z L t r U W Q W 6 w E C 3 g i l m j Q Y q d F d 9 l m j 2 I s r w 9 Z r k J 4 6 L l 8 s i I Y k R g j M m t Q F l M d p v H M 4 k E U o L z o W R I F n 3 N N o 1 g + l y g Y 1 x / h c o f L a 9 R 3 U + q c o t / Q 3 E g s F C w q U 0 0 o L G Y t L 6 G 4 / b 9 a V u y d M C 2 Y u 1 R 7 s / I + 5 U l 7 b t Y a c z S j M K U i u l K M P z d E m e Z U R Q w O B W B v A M F s p u C I e N X W X n F K b t C h v N f T b a e T 4 8 3 9 z j 3 G 3 p b S z j G C x A r Q I G Q i / r z l I e L Q i W S C 7 Q 8 4 D q 4 Q b o L M 8 C z Q 4 N n o 4 W C 2 w U 5 / z d v y f O W V X i C 9 u W 1 U d o g n t E G C a t t p S C v T 0 Y q C V K S G r o o h B R 1 f 1 l a Y V n h w I 9 X t 7 P 3 u 9 c n 4 c J J I B I p E 6 j u S X l F t r 8 4 U D 4 g j u m N S j D l q W y W 4 L v l c D W T N 1 Z P J k X E 1 f 7 l 2 q O y X D R + + / 9 f 5 H + A a x 4 n m X 6 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Props1.xml><?xml version="1.0" encoding="utf-8"?>
<ds:datastoreItem xmlns:ds="http://schemas.openxmlformats.org/officeDocument/2006/customXml" ds:itemID="{7DCED80D-14BF-4C09-AFDF-8872F77B7C07}">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F9F58CA3-EB4E-46A6-A5B0-C1856DB5BDCA}">
  <ds:schemaRefs>
    <ds:schemaRef ds:uri="http://www.w3.org/2001/XMLSchema"/>
    <ds:schemaRef ds:uri="http://microsoft.data.visualization.engine.tours/1.0"/>
  </ds:schemaRefs>
</ds:datastoreItem>
</file>

<file path=customXml/itemProps3.xml><?xml version="1.0" encoding="utf-8"?>
<ds:datastoreItem xmlns:ds="http://schemas.openxmlformats.org/officeDocument/2006/customXml" ds:itemID="{C86DD62C-05C4-4497-BBE2-859ADE86C3AE}">
  <ds:schemaRefs>
    <ds:schemaRef ds:uri="http://www.w3.org/2001/XMLSchema"/>
    <ds:schemaRef ds:uri="http://microsoft.data.visualization.Client.Excel.LState/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1_CostsByArea</vt:lpstr>
      <vt:lpstr>2_SpeciesType</vt:lpstr>
      <vt:lpstr>3_FCRPS</vt:lpstr>
      <vt:lpstr>4_ESASpecies</vt:lpstr>
      <vt:lpstr>5_Fund</vt:lpstr>
      <vt:lpstr>6a_Category</vt:lpstr>
      <vt:lpstr>6b_ArtProd</vt:lpstr>
      <vt:lpstr>7_RME</vt:lpstr>
      <vt:lpstr>7_RME_Projects</vt:lpstr>
      <vt:lpstr>8_Province</vt:lpstr>
      <vt:lpstr>9_Location</vt:lpstr>
      <vt:lpstr>10_Contractor</vt:lpstr>
      <vt:lpstr>11_LandPurchases</vt:lpstr>
      <vt:lpstr>12_Cumulative</vt:lpstr>
      <vt:lpstr>CostsHistory</vt:lpstr>
      <vt:lpstr>CostsHistory!Print_Area</vt:lpstr>
      <vt:lpstr>'10_Contractor'!Print_Titles</vt:lpstr>
      <vt:lpstr>CostsHistory!Print_Titles</vt:lpstr>
      <vt:lpstr>subtitle</vt:lpstr>
    </vt:vector>
  </TitlesOfParts>
  <Company>Bonneville Power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Lefler</dc:creator>
  <cp:lastModifiedBy>Eric Schrepel</cp:lastModifiedBy>
  <cp:lastPrinted>2017-04-27T16:31:20Z</cp:lastPrinted>
  <dcterms:created xsi:type="dcterms:W3CDTF">2004-12-27T17:27:22Z</dcterms:created>
  <dcterms:modified xsi:type="dcterms:W3CDTF">2018-07-10T16:03:51Z</dcterms:modified>
</cp:coreProperties>
</file>