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theme/themeOverride8.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t\"/>
    </mc:Choice>
  </mc:AlternateContent>
  <xr:revisionPtr revIDLastSave="0" documentId="13_ncr:1_{9495AE4F-5F32-4733-857E-0A2127B2772A}" xr6:coauthVersionLast="44" xr6:coauthVersionMax="44" xr10:uidLastSave="{00000000-0000-0000-0000-000000000000}"/>
  <bookViews>
    <workbookView xWindow="-120" yWindow="-120" windowWidth="29040" windowHeight="15840" tabRatio="712" firstSheet="2" activeTab="12" xr2:uid="{00000000-000D-0000-FFFF-FFFF00000000}"/>
  </bookViews>
  <sheets>
    <sheet name="1A_CostsByArea" sheetId="36" r:id="rId1"/>
    <sheet name="1B_DirectCosts" sheetId="41" r:id="rId2"/>
    <sheet name="2_SpeciesType" sheetId="15" r:id="rId3"/>
    <sheet name="3_FCRPS" sheetId="16" r:id="rId4"/>
    <sheet name="4_ESASpecies" sheetId="17" r:id="rId5"/>
    <sheet name="5_Fund" sheetId="23" r:id="rId6"/>
    <sheet name="6A_Category" sheetId="24" r:id="rId7"/>
    <sheet name="6B_ArtProd" sheetId="34" r:id="rId8"/>
    <sheet name="7_RME" sheetId="33" r:id="rId9"/>
    <sheet name="8A_Province" sheetId="19" r:id="rId10"/>
    <sheet name="8B_Subbasin" sheetId="39" r:id="rId11"/>
    <sheet name="9_Location" sheetId="27" r:id="rId12"/>
    <sheet name="10_Contractor" sheetId="42" r:id="rId13"/>
    <sheet name="11_LandPurchases" sheetId="20" r:id="rId14"/>
    <sheet name="BPA Costs Table" sheetId="40" r:id="rId15"/>
  </sheets>
  <externalReferences>
    <externalReference r:id="rId16"/>
    <externalReference r:id="rId17"/>
    <externalReference r:id="rId18"/>
    <externalReference r:id="rId19"/>
    <externalReference r:id="rId20"/>
  </externalReferences>
  <definedNames>
    <definedName name="_xlnm._FilterDatabase" localSheetId="12" hidden="1">'10_Contractor'!$A$2:$E$2</definedName>
    <definedName name="_xlcn.WorksheetConnection_4_CostsByLocationA3E9" hidden="1">'9_Location'!$A$3:$I$11</definedName>
    <definedName name="ASD">[1]nVision!$E$3</definedName>
    <definedName name="BUN">'[2]FRS IT and Dir Prog Costs Rpt'!$E$6</definedName>
    <definedName name="CreditPercent">[1]nVision!$E$9</definedName>
    <definedName name="dsa" localSheetId="12">[3]IS!#REF!</definedName>
    <definedName name="dsa" localSheetId="0">[3]IS!#REF!</definedName>
    <definedName name="dsa" localSheetId="7">[3]IS!#REF!</definedName>
    <definedName name="dsa" localSheetId="14">[3]IS!#REF!</definedName>
    <definedName name="dsa">[3]IS!#REF!</definedName>
    <definedName name="dsb" localSheetId="12">[3]IS!#REF!</definedName>
    <definedName name="dsb">[3]IS!#REF!</definedName>
    <definedName name="dsc">[3]IS!#REF!</definedName>
    <definedName name="f" localSheetId="12">#REF!</definedName>
    <definedName name="f" localSheetId="0">#REF!</definedName>
    <definedName name="f" localSheetId="7">#REF!</definedName>
    <definedName name="f" localSheetId="14">#REF!</definedName>
    <definedName name="f">#REF!</definedName>
    <definedName name="FY">[1]nVision!$E$8</definedName>
    <definedName name="g">#REF!</definedName>
    <definedName name="h" localSheetId="12">#REF!</definedName>
    <definedName name="h">#REF!</definedName>
    <definedName name="j">42590.1440162037</definedName>
    <definedName name="layout">[4]Layout!$E$4</definedName>
    <definedName name="lkp_10" localSheetId="12">'10_Contractor'!$B$120:$C$163</definedName>
    <definedName name="lkp_10">#REF!</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PED">#REF!</definedName>
    <definedName name="_xlnm.Print_Area" localSheetId="14">'BPA Costs Table'!$A$1:$AO$38</definedName>
    <definedName name="_xlnm.Print_Titles" localSheetId="12">'10_Contractor'!$2:$2</definedName>
    <definedName name="_xlnm.Print_Titles" localSheetId="14">'BPA Costs Table'!$A:$A</definedName>
    <definedName name="RID">[1]nVision!$E$7</definedName>
    <definedName name="StartOfYear">[1]nVision!$E$10</definedName>
    <definedName name="subtitle" localSheetId="12">'[5]2_SpeciesType'!$D$40</definedName>
    <definedName name="subtitle">'2_SpeciesType'!$D$37</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2" l="1"/>
  <c r="K3" i="42"/>
  <c r="K4" i="42"/>
  <c r="K5" i="42"/>
  <c r="K12" i="42" s="1"/>
  <c r="K6" i="42"/>
  <c r="K7" i="42"/>
  <c r="K8" i="42"/>
  <c r="K9" i="42"/>
  <c r="K10" i="42"/>
  <c r="C12" i="42"/>
  <c r="D12" i="42"/>
  <c r="E12" i="42"/>
  <c r="F12" i="42"/>
  <c r="G12" i="42"/>
  <c r="H12" i="42"/>
  <c r="I12" i="42"/>
  <c r="J12" i="42"/>
  <c r="K14" i="42"/>
  <c r="K15" i="42"/>
  <c r="K16" i="42"/>
  <c r="C17" i="42"/>
  <c r="D17" i="42"/>
  <c r="E17" i="42"/>
  <c r="F17" i="42"/>
  <c r="G17" i="42"/>
  <c r="H17" i="42"/>
  <c r="I17" i="42"/>
  <c r="J17" i="42"/>
  <c r="K19" i="42"/>
  <c r="K21" i="42"/>
  <c r="C22" i="42"/>
  <c r="D22" i="42"/>
  <c r="E22" i="42"/>
  <c r="F22" i="42"/>
  <c r="G22" i="42"/>
  <c r="H22" i="42"/>
  <c r="I22" i="42"/>
  <c r="J22" i="42"/>
  <c r="K22" i="42"/>
  <c r="K24" i="42"/>
  <c r="K26" i="42" s="1"/>
  <c r="C26" i="42"/>
  <c r="D26" i="42"/>
  <c r="D30" i="42" s="1"/>
  <c r="D70" i="42" s="1"/>
  <c r="E26" i="42"/>
  <c r="F26" i="42"/>
  <c r="G26" i="42"/>
  <c r="H26" i="42"/>
  <c r="I26" i="42"/>
  <c r="I30" i="42" s="1"/>
  <c r="I70" i="42" s="1"/>
  <c r="J26" i="42"/>
  <c r="K28" i="42"/>
  <c r="K29" i="42" s="1"/>
  <c r="C29" i="42"/>
  <c r="C30" i="42" s="1"/>
  <c r="C70" i="42" s="1"/>
  <c r="D29" i="42"/>
  <c r="E29" i="42"/>
  <c r="E30" i="42" s="1"/>
  <c r="E70" i="42" s="1"/>
  <c r="F29" i="42"/>
  <c r="G29" i="42"/>
  <c r="G30" i="42" s="1"/>
  <c r="G70" i="42" s="1"/>
  <c r="H29" i="42"/>
  <c r="H30" i="42" s="1"/>
  <c r="H70" i="42" s="1"/>
  <c r="I29" i="42"/>
  <c r="J29" i="42"/>
  <c r="F30" i="42"/>
  <c r="J30" i="42"/>
  <c r="K32" i="42"/>
  <c r="K33" i="42"/>
  <c r="K34" i="42"/>
  <c r="K35" i="42"/>
  <c r="K36" i="42"/>
  <c r="K37" i="42"/>
  <c r="K38" i="42"/>
  <c r="K39" i="42"/>
  <c r="K40" i="42"/>
  <c r="K41" i="42"/>
  <c r="K42" i="42"/>
  <c r="K43" i="42"/>
  <c r="K44" i="42"/>
  <c r="K45" i="42"/>
  <c r="K46" i="42"/>
  <c r="K47" i="42"/>
  <c r="K48" i="42"/>
  <c r="K49" i="42"/>
  <c r="K50" i="42"/>
  <c r="C52" i="42"/>
  <c r="D52" i="42"/>
  <c r="E52" i="42"/>
  <c r="F52" i="42"/>
  <c r="G52" i="42"/>
  <c r="H52" i="42"/>
  <c r="I52" i="42"/>
  <c r="J52" i="42"/>
  <c r="K54" i="42"/>
  <c r="K56" i="42"/>
  <c r="K58" i="42"/>
  <c r="K59" i="42"/>
  <c r="K60" i="42"/>
  <c r="K61" i="42"/>
  <c r="K62" i="42"/>
  <c r="K63" i="42"/>
  <c r="C65" i="42"/>
  <c r="D65" i="42"/>
  <c r="E65" i="42"/>
  <c r="F65" i="42"/>
  <c r="G65" i="42"/>
  <c r="H65" i="42"/>
  <c r="I65" i="42"/>
  <c r="J65" i="42"/>
  <c r="K67" i="42"/>
  <c r="K68" i="42"/>
  <c r="F70" i="42"/>
  <c r="J70" i="42"/>
  <c r="H77" i="42"/>
  <c r="K52" i="42" l="1"/>
  <c r="K17" i="42"/>
  <c r="K65" i="42"/>
  <c r="K30" i="42"/>
  <c r="K70" i="42" s="1"/>
  <c r="A1" i="41"/>
  <c r="B25" i="36" l="1"/>
  <c r="B24" i="36"/>
  <c r="B13" i="36"/>
  <c r="B12" i="36"/>
  <c r="B11" i="36"/>
  <c r="B10" i="36"/>
  <c r="B9" i="36"/>
  <c r="B8" i="36"/>
  <c r="B7" i="36" l="1"/>
  <c r="A1" i="39"/>
  <c r="A1" i="19"/>
  <c r="AC53" i="40"/>
  <c r="AB53" i="40"/>
  <c r="AA53" i="40"/>
  <c r="Z53" i="40"/>
  <c r="Y53" i="40"/>
  <c r="X53" i="40"/>
  <c r="W53" i="40"/>
  <c r="V53" i="40"/>
  <c r="U53" i="40"/>
  <c r="T53" i="40"/>
  <c r="S53" i="40"/>
  <c r="R53" i="40"/>
  <c r="Q53" i="40"/>
  <c r="P53" i="40"/>
  <c r="O53" i="40"/>
  <c r="N53" i="40"/>
  <c r="M53" i="40"/>
  <c r="L53" i="40"/>
  <c r="K53" i="40"/>
  <c r="J53" i="40"/>
  <c r="I53" i="40"/>
  <c r="H53" i="40"/>
  <c r="G53" i="40"/>
  <c r="F53" i="40"/>
  <c r="E53" i="40"/>
  <c r="D53" i="40"/>
  <c r="C53" i="40"/>
  <c r="B53" i="40"/>
  <c r="AM33" i="40"/>
  <c r="AG33" i="40"/>
  <c r="AF33" i="40"/>
  <c r="AE33" i="40"/>
  <c r="AD33" i="40"/>
  <c r="AC33" i="40"/>
  <c r="AC60" i="40" s="1"/>
  <c r="AB33" i="40"/>
  <c r="AB60" i="40" s="1"/>
  <c r="AA33" i="40"/>
  <c r="AA60" i="40" s="1"/>
  <c r="Z33" i="40"/>
  <c r="Z60" i="40" s="1"/>
  <c r="Y33" i="40"/>
  <c r="Y60" i="40" s="1"/>
  <c r="X33" i="40"/>
  <c r="X60" i="40" s="1"/>
  <c r="W33" i="40"/>
  <c r="W60" i="40" s="1"/>
  <c r="V33" i="40"/>
  <c r="V60" i="40" s="1"/>
  <c r="U33" i="40"/>
  <c r="U60" i="40" s="1"/>
  <c r="T33" i="40"/>
  <c r="T60" i="40" s="1"/>
  <c r="S33" i="40"/>
  <c r="S60" i="40" s="1"/>
  <c r="R33" i="40"/>
  <c r="R60" i="40" s="1"/>
  <c r="Q33" i="40"/>
  <c r="Q60" i="40" s="1"/>
  <c r="P33" i="40"/>
  <c r="P60" i="40" s="1"/>
  <c r="O33" i="40"/>
  <c r="O60" i="40" s="1"/>
  <c r="N33" i="40"/>
  <c r="N60" i="40" s="1"/>
  <c r="M33" i="40"/>
  <c r="M60" i="40" s="1"/>
  <c r="L33" i="40"/>
  <c r="L60" i="40" s="1"/>
  <c r="K33" i="40"/>
  <c r="K60" i="40" s="1"/>
  <c r="J33" i="40"/>
  <c r="J60" i="40" s="1"/>
  <c r="I33" i="40"/>
  <c r="I60" i="40" s="1"/>
  <c r="H33" i="40"/>
  <c r="H60" i="40" s="1"/>
  <c r="G33" i="40"/>
  <c r="G60" i="40" s="1"/>
  <c r="F33" i="40"/>
  <c r="F60" i="40" s="1"/>
  <c r="E33" i="40"/>
  <c r="E60" i="40" s="1"/>
  <c r="D33" i="40"/>
  <c r="D60" i="40" s="1"/>
  <c r="C33" i="40"/>
  <c r="C60" i="40" s="1"/>
  <c r="B33" i="40"/>
  <c r="B60" i="40" s="1"/>
  <c r="B61" i="40" s="1"/>
  <c r="C61" i="40" s="1"/>
  <c r="AM31" i="40"/>
  <c r="AL31" i="40"/>
  <c r="AL33" i="40" s="1"/>
  <c r="AK31" i="40"/>
  <c r="AK33" i="40" s="1"/>
  <c r="AJ31" i="40"/>
  <c r="AJ33" i="40" s="1"/>
  <c r="AI31" i="40"/>
  <c r="AI33" i="40" s="1"/>
  <c r="AH31" i="40"/>
  <c r="AH33" i="40" s="1"/>
  <c r="AM28" i="40"/>
  <c r="AL28" i="40"/>
  <c r="AK28" i="40"/>
  <c r="AJ28" i="40"/>
  <c r="AI28" i="40"/>
  <c r="AH28" i="40"/>
  <c r="AG28" i="40"/>
  <c r="AF28" i="40"/>
  <c r="AE28" i="40"/>
  <c r="AD28" i="40"/>
  <c r="AC28" i="40"/>
  <c r="AC58" i="40" s="1"/>
  <c r="AB28" i="40"/>
  <c r="AB58" i="40" s="1"/>
  <c r="AA28" i="40"/>
  <c r="AA58" i="40" s="1"/>
  <c r="Z28" i="40"/>
  <c r="Z58" i="40" s="1"/>
  <c r="Y28" i="40"/>
  <c r="Y58" i="40" s="1"/>
  <c r="X28" i="40"/>
  <c r="X58" i="40" s="1"/>
  <c r="W28" i="40"/>
  <c r="W58" i="40" s="1"/>
  <c r="V28" i="40"/>
  <c r="V58" i="40" s="1"/>
  <c r="U28" i="40"/>
  <c r="U58" i="40" s="1"/>
  <c r="T28" i="40"/>
  <c r="T58" i="40" s="1"/>
  <c r="S28" i="40"/>
  <c r="S58" i="40" s="1"/>
  <c r="R28" i="40"/>
  <c r="R58" i="40" s="1"/>
  <c r="Q28" i="40"/>
  <c r="Q58" i="40" s="1"/>
  <c r="P28" i="40"/>
  <c r="P58" i="40" s="1"/>
  <c r="O28" i="40"/>
  <c r="O58" i="40" s="1"/>
  <c r="N28" i="40"/>
  <c r="N58" i="40" s="1"/>
  <c r="M28" i="40"/>
  <c r="M58" i="40" s="1"/>
  <c r="L28" i="40"/>
  <c r="L58" i="40" s="1"/>
  <c r="K28" i="40"/>
  <c r="K58" i="40" s="1"/>
  <c r="J28" i="40"/>
  <c r="J58" i="40" s="1"/>
  <c r="I28" i="40"/>
  <c r="I58" i="40" s="1"/>
  <c r="H28" i="40"/>
  <c r="H58" i="40" s="1"/>
  <c r="G28" i="40"/>
  <c r="G58" i="40" s="1"/>
  <c r="F28" i="40"/>
  <c r="F58" i="40" s="1"/>
  <c r="E28" i="40"/>
  <c r="E58" i="40" s="1"/>
  <c r="D28" i="40"/>
  <c r="D58" i="40" s="1"/>
  <c r="C28" i="40"/>
  <c r="C58" i="40" s="1"/>
  <c r="B28" i="40"/>
  <c r="B58" i="40" s="1"/>
  <c r="B59" i="40" s="1"/>
  <c r="C59" i="40" s="1"/>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B23" i="40"/>
  <c r="P18" i="40"/>
  <c r="O18" i="40"/>
  <c r="O24" i="40" s="1"/>
  <c r="O29" i="40" s="1"/>
  <c r="N18" i="40"/>
  <c r="M18" i="40"/>
  <c r="L18" i="40"/>
  <c r="K18" i="40"/>
  <c r="J18" i="40"/>
  <c r="I18" i="40"/>
  <c r="I24" i="40" s="1"/>
  <c r="I29" i="40" s="1"/>
  <c r="H18" i="40"/>
  <c r="G18" i="40"/>
  <c r="G24" i="40" s="1"/>
  <c r="G29" i="40" s="1"/>
  <c r="F18" i="40"/>
  <c r="E18" i="40"/>
  <c r="D18" i="40"/>
  <c r="C18" i="40"/>
  <c r="B18" i="40"/>
  <c r="AM17" i="40"/>
  <c r="AM18" i="40" s="1"/>
  <c r="AM24" i="40" s="1"/>
  <c r="AM29" i="40" s="1"/>
  <c r="AL17" i="40"/>
  <c r="AL18" i="40" s="1"/>
  <c r="AK17" i="40"/>
  <c r="AK18" i="40" s="1"/>
  <c r="AK24" i="40" s="1"/>
  <c r="AK29" i="40" s="1"/>
  <c r="AJ17" i="40"/>
  <c r="AJ18" i="40" s="1"/>
  <c r="AJ24" i="40" s="1"/>
  <c r="AI17" i="40"/>
  <c r="AI18" i="40" s="1"/>
  <c r="AI24" i="40" s="1"/>
  <c r="AI29" i="40" s="1"/>
  <c r="AH17" i="40"/>
  <c r="AH18" i="40" s="1"/>
  <c r="AG17" i="40"/>
  <c r="AG18" i="40" s="1"/>
  <c r="AF17" i="40"/>
  <c r="AF18" i="40" s="1"/>
  <c r="AF24" i="40" s="1"/>
  <c r="AE17" i="40"/>
  <c r="AE18" i="40" s="1"/>
  <c r="AE24" i="40" s="1"/>
  <c r="AE29" i="40" s="1"/>
  <c r="AC17" i="40"/>
  <c r="AC18" i="40" s="1"/>
  <c r="AB17" i="40"/>
  <c r="AB18" i="40" s="1"/>
  <c r="AB24" i="40" s="1"/>
  <c r="AA17" i="40"/>
  <c r="AA18" i="40" s="1"/>
  <c r="AA24" i="40" s="1"/>
  <c r="AA29" i="40" s="1"/>
  <c r="Z17" i="40"/>
  <c r="Z18" i="40" s="1"/>
  <c r="Y17" i="40"/>
  <c r="Y18" i="40" s="1"/>
  <c r="X17" i="40"/>
  <c r="X18" i="40" s="1"/>
  <c r="X24" i="40" s="1"/>
  <c r="W17" i="40"/>
  <c r="W18" i="40" s="1"/>
  <c r="W24" i="40" s="1"/>
  <c r="W29" i="40" s="1"/>
  <c r="V17" i="40"/>
  <c r="V18" i="40" s="1"/>
  <c r="U17" i="40"/>
  <c r="U18" i="40" s="1"/>
  <c r="U24" i="40" s="1"/>
  <c r="U29" i="40" s="1"/>
  <c r="T17" i="40"/>
  <c r="T18" i="40" s="1"/>
  <c r="T24" i="40" s="1"/>
  <c r="S17" i="40"/>
  <c r="S18" i="40" s="1"/>
  <c r="S24" i="40" s="1"/>
  <c r="S29" i="40" s="1"/>
  <c r="R17" i="40"/>
  <c r="R18" i="40" s="1"/>
  <c r="Q17" i="40"/>
  <c r="Q18" i="40" s="1"/>
  <c r="AD16" i="40"/>
  <c r="AD17" i="40" s="1"/>
  <c r="AD18" i="40" s="1"/>
  <c r="AD24" i="40" s="1"/>
  <c r="AD29" i="40" s="1"/>
  <c r="B5" i="36"/>
  <c r="AM7" i="40"/>
  <c r="AL7" i="40"/>
  <c r="AK7" i="40"/>
  <c r="AJ7" i="40"/>
  <c r="AI7" i="40"/>
  <c r="AH7" i="40"/>
  <c r="AG7" i="40"/>
  <c r="AF7" i="40"/>
  <c r="AE7" i="40"/>
  <c r="AD7" i="40"/>
  <c r="AC7" i="40"/>
  <c r="AB7" i="40"/>
  <c r="AA7" i="40"/>
  <c r="Z7" i="40"/>
  <c r="Y7" i="40"/>
  <c r="X7" i="40"/>
  <c r="W7" i="40"/>
  <c r="V7" i="40"/>
  <c r="U7" i="40"/>
  <c r="T7" i="40"/>
  <c r="S7" i="40"/>
  <c r="R7" i="40"/>
  <c r="Q7" i="40"/>
  <c r="P7" i="40"/>
  <c r="O7" i="40"/>
  <c r="N7" i="40"/>
  <c r="M7" i="40"/>
  <c r="L7" i="40"/>
  <c r="K7" i="40"/>
  <c r="J7" i="40"/>
  <c r="I7" i="40"/>
  <c r="H7" i="40"/>
  <c r="G7" i="40"/>
  <c r="F7" i="40"/>
  <c r="E7" i="40"/>
  <c r="D7" i="40"/>
  <c r="C7" i="40"/>
  <c r="B7" i="40"/>
  <c r="C24" i="40" l="1"/>
  <c r="C29" i="40" s="1"/>
  <c r="K24" i="40"/>
  <c r="K29" i="40" s="1"/>
  <c r="R24" i="40"/>
  <c r="R29" i="40" s="1"/>
  <c r="R56" i="40" s="1"/>
  <c r="V24" i="40"/>
  <c r="V29" i="40" s="1"/>
  <c r="V56" i="40" s="1"/>
  <c r="Z24" i="40"/>
  <c r="Z29" i="40" s="1"/>
  <c r="AH24" i="40"/>
  <c r="AH29" i="40" s="1"/>
  <c r="D24" i="40"/>
  <c r="D29" i="40" s="1"/>
  <c r="D56" i="40" s="1"/>
  <c r="H24" i="40"/>
  <c r="H29" i="40" s="1"/>
  <c r="H56" i="40" s="1"/>
  <c r="L24" i="40"/>
  <c r="L29" i="40" s="1"/>
  <c r="L56" i="40" s="1"/>
  <c r="P24" i="40"/>
  <c r="P29" i="40" s="1"/>
  <c r="P56" i="40" s="1"/>
  <c r="E24" i="40"/>
  <c r="E29" i="40" s="1"/>
  <c r="M24" i="40"/>
  <c r="M29" i="40" s="1"/>
  <c r="M56" i="40" s="1"/>
  <c r="Q24" i="40"/>
  <c r="Q29" i="40" s="1"/>
  <c r="Y24" i="40"/>
  <c r="Y29" i="40" s="1"/>
  <c r="AC24" i="40"/>
  <c r="AC29" i="40" s="1"/>
  <c r="AG24" i="40"/>
  <c r="AG29" i="40" s="1"/>
  <c r="D61" i="40"/>
  <c r="E61" i="40" s="1"/>
  <c r="F61" i="40" s="1"/>
  <c r="G61" i="40" s="1"/>
  <c r="H61" i="40" s="1"/>
  <c r="I61" i="40" s="1"/>
  <c r="J61" i="40" s="1"/>
  <c r="K61" i="40" s="1"/>
  <c r="L61" i="40" s="1"/>
  <c r="M61" i="40" s="1"/>
  <c r="N61" i="40" s="1"/>
  <c r="O61" i="40" s="1"/>
  <c r="P61" i="40" s="1"/>
  <c r="Q61" i="40" s="1"/>
  <c r="R61" i="40" s="1"/>
  <c r="S61" i="40" s="1"/>
  <c r="T61" i="40" s="1"/>
  <c r="U61" i="40" s="1"/>
  <c r="V61" i="40" s="1"/>
  <c r="W61" i="40" s="1"/>
  <c r="X61" i="40" s="1"/>
  <c r="Y61" i="40" s="1"/>
  <c r="Z61" i="40" s="1"/>
  <c r="AA61" i="40" s="1"/>
  <c r="AB61" i="40" s="1"/>
  <c r="AC61" i="40" s="1"/>
  <c r="T29" i="40"/>
  <c r="T56" i="40" s="1"/>
  <c r="X29" i="40"/>
  <c r="X56" i="40" s="1"/>
  <c r="AB29" i="40"/>
  <c r="AB54" i="40" s="1"/>
  <c r="AF29" i="40"/>
  <c r="AJ29" i="40"/>
  <c r="B24" i="40"/>
  <c r="B29" i="40" s="1"/>
  <c r="B56" i="40" s="1"/>
  <c r="B57" i="40" s="1"/>
  <c r="C57" i="40" s="1"/>
  <c r="D57" i="40" s="1"/>
  <c r="E57" i="40" s="1"/>
  <c r="F24" i="40"/>
  <c r="F29" i="40" s="1"/>
  <c r="F56" i="40" s="1"/>
  <c r="J24" i="40"/>
  <c r="J29" i="40" s="1"/>
  <c r="J56" i="40" s="1"/>
  <c r="N24" i="40"/>
  <c r="N29" i="40" s="1"/>
  <c r="N56" i="40" s="1"/>
  <c r="S56" i="40"/>
  <c r="S54" i="40"/>
  <c r="AA56" i="40"/>
  <c r="AA54" i="40"/>
  <c r="G56" i="40"/>
  <c r="G54" i="40"/>
  <c r="O56" i="40"/>
  <c r="O54" i="40"/>
  <c r="C56" i="40"/>
  <c r="C54" i="40"/>
  <c r="K56" i="40"/>
  <c r="K54" i="40"/>
  <c r="U56" i="40"/>
  <c r="U54" i="40"/>
  <c r="V54" i="40"/>
  <c r="Z56" i="40"/>
  <c r="Z54" i="40"/>
  <c r="E56" i="40"/>
  <c r="E54" i="40"/>
  <c r="Y56" i="40"/>
  <c r="Y54" i="40"/>
  <c r="W56" i="40"/>
  <c r="W54" i="40"/>
  <c r="AC56" i="40"/>
  <c r="AC54" i="40"/>
  <c r="T54" i="40"/>
  <c r="X54" i="40"/>
  <c r="AB56" i="40"/>
  <c r="I56" i="40"/>
  <c r="I54" i="40"/>
  <c r="Q56" i="40"/>
  <c r="Q54" i="40"/>
  <c r="D59" i="40"/>
  <c r="E59" i="40" s="1"/>
  <c r="F59" i="40" s="1"/>
  <c r="G59" i="40" s="1"/>
  <c r="H59" i="40" s="1"/>
  <c r="I59" i="40" s="1"/>
  <c r="J59" i="40" s="1"/>
  <c r="K59" i="40" s="1"/>
  <c r="L59" i="40" s="1"/>
  <c r="M59" i="40" s="1"/>
  <c r="N59" i="40" s="1"/>
  <c r="O59" i="40" s="1"/>
  <c r="P59" i="40" s="1"/>
  <c r="Q59" i="40" s="1"/>
  <c r="R59" i="40" s="1"/>
  <c r="S59" i="40" s="1"/>
  <c r="T59" i="40" s="1"/>
  <c r="U59" i="40" s="1"/>
  <c r="V59" i="40" s="1"/>
  <c r="W59" i="40" s="1"/>
  <c r="X59" i="40" s="1"/>
  <c r="Y59" i="40" s="1"/>
  <c r="Z59" i="40" s="1"/>
  <c r="AA59" i="40" s="1"/>
  <c r="AB59" i="40" s="1"/>
  <c r="AC59" i="40" s="1"/>
  <c r="B54" i="40"/>
  <c r="B55" i="40" s="1"/>
  <c r="L54" i="40"/>
  <c r="AL24" i="40"/>
  <c r="AL29" i="40" s="1"/>
  <c r="P54" i="40"/>
  <c r="F54" i="40" l="1"/>
  <c r="M54" i="40"/>
  <c r="R54" i="40"/>
  <c r="H54" i="40"/>
  <c r="D54" i="40"/>
  <c r="N54" i="40"/>
  <c r="J54" i="40"/>
  <c r="F57" i="40"/>
  <c r="G57" i="40" s="1"/>
  <c r="H57" i="40" s="1"/>
  <c r="I57" i="40" s="1"/>
  <c r="J57" i="40" s="1"/>
  <c r="K57" i="40" s="1"/>
  <c r="L57" i="40" s="1"/>
  <c r="M57" i="40" s="1"/>
  <c r="N57" i="40" s="1"/>
  <c r="O57" i="40" s="1"/>
  <c r="P57" i="40" s="1"/>
  <c r="Q57" i="40" s="1"/>
  <c r="R57" i="40" s="1"/>
  <c r="S57" i="40" s="1"/>
  <c r="T57" i="40" s="1"/>
  <c r="U57" i="40" s="1"/>
  <c r="V57" i="40" s="1"/>
  <c r="W57" i="40" s="1"/>
  <c r="X57" i="40" s="1"/>
  <c r="Y57" i="40" s="1"/>
  <c r="Z57" i="40" s="1"/>
  <c r="AA57" i="40" s="1"/>
  <c r="AB57" i="40" s="1"/>
  <c r="AC57" i="40" s="1"/>
  <c r="C55" i="40"/>
  <c r="D55" i="40" s="1"/>
  <c r="E55" i="40" s="1"/>
  <c r="F55" i="40" s="1"/>
  <c r="G55" i="40" s="1"/>
  <c r="H55" i="40" s="1"/>
  <c r="I55" i="40" s="1"/>
  <c r="J55" i="40" l="1"/>
  <c r="K55" i="40" s="1"/>
  <c r="L55" i="40" s="1"/>
  <c r="M55" i="40" s="1"/>
  <c r="N55" i="40" s="1"/>
  <c r="O55" i="40" s="1"/>
  <c r="P55" i="40" s="1"/>
  <c r="Q55" i="40" s="1"/>
  <c r="R55" i="40" s="1"/>
  <c r="S55" i="40" s="1"/>
  <c r="T55" i="40" s="1"/>
  <c r="U55" i="40" s="1"/>
  <c r="V55" i="40" s="1"/>
  <c r="W55" i="40" s="1"/>
  <c r="X55" i="40" s="1"/>
  <c r="Y55" i="40" s="1"/>
  <c r="Z55" i="40" s="1"/>
  <c r="AA55" i="40" s="1"/>
  <c r="AB55" i="40" s="1"/>
  <c r="AC55" i="40" s="1"/>
  <c r="B6" i="36" l="1"/>
  <c r="A1" i="15"/>
  <c r="A1" i="16"/>
  <c r="A1" i="23"/>
  <c r="A1" i="24"/>
  <c r="A1" i="34"/>
  <c r="A1" i="33"/>
  <c r="A1" i="20"/>
  <c r="I39" i="20" l="1"/>
  <c r="H13" i="27"/>
  <c r="A1" i="27"/>
  <c r="B75" i="39"/>
  <c r="K9" i="33" l="1"/>
  <c r="K8" i="33"/>
  <c r="K7" i="33"/>
  <c r="K6" i="33"/>
  <c r="K5" i="33"/>
  <c r="K4" i="33"/>
  <c r="D37" i="15" l="1"/>
  <c r="B26" i="23" l="1"/>
  <c r="B11" i="23"/>
  <c r="C11" i="23"/>
  <c r="D11" i="23"/>
  <c r="E11" i="23"/>
  <c r="F11" i="23"/>
  <c r="G11" i="23"/>
  <c r="H11" i="23"/>
  <c r="I11" i="23"/>
  <c r="J11" i="23"/>
  <c r="I18" i="19" l="1"/>
  <c r="J10" i="33" l="1"/>
  <c r="B15" i="33" s="1"/>
  <c r="I10" i="33"/>
  <c r="I7" i="34" l="1"/>
  <c r="J14" i="24" l="1"/>
  <c r="I14" i="24"/>
  <c r="G18" i="17" l="1"/>
  <c r="D18" i="17"/>
  <c r="G17" i="17"/>
  <c r="D17" i="17"/>
  <c r="H17" i="17" s="1"/>
  <c r="G16" i="17"/>
  <c r="D16" i="17"/>
  <c r="G15" i="17"/>
  <c r="D15" i="17"/>
  <c r="G14" i="17"/>
  <c r="D14" i="17"/>
  <c r="H14" i="17" s="1"/>
  <c r="G13" i="17"/>
  <c r="D13" i="17"/>
  <c r="H13" i="17" s="1"/>
  <c r="G12" i="17"/>
  <c r="D12" i="17"/>
  <c r="H12" i="17" s="1"/>
  <c r="G11" i="17"/>
  <c r="H11" i="17" s="1"/>
  <c r="D11" i="17"/>
  <c r="G10" i="17"/>
  <c r="D10" i="17"/>
  <c r="H10" i="17" s="1"/>
  <c r="G9" i="17"/>
  <c r="D9" i="17"/>
  <c r="G8" i="17"/>
  <c r="D8" i="17"/>
  <c r="H8" i="17" s="1"/>
  <c r="G7" i="17"/>
  <c r="D7" i="17"/>
  <c r="G6" i="17"/>
  <c r="D6" i="17"/>
  <c r="H6" i="17" s="1"/>
  <c r="G5" i="17"/>
  <c r="D5" i="17"/>
  <c r="H5" i="17" s="1"/>
  <c r="G4" i="17"/>
  <c r="H4" i="17" s="1"/>
  <c r="D4" i="17"/>
  <c r="G3" i="17"/>
  <c r="D3" i="17"/>
  <c r="H15" i="17" l="1"/>
  <c r="H3" i="17"/>
  <c r="H7" i="17"/>
  <c r="H9" i="17"/>
  <c r="H16" i="17"/>
  <c r="H18" i="17"/>
  <c r="N8" i="16"/>
  <c r="N5" i="16"/>
  <c r="I26" i="15" l="1"/>
  <c r="I25" i="15"/>
  <c r="I24" i="15"/>
  <c r="I23" i="15"/>
  <c r="I22" i="15"/>
  <c r="I21" i="15"/>
  <c r="I20" i="15"/>
  <c r="I17" i="15"/>
  <c r="I27" i="15" s="1"/>
  <c r="C67" i="39" l="1"/>
  <c r="J26" i="15" l="1"/>
  <c r="B39" i="20" l="1"/>
  <c r="C39" i="20"/>
  <c r="D39" i="20"/>
  <c r="E39" i="20"/>
  <c r="F39" i="20"/>
  <c r="G39" i="20"/>
  <c r="H39" i="20"/>
  <c r="J39" i="20"/>
  <c r="A61" i="20" s="1"/>
  <c r="J10" i="27" l="1"/>
  <c r="B10" i="27"/>
  <c r="J9" i="27"/>
  <c r="G13" i="27"/>
  <c r="H18" i="19" l="1"/>
  <c r="G18" i="19"/>
  <c r="F18" i="19"/>
  <c r="E18" i="19"/>
  <c r="D18" i="19"/>
  <c r="C18" i="19"/>
  <c r="B18" i="19"/>
  <c r="H10" i="33" l="1"/>
  <c r="H7" i="34" l="1"/>
  <c r="H14" i="24" l="1"/>
  <c r="G14" i="24"/>
  <c r="F14" i="24"/>
  <c r="E14" i="24"/>
  <c r="D14" i="24"/>
  <c r="C14" i="24"/>
  <c r="B14" i="24"/>
  <c r="K13" i="24"/>
  <c r="K12" i="24"/>
  <c r="M8" i="16" l="1"/>
  <c r="M5" i="16"/>
  <c r="H25" i="15" l="1"/>
  <c r="H24" i="15"/>
  <c r="H23" i="15"/>
  <c r="H22" i="15"/>
  <c r="H21" i="15"/>
  <c r="H20" i="15"/>
  <c r="H17" i="15"/>
  <c r="H27" i="15" s="1"/>
  <c r="G10" i="33" l="1"/>
  <c r="F10" i="33"/>
  <c r="E10" i="33"/>
  <c r="D10" i="33"/>
  <c r="C10" i="33"/>
  <c r="B10" i="33"/>
  <c r="C8" i="16" l="1"/>
  <c r="B8" i="16"/>
  <c r="E5" i="16"/>
  <c r="D5" i="16"/>
  <c r="C5" i="16"/>
  <c r="B5" i="16"/>
  <c r="E8" i="16" l="1"/>
  <c r="D8" i="16"/>
  <c r="E11" i="36" l="1"/>
  <c r="F11" i="36" s="1"/>
  <c r="E7" i="36"/>
  <c r="F10" i="36" s="1"/>
  <c r="E6" i="34" l="1"/>
  <c r="D6" i="34"/>
  <c r="F13" i="27" l="1"/>
  <c r="B14" i="36" l="1"/>
  <c r="A28" i="36" s="1"/>
  <c r="F7" i="34" l="1"/>
  <c r="E7" i="34"/>
  <c r="J7" i="34"/>
  <c r="B12" i="34" s="1"/>
  <c r="G7" i="34"/>
  <c r="D7" i="34"/>
  <c r="C7" i="34"/>
  <c r="B7" i="34"/>
  <c r="K6" i="34"/>
  <c r="K5" i="34"/>
  <c r="K4" i="34"/>
  <c r="K3" i="34"/>
  <c r="L8" i="16" l="1"/>
  <c r="L5" i="16"/>
  <c r="K16" i="15" l="1"/>
  <c r="K4" i="24"/>
  <c r="E13" i="27" l="1"/>
  <c r="E40" i="19" l="1"/>
  <c r="E39" i="19"/>
  <c r="E38" i="19"/>
  <c r="E37" i="19"/>
  <c r="E36" i="19"/>
  <c r="E35" i="19"/>
  <c r="E34" i="19"/>
  <c r="E33" i="19"/>
  <c r="E32" i="19"/>
  <c r="E31" i="19"/>
  <c r="E30" i="19"/>
  <c r="F41" i="19" l="1"/>
  <c r="F30" i="19"/>
  <c r="K3" i="24" l="1"/>
  <c r="K5" i="24"/>
  <c r="K6" i="24"/>
  <c r="K7" i="24"/>
  <c r="K8" i="24"/>
  <c r="K9" i="24"/>
  <c r="K10" i="24"/>
  <c r="K11" i="24"/>
  <c r="J20" i="15" l="1"/>
  <c r="B36" i="15" s="1"/>
  <c r="G20" i="15"/>
  <c r="F20" i="15"/>
  <c r="E20" i="15"/>
  <c r="D20" i="15"/>
  <c r="C20" i="15"/>
  <c r="B20" i="15"/>
  <c r="J17" i="15"/>
  <c r="G17" i="15"/>
  <c r="F17" i="15"/>
  <c r="E17" i="15"/>
  <c r="D17" i="15"/>
  <c r="C17" i="15"/>
  <c r="B17" i="15"/>
  <c r="F42" i="19" l="1"/>
  <c r="F40" i="19"/>
  <c r="F39" i="19"/>
  <c r="F38" i="19"/>
  <c r="F37" i="19"/>
  <c r="F36" i="19"/>
  <c r="F35" i="19"/>
  <c r="F34" i="19"/>
  <c r="F33" i="19"/>
  <c r="F32" i="19"/>
  <c r="F31" i="19"/>
  <c r="J12" i="27" l="1"/>
  <c r="J11" i="27"/>
  <c r="J8" i="27"/>
  <c r="J7" i="27"/>
  <c r="J6" i="27"/>
  <c r="J5" i="27"/>
  <c r="J4" i="27"/>
  <c r="J3" i="27"/>
  <c r="B13" i="27" l="1"/>
  <c r="C13" i="27"/>
  <c r="D13" i="27"/>
  <c r="I13" i="27"/>
  <c r="B27" i="23" l="1"/>
  <c r="B25" i="23"/>
  <c r="B24" i="23"/>
  <c r="B23" i="23"/>
  <c r="B22" i="23"/>
  <c r="O8" i="16" l="1"/>
  <c r="K8" i="16"/>
  <c r="J8" i="16"/>
  <c r="I8" i="16"/>
  <c r="H8" i="16"/>
  <c r="G8" i="16"/>
  <c r="F8" i="16"/>
  <c r="O5" i="16"/>
  <c r="J27" i="15" l="1"/>
  <c r="G27" i="15"/>
  <c r="F27" i="15"/>
  <c r="E27" i="15"/>
  <c r="D27" i="15"/>
  <c r="C27" i="15"/>
  <c r="B27" i="15"/>
  <c r="J25" i="15"/>
  <c r="G25" i="15"/>
  <c r="F25" i="15"/>
  <c r="E25" i="15"/>
  <c r="D25" i="15"/>
  <c r="C25" i="15"/>
  <c r="B25" i="15"/>
  <c r="J24" i="15"/>
  <c r="B40" i="15" s="1"/>
  <c r="G24" i="15"/>
  <c r="F24" i="15"/>
  <c r="E24" i="15"/>
  <c r="D24" i="15"/>
  <c r="C24" i="15"/>
  <c r="B24" i="15"/>
  <c r="J23" i="15"/>
  <c r="B39" i="15" s="1"/>
  <c r="G23" i="15"/>
  <c r="F23" i="15"/>
  <c r="E23" i="15"/>
  <c r="D23" i="15"/>
  <c r="C23" i="15"/>
  <c r="B23" i="15"/>
  <c r="J22" i="15"/>
  <c r="B38" i="15" s="1"/>
  <c r="G22" i="15"/>
  <c r="F22" i="15"/>
  <c r="E22" i="15"/>
  <c r="D22" i="15"/>
  <c r="C22" i="15"/>
  <c r="B22" i="15"/>
  <c r="J21" i="15"/>
  <c r="B37" i="15" s="1"/>
  <c r="G21" i="15"/>
  <c r="F21" i="15"/>
  <c r="E21" i="15"/>
  <c r="D21" i="15"/>
  <c r="C21" i="15"/>
  <c r="B21" i="15"/>
  <c r="A22" i="27" l="1"/>
  <c r="A30" i="23"/>
  <c r="A27" i="19"/>
  <c r="B22" i="24"/>
  <c r="B19" i="17" l="1"/>
  <c r="C19" i="17"/>
  <c r="E19" i="17"/>
  <c r="F19" i="17"/>
  <c r="D19" i="17" l="1"/>
  <c r="G19" i="17"/>
  <c r="K5" i="16"/>
  <c r="F5" i="16"/>
  <c r="G5" i="16"/>
  <c r="H5" i="16"/>
  <c r="I5" i="16"/>
  <c r="J5" i="16"/>
  <c r="H19" i="17" l="1"/>
  <c r="A2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A satisfied Microsoft Office user</author>
    <author>dbt0117</author>
  </authors>
  <commentList>
    <comment ref="A1" authorId="0" shapeId="0" xr:uid="{40E702BB-89CB-4DF3-A828-85E46E2CBDC4}">
      <text>
        <r>
          <rPr>
            <b/>
            <sz val="9"/>
            <color indexed="81"/>
            <rFont val="Tahoma"/>
            <family val="2"/>
          </rPr>
          <t>Eric Schrepel:</t>
        </r>
        <r>
          <rPr>
            <sz val="9"/>
            <color indexed="81"/>
            <rFont val="Tahoma"/>
            <family val="2"/>
          </rPr>
          <t xml:space="preserve">
Supports Figures 1A and 1B</t>
        </r>
      </text>
    </comment>
    <comment ref="O2" authorId="1" shapeId="0" xr:uid="{7781AB1D-3278-4A30-B551-D5113654BA4B}">
      <text>
        <r>
          <rPr>
            <sz val="8"/>
            <color indexed="81"/>
            <rFont val="Tahoma"/>
            <family val="2"/>
          </rPr>
          <t>updated to FY 95 Congressional actual to the budget document. 3/23/94</t>
        </r>
      </text>
    </comment>
    <comment ref="P2" authorId="1" shapeId="0" xr:uid="{A056D206-8607-4E16-A95C-CBCF23364E86}">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2" shapeId="0" xr:uid="{EC5DA406-4BC9-4B98-9513-924D38984E8E}">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
        </x15:connection>
      </ext>
    </extLst>
  </connection>
</connections>
</file>

<file path=xl/sharedStrings.xml><?xml version="1.0" encoding="utf-8"?>
<sst xmlns="http://schemas.openxmlformats.org/spreadsheetml/2006/main" count="661" uniqueCount="440">
  <si>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</si>
  <si>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</si>
  <si>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</si>
  <si>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</si>
  <si>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</si>
  <si>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</si>
  <si>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</si>
  <si>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</si>
  <si>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</si>
  <si>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</si>
  <si>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</si>
  <si>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</si>
  <si>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</si>
  <si>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</si>
  <si>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</si>
  <si>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</si>
  <si>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</si>
  <si>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</si>
  <si>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</si>
  <si>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</si>
  <si>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</si>
  <si>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</si>
  <si>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</si>
  <si>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</si>
  <si>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</si>
  <si>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</si>
  <si>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</si>
  <si>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</si>
  <si>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</si>
  <si>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</si>
  <si>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</si>
  <si>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</si>
  <si>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</si>
  <si>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</si>
  <si>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</si>
  <si>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</si>
  <si>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</si>
  <si>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</si>
  <si>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</si>
  <si>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</si>
  <si>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</si>
  <si>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</si>
  <si>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</si>
  <si>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</si>
  <si>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</si>
  <si>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</si>
  <si>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</si>
  <si>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</si>
  <si>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</si>
  <si>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</si>
  <si>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</si>
  <si>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</si>
  <si>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</si>
  <si>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</si>
  <si>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City of Eugene</t>
  </si>
  <si>
    <t>Columbia Land Trust</t>
  </si>
  <si>
    <t>Colville Confederated Tribes</t>
  </si>
  <si>
    <t>Confederated Tribes of the Grande Ronde</t>
  </si>
  <si>
    <t>Greenbelt Land Trust</t>
  </si>
  <si>
    <t>Idaho Department of Fish and Game (IDFG)</t>
  </si>
  <si>
    <t>Idaho Office of Species Conservation</t>
  </si>
  <si>
    <t>Kittitas Conservation Trust</t>
  </si>
  <si>
    <t>Lower Columbia River Estuary Partnership (LCREP)</t>
  </si>
  <si>
    <t>Methow Salmon Recovery Foundation</t>
  </si>
  <si>
    <t>National Fish and Wildlife Foundation</t>
  </si>
  <si>
    <t>Nature Conservancy</t>
  </si>
  <si>
    <t>Nez Perce Tribe</t>
  </si>
  <si>
    <t>Oregon Watershed Enhancement Board</t>
  </si>
  <si>
    <t>S Central Washington Resource Conservation and Development</t>
  </si>
  <si>
    <t>Salish and Kootenai Confederated Tribes</t>
  </si>
  <si>
    <t>Shoshone-Bannock Tribes</t>
  </si>
  <si>
    <t>Shoshone-Paiute Tribes</t>
  </si>
  <si>
    <t>Umatilla Confederated Tribes (CTUIR)</t>
  </si>
  <si>
    <t>US Fish and Wildlife Service (USFWS)</t>
  </si>
  <si>
    <t>Willamalane Parks and Recreation District</t>
  </si>
  <si>
    <t>Yakama Confederated Tribes</t>
  </si>
  <si>
    <t>Yamhill Soil and Water Conservation District</t>
  </si>
  <si>
    <t>Ducks Unlimited</t>
  </si>
  <si>
    <t>City of Salem</t>
  </si>
  <si>
    <t>McKenzie River Trust</t>
  </si>
  <si>
    <r>
      <t>Program Support</t>
    </r>
    <r>
      <rPr>
        <vertAlign val="superscript"/>
        <sz val="12"/>
        <rFont val="Century Gothic"/>
        <family val="2"/>
      </rPr>
      <t xml:space="preserve"> 2</t>
    </r>
  </si>
  <si>
    <t>2)  Spending is estimated based on the % of funding towards a project.  For example, if a project budget is 70% BiOp and 30% General, the project expenditures will be prorated 70% towards BiOp and 30% General.</t>
  </si>
  <si>
    <t>TOTAL PROGRAM</t>
  </si>
  <si>
    <t>Total BPA Overhead</t>
  </si>
  <si>
    <t>Total General</t>
  </si>
  <si>
    <t>Total Accords - BiOp</t>
  </si>
  <si>
    <r>
      <t>Total Accords</t>
    </r>
    <r>
      <rPr>
        <vertAlign val="superscript"/>
        <sz val="12"/>
        <rFont val="Century Gothic"/>
        <family val="2"/>
      </rPr>
      <t>1</t>
    </r>
  </si>
  <si>
    <t>Total BiOp (non Accord)</t>
  </si>
  <si>
    <t>Accords - BiOp</t>
  </si>
  <si>
    <t>Accords - non-BiOp</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</si>
  <si>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</si>
  <si>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</si>
  <si>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</si>
  <si>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</si>
  <si>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</si>
  <si>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Grand Total</t>
  </si>
  <si>
    <t>Ocean</t>
  </si>
  <si>
    <t>1) Starting in 2008, spending by state is tracked in Pisces based on where the contractor explicitly identified work location.</t>
  </si>
  <si>
    <t>Nevada</t>
  </si>
  <si>
    <t>British Columbia</t>
  </si>
  <si>
    <t>Montana</t>
  </si>
  <si>
    <t>Oregon</t>
  </si>
  <si>
    <t>Idaho</t>
  </si>
  <si>
    <t>Washington</t>
  </si>
  <si>
    <t>STATE</t>
  </si>
  <si>
    <t>1)  Values above include accruals.</t>
  </si>
  <si>
    <t>GRAND TOTAL</t>
  </si>
  <si>
    <t>OTHER TOTAL</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</si>
  <si>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</si>
  <si>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</si>
  <si>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</si>
  <si>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</si>
  <si>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</si>
  <si>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</si>
  <si>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</si>
  <si>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</si>
  <si>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</si>
  <si>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</si>
  <si>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</si>
  <si>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</si>
  <si>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</si>
  <si>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</si>
  <si>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</si>
  <si>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</si>
  <si>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</si>
  <si>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</si>
  <si>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</si>
  <si>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</si>
  <si>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</si>
  <si>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</si>
  <si>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</si>
  <si>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</si>
  <si>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</si>
  <si>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</si>
  <si>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</si>
  <si>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</si>
  <si>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</si>
  <si>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</si>
  <si>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</si>
  <si>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</si>
  <si>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</si>
  <si>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</si>
  <si>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</si>
  <si>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</si>
  <si>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</si>
  <si>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</si>
  <si>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</si>
  <si>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</si>
  <si>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</si>
  <si>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</si>
  <si>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</si>
  <si>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</si>
  <si>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</si>
  <si>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</si>
  <si>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</si>
  <si>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</si>
  <si>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</si>
  <si>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</si>
  <si>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</si>
  <si>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</si>
  <si>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</si>
  <si>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</si>
  <si>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</si>
  <si>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</si>
  <si>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</si>
  <si>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</si>
  <si>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</si>
  <si>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</si>
  <si>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</si>
  <si>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</si>
  <si>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</si>
  <si>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</si>
  <si>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</si>
  <si>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</si>
  <si>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</si>
  <si>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</si>
  <si>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</si>
  <si>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</si>
  <si>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</si>
  <si>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</si>
  <si>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</si>
  <si>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</si>
  <si>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</si>
  <si>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</si>
  <si>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</si>
  <si>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</si>
  <si>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</si>
  <si>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</si>
  <si>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</si>
  <si>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</si>
  <si>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</si>
  <si>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</si>
  <si>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</si>
  <si>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</si>
  <si>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</si>
  <si>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</si>
  <si>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</si>
  <si>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</si>
  <si>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</si>
  <si>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</si>
  <si>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</si>
  <si>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</si>
  <si>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</si>
  <si>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</si>
  <si>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</si>
  <si>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</si>
  <si>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</si>
  <si>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</si>
  <si>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</si>
  <si>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1) Estimated spending is based at the project level.  Therefore, if a project partially supports the FCRPS BiOp, all expenditures for the project are included.</t>
  </si>
  <si>
    <t>Total BiOp (non-Accord)</t>
  </si>
  <si>
    <t>Total Accords - Non-BiOp</t>
  </si>
  <si>
    <t>Coordination (Local/Regional)</t>
  </si>
  <si>
    <t>Habitat (Restoration/Protection)</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</si>
  <si>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</si>
  <si>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</si>
  <si>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</si>
  <si>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</si>
  <si>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</si>
  <si>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</si>
  <si>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</si>
  <si>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</si>
  <si>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</si>
  <si>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</si>
  <si>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</si>
  <si>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</si>
  <si>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</si>
  <si>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</si>
  <si>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Friends of Buford Park</t>
  </si>
  <si>
    <t>Confederated Tribes of the Warm Springs</t>
  </si>
  <si>
    <t>Blue Mountain Land Trust</t>
  </si>
  <si>
    <t>Tribe: Shoshone-Paiute Tribes</t>
  </si>
  <si>
    <t>Tribe: Burns-Paiute</t>
  </si>
  <si>
    <t>for graph (footnote marks removed)</t>
  </si>
  <si>
    <t>Coordination (BPA Overhead)</t>
  </si>
  <si>
    <t>PACIFIC NW NATIONAL LABORATORY/DEPT. OF ENERGY</t>
  </si>
  <si>
    <t>FORT McDERMITT TRIBE</t>
  </si>
  <si>
    <t>UNIVERSITIES</t>
  </si>
  <si>
    <t>Federal: US Forest Service</t>
  </si>
  <si>
    <t>Other: Utility</t>
  </si>
  <si>
    <t>RM and E</t>
  </si>
  <si>
    <t>Supplementation</t>
  </si>
  <si>
    <t>Forgone Revenue</t>
  </si>
  <si>
    <t>2) Passage projects were moved from Capital to Expense funding starting with FY16 contracts.</t>
  </si>
  <si>
    <r>
      <t>2016</t>
    </r>
    <r>
      <rPr>
        <b/>
        <vertAlign val="superscript"/>
        <sz val="12"/>
        <rFont val="Century Gothic"/>
        <family val="2"/>
      </rPr>
      <t xml:space="preserve"> 3 </t>
    </r>
  </si>
  <si>
    <r>
      <t>2016</t>
    </r>
    <r>
      <rPr>
        <b/>
        <vertAlign val="superscript"/>
        <sz val="12"/>
        <rFont val="Century Gothic"/>
        <family val="2"/>
      </rPr>
      <t xml:space="preserve"> 3</t>
    </r>
  </si>
  <si>
    <t>Steelhead - Upper Columbia River DPS (endangered)</t>
  </si>
  <si>
    <t>1) Direct spending can be tracked back to a work element where the contractor explicitly identified the "Primary Focal Species" benefiting from the work.</t>
  </si>
  <si>
    <t>3) Negative values for Capital Spending are a result of over-accruing costs in the previous year.</t>
  </si>
  <si>
    <r>
      <t>Coordination (BPA Overhead)</t>
    </r>
    <r>
      <rPr>
        <vertAlign val="superscript"/>
        <sz val="12"/>
        <rFont val="Century Gothic"/>
        <family val="2"/>
      </rPr>
      <t xml:space="preserve"> 3</t>
    </r>
  </si>
  <si>
    <r>
      <t>2016</t>
    </r>
    <r>
      <rPr>
        <b/>
        <vertAlign val="superscript"/>
        <sz val="12"/>
        <rFont val="Century Gothic"/>
        <family val="2"/>
      </rPr>
      <t xml:space="preserve"> 4</t>
    </r>
  </si>
  <si>
    <t>3) Program Support/Admin includes spending that cannot be traced back to a contract that has at least one work element requiring location; contracts without any work elements at all; program level spending not mapped to a specific project; and BPA Overhead.</t>
  </si>
  <si>
    <t>2) Starting in FY2013, land acquisition values may include stewardship costs for long-term operations and maintenance (O&amp;M).</t>
  </si>
  <si>
    <r>
      <t>2016</t>
    </r>
    <r>
      <rPr>
        <b/>
        <vertAlign val="superscript"/>
        <sz val="12"/>
        <rFont val="Century Gothic"/>
        <family val="2"/>
      </rPr>
      <t xml:space="preserve"> 2</t>
    </r>
  </si>
  <si>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</si>
  <si>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</si>
  <si>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3/ "Reimbursable/Direct-Funded Projects" includes the portion of costs BPA pays to or on behalf of other entities that is determined to be for fish and wildlife purposes.</t>
  </si>
  <si>
    <t xml:space="preserve">4/  "Fixed Expenses" include depreciation, amortization and interest on investments on the Corps of Engineers' projects, and amortization and interest on the investments associated with BPA's direct Fish and Wildlife Program.                         
</t>
  </si>
  <si>
    <t>Total fixed costs</t>
  </si>
  <si>
    <t>Total reimburseable costs</t>
  </si>
  <si>
    <t>◄</t>
  </si>
  <si>
    <t>Capital investments</t>
  </si>
  <si>
    <t>Federal credits from U.S. Treasury 4(h)(10)(C)</t>
  </si>
  <si>
    <t>1) Estimated spending is based at the project level.  Therefore if a project is labeled Artificial Production, but also supports Habitat, the expenditures are counted as Artificial Production.</t>
  </si>
  <si>
    <r>
      <t xml:space="preserve">2016 </t>
    </r>
    <r>
      <rPr>
        <b/>
        <vertAlign val="superscript"/>
        <sz val="12"/>
        <rFont val="Century Gothic"/>
        <family val="2"/>
      </rPr>
      <t>2</t>
    </r>
  </si>
  <si>
    <t>4) Oregon Chub has been delisted.</t>
  </si>
  <si>
    <t>1)  BiOp tracking at fund level began in 2009; Accords began in 2008.</t>
  </si>
  <si>
    <t>3)  FY2017 revised as of February 12, 2019.</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</si>
  <si>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</si>
  <si>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G&amp;A</t>
  </si>
  <si>
    <t>CRSO EIS</t>
  </si>
  <si>
    <t>Program Support/Admin/Overhead/Other</t>
  </si>
  <si>
    <t>Coeur D'Alene Tribe</t>
  </si>
  <si>
    <t>Kalispel Tribe</t>
  </si>
  <si>
    <t>Kootenai Tribe</t>
  </si>
  <si>
    <t>3) Listed above is the project proponent for which acquisition was acquired</t>
  </si>
  <si>
    <t>OREGON DEPARTMENT OF ENVIRONMENTAL QUALITY</t>
  </si>
  <si>
    <t>BPA G&amp;A</t>
  </si>
  <si>
    <t>2)  Starting in FY13, land acquisition values may include stewardship costs for long-term operations and maintenance (O&amp;M).</t>
  </si>
  <si>
    <t>3) G&amp;A / CRSO EIS note (will send separately)</t>
  </si>
  <si>
    <t>Federal: Pacific NW National Laboratory</t>
  </si>
  <si>
    <t>G&amp;A + CRSO EIS</t>
  </si>
  <si>
    <r>
      <t xml:space="preserve">PROGRAM SUPPORT/ADMIN/ OVERHEAD </t>
    </r>
    <r>
      <rPr>
        <vertAlign val="superscript"/>
        <sz val="11"/>
        <rFont val="Century Gothic"/>
        <family val="2"/>
      </rPr>
      <t>3</t>
    </r>
  </si>
  <si>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</si>
  <si>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</si>
  <si>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</si>
  <si>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</si>
  <si>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</si>
  <si>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</si>
  <si>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</si>
  <si>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</si>
  <si>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</si>
  <si>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</si>
  <si>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</si>
  <si>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</si>
  <si>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</si>
  <si>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</si>
  <si>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</si>
  <si>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</si>
  <si>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</si>
  <si>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</si>
  <si>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</si>
  <si>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</si>
  <si>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</si>
  <si>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</si>
  <si>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</si>
  <si>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</si>
  <si>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</si>
  <si>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</si>
  <si>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</si>
  <si>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</si>
  <si>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</si>
  <si>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</si>
  <si>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</si>
  <si>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</si>
  <si>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</si>
  <si>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</si>
  <si>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</si>
  <si>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</si>
  <si>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</si>
  <si>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</si>
  <si>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</si>
  <si>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</si>
  <si>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</si>
  <si>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</si>
  <si>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</si>
  <si>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</si>
  <si>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</si>
  <si>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</si>
  <si>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</si>
  <si>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</si>
  <si>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</si>
  <si>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</si>
  <si>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</si>
  <si>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</si>
  <si>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</si>
  <si>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</si>
  <si>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</si>
  <si>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</si>
  <si>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</si>
  <si>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</si>
  <si>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</si>
  <si>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</si>
  <si>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</si>
  <si>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</si>
  <si>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</si>
  <si>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</si>
  <si>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</si>
  <si>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</si>
  <si>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</si>
  <si>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</si>
  <si>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</si>
  <si>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4) G&amp;A / CRSO EIS note: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</si>
  <si>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2) Program Support includes includes contracts that contain only administrative work elements or program level spending that could not be mapped to a specific project.</t>
  </si>
  <si>
    <t>3) FY2018 revised as of January 3, 2020</t>
  </si>
  <si>
    <t>4) In prior years,  a portion of BPA agency G&amp;A was allocated to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</si>
  <si>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 xml:space="preserve">4)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      
</t>
  </si>
  <si>
    <t>5) BPA overhead includes all BPA costs for staff, travel/training, NEPA, Cultural Resources, as well as Technical Service contracts.</t>
  </si>
  <si>
    <t>3) Starting in Fiscal Year 2015 (and revised for FY2014), Costs by Category will now separate Coordination costs between Regional/Local Coordination and BPA Overhead (project 2003-048-00 only).</t>
  </si>
  <si>
    <t>4)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</si>
  <si>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1) Estimated spending is based at the project level.  Therefore if a project is assigned an purpose of Habitat, but also does Harvest, all expenditures for the project are included under Habitat.</t>
  </si>
  <si>
    <t>3) Program Support/Admin includes spending that cannot be traced back to a contract that has at least one work element requiring location; contracts without any work elements at all; program level spending not mapped to a specific project.</t>
  </si>
  <si>
    <t>4) FY18 revised as of January, 2020.</t>
  </si>
  <si>
    <t>5) In prior years, a portion of BPA agency general and administrative (G&amp;A) costs was allocated to fish and wildlife (F&amp;W) overhead.  Starting in FY2018, the agency G&amp;A was calculated using a revised methodology and recognized as a distinct charge from the F&amp;W program overhead.  However those charges are included in the 4h10c crediting as part of total F&amp;W costs.  Similar to G&amp;A, the CRSO EIS also has a portion included in the F&amp;W total costs, but it is not directly part of the Integrated F&amp;W program.</t>
  </si>
  <si>
    <t>3) FY2018 revised as of January, 2020.</t>
  </si>
  <si>
    <t>CHIEF JOSEPH HATCHERY PUD COST SHARE</t>
  </si>
  <si>
    <t>All graphs and tables are in support of the FY2019 Columbia River Basin F&amp;W Program Costs Report</t>
  </si>
  <si>
    <t>Additional data for chart below:</t>
  </si>
  <si>
    <t>This information has been made publicly available by BPA in January 2020.  The figures shown are consistent with audited actuals that contain Agency approved financial information, except for forgone revenues and power purchases which are estimates and do not contain Agency approved financial information</t>
  </si>
  <si>
    <t>Chart uses these formulas (summed from above)</t>
  </si>
  <si>
    <t>Chart uses these data labels (without footnote numbers)</t>
  </si>
  <si>
    <t>Chart uses these figures as formatted</t>
  </si>
  <si>
    <t>Formatted for chart:</t>
  </si>
  <si>
    <t>Chart uses these as formatted, and omit Systemwide</t>
  </si>
  <si>
    <t>(Figure is a map, not representable here)</t>
  </si>
  <si>
    <t>Chart also uses %ages</t>
  </si>
  <si>
    <t>Chart uses above data summarized/sorted here:</t>
  </si>
  <si>
    <t>Figure 4: Costs Associated with ESA-Listed Fish, 2019</t>
  </si>
  <si>
    <t>Figure 1: Costs by Major Area, FY2019</t>
  </si>
  <si>
    <r>
      <t>2016</t>
    </r>
    <r>
      <rPr>
        <b/>
        <vertAlign val="superscript"/>
        <sz val="12"/>
        <rFont val="Century Gothic"/>
        <family val="2"/>
      </rPr>
      <t xml:space="preserve"> 2, 3</t>
    </r>
  </si>
  <si>
    <t>Fund</t>
  </si>
  <si>
    <t>Subbasin</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</si>
  <si>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</si>
  <si>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</si>
  <si>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</si>
  <si>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</si>
  <si>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</si>
  <si>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</si>
  <si>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</si>
  <si>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</si>
  <si>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</si>
  <si>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</si>
  <si>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</si>
  <si>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</si>
  <si>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</si>
  <si>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r>
      <t xml:space="preserve">CAPITAL  INVESTMENTS </t>
    </r>
    <r>
      <rPr>
        <b/>
        <u/>
        <vertAlign val="superscript"/>
        <sz val="12"/>
        <rFont val="Arial"/>
        <family val="2"/>
      </rPr>
      <t xml:space="preserve"> 1/</t>
    </r>
  </si>
  <si>
    <t xml:space="preserve">         BPA  FISH AND WILDLIFE  </t>
  </si>
  <si>
    <t xml:space="preserve">         BPA  SOFTWARE DEVELOPMENT COSTS </t>
  </si>
  <si>
    <t xml:space="preserve">         ASSOCIATED PROJECTS (FEDERAL HYDRO) </t>
  </si>
  <si>
    <t xml:space="preserve">     TOTAL  CAPITAL  INVESTMENTS</t>
  </si>
  <si>
    <t>PROGRAM EXPENSES</t>
  </si>
  <si>
    <t xml:space="preserve">BPA  DIRECT FISH AND WILDLIFE PROGRAM  </t>
  </si>
  <si>
    <t>FISH &amp; WILDLIFE SOFTWARE EXPENSE COSTS</t>
  </si>
  <si>
    <r>
      <t xml:space="preserve">SUPPLEMENTAL MITIGATION PROGRAM EXPENSES </t>
    </r>
    <r>
      <rPr>
        <b/>
        <vertAlign val="superscript"/>
        <sz val="12"/>
        <rFont val="Arial"/>
        <family val="2"/>
      </rPr>
      <t>2/</t>
    </r>
  </si>
  <si>
    <r>
      <t xml:space="preserve">REIMBURSABLE/DIRECT-FUNDED PROJECTS </t>
    </r>
    <r>
      <rPr>
        <b/>
        <vertAlign val="superscript"/>
        <sz val="12"/>
        <rFont val="Arial"/>
        <family val="2"/>
      </rPr>
      <t>3/</t>
    </r>
  </si>
  <si>
    <t xml:space="preserve">        O &amp; M  LOWER SNAKE RIVER HATCHERIES</t>
  </si>
  <si>
    <t xml:space="preserve">        O &amp; M CORPS OF ENGINEERS</t>
  </si>
  <si>
    <t xml:space="preserve">        O &amp; M BUREAU OF RECLAMATION</t>
  </si>
  <si>
    <t xml:space="preserve">        NW POWER AND CONSERVATION COUNCIL ALLOCATED @ 50%</t>
  </si>
  <si>
    <t>SUBTOTAL (REIMB/DIRECT-FUNDED)</t>
  </si>
  <si>
    <t xml:space="preserve">      TOTAL OPERATING EXPENSES</t>
  </si>
  <si>
    <r>
      <t xml:space="preserve">PROGRAM RELATED FIXED EXPENSES   </t>
    </r>
    <r>
      <rPr>
        <b/>
        <vertAlign val="superscript"/>
        <sz val="12"/>
        <rFont val="Arial"/>
        <family val="2"/>
      </rPr>
      <t>4/</t>
    </r>
  </si>
  <si>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</si>
  <si>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</si>
  <si>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</si>
  <si>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</si>
  <si>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</si>
  <si>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</si>
  <si>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FOREGONE REVENUES </t>
  </si>
  <si>
    <t xml:space="preserve">BPA POWER PURCH. FOR FISH ENHANCEMENT  </t>
  </si>
  <si>
    <t>TOTAL FOREGONE REVENUES AND POWER PURCHASES</t>
  </si>
  <si>
    <t>TOTAL PROGRAM EXPENSES, FOREGONE REVENUES, &amp; POWER PURCHASES</t>
  </si>
  <si>
    <t>CREDITS</t>
  </si>
  <si>
    <t>4(h)(10)(C)</t>
  </si>
  <si>
    <t>FISH COST CONTINGENCY FUND</t>
  </si>
  <si>
    <t>TOTAL CREDITS</t>
  </si>
  <si>
    <t>This information has been made publicly available by BPA on 3/25/2008.  The figures shown are consistent with audited actuals that contain Agency approved financial information, except for forgone revenues and power purchases which are estimates and do not contain Agency approved financial information</t>
  </si>
  <si>
    <t xml:space="preserve"> ($millions)</t>
  </si>
  <si>
    <t>Net BPA F&amp;W Costs (adjusted for Fish Credits)</t>
  </si>
  <si>
    <t>Cumulative</t>
  </si>
  <si>
    <t>Total BPA F&amp;W Costs (not adjusted for Fish Credits</t>
  </si>
  <si>
    <t>Total BPA F&amp;W Ops Costs (not adjusted for Fish Credits</t>
  </si>
  <si>
    <t>BPA Fish and Wildlife Credits</t>
  </si>
  <si>
    <r>
      <t xml:space="preserve"> </t>
    </r>
    <r>
      <rPr>
        <b/>
        <sz val="20"/>
        <rFont val="Arial"/>
        <family val="2"/>
      </rPr>
      <t>Total Cost of BPA Fish &amp; Wildlife Actions</t>
    </r>
  </si>
  <si>
    <t>LAND ACQUISITIONS2</t>
  </si>
  <si>
    <t xml:space="preserve">3. Last FY column above should refer to </t>
  </si>
  <si>
    <t>2. Ensure range name lkp_10 refers to table below</t>
  </si>
  <si>
    <t>1. Copy data from BPA table except subtotals, sort by name, and paste below</t>
  </si>
  <si>
    <t>First, see 4 steps below this table. Then copy Contractor and latest FY column from rows above, then manually sort each section largest-to-smallest, sum all the smallest into "other"</t>
  </si>
  <si>
    <t>FOR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</si>
</sst>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0.0_);\(0.0\)"/>
    <numFmt numFmtId="173" formatCode="0.000"/>
    <numFmt numFmtId="174" formatCode="_(* #,##0_);_(* \(#,##0\);_(* &quot;-&quot;??_);_(@_)"/>
    <numFmt numFmtId="175" formatCode="0_);\(0\)"/>
    <numFmt numFmtId="176" formatCode="0.0"/>
    <numFmt numFmtId="177" formatCode="_(* #,##0.0_);_(* \(#,##0.0\);_(* &quot;-&quot;?_);_(@_)"/>
  </numFmts>
  <fonts count="64">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1"/>
      <name val="Century Gothic"/>
      <family val="2"/>
    </font>
    <font>
      <sz val="10"/>
      <name val="Arial"/>
      <family val="2"/>
    </font>
    <font>
      <sz val="10"/>
      <name val="Century Gothic"/>
      <family val="2"/>
    </font>
    <font>
      <b/>
      <sz val="11"/>
      <color theme="0"/>
      <name val="Century Gothic"/>
      <family val="2"/>
    </font>
    <font>
      <sz val="11"/>
      <color theme="1"/>
      <name val="Arial"/>
      <family val="2"/>
    </font>
    <font>
      <sz val="10"/>
      <name val="Arial"/>
      <family val="2"/>
    </font>
    <font>
      <sz val="11"/>
      <color rgb="FFC00000"/>
      <name val="Calibri"/>
      <family val="2"/>
      <scheme val="minor"/>
    </font>
    <font>
      <b/>
      <sz val="11"/>
      <color rgb="FFC00000"/>
      <name val="Century Gothic"/>
      <family val="2"/>
    </font>
    <font>
      <b/>
      <sz val="11"/>
      <color rgb="FFC00000"/>
      <name val="Calibri"/>
      <family val="2"/>
      <scheme val="minor"/>
    </font>
    <font>
      <b/>
      <sz val="12"/>
      <color rgb="FFFF0000"/>
      <name val="Calibri"/>
      <family val="2"/>
      <scheme val="minor"/>
    </font>
    <font>
      <b/>
      <sz val="11"/>
      <color rgb="FFFF0000"/>
      <name val="Century Gothic"/>
      <family val="2"/>
    </font>
    <font>
      <b/>
      <sz val="11"/>
      <color theme="1"/>
      <name val="Calibri"/>
      <family val="2"/>
      <scheme val="minor"/>
    </font>
    <font>
      <sz val="11"/>
      <color theme="0"/>
      <name val="Calibri"/>
      <family val="2"/>
      <scheme val="minor"/>
    </font>
    <font>
      <b/>
      <sz val="10"/>
      <color indexed="10"/>
      <name val="Arial"/>
      <family val="2"/>
    </font>
    <font>
      <b/>
      <sz val="20"/>
      <name val="Arial"/>
      <family val="2"/>
    </font>
    <font>
      <b/>
      <sz val="12"/>
      <color indexed="10"/>
      <name val="Arial"/>
      <family val="2"/>
    </font>
    <font>
      <b/>
      <sz val="20"/>
      <name val="Helv"/>
    </font>
    <font>
      <sz val="12"/>
      <name val="Comic Sans MS"/>
      <family val="4"/>
    </font>
    <font>
      <b/>
      <sz val="12"/>
      <name val="Arial"/>
      <family val="2"/>
    </font>
    <font>
      <b/>
      <sz val="12"/>
      <name val="Comic Sans MS"/>
      <family val="4"/>
    </font>
    <font>
      <b/>
      <u/>
      <sz val="12"/>
      <name val="Arial"/>
      <family val="2"/>
    </font>
    <font>
      <b/>
      <u/>
      <vertAlign val="superscript"/>
      <sz val="12"/>
      <name val="Arial"/>
      <family val="2"/>
    </font>
    <font>
      <sz val="12"/>
      <name val="Arial"/>
      <family val="2"/>
    </font>
    <font>
      <sz val="12"/>
      <color theme="1" tint="4.9989318521683403E-2"/>
      <name val="Arial"/>
      <family val="2"/>
    </font>
    <font>
      <sz val="12"/>
      <color indexed="12"/>
      <name val="Arial"/>
      <family val="2"/>
    </font>
    <font>
      <b/>
      <sz val="12"/>
      <color indexed="12"/>
      <name val="Arial"/>
      <family val="2"/>
    </font>
    <font>
      <b/>
      <sz val="12"/>
      <color theme="1" tint="4.9989318521683403E-2"/>
      <name val="Arial"/>
      <family val="2"/>
    </font>
    <font>
      <b/>
      <vertAlign val="superscript"/>
      <sz val="12"/>
      <name val="Arial"/>
      <family val="2"/>
    </font>
    <font>
      <sz val="12"/>
      <color indexed="10"/>
      <name val="Arial"/>
      <family val="2"/>
    </font>
    <font>
      <b/>
      <sz val="16"/>
      <name val="Arial"/>
      <family val="2"/>
    </font>
    <font>
      <sz val="16"/>
      <name val="Arial"/>
      <family val="2"/>
    </font>
    <font>
      <b/>
      <sz val="14"/>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s>
  <fills count="20">
    <fill>
      <patternFill patternType="none"/>
    </fill>
    <fill>
      <patternFill patternType="gray125"/>
    </fill>
    <fill>
      <patternFill patternType="solid">
        <fgColor rgb="FFFFFFCC"/>
      </patternFill>
    </fill>
    <fill>
      <patternFill patternType="solid">
        <fgColor theme="6" tint="0.39997558519241921"/>
        <bgColor indexed="64"/>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tint="-0.14999847407452621"/>
        <bgColor indexed="64"/>
      </patternFill>
    </fill>
    <fill>
      <patternFill patternType="solid">
        <fgColor rgb="FFC3D69B"/>
        <bgColor indexed="64"/>
      </patternFill>
    </fill>
    <fill>
      <patternFill patternType="solid">
        <fgColor indexed="45"/>
        <bgColor indexed="64"/>
      </patternFill>
    </fill>
    <fill>
      <patternFill patternType="solid">
        <fgColor indexed="44"/>
        <bgColor indexed="64"/>
      </patternFill>
    </fill>
    <fill>
      <patternFill patternType="solid">
        <fgColor theme="3" tint="0.79998168889431442"/>
        <bgColor indexed="64"/>
      </patternFill>
    </fill>
    <fill>
      <patternFill patternType="solid">
        <fgColor indexed="49"/>
        <bgColor indexed="64"/>
      </patternFill>
    </fill>
    <fill>
      <patternFill patternType="solid">
        <fgColor indexed="21"/>
        <bgColor indexed="64"/>
      </patternFill>
    </fill>
    <fill>
      <patternFill patternType="solid">
        <fgColor indexed="46"/>
        <bgColor indexed="64"/>
      </patternFill>
    </fill>
    <fill>
      <patternFill patternType="solid">
        <fgColor indexed="5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19">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29" fillId="0" borderId="0"/>
    <xf numFmtId="0" fontId="33" fillId="0" borderId="0"/>
  </cellStyleXfs>
  <cellXfs count="396">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3"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4" fillId="0" borderId="0" xfId="0" applyFont="1" applyBorder="1"/>
    <xf numFmtId="164" fontId="7" fillId="0" borderId="0" xfId="6" applyNumberFormat="1" applyFont="1" applyBorder="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0" fontId="4" fillId="0" borderId="0" xfId="2" applyFont="1" applyFill="1" applyBorder="1" applyAlignment="1">
      <alignment horizontal="left" indent="1"/>
    </xf>
    <xf numFmtId="0" fontId="22" fillId="0" borderId="0" xfId="2" applyFont="1"/>
    <xf numFmtId="168" fontId="4" fillId="0" borderId="0" xfId="2" applyNumberFormat="1" applyFont="1"/>
    <xf numFmtId="164" fontId="19" fillId="0" borderId="2" xfId="0" applyNumberFormat="1" applyFont="1" applyBorder="1" applyAlignment="1"/>
    <xf numFmtId="164" fontId="23"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5"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26" fillId="0" borderId="0" xfId="8" applyFont="1"/>
    <xf numFmtId="164" fontId="27" fillId="0" borderId="0" xfId="8" applyNumberFormat="1" applyFont="1" applyBorder="1"/>
    <xf numFmtId="0" fontId="27" fillId="0" borderId="0" xfId="8" applyFont="1"/>
    <xf numFmtId="164" fontId="27" fillId="0" borderId="6" xfId="8" applyNumberFormat="1" applyFont="1" applyBorder="1"/>
    <xf numFmtId="0" fontId="27" fillId="0" borderId="0" xfId="8" applyFont="1" applyAlignment="1"/>
    <xf numFmtId="0" fontId="26" fillId="0" borderId="0" xfId="8" applyFont="1"/>
    <xf numFmtId="0" fontId="19" fillId="3"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9" fillId="0" borderId="5" xfId="13" applyFont="1" applyBorder="1" applyAlignment="1">
      <alignment wrapText="1"/>
    </xf>
    <xf numFmtId="0" fontId="19" fillId="3" borderId="0" xfId="0" applyFont="1" applyFill="1" applyBorder="1" applyAlignment="1">
      <alignment wrapText="1"/>
    </xf>
    <xf numFmtId="0" fontId="19" fillId="3" borderId="0" xfId="0" applyFont="1" applyFill="1" applyBorder="1" applyAlignment="1">
      <alignment horizontal="center"/>
    </xf>
    <xf numFmtId="0" fontId="18" fillId="0" borderId="0" xfId="0" applyFont="1" applyBorder="1" applyAlignment="1">
      <alignment wrapText="1"/>
    </xf>
    <xf numFmtId="0" fontId="19" fillId="0" borderId="1" xfId="0" applyFont="1" applyBorder="1" applyAlignment="1">
      <alignment wrapText="1"/>
    </xf>
    <xf numFmtId="0" fontId="19" fillId="0" borderId="0" xfId="0" applyFont="1" applyFill="1" applyBorder="1" applyAlignment="1">
      <alignment wrapText="1"/>
    </xf>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0" fontId="19" fillId="0" borderId="0" xfId="0" applyFont="1" applyFill="1" applyBorder="1"/>
    <xf numFmtId="0" fontId="7" fillId="0" borderId="0" xfId="2"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164" fontId="4" fillId="0" borderId="0" xfId="0" applyNumberFormat="1" applyFont="1" applyFill="1" applyBorder="1"/>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0" fontId="18" fillId="0" borderId="0" xfId="2" applyFont="1" applyAlignment="1">
      <alignment horizontal="left"/>
    </xf>
    <xf numFmtId="6" fontId="27" fillId="0" borderId="0" xfId="0" applyNumberFormat="1" applyFont="1" applyAlignment="1"/>
    <xf numFmtId="164" fontId="27" fillId="0" borderId="0" xfId="0" applyNumberFormat="1" applyFont="1" applyAlignment="1"/>
    <xf numFmtId="6" fontId="27" fillId="0" borderId="0" xfId="0" applyNumberFormat="1" applyFont="1"/>
    <xf numFmtId="164" fontId="27" fillId="0" borderId="0" xfId="0" applyNumberFormat="1" applyFont="1"/>
    <xf numFmtId="0" fontId="7" fillId="0" borderId="0" xfId="0" applyFont="1" applyBorder="1" applyAlignment="1">
      <alignment vertical="top"/>
    </xf>
    <xf numFmtId="170" fontId="4" fillId="0" borderId="0" xfId="2" applyNumberFormat="1" applyFont="1"/>
    <xf numFmtId="0" fontId="7" fillId="0" borderId="0" xfId="2" applyFont="1" applyAlignment="1">
      <alignment vertical="top"/>
    </xf>
    <xf numFmtId="6" fontId="18" fillId="0" borderId="0" xfId="0" applyNumberFormat="1" applyFont="1" applyFill="1" applyAlignment="1"/>
    <xf numFmtId="164" fontId="27" fillId="0" borderId="0" xfId="0" applyNumberFormat="1" applyFont="1" applyFill="1" applyAlignment="1"/>
    <xf numFmtId="164" fontId="27" fillId="0" borderId="0" xfId="0" applyNumberFormat="1" applyFont="1" applyFill="1"/>
    <xf numFmtId="171" fontId="31" fillId="4" borderId="0" xfId="14" applyNumberFormat="1" applyFont="1" applyFill="1"/>
    <xf numFmtId="173" fontId="18" fillId="0" borderId="0" xfId="0" applyNumberFormat="1" applyFont="1" applyFill="1" applyBorder="1" applyAlignment="1">
      <alignment horizontal="center" wrapText="1"/>
    </xf>
    <xf numFmtId="172" fontId="18" fillId="0" borderId="0" xfId="0" applyNumberFormat="1" applyFont="1" applyBorder="1" applyAlignment="1"/>
    <xf numFmtId="173" fontId="18" fillId="0" borderId="0" xfId="0" applyNumberFormat="1" applyFont="1" applyAlignment="1">
      <alignment horizontal="center"/>
    </xf>
    <xf numFmtId="172" fontId="18" fillId="0" borderId="0" xfId="0" applyNumberFormat="1" applyFont="1" applyFill="1" applyAlignment="1">
      <alignment wrapText="1"/>
    </xf>
    <xf numFmtId="171" fontId="31" fillId="5" borderId="0" xfId="14" applyNumberFormat="1" applyFont="1" applyFill="1"/>
    <xf numFmtId="171" fontId="31" fillId="8" borderId="0" xfId="14" applyNumberFormat="1" applyFont="1" applyFill="1"/>
    <xf numFmtId="171" fontId="31" fillId="9" borderId="0" xfId="14" applyNumberFormat="1" applyFont="1" applyFill="1"/>
    <xf numFmtId="171" fontId="31" fillId="10" borderId="0" xfId="14" applyNumberFormat="1" applyFont="1" applyFill="1"/>
    <xf numFmtId="0" fontId="4" fillId="0" borderId="0" xfId="0" applyFont="1" applyBorder="1"/>
    <xf numFmtId="174" fontId="30" fillId="0" borderId="0" xfId="16" applyNumberFormat="1" applyFont="1"/>
    <xf numFmtId="0" fontId="4" fillId="0" borderId="0" xfId="0" applyFont="1" applyBorder="1"/>
    <xf numFmtId="0" fontId="4" fillId="0" borderId="0" xfId="0" applyFont="1" applyBorder="1"/>
    <xf numFmtId="6" fontId="18" fillId="0" borderId="0" xfId="0" applyNumberFormat="1" applyFont="1" applyAlignment="1"/>
    <xf numFmtId="0" fontId="18" fillId="0" borderId="0" xfId="0" applyFont="1" applyFill="1" applyAlignment="1">
      <alignment horizontal="left"/>
    </xf>
    <xf numFmtId="6" fontId="19" fillId="0" borderId="7" xfId="0" applyNumberFormat="1" applyFont="1" applyBorder="1" applyAlignment="1"/>
    <xf numFmtId="0" fontId="18" fillId="0" borderId="0" xfId="0" applyFont="1" applyAlignment="1"/>
    <xf numFmtId="172" fontId="18" fillId="0" borderId="0" xfId="0" applyNumberFormat="1" applyFont="1" applyBorder="1" applyAlignment="1">
      <alignment wrapText="1"/>
    </xf>
    <xf numFmtId="0" fontId="18" fillId="0" borderId="0" xfId="0" applyFont="1" applyAlignment="1">
      <alignment wrapText="1"/>
    </xf>
    <xf numFmtId="172" fontId="18" fillId="0" borderId="0" xfId="0" applyNumberFormat="1" applyFont="1" applyAlignment="1">
      <alignment wrapText="1"/>
    </xf>
    <xf numFmtId="0" fontId="7" fillId="0" borderId="0" xfId="4" applyFont="1" applyFill="1" applyBorder="1" applyAlignment="1">
      <alignment horizontal="left" vertical="top"/>
    </xf>
    <xf numFmtId="0" fontId="4" fillId="0" borderId="0" xfId="0" applyFont="1" applyFill="1" applyAlignment="1">
      <alignment wrapText="1"/>
    </xf>
    <xf numFmtId="0" fontId="18" fillId="0" borderId="0" xfId="0" applyFont="1" applyFill="1" applyBorder="1"/>
    <xf numFmtId="0" fontId="19" fillId="0" borderId="1" xfId="13" applyFont="1" applyBorder="1" applyAlignment="1">
      <alignment wrapText="1"/>
    </xf>
    <xf numFmtId="0" fontId="18" fillId="0" borderId="0" xfId="0" applyFont="1" applyFill="1" applyBorder="1" applyAlignment="1">
      <alignment wrapText="1"/>
    </xf>
    <xf numFmtId="0" fontId="18" fillId="0" borderId="0" xfId="0" applyFont="1" applyFill="1" applyBorder="1" applyAlignment="1"/>
    <xf numFmtId="171" fontId="18" fillId="0" borderId="0" xfId="14" applyNumberFormat="1" applyFont="1"/>
    <xf numFmtId="0" fontId="34" fillId="0" borderId="0" xfId="8" applyFont="1" applyAlignment="1">
      <alignment horizontal="right"/>
    </xf>
    <xf numFmtId="0" fontId="18" fillId="0" borderId="0" xfId="0" applyFont="1" applyAlignment="1">
      <alignment vertical="top" wrapText="1"/>
    </xf>
    <xf numFmtId="172" fontId="18" fillId="0" borderId="0" xfId="0" applyNumberFormat="1" applyFont="1" applyAlignment="1">
      <alignment vertical="top"/>
    </xf>
    <xf numFmtId="172" fontId="18" fillId="0" borderId="0" xfId="0" applyNumberFormat="1" applyFont="1" applyAlignment="1"/>
    <xf numFmtId="0" fontId="36" fillId="0" borderId="0" xfId="8" applyFont="1"/>
    <xf numFmtId="164" fontId="37" fillId="0" borderId="0" xfId="5" applyNumberFormat="1" applyFont="1" applyBorder="1"/>
    <xf numFmtId="0" fontId="7" fillId="0" borderId="0" xfId="2" applyFont="1" applyFill="1" applyBorder="1" applyAlignment="1">
      <alignment horizontal="left"/>
    </xf>
    <xf numFmtId="0" fontId="38" fillId="0" borderId="0" xfId="2" applyFont="1" applyFill="1" applyBorder="1" applyAlignment="1">
      <alignment horizontal="left"/>
    </xf>
    <xf numFmtId="0" fontId="3" fillId="0" borderId="0" xfId="2" applyFont="1" applyFill="1" applyAlignment="1"/>
    <xf numFmtId="0" fontId="4" fillId="0" borderId="0" xfId="0" applyFont="1" applyBorder="1" applyAlignment="1"/>
    <xf numFmtId="0" fontId="0" fillId="0" borderId="0" xfId="0" applyAlignment="1"/>
    <xf numFmtId="0" fontId="7" fillId="0" borderId="0" xfId="2" applyFont="1" applyFill="1"/>
    <xf numFmtId="164" fontId="38" fillId="0" borderId="0" xfId="5" applyNumberFormat="1" applyFont="1" applyBorder="1"/>
    <xf numFmtId="164" fontId="4" fillId="0" borderId="0" xfId="3" applyNumberFormat="1" applyFont="1" applyFill="1" applyBorder="1"/>
    <xf numFmtId="170" fontId="4" fillId="0" borderId="0" xfId="2" applyNumberFormat="1" applyFont="1" applyBorder="1"/>
    <xf numFmtId="0" fontId="18" fillId="0" borderId="0" xfId="2" applyFont="1" applyAlignment="1"/>
    <xf numFmtId="164" fontId="19" fillId="0" borderId="2" xfId="0" applyNumberFormat="1" applyFont="1" applyFill="1" applyBorder="1" applyAlignment="1"/>
    <xf numFmtId="0" fontId="18" fillId="0" borderId="0" xfId="3" applyFont="1" applyFill="1" applyBorder="1" applyAlignment="1">
      <alignment vertical="top"/>
    </xf>
    <xf numFmtId="0" fontId="19" fillId="0" borderId="8" xfId="13" applyFont="1" applyBorder="1" applyAlignment="1">
      <alignment wrapText="1"/>
    </xf>
    <xf numFmtId="0" fontId="18" fillId="0" borderId="0" xfId="3" applyFont="1" applyFill="1" applyBorder="1" applyAlignment="1">
      <alignment horizontal="center"/>
    </xf>
    <xf numFmtId="6" fontId="18" fillId="0" borderId="0" xfId="8" applyNumberFormat="1" applyFont="1" applyFill="1" applyBorder="1" applyAlignment="1">
      <alignment horizontal="center"/>
    </xf>
    <xf numFmtId="6" fontId="19" fillId="0" borderId="2" xfId="8" applyNumberFormat="1" applyFont="1" applyFill="1" applyBorder="1" applyAlignment="1">
      <alignment horizontal="center"/>
    </xf>
    <xf numFmtId="0" fontId="12" fillId="0" borderId="2" xfId="8" applyBorder="1"/>
    <xf numFmtId="0" fontId="19" fillId="0" borderId="2" xfId="3" applyFont="1" applyFill="1" applyBorder="1" applyAlignment="1">
      <alignment horizontal="left"/>
    </xf>
    <xf numFmtId="164" fontId="18" fillId="0" borderId="0" xfId="8" applyNumberFormat="1" applyFont="1" applyFill="1" applyBorder="1" applyAlignment="1"/>
    <xf numFmtId="0" fontId="39" fillId="0" borderId="0" xfId="8" applyFont="1"/>
    <xf numFmtId="0" fontId="7" fillId="0" borderId="0" xfId="4" applyFont="1" applyFill="1" applyBorder="1" applyAlignment="1">
      <alignment horizontal="left" vertical="top"/>
    </xf>
    <xf numFmtId="0" fontId="4" fillId="0" borderId="0" xfId="0" applyFont="1" applyFill="1" applyAlignment="1">
      <alignment wrapText="1"/>
    </xf>
    <xf numFmtId="164" fontId="4" fillId="0" borderId="0" xfId="5" applyNumberFormat="1" applyFont="1"/>
    <xf numFmtId="0" fontId="3" fillId="0" borderId="0" xfId="0" applyFont="1"/>
    <xf numFmtId="0" fontId="4" fillId="0" borderId="0" xfId="3" applyFont="1" applyAlignment="1">
      <alignment horizontal="left" wrapText="1"/>
    </xf>
    <xf numFmtId="0" fontId="13" fillId="0" borderId="0" xfId="0" applyFont="1"/>
    <xf numFmtId="6" fontId="13" fillId="0" borderId="0" xfId="0" applyNumberFormat="1" applyFont="1"/>
    <xf numFmtId="6" fontId="15" fillId="0" borderId="0" xfId="0" applyNumberFormat="1" applyFont="1"/>
    <xf numFmtId="6" fontId="14" fillId="0" borderId="0" xfId="0" applyNumberFormat="1" applyFont="1"/>
    <xf numFmtId="6" fontId="13" fillId="0" borderId="5" xfId="0" applyNumberFormat="1" applyFont="1" applyBorder="1"/>
    <xf numFmtId="6" fontId="14" fillId="0" borderId="5" xfId="0" applyNumberFormat="1" applyFont="1" applyBorder="1"/>
    <xf numFmtId="164" fontId="4" fillId="0" borderId="0" xfId="3" applyNumberFormat="1" applyFont="1"/>
    <xf numFmtId="6" fontId="18" fillId="0" borderId="0" xfId="0" applyNumberFormat="1" applyFont="1"/>
    <xf numFmtId="6" fontId="19" fillId="0" borderId="7" xfId="0" applyNumberFormat="1" applyFont="1" applyBorder="1"/>
    <xf numFmtId="0" fontId="12" fillId="0" borderId="0" xfId="8" applyAlignment="1">
      <alignment wrapText="1"/>
    </xf>
    <xf numFmtId="0" fontId="18" fillId="0" borderId="0" xfId="3" applyFont="1" applyFill="1" applyBorder="1" applyAlignment="1">
      <alignment vertical="top" wrapText="1"/>
    </xf>
    <xf numFmtId="164" fontId="18" fillId="0" borderId="0" xfId="13" applyNumberFormat="1" applyFont="1"/>
    <xf numFmtId="171" fontId="19" fillId="0" borderId="0" xfId="14" applyNumberFormat="1" applyFont="1"/>
    <xf numFmtId="167" fontId="4" fillId="0" borderId="0" xfId="5" applyNumberFormat="1" applyFont="1"/>
    <xf numFmtId="6" fontId="4" fillId="0" borderId="0" xfId="0" applyNumberFormat="1" applyFont="1"/>
    <xf numFmtId="0" fontId="4" fillId="0" borderId="0" xfId="0" applyFont="1" applyAlignment="1">
      <alignment horizontal="left"/>
    </xf>
    <xf numFmtId="0" fontId="26" fillId="0" borderId="0" xfId="8" applyFont="1"/>
    <xf numFmtId="0" fontId="40" fillId="0" borderId="0" xfId="8" applyFont="1"/>
    <xf numFmtId="164" fontId="31" fillId="0" borderId="0" xfId="5" applyNumberFormat="1" applyFont="1" applyBorder="1" applyAlignment="1">
      <alignment horizontal="left"/>
    </xf>
    <xf numFmtId="0" fontId="7" fillId="0" borderId="0" xfId="0" applyFont="1" applyFill="1" applyBorder="1" applyAlignment="1">
      <alignment horizontal="left"/>
    </xf>
    <xf numFmtId="172" fontId="19" fillId="0" borderId="0" xfId="0" applyNumberFormat="1" applyFont="1" applyAlignment="1">
      <alignment vertical="top"/>
    </xf>
    <xf numFmtId="0" fontId="7" fillId="0" borderId="0" xfId="4" applyFont="1" applyFill="1" applyBorder="1" applyAlignment="1">
      <alignment vertical="top"/>
    </xf>
    <xf numFmtId="0" fontId="7" fillId="0" borderId="0" xfId="6" applyFont="1" applyBorder="1" applyAlignment="1">
      <alignment horizontal="left" vertical="top"/>
    </xf>
    <xf numFmtId="0" fontId="17" fillId="0" borderId="0" xfId="8" applyFont="1" applyAlignment="1">
      <alignment horizontal="left" vertical="top"/>
    </xf>
    <xf numFmtId="0" fontId="7" fillId="0" borderId="0" xfId="2" applyFont="1" applyFill="1" applyAlignment="1">
      <alignment wrapText="1"/>
    </xf>
    <xf numFmtId="170" fontId="18" fillId="0" borderId="0" xfId="2" applyNumberFormat="1" applyFont="1"/>
    <xf numFmtId="0" fontId="26" fillId="0" borderId="0" xfId="8" applyFont="1" applyAlignment="1"/>
    <xf numFmtId="165" fontId="27" fillId="0" borderId="0" xfId="1" applyNumberFormat="1" applyFont="1"/>
    <xf numFmtId="0" fontId="19" fillId="0" borderId="0" xfId="0" applyFont="1" applyBorder="1" applyAlignment="1">
      <alignment wrapText="1"/>
    </xf>
    <xf numFmtId="0" fontId="7" fillId="0" borderId="0" xfId="3" applyFont="1" applyFill="1" applyBorder="1" applyAlignment="1">
      <alignment vertical="top"/>
    </xf>
    <xf numFmtId="0" fontId="7" fillId="12" borderId="0" xfId="12" applyFont="1" applyFill="1" applyBorder="1"/>
    <xf numFmtId="0" fontId="7" fillId="12" borderId="0" xfId="12" applyFont="1" applyFill="1" applyBorder="1" applyAlignment="1">
      <alignment horizontal="center"/>
    </xf>
    <xf numFmtId="164" fontId="19" fillId="12" borderId="0" xfId="8" applyNumberFormat="1" applyFont="1" applyFill="1" applyBorder="1" applyAlignment="1"/>
    <xf numFmtId="0" fontId="19" fillId="12" borderId="0" xfId="8" applyNumberFormat="1" applyFont="1" applyFill="1" applyBorder="1" applyAlignment="1">
      <alignment horizontal="center"/>
    </xf>
    <xf numFmtId="0" fontId="7" fillId="12" borderId="0" xfId="3" applyFont="1" applyFill="1" applyBorder="1" applyAlignment="1">
      <alignment horizontal="center"/>
    </xf>
    <xf numFmtId="0" fontId="7" fillId="12" borderId="0" xfId="3" applyFont="1" applyFill="1" applyAlignment="1">
      <alignment horizontal="center"/>
    </xf>
    <xf numFmtId="0" fontId="7" fillId="12" borderId="0" xfId="0" applyFont="1" applyFill="1" applyBorder="1" applyAlignment="1">
      <alignment horizontal="center"/>
    </xf>
    <xf numFmtId="0" fontId="7" fillId="12" borderId="0" xfId="2" applyFont="1" applyFill="1" applyBorder="1"/>
    <xf numFmtId="0" fontId="14" fillId="12" borderId="0" xfId="8" applyFont="1" applyFill="1" applyAlignment="1">
      <alignment wrapText="1"/>
    </xf>
    <xf numFmtId="0" fontId="14" fillId="12" borderId="0" xfId="8" applyFont="1" applyFill="1" applyAlignment="1">
      <alignment horizontal="center" wrapText="1"/>
    </xf>
    <xf numFmtId="0" fontId="16" fillId="12" borderId="0" xfId="8" applyFont="1" applyFill="1" applyAlignment="1">
      <alignment horizontal="center" wrapText="1"/>
    </xf>
    <xf numFmtId="0" fontId="7" fillId="12" borderId="0" xfId="0" applyFont="1" applyFill="1" applyBorder="1"/>
    <xf numFmtId="0" fontId="7" fillId="12" borderId="0" xfId="4" applyFont="1" applyFill="1" applyBorder="1" applyAlignment="1">
      <alignment horizontal="left" wrapText="1"/>
    </xf>
    <xf numFmtId="0" fontId="7" fillId="12" borderId="0" xfId="0" applyFont="1" applyFill="1" applyBorder="1" applyAlignment="1" applyProtection="1">
      <alignment horizontal="center"/>
      <protection locked="0"/>
    </xf>
    <xf numFmtId="0" fontId="44" fillId="0" borderId="0" xfId="15" applyFont="1" applyAlignment="1">
      <alignment horizontal="left"/>
    </xf>
    <xf numFmtId="173" fontId="45" fillId="0" borderId="0" xfId="15" applyNumberFormat="1" applyFont="1" applyAlignment="1">
      <alignment horizontal="center"/>
    </xf>
    <xf numFmtId="173" fontId="45" fillId="0" borderId="0" xfId="15" applyNumberFormat="1" applyFont="1"/>
    <xf numFmtId="172" fontId="45" fillId="0" borderId="0" xfId="15" applyNumberFormat="1" applyFont="1"/>
    <xf numFmtId="175" fontId="46" fillId="0" borderId="10" xfId="15" applyNumberFormat="1" applyFont="1" applyBorder="1" applyAlignment="1">
      <alignment horizontal="center" wrapText="1"/>
    </xf>
    <xf numFmtId="175" fontId="47" fillId="0" borderId="11" xfId="15" quotePrefix="1" applyNumberFormat="1" applyFont="1" applyBorder="1" applyAlignment="1">
      <alignment horizontal="center" wrapText="1"/>
    </xf>
    <xf numFmtId="175" fontId="47" fillId="0" borderId="11" xfId="15" applyNumberFormat="1" applyFont="1" applyBorder="1" applyAlignment="1">
      <alignment horizontal="center" wrapText="1"/>
    </xf>
    <xf numFmtId="175" fontId="46" fillId="0" borderId="11" xfId="15" applyNumberFormat="1" applyFont="1" applyBorder="1" applyAlignment="1">
      <alignment horizontal="center" wrapText="1"/>
    </xf>
    <xf numFmtId="175" fontId="46" fillId="0" borderId="12" xfId="15" applyNumberFormat="1" applyFont="1" applyBorder="1" applyAlignment="1">
      <alignment horizontal="center" wrapText="1"/>
    </xf>
    <xf numFmtId="175" fontId="46" fillId="0" borderId="0" xfId="15" applyNumberFormat="1" applyFont="1" applyAlignment="1">
      <alignment horizontal="center" wrapText="1"/>
    </xf>
    <xf numFmtId="175" fontId="47" fillId="0" borderId="0" xfId="15" applyNumberFormat="1" applyFont="1" applyAlignment="1">
      <alignment horizontal="center" wrapText="1"/>
    </xf>
    <xf numFmtId="172" fontId="48" fillId="0" borderId="13" xfId="15" applyNumberFormat="1" applyFont="1" applyBorder="1" applyAlignment="1">
      <alignment horizontal="center"/>
    </xf>
    <xf numFmtId="172" fontId="47" fillId="0" borderId="14" xfId="15" quotePrefix="1" applyNumberFormat="1" applyFont="1" applyBorder="1" applyAlignment="1">
      <alignment horizontal="left"/>
    </xf>
    <xf numFmtId="172" fontId="45" fillId="0" borderId="14" xfId="15" applyNumberFormat="1" applyFont="1" applyBorder="1"/>
    <xf numFmtId="172" fontId="50" fillId="0" borderId="14" xfId="15" applyNumberFormat="1" applyFont="1" applyBorder="1"/>
    <xf numFmtId="172" fontId="50" fillId="0" borderId="15" xfId="15" applyNumberFormat="1" applyFont="1" applyBorder="1"/>
    <xf numFmtId="176" fontId="46" fillId="0" borderId="16" xfId="15" applyNumberFormat="1" applyFont="1" applyBorder="1" applyAlignment="1">
      <alignment horizontal="center" wrapText="1"/>
    </xf>
    <xf numFmtId="172" fontId="50" fillId="0" borderId="17" xfId="15" applyNumberFormat="1" applyFont="1" applyBorder="1"/>
    <xf numFmtId="177" fontId="45" fillId="0" borderId="16" xfId="15" applyNumberFormat="1" applyFont="1" applyBorder="1"/>
    <xf numFmtId="177" fontId="45" fillId="0" borderId="16" xfId="15" applyNumberFormat="1" applyFont="1" applyBorder="1" applyAlignment="1">
      <alignment horizontal="right"/>
    </xf>
    <xf numFmtId="177" fontId="50" fillId="0" borderId="16" xfId="15" applyNumberFormat="1" applyFont="1" applyBorder="1"/>
    <xf numFmtId="172" fontId="50" fillId="0" borderId="1" xfId="15" applyNumberFormat="1" applyFont="1" applyBorder="1"/>
    <xf numFmtId="172" fontId="50" fillId="0" borderId="16" xfId="15" applyNumberFormat="1" applyFont="1" applyBorder="1"/>
    <xf numFmtId="172" fontId="51" fillId="0" borderId="16" xfId="15" applyNumberFormat="1" applyFont="1" applyBorder="1" applyProtection="1">
      <protection locked="0"/>
    </xf>
    <xf numFmtId="172" fontId="52" fillId="0" borderId="16" xfId="15" applyNumberFormat="1" applyFont="1" applyBorder="1" applyProtection="1">
      <protection locked="0"/>
    </xf>
    <xf numFmtId="172" fontId="50" fillId="0" borderId="18" xfId="15" applyNumberFormat="1" applyFont="1" applyBorder="1"/>
    <xf numFmtId="177" fontId="50" fillId="0" borderId="19" xfId="15" applyNumberFormat="1" applyFont="1" applyBorder="1"/>
    <xf numFmtId="177" fontId="45" fillId="0" borderId="19" xfId="15" applyNumberFormat="1" applyFont="1" applyBorder="1"/>
    <xf numFmtId="172" fontId="50" fillId="0" borderId="20" xfId="15" applyNumberFormat="1" applyFont="1" applyBorder="1"/>
    <xf numFmtId="172" fontId="50" fillId="0" borderId="21" xfId="15" applyNumberFormat="1" applyFont="1" applyBorder="1"/>
    <xf numFmtId="172" fontId="51" fillId="0" borderId="21" xfId="15" applyNumberFormat="1" applyFont="1" applyBorder="1" applyProtection="1">
      <protection locked="0"/>
    </xf>
    <xf numFmtId="172" fontId="52" fillId="0" borderId="21" xfId="15" applyNumberFormat="1" applyFont="1" applyBorder="1" applyProtection="1">
      <protection locked="0"/>
    </xf>
    <xf numFmtId="172" fontId="46" fillId="0" borderId="10" xfId="15" applyNumberFormat="1" applyFont="1" applyBorder="1" applyAlignment="1">
      <alignment horizontal="right"/>
    </xf>
    <xf numFmtId="177" fontId="46" fillId="0" borderId="11" xfId="15" applyNumberFormat="1" applyFont="1" applyBorder="1"/>
    <xf numFmtId="177" fontId="46" fillId="0" borderId="12" xfId="15" applyNumberFormat="1" applyFont="1" applyBorder="1"/>
    <xf numFmtId="177" fontId="54" fillId="0" borderId="12" xfId="15" applyNumberFormat="1" applyFont="1" applyBorder="1"/>
    <xf numFmtId="172" fontId="47" fillId="0" borderId="0" xfId="15" applyNumberFormat="1" applyFont="1"/>
    <xf numFmtId="177" fontId="45" fillId="0" borderId="14" xfId="15" applyNumberFormat="1" applyFont="1" applyBorder="1"/>
    <xf numFmtId="177" fontId="50" fillId="0" borderId="14" xfId="15" applyNumberFormat="1" applyFont="1" applyBorder="1"/>
    <xf numFmtId="172" fontId="50" fillId="0" borderId="22" xfId="15" applyNumberFormat="1" applyFont="1" applyBorder="1"/>
    <xf numFmtId="176" fontId="46" fillId="0" borderId="23" xfId="15" applyNumberFormat="1" applyFont="1" applyBorder="1" applyAlignment="1">
      <alignment horizontal="center" wrapText="1"/>
    </xf>
    <xf numFmtId="176" fontId="54" fillId="0" borderId="23" xfId="15" applyNumberFormat="1" applyFont="1" applyBorder="1" applyAlignment="1">
      <alignment horizontal="center" wrapText="1"/>
    </xf>
    <xf numFmtId="172" fontId="46" fillId="0" borderId="17" xfId="15" applyNumberFormat="1" applyFont="1" applyBorder="1"/>
    <xf numFmtId="176" fontId="54" fillId="0" borderId="16" xfId="15" applyNumberFormat="1" applyFont="1" applyBorder="1" applyAlignment="1">
      <alignment horizontal="center" wrapText="1"/>
    </xf>
    <xf numFmtId="176" fontId="53" fillId="0" borderId="16" xfId="15" applyNumberFormat="1" applyFont="1" applyBorder="1" applyAlignment="1">
      <alignment horizontal="center" wrapText="1"/>
    </xf>
    <xf numFmtId="172" fontId="50" fillId="0" borderId="24" xfId="15" applyNumberFormat="1" applyFont="1" applyBorder="1"/>
    <xf numFmtId="172" fontId="51" fillId="0" borderId="24" xfId="15" applyNumberFormat="1" applyFont="1" applyBorder="1" applyProtection="1">
      <protection locked="0"/>
    </xf>
    <xf numFmtId="172" fontId="56" fillId="0" borderId="24" xfId="15" applyNumberFormat="1" applyFont="1" applyBorder="1" applyProtection="1">
      <protection locked="0"/>
    </xf>
    <xf numFmtId="176" fontId="56" fillId="0" borderId="24" xfId="15" applyNumberFormat="1" applyFont="1" applyBorder="1" applyProtection="1">
      <protection locked="0"/>
    </xf>
    <xf numFmtId="172" fontId="50" fillId="0" borderId="18" xfId="15" applyNumberFormat="1" applyFont="1" applyBorder="1" applyAlignment="1">
      <alignment horizontal="right"/>
    </xf>
    <xf numFmtId="177" fontId="45" fillId="0" borderId="25" xfId="15" applyNumberFormat="1" applyFont="1" applyBorder="1"/>
    <xf numFmtId="177" fontId="50" fillId="0" borderId="25" xfId="15" applyNumberFormat="1" applyFont="1" applyBorder="1"/>
    <xf numFmtId="177" fontId="50" fillId="0" borderId="26" xfId="15" applyNumberFormat="1" applyFont="1" applyBorder="1"/>
    <xf numFmtId="177" fontId="51" fillId="0" borderId="26" xfId="15" applyNumberFormat="1" applyFont="1" applyBorder="1"/>
    <xf numFmtId="43" fontId="46" fillId="0" borderId="12" xfId="15" applyNumberFormat="1" applyFont="1" applyBorder="1"/>
    <xf numFmtId="172" fontId="47" fillId="0" borderId="27" xfId="15" applyNumberFormat="1" applyFont="1" applyBorder="1"/>
    <xf numFmtId="172" fontId="46" fillId="0" borderId="13" xfId="15" applyNumberFormat="1" applyFont="1" applyBorder="1"/>
    <xf numFmtId="172" fontId="50" fillId="0" borderId="17" xfId="15" quotePrefix="1" applyNumberFormat="1" applyFont="1" applyBorder="1" applyAlignment="1">
      <alignment horizontal="left"/>
    </xf>
    <xf numFmtId="172" fontId="50" fillId="0" borderId="18" xfId="15" quotePrefix="1" applyNumberFormat="1" applyFont="1" applyBorder="1" applyAlignment="1">
      <alignment horizontal="left"/>
    </xf>
    <xf numFmtId="172" fontId="46" fillId="0" borderId="28" xfId="15" applyNumberFormat="1" applyFont="1" applyBorder="1" applyAlignment="1">
      <alignment horizontal="right"/>
    </xf>
    <xf numFmtId="177" fontId="46" fillId="0" borderId="21" xfId="15" applyNumberFormat="1" applyFont="1" applyBorder="1"/>
    <xf numFmtId="177" fontId="46" fillId="0" borderId="29" xfId="15" applyNumberFormat="1" applyFont="1" applyBorder="1"/>
    <xf numFmtId="177" fontId="54" fillId="0" borderId="29" xfId="15" applyNumberFormat="1" applyFont="1" applyBorder="1"/>
    <xf numFmtId="177" fontId="47" fillId="0" borderId="14" xfId="15" applyNumberFormat="1" applyFont="1" applyBorder="1"/>
    <xf numFmtId="177" fontId="46" fillId="0" borderId="14" xfId="15" applyNumberFormat="1" applyFont="1" applyBorder="1"/>
    <xf numFmtId="172" fontId="46" fillId="0" borderId="22" xfId="15" applyNumberFormat="1" applyFont="1" applyBorder="1"/>
    <xf numFmtId="177" fontId="50" fillId="0" borderId="19" xfId="15" quotePrefix="1" applyNumberFormat="1" applyFont="1" applyBorder="1" applyAlignment="1">
      <alignment horizontal="right"/>
    </xf>
    <xf numFmtId="172" fontId="52" fillId="0" borderId="24" xfId="15" applyNumberFormat="1" applyFont="1" applyBorder="1" applyProtection="1">
      <protection locked="0"/>
    </xf>
    <xf numFmtId="172" fontId="46" fillId="13" borderId="28" xfId="15" applyNumberFormat="1" applyFont="1" applyFill="1" applyBorder="1" applyAlignment="1">
      <alignment horizontal="right"/>
    </xf>
    <xf numFmtId="177" fontId="46" fillId="13" borderId="30" xfId="15" applyNumberFormat="1" applyFont="1" applyFill="1" applyBorder="1"/>
    <xf numFmtId="177" fontId="46" fillId="13" borderId="31" xfId="15" applyNumberFormat="1" applyFont="1" applyFill="1" applyBorder="1"/>
    <xf numFmtId="177" fontId="54" fillId="13" borderId="31" xfId="15" applyNumberFormat="1" applyFont="1" applyFill="1" applyBorder="1"/>
    <xf numFmtId="172" fontId="46" fillId="14" borderId="10" xfId="15" applyNumberFormat="1" applyFont="1" applyFill="1" applyBorder="1" applyAlignment="1">
      <alignment horizontal="right"/>
    </xf>
    <xf numFmtId="177" fontId="46" fillId="14" borderId="11" xfId="15" applyNumberFormat="1" applyFont="1" applyFill="1" applyBorder="1"/>
    <xf numFmtId="177" fontId="46" fillId="14" borderId="12" xfId="15" applyNumberFormat="1" applyFont="1" applyFill="1" applyBorder="1"/>
    <xf numFmtId="176" fontId="46" fillId="14" borderId="32" xfId="15" applyNumberFormat="1" applyFont="1" applyFill="1" applyBorder="1" applyAlignment="1">
      <alignment horizontal="right"/>
    </xf>
    <xf numFmtId="176" fontId="54" fillId="14" borderId="32" xfId="15" applyNumberFormat="1" applyFont="1" applyFill="1" applyBorder="1" applyAlignment="1">
      <alignment horizontal="right"/>
    </xf>
    <xf numFmtId="176" fontId="54" fillId="15" borderId="32" xfId="15" applyNumberFormat="1" applyFont="1" applyFill="1" applyBorder="1" applyAlignment="1">
      <alignment horizontal="right"/>
    </xf>
    <xf numFmtId="172" fontId="48" fillId="0" borderId="33" xfId="15" applyNumberFormat="1" applyFont="1" applyBorder="1" applyAlignment="1">
      <alignment horizontal="center"/>
    </xf>
    <xf numFmtId="177" fontId="47" fillId="0" borderId="23" xfId="15" applyNumberFormat="1" applyFont="1" applyBorder="1"/>
    <xf numFmtId="177" fontId="46" fillId="0" borderId="23" xfId="15" applyNumberFormat="1" applyFont="1" applyBorder="1"/>
    <xf numFmtId="173" fontId="46" fillId="0" borderId="16" xfId="15" applyNumberFormat="1" applyFont="1" applyBorder="1" applyAlignment="1">
      <alignment horizontal="center" wrapText="1"/>
    </xf>
    <xf numFmtId="173" fontId="54" fillId="0" borderId="16" xfId="15" applyNumberFormat="1" applyFont="1" applyBorder="1" applyAlignment="1">
      <alignment horizontal="center" wrapText="1"/>
    </xf>
    <xf numFmtId="172" fontId="51" fillId="0" borderId="16" xfId="15" applyNumberFormat="1" applyFont="1" applyBorder="1"/>
    <xf numFmtId="177" fontId="50" fillId="0" borderId="20" xfId="15" applyNumberFormat="1" applyFont="1" applyBorder="1"/>
    <xf numFmtId="177" fontId="51" fillId="0" borderId="20" xfId="15" applyNumberFormat="1" applyFont="1" applyBorder="1"/>
    <xf numFmtId="172" fontId="46" fillId="0" borderId="34" xfId="15" applyNumberFormat="1" applyFont="1" applyBorder="1" applyAlignment="1">
      <alignment horizontal="right"/>
    </xf>
    <xf numFmtId="177" fontId="46" fillId="0" borderId="35" xfId="15" applyNumberFormat="1" applyFont="1" applyBorder="1"/>
    <xf numFmtId="177" fontId="46" fillId="0" borderId="35" xfId="15" applyNumberFormat="1" applyFont="1" applyBorder="1" applyAlignment="1">
      <alignment horizontal="center"/>
    </xf>
    <xf numFmtId="172" fontId="50" fillId="0" borderId="0" xfId="15" applyNumberFormat="1" applyFont="1" applyAlignment="1">
      <alignment wrapText="1"/>
    </xf>
    <xf numFmtId="175" fontId="50" fillId="0" borderId="0" xfId="15" applyNumberFormat="1" applyFont="1"/>
    <xf numFmtId="172" fontId="50" fillId="0" borderId="0" xfId="15" applyNumberFormat="1" applyFont="1"/>
    <xf numFmtId="172" fontId="57" fillId="0" borderId="0" xfId="15" applyNumberFormat="1" applyFont="1" applyAlignment="1">
      <alignment horizontal="center"/>
    </xf>
    <xf numFmtId="172" fontId="58" fillId="0" borderId="0" xfId="15" applyNumberFormat="1" applyFont="1" applyAlignment="1">
      <alignment horizontal="right"/>
    </xf>
    <xf numFmtId="175" fontId="50" fillId="0" borderId="0" xfId="15" applyNumberFormat="1" applyFont="1" applyAlignment="1">
      <alignment horizontal="right"/>
    </xf>
    <xf numFmtId="172" fontId="57" fillId="16" borderId="0" xfId="15" applyNumberFormat="1" applyFont="1" applyFill="1" applyAlignment="1">
      <alignment horizontal="right" wrapText="1"/>
    </xf>
    <xf numFmtId="172" fontId="50" fillId="16" borderId="0" xfId="15" applyNumberFormat="1" applyFont="1" applyFill="1"/>
    <xf numFmtId="172" fontId="59" fillId="16" borderId="0" xfId="15" applyNumberFormat="1" applyFont="1" applyFill="1" applyAlignment="1">
      <alignment horizontal="right"/>
    </xf>
    <xf numFmtId="172" fontId="57" fillId="17" borderId="0" xfId="15" applyNumberFormat="1" applyFont="1" applyFill="1" applyAlignment="1">
      <alignment horizontal="right" wrapText="1"/>
    </xf>
    <xf numFmtId="172" fontId="50" fillId="17" borderId="0" xfId="15" applyNumberFormat="1" applyFont="1" applyFill="1" applyAlignment="1">
      <alignment horizontal="right"/>
    </xf>
    <xf numFmtId="172" fontId="59" fillId="17" borderId="0" xfId="15" applyNumberFormat="1" applyFont="1" applyFill="1" applyAlignment="1">
      <alignment horizontal="right"/>
    </xf>
    <xf numFmtId="172" fontId="50" fillId="17" borderId="0" xfId="15" applyNumberFormat="1" applyFont="1" applyFill="1"/>
    <xf numFmtId="172" fontId="57" fillId="18" borderId="0" xfId="15" applyNumberFormat="1" applyFont="1" applyFill="1" applyAlignment="1">
      <alignment horizontal="right" wrapText="1"/>
    </xf>
    <xf numFmtId="172" fontId="50" fillId="18" borderId="0" xfId="15" applyNumberFormat="1" applyFont="1" applyFill="1"/>
    <xf numFmtId="172" fontId="59" fillId="18" borderId="0" xfId="15" applyNumberFormat="1" applyFont="1" applyFill="1" applyAlignment="1">
      <alignment horizontal="right"/>
    </xf>
    <xf numFmtId="172" fontId="57" fillId="19" borderId="0" xfId="15" applyNumberFormat="1" applyFont="1" applyFill="1" applyAlignment="1">
      <alignment horizontal="right" wrapText="1"/>
    </xf>
    <xf numFmtId="172" fontId="50" fillId="19" borderId="0" xfId="15" applyNumberFormat="1" applyFont="1" applyFill="1"/>
    <xf numFmtId="172" fontId="59" fillId="19" borderId="0" xfId="15" applyNumberFormat="1" applyFont="1" applyFill="1" applyAlignment="1">
      <alignment horizontal="right"/>
    </xf>
    <xf numFmtId="0" fontId="26" fillId="0" borderId="0" xfId="8" applyFont="1" applyAlignment="1">
      <alignment horizontal="left" vertical="top"/>
    </xf>
    <xf numFmtId="0" fontId="7" fillId="0" borderId="0" xfId="0" applyFont="1" applyBorder="1" applyAlignment="1"/>
    <xf numFmtId="0" fontId="18" fillId="0" borderId="0" xfId="13" applyFont="1" applyAlignment="1">
      <alignment wrapText="1"/>
    </xf>
    <xf numFmtId="0" fontId="19" fillId="0" borderId="2" xfId="13" applyFont="1" applyBorder="1" applyAlignment="1">
      <alignment wrapText="1"/>
    </xf>
    <xf numFmtId="0" fontId="17" fillId="11" borderId="0" xfId="8" applyFont="1" applyFill="1" applyAlignment="1">
      <alignment horizontal="center" vertical="center"/>
    </xf>
    <xf numFmtId="0" fontId="13" fillId="0" borderId="0" xfId="8" applyFont="1" applyAlignment="1">
      <alignment horizontal="left" vertical="top" wrapText="1"/>
    </xf>
    <xf numFmtId="0" fontId="13" fillId="6" borderId="0" xfId="8" applyFont="1" applyFill="1" applyBorder="1" applyAlignment="1">
      <alignment horizontal="center" vertical="center" wrapText="1"/>
    </xf>
    <xf numFmtId="171" fontId="13" fillId="6" borderId="0" xfId="8" applyNumberFormat="1" applyFont="1" applyFill="1" applyAlignment="1">
      <alignment horizontal="center" vertical="center"/>
    </xf>
    <xf numFmtId="0" fontId="13" fillId="7" borderId="0" xfId="8" applyFont="1" applyFill="1" applyAlignment="1">
      <alignment horizontal="center" vertical="center" wrapText="1"/>
    </xf>
    <xf numFmtId="0" fontId="32" fillId="6" borderId="0" xfId="8" applyFont="1" applyFill="1" applyBorder="1" applyAlignment="1">
      <alignment horizontal="center" vertical="center"/>
    </xf>
    <xf numFmtId="0" fontId="12" fillId="6" borderId="0" xfId="8" applyFill="1" applyBorder="1" applyAlignment="1">
      <alignment horizontal="center" vertical="center"/>
    </xf>
    <xf numFmtId="0" fontId="32" fillId="7" borderId="0" xfId="8" applyFont="1" applyFill="1" applyAlignment="1">
      <alignment horizontal="center" vertical="center"/>
    </xf>
    <xf numFmtId="0" fontId="12" fillId="7" borderId="0" xfId="8" applyFill="1" applyAlignment="1">
      <alignment horizontal="center" vertical="center"/>
    </xf>
    <xf numFmtId="171" fontId="13" fillId="7" borderId="0" xfId="8" applyNumberFormat="1" applyFont="1" applyFill="1" applyAlignment="1">
      <alignment horizontal="center" vertical="center"/>
    </xf>
    <xf numFmtId="0" fontId="13" fillId="7" borderId="0" xfId="8" applyFont="1" applyFill="1" applyAlignment="1">
      <alignment horizontal="center" vertical="center"/>
    </xf>
    <xf numFmtId="0" fontId="4" fillId="0" borderId="0" xfId="3" applyFont="1" applyFill="1" applyBorder="1" applyAlignment="1">
      <alignment horizontal="left" wrapText="1"/>
    </xf>
    <xf numFmtId="0" fontId="4" fillId="0" borderId="0" xfId="2" applyFont="1" applyBorder="1" applyAlignment="1">
      <alignment horizontal="left" wrapText="1"/>
    </xf>
    <xf numFmtId="0" fontId="4" fillId="0" borderId="0" xfId="3" applyFont="1" applyAlignment="1">
      <alignment horizontal="left" wrapText="1"/>
    </xf>
    <xf numFmtId="0" fontId="4" fillId="0" borderId="0" xfId="3" applyFont="1" applyAlignment="1">
      <alignment vertical="top" wrapText="1"/>
    </xf>
    <xf numFmtId="0" fontId="13" fillId="0" borderId="0" xfId="8" applyFont="1" applyAlignment="1">
      <alignment horizontal="left" wrapText="1"/>
    </xf>
    <xf numFmtId="0" fontId="13" fillId="0" borderId="0" xfId="0" applyFont="1" applyAlignment="1">
      <alignment horizontal="left" wrapText="1"/>
    </xf>
    <xf numFmtId="0" fontId="13" fillId="0" borderId="0" xfId="0" applyFont="1" applyAlignment="1">
      <alignment horizontal="left"/>
    </xf>
    <xf numFmtId="0" fontId="4" fillId="0" borderId="0" xfId="0" applyFont="1" applyAlignment="1">
      <alignment horizontal="left"/>
    </xf>
    <xf numFmtId="0" fontId="7" fillId="0" borderId="0" xfId="2" applyFont="1"/>
    <xf numFmtId="0" fontId="4" fillId="0" borderId="0" xfId="0" applyFont="1" applyAlignment="1">
      <alignment horizontal="left" wrapText="1"/>
    </xf>
    <xf numFmtId="0" fontId="4" fillId="0" borderId="0" xfId="0" applyFont="1" applyAlignment="1">
      <alignment horizontal="left" vertical="top" wrapText="1"/>
    </xf>
    <xf numFmtId="0" fontId="7" fillId="0" borderId="0" xfId="3" applyFont="1" applyFill="1" applyBorder="1" applyAlignment="1">
      <alignment vertical="top"/>
    </xf>
    <xf numFmtId="0" fontId="4" fillId="0" borderId="0" xfId="3" applyFont="1" applyAlignment="1">
      <alignment horizontal="left" vertical="top" wrapText="1"/>
    </xf>
    <xf numFmtId="0" fontId="18" fillId="0" borderId="0" xfId="3" applyFont="1" applyAlignment="1">
      <alignment wrapText="1"/>
    </xf>
    <xf numFmtId="0" fontId="18" fillId="0" borderId="0" xfId="3" applyFont="1"/>
    <xf numFmtId="0" fontId="18" fillId="0" borderId="0" xfId="3" applyFont="1" applyAlignment="1">
      <alignment vertical="top" wrapText="1"/>
    </xf>
    <xf numFmtId="0" fontId="18" fillId="0" borderId="0" xfId="0" applyFont="1"/>
    <xf numFmtId="0" fontId="18" fillId="0" borderId="0" xfId="13" applyFont="1" applyAlignment="1">
      <alignment wrapText="1"/>
    </xf>
    <xf numFmtId="0" fontId="18" fillId="0" borderId="0" xfId="3" applyFont="1" applyFill="1" applyBorder="1" applyAlignment="1">
      <alignment horizontal="left" wrapText="1"/>
    </xf>
    <xf numFmtId="0" fontId="18" fillId="0" borderId="0" xfId="3" applyFont="1" applyFill="1" applyBorder="1" applyAlignment="1">
      <alignment horizontal="left" vertical="top" wrapText="1"/>
    </xf>
    <xf numFmtId="0" fontId="26" fillId="0" borderId="0" xfId="8" applyFont="1" applyAlignment="1">
      <alignment vertical="top"/>
    </xf>
    <xf numFmtId="0" fontId="18" fillId="0" borderId="0" xfId="3" applyFont="1" applyAlignment="1">
      <alignment horizontal="left" vertical="center" wrapText="1"/>
    </xf>
    <xf numFmtId="0" fontId="18" fillId="0" borderId="0" xfId="0" applyFont="1" applyAlignment="1">
      <alignment vertical="top" wrapText="1"/>
    </xf>
    <xf numFmtId="0" fontId="19" fillId="0" borderId="2" xfId="13" applyFont="1" applyBorder="1" applyAlignment="1">
      <alignment wrapText="1"/>
    </xf>
    <xf numFmtId="0" fontId="18" fillId="0" borderId="0" xfId="0" applyFont="1" applyFill="1" applyBorder="1" applyAlignment="1">
      <alignment wrapText="1"/>
    </xf>
    <xf numFmtId="172" fontId="50" fillId="0" borderId="0" xfId="15" applyNumberFormat="1" applyFont="1" applyAlignment="1">
      <alignment horizontal="left" wrapText="1"/>
    </xf>
    <xf numFmtId="172" fontId="41" fillId="0" borderId="9" xfId="15" applyNumberFormat="1" applyFont="1" applyBorder="1" applyAlignment="1">
      <alignment horizontal="center"/>
    </xf>
    <xf numFmtId="172" fontId="43" fillId="0" borderId="9" xfId="15" applyNumberFormat="1" applyFont="1" applyBorder="1" applyAlignment="1">
      <alignment horizontal="center"/>
    </xf>
    <xf numFmtId="0" fontId="44" fillId="0" borderId="9" xfId="15" applyFont="1" applyBorder="1" applyAlignment="1">
      <alignment horizontal="center"/>
    </xf>
    <xf numFmtId="172" fontId="46" fillId="0" borderId="0" xfId="15" applyNumberFormat="1" applyFont="1" applyAlignment="1">
      <alignment horizontal="left" vertical="top" wrapText="1"/>
    </xf>
    <xf numFmtId="172" fontId="50" fillId="0" borderId="0" xfId="15" applyNumberFormat="1" applyFont="1" applyAlignment="1">
      <alignment horizontal="left"/>
    </xf>
    <xf numFmtId="0" fontId="18" fillId="0" borderId="0" xfId="13" applyFont="1"/>
    <xf numFmtId="0" fontId="19" fillId="0" borderId="0" xfId="13" applyFont="1" applyAlignment="1">
      <alignment wrapText="1"/>
    </xf>
    <xf numFmtId="9" fontId="18" fillId="0" borderId="0" xfId="1" applyFont="1"/>
    <xf numFmtId="164" fontId="18" fillId="0" borderId="0" xfId="5" applyNumberFormat="1" applyFont="1"/>
    <xf numFmtId="0" fontId="35" fillId="0" borderId="0" xfId="13" applyFont="1" applyAlignment="1">
      <alignment wrapText="1"/>
    </xf>
    <xf numFmtId="0" fontId="19" fillId="0" borderId="0" xfId="13" applyFont="1"/>
    <xf numFmtId="0" fontId="18" fillId="0" borderId="0" xfId="13" applyFont="1" applyAlignment="1">
      <alignment horizontal="left" vertical="top" wrapText="1"/>
    </xf>
    <xf numFmtId="164" fontId="19" fillId="0" borderId="2" xfId="13" applyNumberFormat="1" applyFont="1" applyBorder="1"/>
    <xf numFmtId="164" fontId="18" fillId="0" borderId="5" xfId="13" applyNumberFormat="1" applyFont="1" applyBorder="1"/>
    <xf numFmtId="164" fontId="18" fillId="0" borderId="8" xfId="13" applyNumberFormat="1" applyFont="1" applyBorder="1"/>
    <xf numFmtId="164" fontId="19" fillId="0" borderId="0" xfId="13" applyNumberFormat="1" applyFont="1"/>
    <xf numFmtId="0" fontId="18" fillId="0" borderId="2" xfId="13" applyFont="1" applyBorder="1" applyAlignment="1">
      <alignment wrapText="1"/>
    </xf>
    <xf numFmtId="164" fontId="18" fillId="0" borderId="0" xfId="13" applyNumberFormat="1" applyFont="1" applyAlignment="1">
      <alignment wrapText="1"/>
    </xf>
    <xf numFmtId="0" fontId="19" fillId="0" borderId="0" xfId="13" applyFont="1" applyAlignment="1">
      <alignment horizontal="right" wrapText="1"/>
    </xf>
    <xf numFmtId="0" fontId="19" fillId="0" borderId="2" xfId="13" applyFont="1" applyBorder="1" applyAlignment="1">
      <alignment horizontal="left" wrapText="1"/>
    </xf>
    <xf numFmtId="0" fontId="18" fillId="0" borderId="0" xfId="13" applyFont="1" applyAlignment="1">
      <alignment horizontal="center"/>
    </xf>
    <xf numFmtId="0" fontId="19" fillId="3" borderId="0" xfId="13" applyFont="1" applyFill="1" applyAlignment="1">
      <alignment horizontal="center"/>
    </xf>
    <xf numFmtId="0" fontId="19" fillId="3" borderId="0" xfId="13" applyFont="1" applyFill="1" applyAlignment="1">
      <alignment horizontal="center" wrapText="1"/>
    </xf>
  </cellXfs>
  <cellStyles count="19">
    <cellStyle name="Comma" xfId="14" builtinId="3"/>
    <cellStyle name="Comma 2" xfId="16" xr:uid="{00000000-0005-0000-0000-000001000000}"/>
    <cellStyle name="Currency 2" xfId="5" xr:uid="{00000000-0005-0000-0000-000002000000}"/>
    <cellStyle name="Currency 3" xfId="11" xr:uid="{00000000-0005-0000-0000-000003000000}"/>
    <cellStyle name="Normal" xfId="0" builtinId="0"/>
    <cellStyle name="Normal 2" xfId="2" xr:uid="{00000000-0005-0000-0000-000005000000}"/>
    <cellStyle name="Normal 2 2" xfId="10" xr:uid="{00000000-0005-0000-0000-000006000000}"/>
    <cellStyle name="Normal 2 3" xfId="15" xr:uid="{00000000-0005-0000-0000-000007000000}"/>
    <cellStyle name="Normal 3" xfId="6" xr:uid="{00000000-0005-0000-0000-000008000000}"/>
    <cellStyle name="Normal 4" xfId="7" xr:uid="{00000000-0005-0000-0000-000009000000}"/>
    <cellStyle name="Normal 5" xfId="8" xr:uid="{00000000-0005-0000-0000-00000A000000}"/>
    <cellStyle name="Normal 5 2" xfId="12" xr:uid="{00000000-0005-0000-0000-00000B000000}"/>
    <cellStyle name="Normal 6" xfId="17" xr:uid="{00000000-0005-0000-0000-00000C000000}"/>
    <cellStyle name="Normal 7" xfId="18" xr:uid="{00000000-0005-0000-0000-00000D000000}"/>
    <cellStyle name="Normal_78 - 04 FW spending report Spring 05Revised" xfId="13" xr:uid="{00000000-0005-0000-0000-00000E000000}"/>
    <cellStyle name="Normal_Gov Report File" xfId="3" xr:uid="{00000000-0005-0000-0000-00000F000000}"/>
    <cellStyle name="Normal_Sheet1" xfId="4" xr:uid="{00000000-0005-0000-0000-000010000000}"/>
    <cellStyle name="Note 2" xfId="9" xr:uid="{00000000-0005-0000-0000-000011000000}"/>
    <cellStyle name="Percent" xfId="1" builtinId="5"/>
  </cellStyles>
  <dxfs count="0"/>
  <tableStyles count="0" defaultTableStyle="TableStyleMedium9" defaultPivotStyle="PivotStyleLight16"/>
  <colors>
    <mruColors>
      <color rgb="FFC3D69B"/>
      <color rgb="FF8064A2"/>
      <color rgb="FFC0504D"/>
      <color rgb="FFF68B32"/>
      <color rgb="FF9AB9D2"/>
      <color rgb="FFFFFF66"/>
      <color rgb="FFFFFFFF"/>
      <color rgb="FF856BA5"/>
      <color rgb="FF9BBB5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64C-4B75-ACC6-D985A14E3F5E}"/>
              </c:ext>
            </c:extLst>
          </c:dPt>
          <c:dLbls>
            <c:dLbl>
              <c:idx val="0"/>
              <c:layout>
                <c:manualLayout>
                  <c:x val="-0.11202784662283355"/>
                  <c:y val="9.1526998596788992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579955468246489"/>
                      <c:h val="0.10053661644501764"/>
                    </c:manualLayout>
                  </c15:layout>
                </c:ext>
                <c:ext xmlns:c16="http://schemas.microsoft.com/office/drawing/2014/chart" uri="{C3380CC4-5D6E-409C-BE32-E72D297353CC}">
                  <c16:uniqueId val="{00000001-E64C-4B75-ACC6-D985A14E3F5E}"/>
                </c:ext>
              </c:extLst>
            </c:dLbl>
            <c:dLbl>
              <c:idx val="1"/>
              <c:layout>
                <c:manualLayout>
                  <c:x val="-0.10309150299542963"/>
                  <c:y val="-0.19441824335521646"/>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1754036812292286"/>
                      <c:h val="9.453645568317974E-2"/>
                    </c:manualLayout>
                  </c15:layout>
                </c:ext>
                <c:ext xmlns:c16="http://schemas.microsoft.com/office/drawing/2014/chart" uri="{C3380CC4-5D6E-409C-BE32-E72D297353CC}">
                  <c16:uniqueId val="{00000003-E64C-4B75-ACC6-D985A14E3F5E}"/>
                </c:ext>
              </c:extLst>
            </c:dLbl>
            <c:dLbl>
              <c:idx val="2"/>
              <c:layout>
                <c:manualLayout>
                  <c:x val="-0.27214656169669721"/>
                  <c:y val="-6.3529458239885653E-3"/>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175828422566989"/>
                      <c:h val="6.5293258528394738E-2"/>
                    </c:manualLayout>
                  </c15:layout>
                </c:ext>
                <c:ext xmlns:c16="http://schemas.microsoft.com/office/drawing/2014/chart" uri="{C3380CC4-5D6E-409C-BE32-E72D297353CC}">
                  <c16:uniqueId val="{00000005-E64C-4B75-ACC6-D985A14E3F5E}"/>
                </c:ext>
              </c:extLst>
            </c:dLbl>
            <c:dLbl>
              <c:idx val="3"/>
              <c:layout>
                <c:manualLayout>
                  <c:x val="-4.2995229941548641E-2"/>
                  <c:y val="-3.6802292924051135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260657530773885"/>
                      <c:h val="6.3220119827416918E-2"/>
                    </c:manualLayout>
                  </c15:layout>
                </c:ext>
                <c:ext xmlns:c16="http://schemas.microsoft.com/office/drawing/2014/chart" uri="{C3380CC4-5D6E-409C-BE32-E72D297353CC}">
                  <c16:uniqueId val="{00000007-E64C-4B75-ACC6-D985A14E3F5E}"/>
                </c:ext>
              </c:extLst>
            </c:dLbl>
            <c:dLbl>
              <c:idx val="4"/>
              <c:layout>
                <c:manualLayout>
                  <c:x val="-0.16642434971771966"/>
                  <c:y val="-4.184573334180000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4C-4B75-ACC6-D985A14E3F5E}"/>
                </c:ext>
              </c:extLst>
            </c:dLbl>
            <c:dLbl>
              <c:idx val="5"/>
              <c:layout>
                <c:manualLayout>
                  <c:x val="-0.10419149516728388"/>
                  <c:y val="-0.1237562596137726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444651251068859"/>
                      <c:h val="9.2224799407506747E-2"/>
                    </c:manualLayout>
                  </c15:layout>
                </c:ext>
                <c:ext xmlns:c16="http://schemas.microsoft.com/office/drawing/2014/chart" uri="{C3380CC4-5D6E-409C-BE32-E72D297353CC}">
                  <c16:uniqueId val="{0000000B-E64C-4B75-ACC6-D985A14E3F5E}"/>
                </c:ext>
              </c:extLst>
            </c:dLbl>
            <c:dLbl>
              <c:idx val="6"/>
              <c:layout>
                <c:manualLayout>
                  <c:x val="-0.10202529777886515"/>
                  <c:y val="-0.16675927774459487"/>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456441735705338"/>
                      <c:h val="7.563968979968419E-2"/>
                    </c:manualLayout>
                  </c15:layout>
                </c:ext>
                <c:ext xmlns:c16="http://schemas.microsoft.com/office/drawing/2014/chart" uri="{C3380CC4-5D6E-409C-BE32-E72D297353CC}">
                  <c16:uniqueId val="{0000000D-E64C-4B75-ACC6-D985A14E3F5E}"/>
                </c:ext>
              </c:extLst>
            </c:dLbl>
            <c:dLbl>
              <c:idx val="7"/>
              <c:layout>
                <c:manualLayout>
                  <c:x val="-3.2652453123145644E-2"/>
                  <c:y val="-6.5126672855611439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20817677278306"/>
                      <c:h val="5.9872850889794153E-2"/>
                    </c:manualLayout>
                  </c15:layout>
                </c:ext>
                <c:ext xmlns:c16="http://schemas.microsoft.com/office/drawing/2014/chart" uri="{C3380CC4-5D6E-409C-BE32-E72D297353CC}">
                  <c16:uniqueId val="{0000000F-E64C-4B75-ACC6-D985A14E3F5E}"/>
                </c:ext>
              </c:extLst>
            </c:dLbl>
            <c:dLbl>
              <c:idx val="8"/>
              <c:layout>
                <c:manualLayout>
                  <c:x val="0.17477376252523041"/>
                  <c:y val="0.20724194104851643"/>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216249577561959"/>
                      <c:h val="9.6416106206558327E-2"/>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'1A_CostsByArea'!$B$5:$B$13</c:f>
              <c:numCache>
                <c:formatCode>_(* #,##0.0_);_(* \(#,##0.0\);_(* "-"??_);_(@_)</c:formatCode>
                <c:ptCount val="9"/>
                <c:pt idx="0">
                  <c:v>240.38390317</c:v>
                </c:pt>
                <c:pt idx="1">
                  <c:v>174.36280763741945</c:v>
                </c:pt>
                <c:pt idx="2">
                  <c:v>48.9</c:v>
                </c:pt>
                <c:pt idx="3">
                  <c:v>26.667754219999999</c:v>
                </c:pt>
                <c:pt idx="4">
                  <c:v>8.6999999999999993</c:v>
                </c:pt>
                <c:pt idx="5">
                  <c:v>5.6375000000000002</c:v>
                </c:pt>
                <c:pt idx="6">
                  <c:v>39.749498006875612</c:v>
                </c:pt>
                <c:pt idx="7">
                  <c:v>66.077264603333333</c:v>
                </c:pt>
                <c:pt idx="8">
                  <c:v>177.62201441999997</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'1A_CostsByArea'!$A$5:$A$13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'1A_CostsByArea'!$B$5:$B$13</c:f>
              <c:numCache>
                <c:formatCode>_(* #,##0.0_);_(* \(#,##0.0\);_(* "-"??_);_(@_)</c:formatCode>
                <c:ptCount val="9"/>
                <c:pt idx="0">
                  <c:v>240.38390317</c:v>
                </c:pt>
                <c:pt idx="1">
                  <c:v>174.36280763741945</c:v>
                </c:pt>
                <c:pt idx="2">
                  <c:v>48.9</c:v>
                </c:pt>
                <c:pt idx="3">
                  <c:v>26.667754219999999</c:v>
                </c:pt>
                <c:pt idx="4">
                  <c:v>8.6999999999999993</c:v>
                </c:pt>
                <c:pt idx="5">
                  <c:v>5.6375000000000002</c:v>
                </c:pt>
                <c:pt idx="6">
                  <c:v>39.749498006875612</c:v>
                </c:pt>
                <c:pt idx="7">
                  <c:v>66.077264603333333</c:v>
                </c:pt>
                <c:pt idx="8">
                  <c:v>177.62201441999997</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5.5258857205956129E-2"/>
                  <c:y val="6.500363770318183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795683306576967"/>
                      <c:h val="8.6865957544780589E-2"/>
                    </c:manualLayout>
                  </c15:layout>
                </c:ext>
                <c:ext xmlns:c16="http://schemas.microsoft.com/office/drawing/2014/chart" uri="{C3380CC4-5D6E-409C-BE32-E72D297353CC}">
                  <c16:uniqueId val="{00000000-7FEE-4D26-A36B-86FFF3A5B10A}"/>
                </c:ext>
              </c:extLst>
            </c:dLbl>
            <c:dLbl>
              <c:idx val="1"/>
              <c:layout>
                <c:manualLayout>
                  <c:x val="-0.17520011473772376"/>
                  <c:y val="0.1301040180470435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EE-4D26-A36B-86FFF3A5B10A}"/>
                </c:ext>
              </c:extLst>
            </c:dLbl>
            <c:dLbl>
              <c:idx val="2"/>
              <c:layout>
                <c:manualLayout>
                  <c:x val="-0.14557160937407104"/>
                  <c:y val="7.144393792881152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EE-4D26-A36B-86FFF3A5B10A}"/>
                </c:ext>
              </c:extLst>
            </c:dLbl>
            <c:dLbl>
              <c:idx val="3"/>
              <c:layout>
                <c:manualLayout>
                  <c:x val="-0.19027858094751507"/>
                  <c:y val="-0.1308740595371996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EE-4D26-A36B-86FFF3A5B10A}"/>
                </c:ext>
              </c:extLst>
            </c:dLbl>
            <c:dLbl>
              <c:idx val="4"/>
              <c:layout>
                <c:manualLayout>
                  <c:x val="-4.1014762375935911E-2"/>
                  <c:y val="-6.181040899441711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5.997274024957408E-2"/>
                    </c:manualLayout>
                  </c15:layout>
                </c:ext>
                <c:ext xmlns:c16="http://schemas.microsoft.com/office/drawing/2014/chart" uri="{C3380CC4-5D6E-409C-BE32-E72D297353CC}">
                  <c16:uniqueId val="{00000004-7FEE-4D26-A36B-86FFF3A5B10A}"/>
                </c:ext>
              </c:extLst>
            </c:dLbl>
            <c:dLbl>
              <c:idx val="5"/>
              <c:layout>
                <c:manualLayout>
                  <c:x val="4.8652753357286652E-2"/>
                  <c:y val="-0.14461859372841554"/>
                </c:manualLayout>
              </c:layout>
              <c:showLegendKey val="0"/>
              <c:showVal val="1"/>
              <c:showCatName val="1"/>
              <c:showSerName val="0"/>
              <c:showPercent val="1"/>
              <c:showBubbleSize val="0"/>
              <c:extLst>
                <c:ext xmlns:c15="http://schemas.microsoft.com/office/drawing/2012/chart" uri="{CE6537A1-D6FC-4f65-9D91-7224C49458BB}">
                  <c15:layout>
                    <c:manualLayout>
                      <c:w val="0.17401105490482502"/>
                      <c:h val="5.35258058034025E-2"/>
                    </c:manualLayout>
                  </c15:layout>
                </c:ext>
                <c:ext xmlns:c16="http://schemas.microsoft.com/office/drawing/2014/chart" uri="{C3380CC4-5D6E-409C-BE32-E72D297353CC}">
                  <c16:uniqueId val="{00000005-7FEE-4D26-A36B-86FFF3A5B10A}"/>
                </c:ext>
              </c:extLst>
            </c:dLbl>
            <c:dLbl>
              <c:idx val="6"/>
              <c:layout>
                <c:manualLayout>
                  <c:x val="0.13569214042419456"/>
                  <c:y val="-0.1640742275636598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EE-4D26-A36B-86FFF3A5B10A}"/>
                </c:ext>
              </c:extLst>
            </c:dLbl>
            <c:dLbl>
              <c:idx val="7"/>
              <c:layout>
                <c:manualLayout>
                  <c:x val="6.3457856602876089E-2"/>
                  <c:y val="-4.4158677533729339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7FEE-4D26-A36B-86FFF3A5B10A}"/>
                </c:ext>
              </c:extLst>
            </c:dLbl>
            <c:dLbl>
              <c:idx val="8"/>
              <c:layout>
                <c:manualLayout>
                  <c:x val="5.4920537845390686E-2"/>
                  <c:y val="4.0521250633144539E-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EE-4D26-A36B-86FFF3A5B10A}"/>
                </c:ext>
              </c:extLst>
            </c:dLbl>
            <c:dLbl>
              <c:idx val="9"/>
              <c:layout>
                <c:manualLayout>
                  <c:x val="0.14159892634779875"/>
                  <c:y val="0.1574911820232997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FEE-4D26-A36B-86FFF3A5B10A}"/>
                </c:ext>
              </c:extLst>
            </c:dLbl>
            <c:dLbl>
              <c:idx val="10"/>
              <c:layout>
                <c:manualLayout>
                  <c:x val="9.607403443501597E-2"/>
                  <c:y val="0.1078276004973062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25015926408"/>
                      <c:h val="7.926214486347101E-2"/>
                    </c:manualLayout>
                  </c15:layout>
                </c:ext>
                <c:ext xmlns:c16="http://schemas.microsoft.com/office/drawing/2014/chart" uri="{C3380CC4-5D6E-409C-BE32-E72D297353CC}">
                  <c16:uniqueId val="{0000000A-7FEE-4D26-A36B-86FFF3A5B10A}"/>
                </c:ext>
              </c:extLst>
            </c:dLbl>
            <c:dLbl>
              <c:idx val="11"/>
              <c:layout>
                <c:manualLayout>
                  <c:x val="0.12941492750299413"/>
                  <c:y val="0.19818114840908041"/>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7FEE-4D26-A36B-86FFF3A5B10A}"/>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'8A_Province'!$E$30:$E$42</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'8A_Province'!$F$30:$F$42</c:f>
              <c:numCache>
                <c:formatCode>"$"#.0,,\ "million"</c:formatCode>
                <c:ptCount val="13"/>
                <c:pt idx="0">
                  <c:v>15606694</c:v>
                </c:pt>
                <c:pt idx="1">
                  <c:v>20213837</c:v>
                </c:pt>
                <c:pt idx="2">
                  <c:v>11349981</c:v>
                </c:pt>
                <c:pt idx="3">
                  <c:v>70886382</c:v>
                </c:pt>
                <c:pt idx="4">
                  <c:v>6959520</c:v>
                </c:pt>
                <c:pt idx="5">
                  <c:v>19057687</c:v>
                </c:pt>
                <c:pt idx="6">
                  <c:v>33544646</c:v>
                </c:pt>
                <c:pt idx="7">
                  <c:v>4404430</c:v>
                </c:pt>
                <c:pt idx="8">
                  <c:v>14029481</c:v>
                </c:pt>
                <c:pt idx="9">
                  <c:v>27353317</c:v>
                </c:pt>
                <c:pt idx="10">
                  <c:v>5254430</c:v>
                </c:pt>
                <c:pt idx="11">
                  <c:v>4720582</c:v>
                </c:pt>
                <c:pt idx="12">
                  <c:v>17471914</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'8B_Subbasin'!$B$40:$B$63</c:f>
              <c:strCache>
                <c:ptCount val="24"/>
                <c:pt idx="0">
                  <c:v>Spokane</c:v>
                </c:pt>
                <c:pt idx="1">
                  <c:v>Klickitat</c:v>
                </c:pt>
                <c:pt idx="2">
                  <c:v>Hood</c:v>
                </c:pt>
                <c:pt idx="3">
                  <c:v>Walla Walla</c:v>
                </c:pt>
                <c:pt idx="4">
                  <c:v>Columbia Estuary</c:v>
                </c:pt>
                <c:pt idx="5">
                  <c:v>Columbia Upper Middle</c:v>
                </c:pt>
                <c:pt idx="6">
                  <c:v>Columbia Lower Middle</c:v>
                </c:pt>
                <c:pt idx="7">
                  <c:v>Other</c:v>
                </c:pt>
                <c:pt idx="8">
                  <c:v>Snake Upper</c:v>
                </c:pt>
                <c:pt idx="9">
                  <c:v>Pend Oreille</c:v>
                </c:pt>
                <c:pt idx="10">
                  <c:v>Snake Lower</c:v>
                </c:pt>
                <c:pt idx="11">
                  <c:v>Methow</c:v>
                </c:pt>
                <c:pt idx="12">
                  <c:v>Okanogan</c:v>
                </c:pt>
                <c:pt idx="13">
                  <c:v>Columbia Lower</c:v>
                </c:pt>
                <c:pt idx="14">
                  <c:v>Columbia Upper</c:v>
                </c:pt>
                <c:pt idx="15">
                  <c:v>Umatilla</c:v>
                </c:pt>
                <c:pt idx="16">
                  <c:v>John Day</c:v>
                </c:pt>
                <c:pt idx="17">
                  <c:v>Deschutes</c:v>
                </c:pt>
                <c:pt idx="18">
                  <c:v>Kootenai</c:v>
                </c:pt>
                <c:pt idx="19">
                  <c:v>Grande Ronde</c:v>
                </c:pt>
                <c:pt idx="20">
                  <c:v>Salmon</c:v>
                </c:pt>
                <c:pt idx="21">
                  <c:v>Clearwater</c:v>
                </c:pt>
                <c:pt idx="22">
                  <c:v>Willamette</c:v>
                </c:pt>
                <c:pt idx="23">
                  <c:v>Yakima</c:v>
                </c:pt>
              </c:strCache>
            </c:strRef>
          </c:cat>
          <c:val>
            <c:numRef>
              <c:f>'8B_Subbasin'!$C$40:$C$63</c:f>
              <c:numCache>
                <c:formatCode>"$"#,##0</c:formatCode>
                <c:ptCount val="24"/>
                <c:pt idx="0">
                  <c:v>2922853</c:v>
                </c:pt>
                <c:pt idx="1">
                  <c:v>3249660</c:v>
                </c:pt>
                <c:pt idx="2">
                  <c:v>3698190</c:v>
                </c:pt>
                <c:pt idx="3">
                  <c:v>4070365</c:v>
                </c:pt>
                <c:pt idx="4">
                  <c:v>4325289</c:v>
                </c:pt>
                <c:pt idx="5">
                  <c:v>4418320</c:v>
                </c:pt>
                <c:pt idx="6">
                  <c:v>4636585</c:v>
                </c:pt>
                <c:pt idx="7">
                  <c:v>4720584</c:v>
                </c:pt>
                <c:pt idx="8">
                  <c:v>5099313</c:v>
                </c:pt>
                <c:pt idx="9">
                  <c:v>5608712</c:v>
                </c:pt>
                <c:pt idx="10">
                  <c:v>5723325</c:v>
                </c:pt>
                <c:pt idx="11">
                  <c:v>5777371</c:v>
                </c:pt>
                <c:pt idx="12">
                  <c:v>5823872</c:v>
                </c:pt>
                <c:pt idx="13">
                  <c:v>6144027</c:v>
                </c:pt>
                <c:pt idx="14">
                  <c:v>6514202</c:v>
                </c:pt>
                <c:pt idx="15">
                  <c:v>7836471</c:v>
                </c:pt>
                <c:pt idx="16">
                  <c:v>7867962</c:v>
                </c:pt>
                <c:pt idx="17">
                  <c:v>8183285</c:v>
                </c:pt>
                <c:pt idx="18">
                  <c:v>10581994</c:v>
                </c:pt>
                <c:pt idx="19">
                  <c:v>12506487</c:v>
                </c:pt>
                <c:pt idx="20">
                  <c:v>13093069</c:v>
                </c:pt>
                <c:pt idx="21">
                  <c:v>14260246</c:v>
                </c:pt>
                <c:pt idx="22">
                  <c:v>26707470</c:v>
                </c:pt>
                <c:pt idx="23">
                  <c:v>29873134</c:v>
                </c:pt>
              </c:numCache>
            </c:numRef>
          </c:val>
          <c:extLst>
            <c:ext xmlns:c16="http://schemas.microsoft.com/office/drawing/2014/chart" uri="{C3380CC4-5D6E-409C-BE32-E72D297353CC}">
              <c16:uniqueId val="{00000000-3C35-469A-9BA5-CF3170D51A4C}"/>
            </c:ext>
          </c:extLst>
        </c:ser>
        <c:dLbls>
          <c:showLegendKey val="0"/>
          <c:showVal val="0"/>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61650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'10_Contractor'!$B$80:$B$112</c:f>
              <c:strCache>
                <c:ptCount val="33"/>
                <c:pt idx="0">
                  <c:v>Federal: BPA Overhead (&amp; Non-Contracted Project Costs)</c:v>
                </c:pt>
                <c:pt idx="1">
                  <c:v>Federal: National Marine Fisheries</c:v>
                </c:pt>
                <c:pt idx="2">
                  <c:v>Federal: US Geological Survey</c:v>
                </c:pt>
                <c:pt idx="3">
                  <c:v>Federal: US Fish &amp; Wildlife Service</c:v>
                </c:pt>
                <c:pt idx="4">
                  <c:v>Federal: Pacific NW National Laboratory</c:v>
                </c:pt>
                <c:pt idx="5">
                  <c:v>Federal: US Forest Service</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E35F-433E-A0B1-02CFAACF6FFD}"/>
            </c:ext>
          </c:extLst>
        </c:ser>
        <c:ser>
          <c:idx val="1"/>
          <c:order val="1"/>
          <c:spPr>
            <a:solidFill>
              <a:schemeClr val="accent2"/>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02-E35F-433E-A0B1-02CFAACF6FFD}"/>
              </c:ext>
            </c:extLst>
          </c:dPt>
          <c:dPt>
            <c:idx val="7"/>
            <c:invertIfNegative val="0"/>
            <c:bubble3D val="0"/>
            <c:spPr>
              <a:solidFill>
                <a:srgbClr val="9AB9D2"/>
              </a:solidFill>
              <a:ln>
                <a:noFill/>
              </a:ln>
              <a:effectLst/>
            </c:spPr>
            <c:extLst>
              <c:ext xmlns:c16="http://schemas.microsoft.com/office/drawing/2014/chart" uri="{C3380CC4-5D6E-409C-BE32-E72D297353CC}">
                <c16:uniqueId val="{00000004-E35F-433E-A0B1-02CFAACF6FFD}"/>
              </c:ext>
            </c:extLst>
          </c:dPt>
          <c:dPt>
            <c:idx val="8"/>
            <c:invertIfNegative val="0"/>
            <c:bubble3D val="0"/>
            <c:spPr>
              <a:solidFill>
                <a:srgbClr val="9AB9D2"/>
              </a:solidFill>
              <a:ln>
                <a:noFill/>
              </a:ln>
              <a:effectLst/>
            </c:spPr>
            <c:extLst>
              <c:ext xmlns:c16="http://schemas.microsoft.com/office/drawing/2014/chart" uri="{C3380CC4-5D6E-409C-BE32-E72D297353CC}">
                <c16:uniqueId val="{00000006-E35F-433E-A0B1-02CFAACF6FFD}"/>
              </c:ext>
            </c:extLst>
          </c:dPt>
          <c:dPt>
            <c:idx val="9"/>
            <c:invertIfNegative val="0"/>
            <c:bubble3D val="0"/>
            <c:spPr>
              <a:solidFill>
                <a:srgbClr val="9AB9D2"/>
              </a:solidFill>
              <a:ln>
                <a:noFill/>
              </a:ln>
              <a:effectLst/>
            </c:spPr>
            <c:extLst>
              <c:ext xmlns:c16="http://schemas.microsoft.com/office/drawing/2014/chart" uri="{C3380CC4-5D6E-409C-BE32-E72D297353CC}">
                <c16:uniqueId val="{00000008-E35F-433E-A0B1-02CFAACF6FFD}"/>
              </c:ext>
            </c:extLst>
          </c:dPt>
          <c:dPt>
            <c:idx val="10"/>
            <c:invertIfNegative val="0"/>
            <c:bubble3D val="0"/>
            <c:spPr>
              <a:solidFill>
                <a:srgbClr val="9AB9D2"/>
              </a:solidFill>
              <a:ln>
                <a:noFill/>
              </a:ln>
              <a:effectLst/>
            </c:spPr>
            <c:extLst>
              <c:ext xmlns:c16="http://schemas.microsoft.com/office/drawing/2014/chart" uri="{C3380CC4-5D6E-409C-BE32-E72D297353CC}">
                <c16:uniqueId val="{0000000A-E35F-433E-A0B1-02CFAACF6FFD}"/>
              </c:ext>
            </c:extLst>
          </c:dPt>
          <c:dPt>
            <c:idx val="11"/>
            <c:invertIfNegative val="0"/>
            <c:bubble3D val="0"/>
            <c:spPr>
              <a:solidFill>
                <a:srgbClr val="9AB9D2"/>
              </a:solidFill>
              <a:ln>
                <a:noFill/>
              </a:ln>
              <a:effectLst/>
            </c:spPr>
            <c:extLst>
              <c:ext xmlns:c16="http://schemas.microsoft.com/office/drawing/2014/chart" uri="{C3380CC4-5D6E-409C-BE32-E72D297353CC}">
                <c16:uniqueId val="{0000000C-E35F-433E-A0B1-02CFAACF6FFD}"/>
              </c:ext>
            </c:extLst>
          </c:dPt>
          <c:dPt>
            <c:idx val="12"/>
            <c:invertIfNegative val="0"/>
            <c:bubble3D val="0"/>
            <c:spPr>
              <a:solidFill>
                <a:srgbClr val="C3D69B"/>
              </a:solidFill>
              <a:ln>
                <a:noFill/>
              </a:ln>
              <a:effectLst/>
            </c:spPr>
            <c:extLst>
              <c:ext xmlns:c16="http://schemas.microsoft.com/office/drawing/2014/chart" uri="{C3380CC4-5D6E-409C-BE32-E72D297353CC}">
                <c16:uniqueId val="{0000000E-E35F-433E-A0B1-02CFAACF6FFD}"/>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E35F-433E-A0B1-02CFAACF6FFD}"/>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E35F-433E-A0B1-02CFAACF6FFD}"/>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E35F-433E-A0B1-02CFAACF6FFD}"/>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E35F-433E-A0B1-02CFAACF6FFD}"/>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E35F-433E-A0B1-02CFAACF6FFD}"/>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E35F-433E-A0B1-02CFAACF6FFD}"/>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E35F-433E-A0B1-02CFAACF6FFD}"/>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E35F-433E-A0B1-02CFAACF6FFD}"/>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E35F-433E-A0B1-02CFAACF6FFD}"/>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E35F-433E-A0B1-02CFAACF6FFD}"/>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E35F-433E-A0B1-02CFAACF6FFD}"/>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E35F-433E-A0B1-02CFAACF6FFD}"/>
              </c:ext>
            </c:extLst>
          </c:dPt>
          <c:dPt>
            <c:idx val="25"/>
            <c:invertIfNegative val="0"/>
            <c:bubble3D val="0"/>
            <c:spPr>
              <a:solidFill>
                <a:srgbClr val="C3D69B"/>
              </a:solidFill>
              <a:ln>
                <a:noFill/>
              </a:ln>
              <a:effectLst/>
            </c:spPr>
            <c:extLst>
              <c:ext xmlns:c16="http://schemas.microsoft.com/office/drawing/2014/chart" uri="{C3380CC4-5D6E-409C-BE32-E72D297353CC}">
                <c16:uniqueId val="{00000028-E35F-433E-A0B1-02CFAACF6FFD}"/>
              </c:ext>
            </c:extLst>
          </c:dPt>
          <c:dPt>
            <c:idx val="26"/>
            <c:invertIfNegative val="0"/>
            <c:bubble3D val="0"/>
            <c:spPr>
              <a:solidFill>
                <a:srgbClr val="8064A2"/>
              </a:solidFill>
              <a:ln>
                <a:noFill/>
              </a:ln>
              <a:effectLst/>
            </c:spPr>
            <c:extLst>
              <c:ext xmlns:c16="http://schemas.microsoft.com/office/drawing/2014/chart" uri="{C3380CC4-5D6E-409C-BE32-E72D297353CC}">
                <c16:uniqueId val="{0000002A-E35F-433E-A0B1-02CFAACF6FFD}"/>
              </c:ext>
            </c:extLst>
          </c:dPt>
          <c:dPt>
            <c:idx val="27"/>
            <c:invertIfNegative val="0"/>
            <c:bubble3D val="0"/>
            <c:spPr>
              <a:solidFill>
                <a:srgbClr val="FFC000"/>
              </a:solidFill>
              <a:ln>
                <a:noFill/>
              </a:ln>
              <a:effectLst/>
            </c:spPr>
            <c:extLst>
              <c:ext xmlns:c16="http://schemas.microsoft.com/office/drawing/2014/chart" uri="{C3380CC4-5D6E-409C-BE32-E72D297353CC}">
                <c16:uniqueId val="{0000002C-E35F-433E-A0B1-02CFAACF6FFD}"/>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E35F-433E-A0B1-02CFAACF6FFD}"/>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E35F-433E-A0B1-02CFAACF6FFD}"/>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E35F-433E-A0B1-02CFAACF6FFD}"/>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E35F-433E-A0B1-02CFAACF6FFD}"/>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E35F-433E-A0B1-02CFAACF6FFD}"/>
              </c:ext>
            </c:extLst>
          </c:dPt>
          <c:cat>
            <c:strRef>
              <c:f>'10_Contractor'!$B$80:$B$112</c:f>
              <c:strCache>
                <c:ptCount val="33"/>
                <c:pt idx="0">
                  <c:v>Federal: BPA Overhead (&amp; Non-Contracted Project Costs)</c:v>
                </c:pt>
                <c:pt idx="1">
                  <c:v>Federal: National Marine Fisheries</c:v>
                </c:pt>
                <c:pt idx="2">
                  <c:v>Federal: US Geological Survey</c:v>
                </c:pt>
                <c:pt idx="3">
                  <c:v>Federal: US Fish &amp; Wildlife Service</c:v>
                </c:pt>
                <c:pt idx="4">
                  <c:v>Federal: Pacific NW National Laboratory</c:v>
                </c:pt>
                <c:pt idx="5">
                  <c:v>Federal: US Forest Service</c:v>
                </c:pt>
                <c:pt idx="6">
                  <c:v>Federal: Other</c:v>
                </c:pt>
                <c:pt idx="7">
                  <c:v>State: Oregon Department of Fish &amp; Wildlife</c:v>
                </c:pt>
                <c:pt idx="8">
                  <c:v>State: Idaho Department of Fish &amp; Wildlife</c:v>
                </c:pt>
                <c:pt idx="9">
                  <c:v>State: Washington Department of Fish &amp; Wildlife</c:v>
                </c:pt>
                <c:pt idx="10">
                  <c:v>State: Idaho State Office of Species Conservation</c:v>
                </c:pt>
                <c:pt idx="11">
                  <c:v>State: Montana Fish, Wildlife And Parks</c:v>
                </c:pt>
                <c:pt idx="12">
                  <c:v>Tribe: Yakama Confederated Tribes</c:v>
                </c:pt>
                <c:pt idx="13">
                  <c:v>Tribe: Colville Confederated Tribes</c:v>
                </c:pt>
                <c:pt idx="14">
                  <c:v>Tribe: Nez Perce Tribe</c:v>
                </c:pt>
                <c:pt idx="15">
                  <c:v>Tribe: Umatilla Confederated Tribes</c:v>
                </c:pt>
                <c:pt idx="16">
                  <c:v>Tribe: Kootenai Tribe</c:v>
                </c:pt>
                <c:pt idx="17">
                  <c:v>Tribe: Columbia River Intertribal Fish Commission</c:v>
                </c:pt>
                <c:pt idx="18">
                  <c:v>Tribe: Confederated Tribes of Warm Springs</c:v>
                </c:pt>
                <c:pt idx="19">
                  <c:v>Tribe: Kalispel Tribe of Indians</c:v>
                </c:pt>
                <c:pt idx="20">
                  <c:v>Tribe: Shoshone-Bannock Tribes</c:v>
                </c:pt>
                <c:pt idx="21">
                  <c:v>Tribe: Spokane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'10_Contractor'!$C$80:$C$112</c:f>
              <c:numCache>
                <c:formatCode>"$"#,##0</c:formatCode>
                <c:ptCount val="33"/>
                <c:pt idx="0">
                  <c:v>15844777.719999999</c:v>
                </c:pt>
                <c:pt idx="1">
                  <c:v>6843743.7699999996</c:v>
                </c:pt>
                <c:pt idx="2">
                  <c:v>1931626.73</c:v>
                </c:pt>
                <c:pt idx="3">
                  <c:v>1743822.97</c:v>
                </c:pt>
                <c:pt idx="4">
                  <c:v>1043403.94</c:v>
                </c:pt>
                <c:pt idx="5">
                  <c:v>512494.07</c:v>
                </c:pt>
                <c:pt idx="6">
                  <c:v>172295</c:v>
                </c:pt>
                <c:pt idx="7">
                  <c:v>13814905.16</c:v>
                </c:pt>
                <c:pt idx="8">
                  <c:v>11128381.119999999</c:v>
                </c:pt>
                <c:pt idx="9">
                  <c:v>11069042.779999999</c:v>
                </c:pt>
                <c:pt idx="10">
                  <c:v>2658008.98</c:v>
                </c:pt>
                <c:pt idx="11">
                  <c:v>2087883.66</c:v>
                </c:pt>
                <c:pt idx="12">
                  <c:v>23060163.939999994</c:v>
                </c:pt>
                <c:pt idx="13">
                  <c:v>16547621.699999996</c:v>
                </c:pt>
                <c:pt idx="14">
                  <c:v>15000943.699999999</c:v>
                </c:pt>
                <c:pt idx="15">
                  <c:v>14080297.659999996</c:v>
                </c:pt>
                <c:pt idx="16">
                  <c:v>10441818.99</c:v>
                </c:pt>
                <c:pt idx="17">
                  <c:v>8244084.9399999976</c:v>
                </c:pt>
                <c:pt idx="18">
                  <c:v>7077489.7400000012</c:v>
                </c:pt>
                <c:pt idx="19">
                  <c:v>4048020.7299999995</c:v>
                </c:pt>
                <c:pt idx="20">
                  <c:v>3891274.99</c:v>
                </c:pt>
                <c:pt idx="21">
                  <c:v>3464330.9700000007</c:v>
                </c:pt>
                <c:pt idx="22">
                  <c:v>2742503.0500000003</c:v>
                </c:pt>
                <c:pt idx="23">
                  <c:v>1221590.6500000001</c:v>
                </c:pt>
                <c:pt idx="24">
                  <c:v>738429.14999999991</c:v>
                </c:pt>
                <c:pt idx="25">
                  <c:v>1964708</c:v>
                </c:pt>
                <c:pt idx="26">
                  <c:v>16836697.550000001</c:v>
                </c:pt>
                <c:pt idx="27">
                  <c:v>2897182.59</c:v>
                </c:pt>
                <c:pt idx="28">
                  <c:v>26273412.68</c:v>
                </c:pt>
                <c:pt idx="29">
                  <c:v>12768517.42</c:v>
                </c:pt>
                <c:pt idx="30">
                  <c:v>5682822.5</c:v>
                </c:pt>
                <c:pt idx="31">
                  <c:v>4504494.53</c:v>
                </c:pt>
                <c:pt idx="32">
                  <c:v>1322507.22</c:v>
                </c:pt>
              </c:numCache>
            </c:numRef>
          </c:val>
          <c:extLst>
            <c:ext xmlns:c16="http://schemas.microsoft.com/office/drawing/2014/chart" uri="{C3380CC4-5D6E-409C-BE32-E72D297353CC}">
              <c16:uniqueId val="{00000037-E35F-433E-A0B1-02CFAACF6FFD}"/>
            </c:ext>
          </c:extLst>
        </c:ser>
        <c:dLbls>
          <c:showLegendKey val="0"/>
          <c:showVal val="0"/>
          <c:showCatName val="0"/>
          <c:showSerName val="0"/>
          <c:showPercent val="0"/>
          <c:showBubbleSize val="0"/>
        </c:dLbls>
        <c:gapWidth val="5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'11_LandPurchases'!$A$48:$A$58</c:f>
              <c:strCache>
                <c:ptCount val="11"/>
                <c:pt idx="0">
                  <c:v>Oregon Department Of Fish and Wildlife (ODFW)</c:v>
                </c:pt>
                <c:pt idx="1">
                  <c:v>Idaho Department of Fish and Game (IDFG)</c:v>
                </c:pt>
                <c:pt idx="2">
                  <c:v>Columbia Land Trust</c:v>
                </c:pt>
                <c:pt idx="3">
                  <c:v>Salish and Kootenai Confederated Tribes</c:v>
                </c:pt>
                <c:pt idx="4">
                  <c:v>Umatilla Confederated Tribes (CTUIR)</c:v>
                </c:pt>
                <c:pt idx="5">
                  <c:v>Washington Department of Fish and Wildlife (WDFW)</c:v>
                </c:pt>
                <c:pt idx="6">
                  <c:v>Kalispel Tribe</c:v>
                </c:pt>
                <c:pt idx="7">
                  <c:v>Nez Perce Tribe</c:v>
                </c:pt>
                <c:pt idx="8">
                  <c:v>Confederated Tribes of the Warm Springs</c:v>
                </c:pt>
                <c:pt idx="9">
                  <c:v>Yakama Confederated Tribes</c:v>
                </c:pt>
                <c:pt idx="10">
                  <c:v>Lower Columbia River Estuary Partnership (LCREP)</c:v>
                </c:pt>
              </c:strCache>
            </c:strRef>
          </c:cat>
          <c:val>
            <c:numRef>
              <c:f>'11_LandPurchases'!$B$48:$B$55</c:f>
              <c:numCache>
                <c:formatCode>"$"#,##0</c:formatCode>
                <c:ptCount val="8"/>
                <c:pt idx="0">
                  <c:v>9629687</c:v>
                </c:pt>
                <c:pt idx="1">
                  <c:v>1580664</c:v>
                </c:pt>
                <c:pt idx="2">
                  <c:v>492294</c:v>
                </c:pt>
                <c:pt idx="3">
                  <c:v>440084</c:v>
                </c:pt>
                <c:pt idx="4">
                  <c:v>280574</c:v>
                </c:pt>
                <c:pt idx="5">
                  <c:v>171567</c:v>
                </c:pt>
                <c:pt idx="6">
                  <c:v>166061</c:v>
                </c:pt>
                <c:pt idx="7">
                  <c:v>5000</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Table'!$AC$2:$AO$2</c:f>
              <c:numCache>
                <c:formatCode>0_);\(0\)</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'BPA Costs Table'!$AC$9:$AO$9</c:f>
              <c:numCache>
                <c:formatCode>0.0_);\(0.0\)</c:formatCode>
                <c:ptCount val="13"/>
                <c:pt idx="0">
                  <c:v>139.482</c:v>
                </c:pt>
                <c:pt idx="1">
                  <c:v>148.89743393999996</c:v>
                </c:pt>
                <c:pt idx="2">
                  <c:v>177.85944282999998</c:v>
                </c:pt>
                <c:pt idx="3">
                  <c:v>199.58221303000002</c:v>
                </c:pt>
                <c:pt idx="4">
                  <c:v>221.05362423999992</c:v>
                </c:pt>
                <c:pt idx="5">
                  <c:v>248.93</c:v>
                </c:pt>
                <c:pt idx="6">
                  <c:v>239</c:v>
                </c:pt>
                <c:pt idx="7">
                  <c:v>231.80148199999996</c:v>
                </c:pt>
                <c:pt idx="8">
                  <c:v>258.17721182999998</c:v>
                </c:pt>
                <c:pt idx="9">
                  <c:v>258.14218992999997</c:v>
                </c:pt>
                <c:pt idx="10">
                  <c:v>254.7</c:v>
                </c:pt>
                <c:pt idx="11">
                  <c:v>258.70465134000005</c:v>
                </c:pt>
                <c:pt idx="12">
                  <c:v>240.38390317</c:v>
                </c:pt>
              </c:numCache>
            </c:numRef>
          </c:val>
          <c:extLst>
            <c:ext xmlns:c16="http://schemas.microsoft.com/office/drawing/2014/chart" uri="{C3380CC4-5D6E-409C-BE32-E72D297353CC}">
              <c16:uniqueId val="{00000000-7F90-4EC7-984B-72DB3911B827}"/>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txPr>
              <a:bodyPr wrap="square" lIns="38100" tIns="19050" rIns="38100" bIns="19050" anchor="ctr">
                <a:spAutoFit/>
              </a:bodyPr>
              <a:lstStyle/>
              <a:p>
                <a:pPr>
                  <a:defRPr>
                    <a:solidFill>
                      <a:schemeClr val="bg1">
                        <a:lumMod val="50000"/>
                      </a:schemeClr>
                    </a:solidFill>
                    <a:latin typeface="Century Gothic" panose="020B0502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Table'!$AC$2:$AO$2</c:f>
              <c:numCache>
                <c:formatCode>0_);\(0\)</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'BPA Costs Table'!$AC$7:$AO$7</c:f>
              <c:numCache>
                <c:formatCode>_(* #,##0.0_);_(* \(#,##0.0\);_(* "-"?_);_(@_)</c:formatCode>
                <c:ptCount val="13"/>
                <c:pt idx="0">
                  <c:v>96.605999999999995</c:v>
                </c:pt>
                <c:pt idx="1">
                  <c:v>64.171313069999997</c:v>
                </c:pt>
                <c:pt idx="2">
                  <c:v>163.71146123</c:v>
                </c:pt>
                <c:pt idx="3">
                  <c:v>97.616092509999987</c:v>
                </c:pt>
                <c:pt idx="4">
                  <c:v>193.93786518999997</c:v>
                </c:pt>
                <c:pt idx="5">
                  <c:v>172.330297</c:v>
                </c:pt>
                <c:pt idx="6">
                  <c:v>155.69</c:v>
                </c:pt>
                <c:pt idx="7">
                  <c:v>139.15334831999999</c:v>
                </c:pt>
                <c:pt idx="8">
                  <c:v>104.12590900000001</c:v>
                </c:pt>
                <c:pt idx="9">
                  <c:v>51.372593500000008</c:v>
                </c:pt>
                <c:pt idx="10">
                  <c:v>65.7</c:v>
                </c:pt>
                <c:pt idx="11">
                  <c:v>83.216698000000008</c:v>
                </c:pt>
                <c:pt idx="12">
                  <c:v>77.871587230000003</c:v>
                </c:pt>
              </c:numCache>
            </c:numRef>
          </c:val>
          <c:extLst>
            <c:ext xmlns:c16="http://schemas.microsoft.com/office/drawing/2014/chart" uri="{C3380CC4-5D6E-409C-BE32-E72D297353CC}">
              <c16:uniqueId val="{00000001-7F90-4EC7-984B-72DB3911B827}"/>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4975960186741386"/>
          <c:y val="0.11814390684460656"/>
          <c:w val="0.13954995680692875"/>
          <c:h val="0.1197145011661961"/>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20121660575121197"/>
                  <c:y val="-0.21026253093101735"/>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103776311413544"/>
                      <c:h val="0.10561635332716525"/>
                    </c:manualLayout>
                  </c15:layout>
                </c:ext>
                <c:ext xmlns:c16="http://schemas.microsoft.com/office/drawing/2014/chart" uri="{C3380CC4-5D6E-409C-BE32-E72D297353CC}">
                  <c16:uniqueId val="{00000001-57AC-4531-B5AE-729C85665BAF}"/>
                </c:ext>
              </c:extLst>
            </c:dLbl>
            <c:dLbl>
              <c:idx val="1"/>
              <c:layout>
                <c:manualLayout>
                  <c:x val="9.3013627023173548E-2"/>
                  <c:y val="3.854017309658168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739895755408882"/>
                  <c:y val="0.213970906858111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5.6283408908707186E-2"/>
                  <c:y val="4.871039198529029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'2_SpeciesType'!$A$37:$A$40</c:f>
              <c:strCache>
                <c:ptCount val="4"/>
                <c:pt idx="0">
                  <c:v>Anadromous Fish</c:v>
                </c:pt>
                <c:pt idx="1">
                  <c:v>Resident Fish</c:v>
                </c:pt>
                <c:pt idx="2">
                  <c:v>Wildlife</c:v>
                </c:pt>
                <c:pt idx="3">
                  <c:v>Program Support</c:v>
                </c:pt>
              </c:strCache>
            </c:strRef>
          </c:cat>
          <c:val>
            <c:numRef>
              <c:f>'2_SpeciesType'!$B$37:$B$40</c:f>
              <c:numCache>
                <c:formatCode>"$"#,##0</c:formatCode>
                <c:ptCount val="4"/>
                <c:pt idx="0">
                  <c:v>181202295</c:v>
                </c:pt>
                <c:pt idx="1">
                  <c:v>35057210</c:v>
                </c:pt>
                <c:pt idx="2">
                  <c:v>23372108</c:v>
                </c:pt>
                <c:pt idx="3">
                  <c:v>11221288</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00571358669541"/>
          <c:y val="3.0141054194506311E-2"/>
          <c:w val="0.85738805398361129"/>
          <c:h val="0.8846287755233268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cat>
            <c:strRef>
              <c:f>'3_FCRPS'!$B$8:$O$8</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strCache>
            </c:strRef>
          </c:cat>
          <c:val>
            <c:numRef>
              <c:f>'3_FCRPS'!$B$3:$O$3</c:f>
              <c:numCache>
                <c:formatCode>"$"#,##0</c:formatCode>
                <c:ptCount val="14"/>
                <c:pt idx="0">
                  <c:v>74024959.329999998</c:v>
                </c:pt>
                <c:pt idx="1">
                  <c:v>78219265.00000003</c:v>
                </c:pt>
                <c:pt idx="2">
                  <c:v>91806508</c:v>
                </c:pt>
                <c:pt idx="3">
                  <c:v>113900603</c:v>
                </c:pt>
                <c:pt idx="4">
                  <c:v>129758323</c:v>
                </c:pt>
                <c:pt idx="5">
                  <c:v>143477289</c:v>
                </c:pt>
                <c:pt idx="6">
                  <c:v>162060445</c:v>
                </c:pt>
                <c:pt idx="7">
                  <c:v>151177409</c:v>
                </c:pt>
                <c:pt idx="8">
                  <c:v>143128947.90000001</c:v>
                </c:pt>
                <c:pt idx="9">
                  <c:v>165362220.78999999</c:v>
                </c:pt>
                <c:pt idx="10">
                  <c:v>159987743.56999999</c:v>
                </c:pt>
                <c:pt idx="11">
                  <c:v>156828472.72999999</c:v>
                </c:pt>
                <c:pt idx="12">
                  <c:v>153679667</c:v>
                </c:pt>
                <c:pt idx="13">
                  <c:v>137887504</c:v>
                </c:pt>
              </c:numCache>
            </c:numRef>
          </c:val>
          <c:extLs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cat>
            <c:strRef>
              <c:f>'3_FCRPS'!$B$8:$O$8</c:f>
              <c:strCach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strCache>
            </c:strRef>
          </c:cat>
          <c:val>
            <c:numRef>
              <c:f>'3_FCRPS'!$B$4:$O$4</c:f>
              <c:numCache>
                <c:formatCode>"$"#,##0</c:formatCode>
                <c:ptCount val="14"/>
                <c:pt idx="0">
                  <c:v>5086155.01</c:v>
                </c:pt>
                <c:pt idx="1">
                  <c:v>8839587.0300000012</c:v>
                </c:pt>
                <c:pt idx="2">
                  <c:v>9869097</c:v>
                </c:pt>
                <c:pt idx="3">
                  <c:v>11668863</c:v>
                </c:pt>
                <c:pt idx="4">
                  <c:v>21761323</c:v>
                </c:pt>
                <c:pt idx="5">
                  <c:v>31297548</c:v>
                </c:pt>
                <c:pt idx="6">
                  <c:v>29240867</c:v>
                </c:pt>
                <c:pt idx="7">
                  <c:v>29683425</c:v>
                </c:pt>
                <c:pt idx="8">
                  <c:v>5925196.1100000003</c:v>
                </c:pt>
                <c:pt idx="9">
                  <c:v>7703153.2699999996</c:v>
                </c:pt>
                <c:pt idx="10">
                  <c:v>1249955.1399999999</c:v>
                </c:pt>
                <c:pt idx="11">
                  <c:v>-396792.47</c:v>
                </c:pt>
                <c:pt idx="12">
                  <c:v>25343</c:v>
                </c:pt>
                <c:pt idx="13">
                  <c:v>1470148</c:v>
                </c:pt>
              </c:numCache>
            </c:numRef>
          </c:val>
          <c:extLs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tickLblSkip val="2"/>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spPr>
        <a:ln>
          <a:solidFill>
            <a:sysClr val="window" lastClr="FFFFFF">
              <a:lumMod val="65000"/>
            </a:sysClr>
          </a:solidFill>
        </a:ln>
      </c:spPr>
    </c:plotArea>
    <c:legend>
      <c:legendPos val="l"/>
      <c:layout>
        <c:manualLayout>
          <c:xMode val="edge"/>
          <c:yMode val="edge"/>
          <c:x val="0.15811205742999559"/>
          <c:y val="6.4691791031688969E-2"/>
          <c:w val="0.3111032448377582"/>
          <c:h val="8.843916782117156E-2"/>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90996883140904061"/>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'4_ESASpecies'!$D$3:$D$18</c:f>
              <c:numCache>
                <c:formatCode>"$"#,##0_);[Red]\("$"#,##0\)</c:formatCode>
                <c:ptCount val="16"/>
                <c:pt idx="0">
                  <c:v>6209894</c:v>
                </c:pt>
                <c:pt idx="1">
                  <c:v>10618087</c:v>
                </c:pt>
                <c:pt idx="2">
                  <c:v>21957871</c:v>
                </c:pt>
                <c:pt idx="3">
                  <c:v>12769859</c:v>
                </c:pt>
                <c:pt idx="4">
                  <c:v>5060856</c:v>
                </c:pt>
                <c:pt idx="5">
                  <c:v>3721516</c:v>
                </c:pt>
                <c:pt idx="6">
                  <c:v>4392304</c:v>
                </c:pt>
                <c:pt idx="7">
                  <c:v>8016382</c:v>
                </c:pt>
                <c:pt idx="8">
                  <c:v>5632596</c:v>
                </c:pt>
                <c:pt idx="9">
                  <c:v>39406710</c:v>
                </c:pt>
                <c:pt idx="10">
                  <c:v>25005650</c:v>
                </c:pt>
                <c:pt idx="11">
                  <c:v>12622023</c:v>
                </c:pt>
                <c:pt idx="12">
                  <c:v>4108377</c:v>
                </c:pt>
                <c:pt idx="13">
                  <c:v>1649112</c:v>
                </c:pt>
                <c:pt idx="14">
                  <c:v>9812536</c:v>
                </c:pt>
                <c:pt idx="15">
                  <c:v>11781359</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'4_ESASpecies'!$A$3:$A$18</c:f>
              <c:strCache>
                <c:ptCount val="16"/>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Cutthroat Trout, Lahontan (threatened)</c:v>
                </c:pt>
                <c:pt idx="14">
                  <c:v>Sturgeon, White - Kootenai River DPS (endangered)</c:v>
                </c:pt>
                <c:pt idx="15">
                  <c:v>Trout, Bull (threatened)</c:v>
                </c:pt>
              </c:strCache>
            </c:strRef>
          </c:cat>
          <c:val>
            <c:numRef>
              <c:f>'4_ESASpecies'!$G$3:$G$18</c:f>
              <c:numCache>
                <c:formatCode>"$"#,##0_);[Red]\("$"#,##0\)</c:formatCode>
                <c:ptCount val="16"/>
                <c:pt idx="0">
                  <c:v>237427</c:v>
                </c:pt>
                <c:pt idx="1">
                  <c:v>963</c:v>
                </c:pt>
                <c:pt idx="2">
                  <c:v>963</c:v>
                </c:pt>
                <c:pt idx="3">
                  <c:v>1079709</c:v>
                </c:pt>
                <c:pt idx="4">
                  <c:v>963</c:v>
                </c:pt>
                <c:pt idx="5">
                  <c:v>0</c:v>
                </c:pt>
                <c:pt idx="6">
                  <c:v>25986</c:v>
                </c:pt>
                <c:pt idx="7">
                  <c:v>0</c:v>
                </c:pt>
                <c:pt idx="8">
                  <c:v>61264</c:v>
                </c:pt>
                <c:pt idx="9">
                  <c:v>963</c:v>
                </c:pt>
                <c:pt idx="10">
                  <c:v>963</c:v>
                </c:pt>
                <c:pt idx="11">
                  <c:v>59986</c:v>
                </c:pt>
                <c:pt idx="12">
                  <c:v>963</c:v>
                </c:pt>
                <c:pt idx="13">
                  <c:v>0</c:v>
                </c:pt>
                <c:pt idx="14">
                  <c:v>0</c:v>
                </c:pt>
                <c:pt idx="15">
                  <c:v>440083</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59935774749200399"/>
          <c:y val="0.14289649529838236"/>
          <c:w val="0.34700320698085657"/>
          <c:h val="0.10580503281991246"/>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14010874452697764"/>
                  <c:y val="0.1790418371652930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36D-469F-BFEB-8CC3BF38283E}"/>
                </c:ext>
              </c:extLst>
            </c:dLbl>
            <c:dLbl>
              <c:idx val="1"/>
              <c:layout>
                <c:manualLayout>
                  <c:x val="-0.15146968810157194"/>
                  <c:y val="-0.1847496427208207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36D-469F-BFEB-8CC3BF38283E}"/>
                </c:ext>
              </c:extLst>
            </c:dLbl>
            <c:dLbl>
              <c:idx val="2"/>
              <c:layout>
                <c:manualLayout>
                  <c:x val="0.14740485167889592"/>
                  <c:y val="-0.1327390598043551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736D-469F-BFEB-8CC3BF38283E}"/>
                </c:ext>
              </c:extLst>
            </c:dLbl>
            <c:dLbl>
              <c:idx val="3"/>
              <c:layout>
                <c:manualLayout>
                  <c:x val="0.10405587695213886"/>
                  <c:y val="0.1257924850013243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8.6942869559319597E-2"/>
                  <c:y val="4.7531273887852082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6754084304431083"/>
                      <c:h val="0.13307282251055216"/>
                    </c:manualLayout>
                  </c15:layout>
                </c:ext>
                <c:ext xmlns:c16="http://schemas.microsoft.com/office/drawing/2014/chart" uri="{C3380CC4-5D6E-409C-BE32-E72D297353CC}">
                  <c16:uniqueId val="{00000008-736D-469F-BFEB-8CC3BF38283E}"/>
                </c:ext>
              </c:extLst>
            </c:dLbl>
            <c:dLbl>
              <c:idx val="5"/>
              <c:layout>
                <c:manualLayout>
                  <c:x val="5.7278648744376257E-2"/>
                  <c:y val="0.1174524458642731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solidFill>
                <a:schemeClr val="bg1">
                  <a:lumMod val="95000"/>
                </a:schemeClr>
              </a:solidFill>
              <a:ln cap="rnd">
                <a:solidFill>
                  <a:sysClr val="window" lastClr="FFFFFF">
                    <a:lumMod val="8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'5_Fund'!$A$22:$A$27</c:f>
              <c:strCache>
                <c:ptCount val="6"/>
                <c:pt idx="0">
                  <c:v>Total BiOp (non Accord)</c:v>
                </c:pt>
                <c:pt idx="1">
                  <c:v>Accords - BiOp</c:v>
                </c:pt>
                <c:pt idx="2">
                  <c:v>Accords - non-BiOp</c:v>
                </c:pt>
                <c:pt idx="3">
                  <c:v>Total General</c:v>
                </c:pt>
                <c:pt idx="4">
                  <c:v>Total BPA Overhead</c:v>
                </c:pt>
                <c:pt idx="5">
                  <c:v>G&amp;A</c:v>
                </c:pt>
              </c:strCache>
            </c:strRef>
          </c:cat>
          <c:val>
            <c:numRef>
              <c:f>'5_Fund'!$B$22:$B$27</c:f>
              <c:numCache>
                <c:formatCode>"$"#,,\ "million"</c:formatCode>
                <c:ptCount val="6"/>
                <c:pt idx="0">
                  <c:v>84178235</c:v>
                </c:pt>
                <c:pt idx="1">
                  <c:v>57509278</c:v>
                </c:pt>
                <c:pt idx="2">
                  <c:v>70365137</c:v>
                </c:pt>
                <c:pt idx="3">
                  <c:v>23354937</c:v>
                </c:pt>
                <c:pt idx="4">
                  <c:v>15445314</c:v>
                </c:pt>
                <c:pt idx="5">
                  <c:v>11607301</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319338237115897"/>
          <c:y val="0.16999202884485873"/>
          <c:w val="0.58523995553121111"/>
          <c:h val="0.61335656992619725"/>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1"/>
              <c:layout>
                <c:manualLayout>
                  <c:x val="6.6838650200785013E-2"/>
                  <c:y val="-2.120323531384250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5C-4DC7-8F1A-219DE91BC20B}"/>
                </c:ext>
              </c:extLst>
            </c:dLbl>
            <c:dLbl>
              <c:idx val="2"/>
              <c:layout>
                <c:manualLayout>
                  <c:x val="8.3795807192828212E-2"/>
                  <c:y val="0.10076347114944353"/>
                </c:manualLayout>
              </c:layout>
              <c:numFmt formatCode="0%" sourceLinked="0"/>
              <c:spPr>
                <a:solidFill>
                  <a:schemeClr val="bg1">
                    <a:lumMod val="95000"/>
                  </a:schemeClr>
                </a:solidFill>
                <a:ln cap="rnd"/>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9050795973926313"/>
                      <c:h val="0.14441207069542464"/>
                    </c:manualLayout>
                  </c15:layout>
                </c:ext>
                <c:ext xmlns:c16="http://schemas.microsoft.com/office/drawing/2014/chart" uri="{C3380CC4-5D6E-409C-BE32-E72D297353CC}">
                  <c16:uniqueId val="{00000004-0A5C-4DC7-8F1A-219DE91BC20B}"/>
                </c:ext>
              </c:extLst>
            </c:dLbl>
            <c:dLbl>
              <c:idx val="3"/>
              <c:layout>
                <c:manualLayout>
                  <c:x val="-0.20826251771987123"/>
                  <c:y val="-5.192720936153989E-2"/>
                </c:manualLayout>
              </c:layout>
              <c:numFmt formatCode="0%" sourceLinked="0"/>
              <c:spPr>
                <a:noFill/>
                <a:ln cap="rnd"/>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9.734008980385285E-2"/>
                  <c:y val="-3.0842317773546339E-2"/>
                </c:manualLayout>
              </c:layout>
              <c:numFmt formatCode="0%" sourceLinked="0"/>
              <c:spPr>
                <a:solidFill>
                  <a:schemeClr val="bg1">
                    <a:lumMod val="95000"/>
                  </a:schemeClr>
                </a:solidFill>
                <a:ln cap="rnd">
                  <a:solidFill>
                    <a:srgbClr val="F68B32"/>
                  </a:solid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0A5C-4DC7-8F1A-219DE91BC20B}"/>
                </c:ext>
              </c:extLst>
            </c:dLbl>
            <c:dLbl>
              <c:idx val="5"/>
              <c:layout>
                <c:manualLayout>
                  <c:x val="0.1471420853380799"/>
                  <c:y val="-0.16104031140372108"/>
                </c:manualLayout>
              </c:layout>
              <c:numFmt formatCode="0%" sourceLinked="0"/>
              <c:spPr>
                <a:noFill/>
                <a:ln cap="rnd"/>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3.5936692044724744E-2"/>
                  <c:y val="8.9784498597155149E-2"/>
                </c:manualLayout>
              </c:layout>
              <c:numFmt formatCode="0%" sourceLinked="0"/>
              <c:spPr>
                <a:solidFill>
                  <a:schemeClr val="bg1">
                    <a:lumMod val="95000"/>
                  </a:schemeClr>
                </a:solidFill>
                <a:ln cap="rnd">
                  <a:solidFill>
                    <a:sysClr val="windowText" lastClr="000000">
                      <a:lumMod val="50000"/>
                      <a:lumOff val="50000"/>
                    </a:sysClr>
                  </a:solid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5.3129579248754104E-2"/>
                  <c:y val="-1.7485542357059642E-2"/>
                </c:manualLayout>
              </c:layout>
              <c:numFmt formatCode="0%" sourceLinked="0"/>
              <c:spPr>
                <a:solidFill>
                  <a:schemeClr val="bg1">
                    <a:lumMod val="95000"/>
                  </a:schemeClr>
                </a:solidFill>
                <a:ln cap="rnd">
                  <a:solidFill>
                    <a:srgbClr val="C0504D"/>
                  </a:solid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2253309892808259"/>
                  <c:y val="8.0669696589851278E-2"/>
                </c:manualLayout>
              </c:layout>
              <c:numFmt formatCode="0%" sourceLinked="0"/>
              <c:spPr>
                <a:noFill/>
                <a:ln cap="rnd"/>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dLbl>
              <c:idx val="9"/>
              <c:layout>
                <c:manualLayout>
                  <c:x val="-0.17104530707937488"/>
                  <c:y val="1.5125019358119322E-2"/>
                </c:manualLayout>
              </c:layout>
              <c:numFmt formatCode="0%" sourceLinked="0"/>
              <c:spPr>
                <a:solidFill>
                  <a:schemeClr val="bg1">
                    <a:lumMod val="95000"/>
                  </a:schemeClr>
                </a:solidFill>
                <a:ln cap="rnd">
                  <a:solidFill>
                    <a:srgbClr val="8064A2"/>
                  </a:solidFill>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C1-4054-8CBF-D115E5FB2B95}"/>
                </c:ext>
              </c:extLst>
            </c:dLbl>
            <c:dLbl>
              <c:idx val="10"/>
              <c:layout>
                <c:manualLayout>
                  <c:x val="-5.2412317719051298E-2"/>
                  <c:y val="0.7805892378010223"/>
                </c:manualLayout>
              </c:layout>
              <c:numFmt formatCode="0%" sourceLinked="0"/>
              <c:spPr>
                <a:solidFill>
                  <a:schemeClr val="bg1">
                    <a:lumMod val="95000"/>
                  </a:schemeClr>
                </a:solidFill>
                <a:ln cap="rnd">
                  <a:solidFill>
                    <a:sysClr val="windowText" lastClr="000000">
                      <a:lumMod val="50000"/>
                      <a:lumOff val="50000"/>
                    </a:sysClr>
                  </a:solidFill>
                  <a:prstDash val="dash"/>
                </a:ln>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51C1-4054-8CBF-D115E5FB2B95}"/>
                </c:ext>
              </c:extLst>
            </c:dLbl>
            <c:numFmt formatCode="0%" sourceLinked="0"/>
            <c:spPr>
              <a:solidFill>
                <a:schemeClr val="bg1">
                  <a:lumMod val="95000"/>
                </a:schemeClr>
              </a:solidFill>
              <a:ln cap="rnd"/>
              <a:effectLst/>
            </c:spPr>
            <c:txPr>
              <a:bodyPr/>
              <a:lstStyle/>
              <a:p>
                <a:pPr>
                  <a:defRPr>
                    <a:solidFill>
                      <a:schemeClr val="tx1">
                        <a:lumMod val="65000"/>
                        <a:lumOff val="35000"/>
                      </a:schemeClr>
                    </a:solidFill>
                    <a:latin typeface="Century Gothic" pitchFamily="34" charset="0"/>
                  </a:defRPr>
                </a:pPr>
                <a:endParaRPr lang="en-US"/>
              </a:p>
            </c:txPr>
            <c:dLblPos val="bestFit"/>
            <c:showLegendKey val="0"/>
            <c:showVal val="1"/>
            <c:showCatName val="1"/>
            <c:showSerName val="0"/>
            <c:showPercent val="1"/>
            <c:showBubbleSize val="0"/>
            <c:separator>
</c:separator>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'6A_Category'!$L$3:$L$13</c:f>
              <c:strCache>
                <c:ptCount val="11"/>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pt idx="9">
                  <c:v>G&amp;A</c:v>
                </c:pt>
                <c:pt idx="10">
                  <c:v>CRSO EIS</c:v>
                </c:pt>
              </c:strCache>
            </c:strRef>
          </c:cat>
          <c:val>
            <c:numRef>
              <c:f>'6A_Category'!$K$3:$K$13</c:f>
              <c:numCache>
                <c:formatCode>"$"#.0,,\ "million"</c:formatCode>
                <c:ptCount val="11"/>
                <c:pt idx="0">
                  <c:v>11396071</c:v>
                </c:pt>
                <c:pt idx="1">
                  <c:v>11677755</c:v>
                </c:pt>
                <c:pt idx="2">
                  <c:v>4792926</c:v>
                </c:pt>
                <c:pt idx="3">
                  <c:v>95407540</c:v>
                </c:pt>
                <c:pt idx="4">
                  <c:v>4345080</c:v>
                </c:pt>
                <c:pt idx="5">
                  <c:v>41775457</c:v>
                </c:pt>
                <c:pt idx="6">
                  <c:v>921482</c:v>
                </c:pt>
                <c:pt idx="7">
                  <c:v>5301185</c:v>
                </c:pt>
                <c:pt idx="8">
                  <c:v>75235405</c:v>
                </c:pt>
                <c:pt idx="9">
                  <c:v>11607301</c:v>
                </c:pt>
                <c:pt idx="10">
                  <c:v>254958</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0.11952214856874256"/>
                  <c:y val="2.31511937198697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5CE-487F-888A-ADA545CC2CAC}"/>
                </c:ext>
              </c:extLst>
            </c:dLbl>
            <c:dLbl>
              <c:idx val="1"/>
              <c:layout>
                <c:manualLayout>
                  <c:x val="-0.12228940654050022"/>
                  <c:y val="0.18325587798198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19898903032018789"/>
                  <c:y val="7.5906501390880121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 xmlns:c16="http://schemas.microsoft.com/office/drawing/2014/chart" uri="{C3380CC4-5D6E-409C-BE32-E72D297353CC}">
                  <c16:uniqueId val="{00000004-A5CE-487F-888A-ADA545CC2CAC}"/>
                </c:ext>
              </c:extLst>
            </c:dLbl>
            <c:dLbl>
              <c:idx val="3"/>
              <c:layout>
                <c:manualLayout>
                  <c:x val="8.366593131887208E-2"/>
                  <c:y val="-1.551812694297121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solidFill>
                <a:schemeClr val="bg1">
                  <a:lumMod val="95000"/>
                </a:schemeClr>
              </a:solidFill>
              <a:ln cap="rnd">
                <a:solidFill>
                  <a:sysClr val="window" lastClr="FFFFFF">
                    <a:lumMod val="65000"/>
                  </a:sysClr>
                </a:solidFill>
              </a:ln>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 and E</c:v>
                </c:pt>
                <c:pt idx="3">
                  <c:v>Supplementation</c:v>
                </c:pt>
              </c:strCache>
            </c:strRef>
          </c:cat>
          <c:val>
            <c:numRef>
              <c:f>'6B_ArtProd'!$K$3:$K$6</c:f>
              <c:numCache>
                <c:formatCode>"$"#.0,,\ "million"</c:formatCode>
                <c:ptCount val="4"/>
                <c:pt idx="0">
                  <c:v>636882</c:v>
                </c:pt>
                <c:pt idx="1">
                  <c:v>4345080</c:v>
                </c:pt>
                <c:pt idx="2">
                  <c:v>25205995</c:v>
                </c:pt>
                <c:pt idx="3">
                  <c:v>41775457</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4188228898572145"/>
                  <c:y val="0.18313229267394207"/>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9189426564397896"/>
                      <c:h val="0.10324022655062853"/>
                    </c:manualLayout>
                  </c15:layout>
                </c:ext>
                <c:ext xmlns:c16="http://schemas.microsoft.com/office/drawing/2014/chart" uri="{C3380CC4-5D6E-409C-BE32-E72D297353CC}">
                  <c16:uniqueId val="{00000000-5D53-435E-BE94-4CF8A3BB5C2A}"/>
                </c:ext>
              </c:extLst>
            </c:dLbl>
            <c:dLbl>
              <c:idx val="1"/>
              <c:layout>
                <c:manualLayout>
                  <c:x val="-0.21403511454272101"/>
                  <c:y val="-0.19887360132615001"/>
                </c:manualLayout>
              </c:layout>
              <c:showLegendKey val="0"/>
              <c:showVal val="1"/>
              <c:showCatName val="1"/>
              <c:showSerName val="0"/>
              <c:showPercent val="1"/>
              <c:showBubbleSize val="0"/>
              <c:extLst>
                <c:ext xmlns:c15="http://schemas.microsoft.com/office/drawing/2012/chart" uri="{CE6537A1-D6FC-4f65-9D91-7224C49458BB}">
                  <c15:layout>
                    <c:manualLayout>
                      <c:w val="0.20401294498381881"/>
                      <c:h val="6.435087719298245E-2"/>
                    </c:manualLayout>
                  </c15:layout>
                </c:ext>
                <c:ext xmlns:c16="http://schemas.microsoft.com/office/drawing/2014/chart" uri="{C3380CC4-5D6E-409C-BE32-E72D297353CC}">
                  <c16:uniqueId val="{00000001-5D53-435E-BE94-4CF8A3BB5C2A}"/>
                </c:ext>
              </c:extLst>
            </c:dLbl>
            <c:dLbl>
              <c:idx val="2"/>
              <c:layout>
                <c:manualLayout>
                  <c:x val="1.6240688360556792E-2"/>
                  <c:y val="-5.847953216374268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D53-435E-BE94-4CF8A3BB5C2A}"/>
                </c:ext>
              </c:extLst>
            </c:dLbl>
            <c:dLbl>
              <c:idx val="3"/>
              <c:layout>
                <c:manualLayout>
                  <c:x val="9.4511123002828532E-2"/>
                  <c:y val="-8.17512547773633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53-435E-BE94-4CF8A3BB5C2A}"/>
                </c:ext>
              </c:extLst>
            </c:dLbl>
            <c:dLbl>
              <c:idx val="4"/>
              <c:layout>
                <c:manualLayout>
                  <c:x val="6.2467701246082093E-2"/>
                  <c:y val="-0.11912032048625501"/>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8.1025371828521445E-2"/>
                    </c:manualLayout>
                  </c15:layout>
                </c:ext>
                <c:ext xmlns:c16="http://schemas.microsoft.com/office/drawing/2014/chart" uri="{C3380CC4-5D6E-409C-BE32-E72D297353CC}">
                  <c16:uniqueId val="{00000004-5D53-435E-BE94-4CF8A3BB5C2A}"/>
                </c:ext>
              </c:extLst>
            </c:dLbl>
            <c:dLbl>
              <c:idx val="5"/>
              <c:layout>
                <c:manualLayout>
                  <c:x val="0.11337767245113778"/>
                  <c:y val="7.058617672790897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 xmlns:c16="http://schemas.microsoft.com/office/drawing/2014/chart" uri="{C3380CC4-5D6E-409C-BE32-E72D297353CC}">
                  <c16:uniqueId val="{00000005-5D53-435E-BE94-4CF8A3BB5C2A}"/>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D53-435E-BE94-4CF8A3BB5C2A}"/>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5D53-435E-BE94-4CF8A3BB5C2A}"/>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53-435E-BE94-4CF8A3BB5C2A}"/>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D53-435E-BE94-4CF8A3BB5C2A}"/>
                </c:ext>
              </c:extLst>
            </c:dLbl>
            <c:dLbl>
              <c:idx val="10"/>
              <c:layout>
                <c:manualLayout>
                  <c:x val="8.3128965675407035E-2"/>
                  <c:y val="7.5079062485610346E-2"/>
                </c:manualLayout>
              </c:layout>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5D53-435E-BE94-4CF8A3BB5C2A}"/>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5D53-435E-BE94-4CF8A3BB5C2A}"/>
                </c:ext>
              </c:extLst>
            </c:dLbl>
            <c:numFmt formatCode="General" sourceLinked="0"/>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'7_RME'!$A$4:$A$9</c:f>
              <c:strCache>
                <c:ptCount val="6"/>
                <c:pt idx="0">
                  <c:v>Artificial Production</c:v>
                </c:pt>
                <c:pt idx="1">
                  <c:v>Habitat</c:v>
                </c:pt>
                <c:pt idx="2">
                  <c:v>Harvest</c:v>
                </c:pt>
                <c:pt idx="3">
                  <c:v>Hydrosystem</c:v>
                </c:pt>
                <c:pt idx="4">
                  <c:v>Predation</c:v>
                </c:pt>
                <c:pt idx="5">
                  <c:v>Programmatic</c:v>
                </c:pt>
              </c:strCache>
            </c:strRef>
          </c:cat>
          <c:val>
            <c:numRef>
              <c:f>'7_RME'!$K$4:$K$9</c:f>
              <c:numCache>
                <c:formatCode>"$"#.0,,\ "million"</c:formatCode>
                <c:ptCount val="6"/>
                <c:pt idx="0">
                  <c:v>25205995</c:v>
                </c:pt>
                <c:pt idx="1">
                  <c:v>12760509</c:v>
                </c:pt>
                <c:pt idx="2">
                  <c:v>1041615</c:v>
                </c:pt>
                <c:pt idx="3">
                  <c:v>7709131</c:v>
                </c:pt>
                <c:pt idx="4">
                  <c:v>1157316</c:v>
                </c:pt>
                <c:pt idx="5">
                  <c:v>27360839</c:v>
                </c:pt>
              </c:numCache>
            </c:numRef>
          </c:val>
          <c:extLst>
            <c:ext xmlns:c16="http://schemas.microsoft.com/office/drawing/2014/chart" uri="{C3380CC4-5D6E-409C-BE32-E72D297353CC}">
              <c16:uniqueId val="{0000000C-5D53-435E-BE94-4CF8A3BB5C2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0</xdr:col>
      <xdr:colOff>17086</xdr:colOff>
      <xdr:row>32</xdr:row>
      <xdr:rowOff>9525</xdr:rowOff>
    </xdr:from>
    <xdr:to>
      <xdr:col>6</xdr:col>
      <xdr:colOff>0</xdr:colOff>
      <xdr:row>64</xdr:row>
      <xdr:rowOff>39502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16</xdr:row>
      <xdr:rowOff>66675</xdr:rowOff>
    </xdr:from>
    <xdr:to>
      <xdr:col>4</xdr:col>
      <xdr:colOff>790575</xdr:colOff>
      <xdr:row>42</xdr:row>
      <xdr:rowOff>47625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28</xdr:row>
      <xdr:rowOff>9525</xdr:rowOff>
    </xdr:from>
    <xdr:to>
      <xdr:col>3</xdr:col>
      <xdr:colOff>485775</xdr:colOff>
      <xdr:row>53</xdr:row>
      <xdr:rowOff>200025</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76</xdr:row>
      <xdr:rowOff>0</xdr:rowOff>
    </xdr:from>
    <xdr:to>
      <xdr:col>2</xdr:col>
      <xdr:colOff>352426</xdr:colOff>
      <xdr:row>111</xdr:row>
      <xdr:rowOff>38101</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6</xdr:col>
      <xdr:colOff>312965</xdr:colOff>
      <xdr:row>78</xdr:row>
      <xdr:rowOff>101655</xdr:rowOff>
    </xdr:from>
    <xdr:ext cx="7273418" cy="7992994"/>
    <xdr:graphicFrame macro="">
      <xdr:nvGraphicFramePr>
        <xdr:cNvPr id="2" name="Chart 1">
          <a:extLst>
            <a:ext uri="{FF2B5EF4-FFF2-40B4-BE49-F238E27FC236}">
              <a16:creationId xmlns:a16="http://schemas.microsoft.com/office/drawing/2014/main" id="{67530E9E-3C85-4309-BFDB-EB679C278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4</xdr:col>
      <xdr:colOff>152881</xdr:colOff>
      <xdr:row>99</xdr:row>
      <xdr:rowOff>32815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0.39169</cdr:x>
      <cdr:y>0.51681</cdr:y>
    </cdr:from>
    <cdr:to>
      <cdr:x>0.51952</cdr:x>
      <cdr:y>0.61611</cdr:y>
    </cdr:to>
    <cdr:sp macro="" textlink="'1A_CostsByArea'!$F$11">
      <cdr:nvSpPr>
        <cdr:cNvPr id="2" name="TextBox 1"/>
        <cdr:cNvSpPr txBox="1"/>
      </cdr:nvSpPr>
      <cdr:spPr>
        <a:xfrm xmlns:a="http://schemas.openxmlformats.org/drawingml/2006/main">
          <a:off x="3541361" y="3165941"/>
          <a:ext cx="1155735" cy="608309"/>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fld id="{D338677D-D23B-4B0E-A9AB-5B5AFE8B4D93}" type="TxLink">
            <a:rPr lang="en-US" sz="1000" b="0" i="0" u="none" strike="noStrike">
              <a:solidFill>
                <a:srgbClr val="000000"/>
              </a:solidFill>
              <a:latin typeface="Century Gothic" panose="020B0502020202020204" pitchFamily="34" charset="0"/>
              <a:ea typeface="+mn-ea"/>
              <a:cs typeface="+mn-cs"/>
            </a:rPr>
            <a:pPr marL="0" indent="0" algn="ctr"/>
            <a:t>Fixed costs, $105.8 million</a:t>
          </a:fld>
          <a:endParaRPr lang="en-US" sz="1000">
            <a:latin typeface="Century Gothic" panose="020B0502020202020204" pitchFamily="34" charset="0"/>
            <a:ea typeface="+mn-ea"/>
            <a:cs typeface="+mn-cs"/>
          </a:endParaRPr>
        </a:p>
      </cdr:txBody>
    </cdr:sp>
  </cdr:relSizeAnchor>
  <cdr:relSizeAnchor xmlns:cdr="http://schemas.openxmlformats.org/drawingml/2006/chartDrawing">
    <cdr:from>
      <cdr:x>0.42501</cdr:x>
      <cdr:y>0.76204</cdr:y>
    </cdr:from>
    <cdr:to>
      <cdr:x>0.58367</cdr:x>
      <cdr:y>0.83663</cdr:y>
    </cdr:to>
    <cdr:sp macro="" textlink="'1A_CostsByArea'!$F$10">
      <cdr:nvSpPr>
        <cdr:cNvPr id="3" name="TextBox 1"/>
        <cdr:cNvSpPr txBox="1"/>
      </cdr:nvSpPr>
      <cdr:spPr>
        <a:xfrm xmlns:a="http://schemas.openxmlformats.org/drawingml/2006/main">
          <a:off x="3842598" y="4668212"/>
          <a:ext cx="1434475" cy="456937"/>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0CBF4CA-6990-438F-9D98-491359B2E286}" type="TxLink">
            <a:rPr lang="en-US" sz="1000" b="0" i="0" u="none" strike="noStrike">
              <a:solidFill>
                <a:srgbClr val="000000"/>
              </a:solidFill>
              <a:latin typeface="Century Gothic" panose="020B0502020202020204" pitchFamily="34" charset="0"/>
            </a:rPr>
            <a:pPr algn="ctr"/>
            <a:t>Reimburseable costs, $89.9 million</a:t>
          </a:fld>
          <a:endParaRPr lang="en-US" sz="1000">
            <a:latin typeface="Century Gothic" panose="020B0502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9</xdr:col>
      <xdr:colOff>595594</xdr:colOff>
      <xdr:row>30</xdr:row>
      <xdr:rowOff>66675</xdr:rowOff>
    </xdr:to>
    <xdr:graphicFrame macro="">
      <xdr:nvGraphicFramePr>
        <xdr:cNvPr id="2" name="Chart 1">
          <a:extLst>
            <a:ext uri="{FF2B5EF4-FFF2-40B4-BE49-F238E27FC236}">
              <a16:creationId xmlns:a16="http://schemas.microsoft.com/office/drawing/2014/main" id="{B1A388CB-0FB5-4D66-8DDB-6B2EE22FF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40</xdr:row>
      <xdr:rowOff>0</xdr:rowOff>
    </xdr:from>
    <xdr:to>
      <xdr:col>7</xdr:col>
      <xdr:colOff>666750</xdr:colOff>
      <xdr:row>70</xdr:row>
      <xdr:rowOff>110217</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5</xdr:col>
      <xdr:colOff>652744</xdr:colOff>
      <xdr:row>31</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29</xdr:row>
      <xdr:rowOff>0</xdr:rowOff>
    </xdr:from>
    <xdr:to>
      <xdr:col>2</xdr:col>
      <xdr:colOff>676275</xdr:colOff>
      <xdr:row>58</xdr:row>
      <xdr:rowOff>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3</xdr:col>
      <xdr:colOff>294715</xdr:colOff>
      <xdr:row>52</xdr:row>
      <xdr:rowOff>101252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3</xdr:col>
      <xdr:colOff>762002</xdr:colOff>
      <xdr:row>56</xdr:row>
      <xdr:rowOff>9526</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764243</xdr:colOff>
      <xdr:row>46</xdr:row>
      <xdr:rowOff>9526</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UNTING/General%20Ledger/GL%20General/Year%20End/2018%20Year%20End/3-Way%20Match%20Aug-Sep%20FY18%20Ac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HS2529/AppData/Local/Microsoft/Windows/Temporary%20Internet%20Files/Content.Outlook/O15ARXQ4/inactive/bpa_mrv2008.xn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B0422/AppData/Local/Microsoft/Windows/Temporary%20Internet%20Files/Content.Outlook/SVIJCXTX/4h10c%20FRG%20Queries%20and%20FRS%20nVision%20Report_Periods%201-12%202014%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0-2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sheetData sheetId="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 Sheet"/>
      <sheetName val="Ledger"/>
      <sheetName val="Match"/>
      <sheetName val="FAB Dir Prog Cost Rpt"/>
      <sheetName val="FAB Dir Prog Cost Rpt actuals"/>
      <sheetName val="FRG Dir Prog Cost and IT Rpt"/>
      <sheetName val="FRG Actuals EXP EPM"/>
      <sheetName val="FRG Actuals CAP EPM"/>
      <sheetName val="FRG ActualsPISCES EPM"/>
      <sheetName val="FRG IT Rpt"/>
      <sheetName val="FTL IT Costs Rpt"/>
      <sheetName val="FTL IT Costs actuals"/>
      <sheetName val="FRS IT and Dir Prog Costs Rpt"/>
      <sheetName val="FRS IT and Dir Prog actua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E6" t="str">
            <v>CORPORATE BUSINESS UNIT</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1_CostsByArea"/>
      <sheetName val="2_SpeciesType"/>
      <sheetName val="3_FCRPS"/>
      <sheetName val="4_ESASpecies"/>
      <sheetName val="5_Fund"/>
      <sheetName val="6a_Category"/>
      <sheetName val="6b_ArtProd"/>
      <sheetName val="7_RME"/>
      <sheetName val="8_Province"/>
      <sheetName val="8a_Subbasin"/>
      <sheetName val="9_Location"/>
      <sheetName val="11_LandPurchases"/>
      <sheetName val="12_Cumulative"/>
    </sheetNames>
    <sheetDataSet>
      <sheetData sheetId="0"/>
      <sheetData sheetId="1"/>
      <sheetData sheetId="2">
        <row r="40">
          <cell r="D40" t="str">
            <v>Total: $262.7 million includes $22.3 million in obligations to capital projects, plus General and Administrative (G&amp;A) costs ($11.6 million), and Columbia River System Operations Review/Environmental Impact Statement costs ($255,000)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0"/>
  <sheetViews>
    <sheetView zoomScaleNormal="100" workbookViewId="0">
      <selection activeCell="A17" sqref="A17"/>
    </sheetView>
  </sheetViews>
  <sheetFormatPr defaultRowHeight="15"/>
  <cols>
    <col min="1" max="1" width="63.140625" style="75" bestFit="1" customWidth="1"/>
    <col min="2" max="2" width="9.5703125" style="75" bestFit="1" customWidth="1"/>
    <col min="3" max="3" width="5.7109375" style="75" customWidth="1"/>
    <col min="4" max="4" width="17.140625" style="75" customWidth="1"/>
    <col min="5" max="5" width="9.140625" style="75"/>
    <col min="6" max="6" width="31.140625" style="75" customWidth="1"/>
    <col min="7" max="7" width="18.42578125" style="75" customWidth="1"/>
    <col min="8" max="16384" width="9.140625" style="75"/>
  </cols>
  <sheetData>
    <row r="1" spans="1:9" ht="25.5" customHeight="1">
      <c r="A1" s="336" t="s">
        <v>366</v>
      </c>
      <c r="B1" s="336"/>
      <c r="C1" s="336"/>
      <c r="D1" s="336"/>
      <c r="E1" s="336"/>
      <c r="F1" s="336"/>
      <c r="G1" s="336"/>
      <c r="H1" s="336"/>
      <c r="I1" s="336"/>
    </row>
    <row r="3" spans="1:9" ht="15.75">
      <c r="A3" s="196" t="s">
        <v>378</v>
      </c>
      <c r="E3" s="153"/>
    </row>
    <row r="5" spans="1:9" ht="16.5">
      <c r="A5" s="21" t="s">
        <v>200</v>
      </c>
      <c r="B5" s="129">
        <f>'BPA Costs Table'!AO9</f>
        <v>240.38390317</v>
      </c>
      <c r="G5" s="153"/>
    </row>
    <row r="6" spans="1:9" ht="16.5">
      <c r="A6" s="21" t="s">
        <v>242</v>
      </c>
      <c r="B6" s="127">
        <f>'BPA Costs Table'!AO26</f>
        <v>174.36280763741945</v>
      </c>
      <c r="G6" s="153"/>
    </row>
    <row r="7" spans="1:9" ht="16.5">
      <c r="A7" s="21" t="s">
        <v>202</v>
      </c>
      <c r="B7" s="122">
        <f>'BPA Costs Table'!AO14</f>
        <v>48.9</v>
      </c>
      <c r="C7" s="341" t="s">
        <v>260</v>
      </c>
      <c r="D7" s="338" t="s">
        <v>259</v>
      </c>
      <c r="E7" s="339">
        <f>SUM(B7:B10)</f>
        <v>89.905254220000003</v>
      </c>
      <c r="G7" s="153"/>
    </row>
    <row r="8" spans="1:9" ht="16.5">
      <c r="A8" s="21" t="s">
        <v>201</v>
      </c>
      <c r="B8" s="122">
        <f>'BPA Costs Table'!AO13</f>
        <v>26.667754219999999</v>
      </c>
      <c r="C8" s="342"/>
      <c r="D8" s="338"/>
      <c r="E8" s="339"/>
      <c r="G8" s="153"/>
    </row>
    <row r="9" spans="1:9" ht="16.5">
      <c r="A9" s="21" t="s">
        <v>203</v>
      </c>
      <c r="B9" s="122">
        <f>'BPA Costs Table'!AO15</f>
        <v>8.6999999999999993</v>
      </c>
      <c r="C9" s="342"/>
      <c r="D9" s="338"/>
      <c r="E9" s="339"/>
      <c r="G9" s="153"/>
    </row>
    <row r="10" spans="1:9" ht="16.5">
      <c r="A10" s="21" t="s">
        <v>204</v>
      </c>
      <c r="B10" s="122">
        <f>'BPA Costs Table'!AO16</f>
        <v>5.6375000000000002</v>
      </c>
      <c r="C10" s="342"/>
      <c r="D10" s="338"/>
      <c r="E10" s="339"/>
      <c r="F10" s="197" t="str">
        <f>"Reimburseable costs, "&amp;TEXT(E7,"$0.0")&amp;" million"</f>
        <v>Reimburseable costs, $89.9 million</v>
      </c>
      <c r="G10" s="153"/>
    </row>
    <row r="11" spans="1:9" ht="16.5">
      <c r="A11" s="21" t="s">
        <v>205</v>
      </c>
      <c r="B11" s="128">
        <f>'BPA Costs Table'!AO20</f>
        <v>39.749498006875612</v>
      </c>
      <c r="C11" s="343" t="s">
        <v>260</v>
      </c>
      <c r="D11" s="340" t="s">
        <v>258</v>
      </c>
      <c r="E11" s="345">
        <f>SUM(B11:B12)</f>
        <v>105.82676261020895</v>
      </c>
      <c r="F11" s="197" t="str">
        <f>"Fixed costs, "&amp;TEXT(E11,"$0.0")&amp;" million"</f>
        <v>Fixed costs, $105.8 million</v>
      </c>
      <c r="G11" s="153"/>
    </row>
    <row r="12" spans="1:9" ht="16.5">
      <c r="A12" s="21" t="s">
        <v>206</v>
      </c>
      <c r="B12" s="128">
        <f>SUM('BPA Costs Table'!AO21:AO22)</f>
        <v>66.077264603333333</v>
      </c>
      <c r="C12" s="344"/>
      <c r="D12" s="340"/>
      <c r="E12" s="346"/>
      <c r="G12" s="153"/>
    </row>
    <row r="13" spans="1:9" ht="16.5">
      <c r="A13" s="21" t="s">
        <v>207</v>
      </c>
      <c r="B13" s="130">
        <f>'BPA Costs Table'!AO27</f>
        <v>177.62201441999997</v>
      </c>
      <c r="G13" s="153"/>
    </row>
    <row r="14" spans="1:9">
      <c r="A14" s="25" t="s">
        <v>38</v>
      </c>
      <c r="B14" s="192">
        <f>SUM(B5:B13)</f>
        <v>788.10074205762839</v>
      </c>
    </row>
    <row r="15" spans="1:9">
      <c r="A15" s="25"/>
      <c r="B15" s="192"/>
    </row>
    <row r="16" spans="1:9" ht="16.5">
      <c r="A16" s="200" t="s">
        <v>199</v>
      </c>
      <c r="B16" s="148"/>
    </row>
    <row r="17" spans="1:28" ht="16.5" customHeight="1">
      <c r="A17" s="151" t="s">
        <v>368</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row>
    <row r="18" spans="1:28" ht="16.5" customHeight="1">
      <c r="A18" s="124" t="s">
        <v>254</v>
      </c>
      <c r="B18" s="139"/>
      <c r="C18" s="139"/>
      <c r="D18" s="139"/>
      <c r="E18" s="139"/>
      <c r="F18" s="139"/>
      <c r="G18" s="139"/>
      <c r="H18" s="139"/>
      <c r="I18" s="139"/>
      <c r="J18" s="139"/>
      <c r="K18" s="139"/>
      <c r="L18" s="139"/>
      <c r="M18" s="139"/>
      <c r="N18" s="139"/>
      <c r="O18" s="139"/>
      <c r="P18" s="140"/>
      <c r="Q18" s="140"/>
      <c r="R18" s="140"/>
      <c r="S18" s="140"/>
      <c r="T18" s="140"/>
      <c r="U18" s="140"/>
      <c r="V18" s="140"/>
      <c r="W18" s="140"/>
      <c r="X18" s="140"/>
      <c r="Y18" s="140"/>
      <c r="Z18" s="140"/>
      <c r="AA18" s="140"/>
      <c r="AB18" s="123"/>
    </row>
    <row r="19" spans="1:28" ht="16.5">
      <c r="A19" s="124" t="s">
        <v>255</v>
      </c>
      <c r="B19" s="124"/>
      <c r="C19" s="124"/>
      <c r="D19" s="124"/>
      <c r="E19" s="124"/>
      <c r="F19" s="124"/>
      <c r="G19" s="124"/>
      <c r="H19" s="124"/>
      <c r="I19" s="124"/>
      <c r="J19" s="124"/>
      <c r="K19" s="124"/>
      <c r="L19" s="124"/>
      <c r="M19" s="124"/>
      <c r="N19" s="124"/>
      <c r="O19" s="124"/>
      <c r="P19" s="140"/>
      <c r="Q19" s="140"/>
      <c r="R19" s="140"/>
      <c r="S19" s="140"/>
      <c r="T19" s="140"/>
      <c r="U19" s="140"/>
      <c r="V19" s="140"/>
      <c r="W19" s="140"/>
      <c r="X19" s="140"/>
      <c r="Y19" s="140"/>
      <c r="Z19" s="140"/>
      <c r="AA19" s="140"/>
      <c r="AB19" s="125"/>
    </row>
    <row r="20" spans="1:28" ht="16.5" customHeight="1">
      <c r="A20" s="124" t="s">
        <v>256</v>
      </c>
      <c r="B20" s="139"/>
      <c r="C20" s="139"/>
      <c r="D20" s="139"/>
      <c r="E20" s="139"/>
      <c r="F20" s="139"/>
      <c r="G20" s="139"/>
      <c r="H20" s="139"/>
      <c r="I20" s="139"/>
      <c r="J20" s="139"/>
      <c r="K20" s="139"/>
      <c r="L20" s="139"/>
      <c r="M20" s="139"/>
      <c r="N20" s="139"/>
      <c r="O20" s="139"/>
      <c r="P20" s="140"/>
      <c r="Q20" s="140"/>
      <c r="R20" s="140"/>
      <c r="S20" s="140"/>
      <c r="T20" s="140"/>
      <c r="U20" s="140"/>
      <c r="V20" s="140"/>
      <c r="W20" s="140"/>
      <c r="X20" s="140"/>
      <c r="Y20" s="140"/>
      <c r="Z20" s="140"/>
      <c r="AA20" s="140"/>
      <c r="AB20" s="125"/>
    </row>
    <row r="21" spans="1:28" ht="16.5" customHeight="1">
      <c r="A21" s="152" t="s">
        <v>257</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26"/>
      <c r="AA21" s="126"/>
      <c r="AB21" s="125"/>
    </row>
    <row r="22" spans="1:28" ht="16.5" customHeight="1">
      <c r="A22" s="152"/>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26"/>
      <c r="AA22" s="126"/>
      <c r="AB22" s="125"/>
    </row>
    <row r="23" spans="1:28" ht="16.5">
      <c r="A23" s="25" t="s">
        <v>367</v>
      </c>
      <c r="B23" s="21"/>
    </row>
    <row r="24" spans="1:28" ht="16.5">
      <c r="A24" s="21" t="s">
        <v>261</v>
      </c>
      <c r="B24" s="148">
        <f>'BPA Costs Table'!AO7</f>
        <v>77.871587230000003</v>
      </c>
      <c r="D24" s="153"/>
    </row>
    <row r="25" spans="1:28" ht="16.5">
      <c r="A25" s="21" t="s">
        <v>262</v>
      </c>
      <c r="B25" s="148">
        <f>'BPA Costs Table'!AO33</f>
        <v>-98.195331043509995</v>
      </c>
      <c r="D25" s="153"/>
    </row>
    <row r="26" spans="1:28" ht="16.5">
      <c r="A26" s="21"/>
      <c r="B26" s="132"/>
    </row>
    <row r="27" spans="1:28">
      <c r="A27" s="25" t="s">
        <v>90</v>
      </c>
      <c r="B27" s="132"/>
    </row>
    <row r="28" spans="1:28" ht="16.5" customHeight="1">
      <c r="A28" s="337" t="str">
        <f>"Total of "&amp;TEXT(B14,"$#0.0")&amp;" million does not reflect "&amp;TEXT(B24,"$#0.0")&amp;" million in obligations to capital projects for fish and wildlife projects, software development, and structures at dams, or "&amp;TEXT(ABS(B25),"$#0.0")&amp;" million federal credits Bonneville receives from the U.S. Treasury"</f>
        <v>Total of $788.1 million does not reflect $77.9 million in obligations to capital projects for fish and wildlife projects, software development, and structures at dams, or $98.2 million federal credits Bonneville receives from the U.S. Treasury</v>
      </c>
      <c r="B28" s="337"/>
      <c r="C28" s="337"/>
      <c r="D28" s="337"/>
      <c r="E28" s="337"/>
      <c r="F28" s="337"/>
      <c r="G28" s="337"/>
      <c r="H28" s="337"/>
      <c r="I28" s="337"/>
      <c r="J28" s="337"/>
    </row>
    <row r="29" spans="1:28" ht="16.5" customHeight="1">
      <c r="A29" s="337"/>
      <c r="B29" s="337"/>
      <c r="C29" s="337"/>
      <c r="D29" s="337"/>
      <c r="E29" s="337"/>
      <c r="F29" s="337"/>
      <c r="G29" s="337"/>
      <c r="H29" s="337"/>
      <c r="I29" s="337"/>
      <c r="J29" s="337"/>
    </row>
    <row r="30" spans="1:28" ht="16.5">
      <c r="A30" s="21"/>
      <c r="B30" s="132"/>
    </row>
    <row r="40" spans="1:1">
      <c r="A40" s="149"/>
    </row>
  </sheetData>
  <mergeCells count="8">
    <mergeCell ref="A1:I1"/>
    <mergeCell ref="A28:J29"/>
    <mergeCell ref="D7:D10"/>
    <mergeCell ref="E7:E10"/>
    <mergeCell ref="D11:D12"/>
    <mergeCell ref="C7:C10"/>
    <mergeCell ref="C11:C12"/>
    <mergeCell ref="E11:E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80"/>
  <sheetViews>
    <sheetView zoomScaleNormal="100" workbookViewId="0">
      <selection activeCell="F34" sqref="F34"/>
    </sheetView>
  </sheetViews>
  <sheetFormatPr defaultRowHeight="16.5"/>
  <cols>
    <col min="1" max="1" width="51.85546875" style="28" customWidth="1"/>
    <col min="2" max="2" width="14.5703125" style="29" customWidth="1"/>
    <col min="3" max="3" width="14.5703125" style="30" customWidth="1"/>
    <col min="4" max="6" width="14.5703125" style="29" customWidth="1"/>
    <col min="7" max="7" width="14.5703125" style="28" bestFit="1" customWidth="1"/>
    <col min="8" max="9" width="14.5703125" style="28" customWidth="1"/>
    <col min="10" max="10" width="14.85546875" style="28" customWidth="1"/>
    <col min="11" max="16384" width="9.140625" style="28"/>
  </cols>
  <sheetData>
    <row r="1" spans="1:10" ht="30" customHeight="1">
      <c r="A1" s="209" t="str">
        <f>"Figure 8A: Costs by Province, FY" &amp; J2</f>
        <v>Figure 8A: Costs by Province, FY2019</v>
      </c>
      <c r="B1" s="37"/>
      <c r="G1" s="30"/>
      <c r="H1" s="30"/>
      <c r="I1" s="30"/>
    </row>
    <row r="2" spans="1:10">
      <c r="A2" s="36" t="s">
        <v>51</v>
      </c>
      <c r="B2" s="82">
        <v>2011</v>
      </c>
      <c r="C2" s="82">
        <v>2012</v>
      </c>
      <c r="D2" s="82">
        <v>2013</v>
      </c>
      <c r="E2" s="82">
        <v>2014</v>
      </c>
      <c r="F2" s="82">
        <v>2015</v>
      </c>
      <c r="G2" s="82">
        <v>2016</v>
      </c>
      <c r="H2" s="82">
        <v>2017</v>
      </c>
      <c r="I2" s="82">
        <v>2018</v>
      </c>
      <c r="J2" s="82">
        <v>2019</v>
      </c>
    </row>
    <row r="3" spans="1:10">
      <c r="A3" s="31" t="s">
        <v>214</v>
      </c>
      <c r="B3" s="84">
        <v>13045831</v>
      </c>
      <c r="C3" s="84">
        <v>13498753.4</v>
      </c>
      <c r="D3" s="84">
        <v>13359733.73</v>
      </c>
      <c r="E3" s="84">
        <v>14630130</v>
      </c>
      <c r="F3" s="84">
        <v>16928838.199999999</v>
      </c>
      <c r="G3" s="84">
        <v>17898141</v>
      </c>
      <c r="H3" s="84">
        <v>15136556</v>
      </c>
      <c r="I3" s="84">
        <v>15971140</v>
      </c>
      <c r="J3" s="84">
        <v>15606694</v>
      </c>
    </row>
    <row r="4" spans="1:10">
      <c r="A4" s="31" t="s">
        <v>215</v>
      </c>
      <c r="B4" s="84">
        <v>52343560</v>
      </c>
      <c r="C4" s="84">
        <v>51216105.399999999</v>
      </c>
      <c r="D4" s="84">
        <v>36245776.280000001</v>
      </c>
      <c r="E4" s="84">
        <v>26801554</v>
      </c>
      <c r="F4" s="84">
        <v>28292736.699999999</v>
      </c>
      <c r="G4" s="84">
        <v>27088878</v>
      </c>
      <c r="H4" s="84">
        <v>23417021</v>
      </c>
      <c r="I4" s="84">
        <v>26971498</v>
      </c>
      <c r="J4" s="84">
        <v>20213837</v>
      </c>
    </row>
    <row r="5" spans="1:10">
      <c r="A5" s="31" t="s">
        <v>216</v>
      </c>
      <c r="B5" s="84">
        <v>19962308</v>
      </c>
      <c r="C5" s="84">
        <v>13560427.4</v>
      </c>
      <c r="D5" s="84">
        <v>14326142.01</v>
      </c>
      <c r="E5" s="84">
        <v>10014903</v>
      </c>
      <c r="F5" s="84">
        <v>11744583.01</v>
      </c>
      <c r="G5" s="84">
        <v>9724087</v>
      </c>
      <c r="H5" s="84">
        <v>11247539</v>
      </c>
      <c r="I5" s="84">
        <v>12057261</v>
      </c>
      <c r="J5" s="84">
        <v>11349981</v>
      </c>
    </row>
    <row r="6" spans="1:10">
      <c r="A6" s="31" t="s">
        <v>217</v>
      </c>
      <c r="B6" s="84">
        <v>59165613</v>
      </c>
      <c r="C6" s="84">
        <v>61637074.399999999</v>
      </c>
      <c r="D6" s="84">
        <v>61223676.229999997</v>
      </c>
      <c r="E6" s="84">
        <v>57654085</v>
      </c>
      <c r="F6" s="84">
        <v>67777655.400000006</v>
      </c>
      <c r="G6" s="84">
        <v>62214559</v>
      </c>
      <c r="H6" s="84">
        <v>62987617</v>
      </c>
      <c r="I6" s="84">
        <v>62147342</v>
      </c>
      <c r="J6" s="84">
        <v>70886382</v>
      </c>
    </row>
    <row r="7" spans="1:10">
      <c r="A7" s="31" t="s">
        <v>218</v>
      </c>
      <c r="B7" s="84">
        <v>9469437</v>
      </c>
      <c r="C7" s="84">
        <v>11109892</v>
      </c>
      <c r="D7" s="84">
        <v>15336657.32</v>
      </c>
      <c r="E7" s="84">
        <v>10819987</v>
      </c>
      <c r="F7" s="84">
        <v>11165031.380000001</v>
      </c>
      <c r="G7" s="84">
        <v>11471831</v>
      </c>
      <c r="H7" s="84">
        <v>10425322</v>
      </c>
      <c r="I7" s="84">
        <v>8368864</v>
      </c>
      <c r="J7" s="84">
        <v>6959520</v>
      </c>
    </row>
    <row r="8" spans="1:10">
      <c r="A8" s="31" t="s">
        <v>219</v>
      </c>
      <c r="B8" s="84">
        <v>17198718</v>
      </c>
      <c r="C8" s="84">
        <v>19784368</v>
      </c>
      <c r="D8" s="84">
        <v>16144887.76</v>
      </c>
      <c r="E8" s="84">
        <v>17769309</v>
      </c>
      <c r="F8" s="84">
        <v>17220237.800000001</v>
      </c>
      <c r="G8" s="84">
        <v>17995494</v>
      </c>
      <c r="H8" s="84">
        <v>20182310</v>
      </c>
      <c r="I8" s="84">
        <v>21730080</v>
      </c>
      <c r="J8" s="84">
        <v>19057687</v>
      </c>
    </row>
    <row r="9" spans="1:10">
      <c r="A9" s="31" t="s">
        <v>220</v>
      </c>
      <c r="B9" s="84">
        <v>41609286</v>
      </c>
      <c r="C9" s="84">
        <v>33899854</v>
      </c>
      <c r="D9" s="84">
        <v>44562895.789999999</v>
      </c>
      <c r="E9" s="84">
        <v>13867496</v>
      </c>
      <c r="F9" s="84">
        <v>39453337.270000003</v>
      </c>
      <c r="G9" s="84">
        <v>40819289</v>
      </c>
      <c r="H9" s="84">
        <v>32446965</v>
      </c>
      <c r="I9" s="84">
        <v>31737631</v>
      </c>
      <c r="J9" s="84">
        <v>33544646</v>
      </c>
    </row>
    <row r="10" spans="1:10">
      <c r="A10" s="31" t="s">
        <v>221</v>
      </c>
      <c r="B10" s="84">
        <v>4433754</v>
      </c>
      <c r="C10" s="84">
        <v>13235463</v>
      </c>
      <c r="D10" s="84">
        <v>3315759.24</v>
      </c>
      <c r="E10" s="84">
        <v>3817058</v>
      </c>
      <c r="F10" s="84">
        <v>4600725.0999999996</v>
      </c>
      <c r="G10" s="84">
        <v>4520947</v>
      </c>
      <c r="H10" s="84">
        <v>4516591</v>
      </c>
      <c r="I10" s="84">
        <v>4527680</v>
      </c>
      <c r="J10" s="84">
        <v>4404430</v>
      </c>
    </row>
    <row r="11" spans="1:10">
      <c r="A11" s="32" t="s">
        <v>222</v>
      </c>
      <c r="B11" s="84">
        <v>24894377</v>
      </c>
      <c r="C11" s="84">
        <v>22160067</v>
      </c>
      <c r="D11" s="84">
        <v>20849802.890000001</v>
      </c>
      <c r="E11" s="84">
        <v>29293225</v>
      </c>
      <c r="F11" s="84">
        <v>19225549.199999999</v>
      </c>
      <c r="G11" s="84">
        <v>21252149</v>
      </c>
      <c r="H11" s="84">
        <v>15238992</v>
      </c>
      <c r="I11" s="84">
        <v>35985026</v>
      </c>
      <c r="J11" s="84">
        <v>14029481</v>
      </c>
    </row>
    <row r="12" spans="1:10">
      <c r="A12" s="31" t="s">
        <v>223</v>
      </c>
      <c r="B12" s="84">
        <v>28149960</v>
      </c>
      <c r="C12" s="84">
        <v>30311321</v>
      </c>
      <c r="D12" s="84">
        <v>28453558.780000001</v>
      </c>
      <c r="E12" s="84">
        <v>28224756</v>
      </c>
      <c r="F12" s="84">
        <v>40285555.630000003</v>
      </c>
      <c r="G12" s="84">
        <v>29114533</v>
      </c>
      <c r="H12" s="84">
        <v>34958776</v>
      </c>
      <c r="I12" s="84">
        <v>31667229</v>
      </c>
      <c r="J12" s="84">
        <v>27353317</v>
      </c>
    </row>
    <row r="13" spans="1:10">
      <c r="A13" s="31" t="s">
        <v>224</v>
      </c>
      <c r="B13" s="84">
        <v>4904675</v>
      </c>
      <c r="C13" s="84">
        <v>13213441</v>
      </c>
      <c r="D13" s="84">
        <v>10805581.939999999</v>
      </c>
      <c r="E13" s="84">
        <v>19886298</v>
      </c>
      <c r="F13" s="84">
        <v>3761184.08</v>
      </c>
      <c r="G13" s="84">
        <v>4997891</v>
      </c>
      <c r="H13" s="84">
        <v>4993296</v>
      </c>
      <c r="I13" s="84">
        <v>3449209</v>
      </c>
      <c r="J13" s="84">
        <v>5254430</v>
      </c>
    </row>
    <row r="14" spans="1:10" ht="18">
      <c r="A14" s="31" t="s">
        <v>225</v>
      </c>
      <c r="B14" s="84">
        <v>7722192</v>
      </c>
      <c r="C14" s="84">
        <v>6872463</v>
      </c>
      <c r="D14" s="84">
        <v>4578007.34</v>
      </c>
      <c r="E14" s="84">
        <v>4892097</v>
      </c>
      <c r="F14" s="84">
        <v>5062472.42</v>
      </c>
      <c r="G14" s="84">
        <v>6828524</v>
      </c>
      <c r="H14" s="84">
        <v>5039627</v>
      </c>
      <c r="I14" s="84">
        <v>4841580</v>
      </c>
      <c r="J14" s="84">
        <v>4720582</v>
      </c>
    </row>
    <row r="15" spans="1:10" ht="18">
      <c r="A15" s="31" t="s">
        <v>226</v>
      </c>
      <c r="B15" s="84">
        <v>28315184</v>
      </c>
      <c r="C15" s="84">
        <v>15910542</v>
      </c>
      <c r="D15" s="84">
        <v>21899413.120000001</v>
      </c>
      <c r="E15" s="84">
        <v>31463212</v>
      </c>
      <c r="F15" s="84">
        <v>14032643.140000001</v>
      </c>
      <c r="G15" s="84">
        <v>20245851</v>
      </c>
      <c r="H15" s="84">
        <v>19366924</v>
      </c>
      <c r="I15" s="84">
        <v>19245550</v>
      </c>
      <c r="J15" s="84">
        <v>17471914</v>
      </c>
    </row>
    <row r="16" spans="1:10">
      <c r="A16" s="28" t="s">
        <v>269</v>
      </c>
      <c r="B16" s="28"/>
      <c r="C16" s="28"/>
      <c r="D16" s="28"/>
      <c r="E16" s="28"/>
      <c r="F16" s="28"/>
      <c r="I16" s="84">
        <v>10367580</v>
      </c>
      <c r="J16" s="84">
        <v>11607301</v>
      </c>
    </row>
    <row r="17" spans="1:14">
      <c r="A17" s="28" t="s">
        <v>270</v>
      </c>
      <c r="B17" s="28"/>
      <c r="C17" s="28"/>
      <c r="D17" s="28"/>
      <c r="E17" s="28"/>
      <c r="F17" s="28"/>
      <c r="I17" s="84">
        <v>304457</v>
      </c>
      <c r="J17" s="84">
        <v>254958</v>
      </c>
    </row>
    <row r="18" spans="1:14">
      <c r="A18" s="35" t="s">
        <v>38</v>
      </c>
      <c r="B18" s="165">
        <f>SUM(B3:B17)</f>
        <v>311214895</v>
      </c>
      <c r="C18" s="165">
        <f t="shared" ref="C18:H18" si="0">SUM(C3:C17)</f>
        <v>306409771.60000002</v>
      </c>
      <c r="D18" s="165">
        <f t="shared" si="0"/>
        <v>291101892.43000001</v>
      </c>
      <c r="E18" s="165">
        <f t="shared" si="0"/>
        <v>269134110</v>
      </c>
      <c r="F18" s="165">
        <f t="shared" si="0"/>
        <v>279550549.32999998</v>
      </c>
      <c r="G18" s="165">
        <f t="shared" si="0"/>
        <v>274172174</v>
      </c>
      <c r="H18" s="165">
        <f t="shared" si="0"/>
        <v>259957536</v>
      </c>
      <c r="I18" s="165">
        <f t="shared" ref="I18" si="1">SUM(I3:I17)</f>
        <v>289372127</v>
      </c>
      <c r="J18" s="165">
        <v>262715160</v>
      </c>
    </row>
    <row r="19" spans="1:14">
      <c r="A19" s="31"/>
      <c r="C19" s="29"/>
      <c r="G19" s="33"/>
      <c r="H19" s="33"/>
      <c r="I19" s="33"/>
    </row>
    <row r="20" spans="1:14">
      <c r="A20" s="34" t="s">
        <v>1</v>
      </c>
    </row>
    <row r="21" spans="1:14" ht="17.25" customHeight="1">
      <c r="A21" s="360" t="s">
        <v>50</v>
      </c>
      <c r="B21" s="360"/>
      <c r="C21" s="360"/>
      <c r="D21" s="360"/>
      <c r="E21" s="360"/>
      <c r="F21" s="360"/>
      <c r="G21" s="360"/>
      <c r="H21" s="360"/>
      <c r="I21" s="360"/>
      <c r="J21" s="360"/>
      <c r="K21" s="360"/>
      <c r="L21" s="360"/>
      <c r="M21" s="360"/>
      <c r="N21" s="360"/>
    </row>
    <row r="22" spans="1:14" ht="17.25" customHeight="1">
      <c r="A22" s="361" t="s">
        <v>49</v>
      </c>
      <c r="B22" s="361"/>
      <c r="C22" s="361"/>
      <c r="D22" s="361"/>
      <c r="E22" s="361"/>
      <c r="F22" s="361"/>
      <c r="G22" s="361"/>
      <c r="H22" s="361"/>
      <c r="I22" s="361"/>
      <c r="J22" s="361"/>
      <c r="K22" s="361"/>
      <c r="L22" s="361"/>
      <c r="M22" s="361"/>
      <c r="N22" s="361"/>
    </row>
    <row r="23" spans="1:14" ht="17.25" customHeight="1">
      <c r="A23" s="362" t="s">
        <v>361</v>
      </c>
      <c r="B23" s="362"/>
      <c r="C23" s="362"/>
      <c r="D23" s="362"/>
      <c r="E23" s="362"/>
      <c r="F23" s="362"/>
      <c r="G23" s="362"/>
      <c r="H23" s="362"/>
      <c r="I23" s="362"/>
      <c r="J23" s="362"/>
      <c r="K23" s="362"/>
      <c r="L23" s="362"/>
      <c r="M23" s="362"/>
      <c r="N23" s="362"/>
    </row>
    <row r="24" spans="1:14" ht="17.25" customHeight="1">
      <c r="A24" s="363" t="s">
        <v>362</v>
      </c>
      <c r="B24" s="363"/>
      <c r="C24" s="363"/>
      <c r="D24" s="363"/>
      <c r="E24" s="363"/>
      <c r="F24" s="363"/>
      <c r="G24" s="363"/>
      <c r="H24" s="363"/>
      <c r="I24" s="363"/>
      <c r="J24" s="363"/>
      <c r="K24" s="363"/>
      <c r="L24" s="363"/>
      <c r="M24" s="363"/>
      <c r="N24" s="363"/>
    </row>
    <row r="25" spans="1:14" ht="17.25" customHeight="1">
      <c r="A25" s="364" t="s">
        <v>363</v>
      </c>
      <c r="B25" s="364"/>
      <c r="C25" s="364"/>
      <c r="D25" s="364"/>
      <c r="E25" s="364"/>
      <c r="F25" s="364"/>
      <c r="G25" s="364"/>
      <c r="H25" s="364"/>
      <c r="I25" s="364"/>
      <c r="J25" s="364"/>
      <c r="K25" s="364"/>
      <c r="L25" s="364"/>
      <c r="M25" s="364"/>
      <c r="N25" s="364"/>
    </row>
    <row r="26" spans="1:14" ht="26.25" customHeight="1">
      <c r="A26" s="101" t="s">
        <v>90</v>
      </c>
      <c r="B26" s="83"/>
      <c r="C26" s="86"/>
      <c r="D26" s="83"/>
      <c r="E26" s="83"/>
      <c r="F26" s="83"/>
      <c r="G26" s="85"/>
      <c r="H26" s="144"/>
      <c r="I26" s="144"/>
      <c r="J26" s="85"/>
    </row>
    <row r="27" spans="1:14" ht="17.25" customHeight="1">
      <c r="A27" s="32" t="str">
        <f>subtitle</f>
        <v>Total: $262.7 million includes $22.3 million in obligations to capital projects, plus General and Administrative (G&amp;A) costs ($11.6 million), and Columbia River System Operations Review/Environmental Impact Statement costs ($255,000)</v>
      </c>
      <c r="B27" s="83"/>
      <c r="C27" s="86"/>
      <c r="D27" s="83"/>
      <c r="E27" s="83"/>
      <c r="F27" s="83"/>
      <c r="G27" s="85"/>
      <c r="H27" s="144"/>
      <c r="I27" s="144"/>
      <c r="J27" s="85"/>
    </row>
    <row r="28" spans="1:14" ht="17.25" customHeight="1">
      <c r="A28" s="32"/>
      <c r="B28" s="83"/>
      <c r="C28" s="86"/>
      <c r="D28" s="83"/>
      <c r="E28" s="83"/>
      <c r="F28" s="83"/>
      <c r="G28" s="144"/>
      <c r="H28" s="144"/>
      <c r="I28" s="144"/>
      <c r="J28" s="144"/>
    </row>
    <row r="29" spans="1:14">
      <c r="E29" s="88" t="s">
        <v>373</v>
      </c>
    </row>
    <row r="30" spans="1:14">
      <c r="E30" s="87" t="str">
        <f t="shared" ref="E30:E40" si="2">PROPER(A3)</f>
        <v>Blue Mountain</v>
      </c>
      <c r="F30" s="89">
        <f t="shared" ref="F30:F42" si="3">J3</f>
        <v>15606694</v>
      </c>
    </row>
    <row r="31" spans="1:14">
      <c r="E31" s="87" t="str">
        <f t="shared" si="2"/>
        <v>Columbia Cascade</v>
      </c>
      <c r="F31" s="89">
        <f t="shared" si="3"/>
        <v>20213837</v>
      </c>
    </row>
    <row r="32" spans="1:14">
      <c r="B32" s="28"/>
      <c r="C32" s="28"/>
      <c r="E32" s="87" t="str">
        <f t="shared" si="2"/>
        <v>Columbia Gorge</v>
      </c>
      <c r="F32" s="89">
        <f t="shared" si="3"/>
        <v>11349981</v>
      </c>
    </row>
    <row r="33" spans="2:6">
      <c r="B33" s="28"/>
      <c r="C33" s="28"/>
      <c r="E33" s="87" t="str">
        <f t="shared" si="2"/>
        <v>Columbia Plateau</v>
      </c>
      <c r="F33" s="89">
        <f t="shared" si="3"/>
        <v>70886382</v>
      </c>
    </row>
    <row r="34" spans="2:6">
      <c r="B34" s="28"/>
      <c r="C34" s="28"/>
      <c r="E34" s="87" t="str">
        <f t="shared" si="2"/>
        <v>Columbia Estuary</v>
      </c>
      <c r="F34" s="89">
        <f t="shared" si="3"/>
        <v>6959520</v>
      </c>
    </row>
    <row r="35" spans="2:6">
      <c r="B35" s="28"/>
      <c r="C35" s="28"/>
      <c r="E35" s="87" t="str">
        <f t="shared" si="2"/>
        <v>Intermountain</v>
      </c>
      <c r="F35" s="89">
        <f t="shared" si="3"/>
        <v>19057687</v>
      </c>
    </row>
    <row r="36" spans="2:6">
      <c r="B36" s="28"/>
      <c r="C36" s="28"/>
      <c r="E36" s="87" t="str">
        <f t="shared" si="2"/>
        <v>Lower Columbia</v>
      </c>
      <c r="F36" s="89">
        <f t="shared" si="3"/>
        <v>33544646</v>
      </c>
    </row>
    <row r="37" spans="2:6">
      <c r="E37" s="87" t="str">
        <f t="shared" si="2"/>
        <v>Middle Snake</v>
      </c>
      <c r="F37" s="89">
        <f t="shared" si="3"/>
        <v>4404430</v>
      </c>
    </row>
    <row r="38" spans="2:6">
      <c r="E38" s="87" t="str">
        <f t="shared" si="2"/>
        <v>Mountain Columbia</v>
      </c>
      <c r="F38" s="89">
        <f t="shared" si="3"/>
        <v>14029481</v>
      </c>
    </row>
    <row r="39" spans="2:6">
      <c r="E39" s="87" t="str">
        <f t="shared" si="2"/>
        <v>Mountain Snake</v>
      </c>
      <c r="F39" s="89">
        <f t="shared" si="3"/>
        <v>27353317</v>
      </c>
    </row>
    <row r="40" spans="2:6">
      <c r="E40" s="87" t="str">
        <f t="shared" si="2"/>
        <v>Upper Snake</v>
      </c>
      <c r="F40" s="89">
        <f t="shared" si="3"/>
        <v>5254430</v>
      </c>
    </row>
    <row r="41" spans="2:6">
      <c r="E41" s="87" t="s">
        <v>52</v>
      </c>
      <c r="F41" s="89">
        <f t="shared" si="3"/>
        <v>4720582</v>
      </c>
    </row>
    <row r="42" spans="2:6">
      <c r="E42" s="87" t="s">
        <v>4</v>
      </c>
      <c r="F42" s="89">
        <f t="shared" si="3"/>
        <v>17471914</v>
      </c>
    </row>
    <row r="44" spans="2:6">
      <c r="E44" s="39"/>
    </row>
    <row r="45" spans="2:6">
      <c r="E45" s="39"/>
    </row>
    <row r="46" spans="2:6">
      <c r="E46" s="39"/>
    </row>
    <row r="47" spans="2:6">
      <c r="E47" s="39"/>
    </row>
    <row r="48" spans="2:6">
      <c r="E48" s="39"/>
    </row>
    <row r="49" spans="5:6">
      <c r="E49" s="39"/>
    </row>
    <row r="50" spans="5:6">
      <c r="E50" s="39"/>
    </row>
    <row r="64" spans="5:6">
      <c r="E64" s="28"/>
      <c r="F64" s="28"/>
    </row>
    <row r="65" spans="1:6">
      <c r="A65" s="31"/>
      <c r="B65" s="28"/>
      <c r="C65" s="28"/>
      <c r="D65" s="28"/>
      <c r="E65" s="28"/>
      <c r="F65" s="28"/>
    </row>
    <row r="66" spans="1:6">
      <c r="A66" s="31"/>
      <c r="B66" s="28"/>
      <c r="C66" s="28"/>
      <c r="D66" s="28"/>
      <c r="E66" s="28"/>
      <c r="F66" s="28"/>
    </row>
    <row r="67" spans="1:6">
      <c r="A67" s="31"/>
      <c r="B67" s="28"/>
      <c r="C67" s="28"/>
      <c r="D67" s="28"/>
      <c r="E67" s="28"/>
      <c r="F67" s="28"/>
    </row>
    <row r="68" spans="1:6">
      <c r="A68" s="32"/>
      <c r="B68" s="28"/>
      <c r="C68" s="28"/>
      <c r="D68" s="28"/>
      <c r="E68" s="28"/>
      <c r="F68" s="28"/>
    </row>
    <row r="69" spans="1:6">
      <c r="A69" s="31"/>
      <c r="B69" s="28"/>
      <c r="C69" s="28"/>
      <c r="D69" s="28"/>
      <c r="E69" s="28"/>
      <c r="F69" s="28"/>
    </row>
    <row r="70" spans="1:6">
      <c r="A70" s="31"/>
      <c r="B70" s="28"/>
      <c r="C70" s="28"/>
      <c r="D70" s="28"/>
      <c r="E70" s="28"/>
      <c r="F70" s="28"/>
    </row>
    <row r="71" spans="1:6">
      <c r="A71" s="31"/>
      <c r="B71" s="28"/>
      <c r="C71" s="28"/>
      <c r="D71" s="28"/>
      <c r="E71" s="28"/>
      <c r="F71" s="28"/>
    </row>
    <row r="72" spans="1:6">
      <c r="A72" s="31"/>
      <c r="B72" s="28"/>
      <c r="C72" s="28"/>
      <c r="D72" s="28"/>
      <c r="E72" s="28"/>
      <c r="F72" s="28"/>
    </row>
    <row r="73" spans="1:6">
      <c r="A73" s="31"/>
      <c r="B73" s="28"/>
      <c r="C73" s="28"/>
      <c r="D73" s="28"/>
      <c r="E73" s="28"/>
      <c r="F73" s="28"/>
    </row>
    <row r="74" spans="1:6">
      <c r="A74" s="31"/>
      <c r="B74" s="28"/>
      <c r="C74" s="28"/>
      <c r="D74" s="28"/>
      <c r="E74" s="28"/>
      <c r="F74" s="28"/>
    </row>
    <row r="75" spans="1:6">
      <c r="A75" s="31"/>
      <c r="B75" s="28"/>
      <c r="C75" s="28"/>
      <c r="D75" s="28"/>
      <c r="E75" s="28"/>
      <c r="F75" s="28"/>
    </row>
    <row r="76" spans="1:6">
      <c r="A76" s="31"/>
      <c r="B76" s="28"/>
      <c r="C76" s="28"/>
      <c r="D76" s="28"/>
    </row>
    <row r="77" spans="1:6">
      <c r="E77" s="28"/>
      <c r="F77" s="28"/>
    </row>
    <row r="78" spans="1:6">
      <c r="A78" s="31"/>
      <c r="B78" s="28"/>
      <c r="C78" s="28"/>
      <c r="D78" s="28"/>
      <c r="E78" s="28"/>
      <c r="F78" s="28"/>
    </row>
    <row r="79" spans="1:6">
      <c r="A79" s="31"/>
      <c r="B79" s="28"/>
      <c r="C79" s="28"/>
      <c r="D79" s="28"/>
      <c r="E79" s="28"/>
      <c r="F79" s="28"/>
    </row>
    <row r="80" spans="1:6">
      <c r="A80" s="31"/>
      <c r="B80" s="28"/>
      <c r="C80" s="28"/>
      <c r="D80" s="28"/>
    </row>
  </sheetData>
  <mergeCells count="5">
    <mergeCell ref="A21:N21"/>
    <mergeCell ref="A22:N22"/>
    <mergeCell ref="A23:N23"/>
    <mergeCell ref="A24:N24"/>
    <mergeCell ref="A25:N25"/>
  </mergeCells>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F04A-3322-414A-BC92-58B9AEE60C67}">
  <sheetPr>
    <pageSetUpPr fitToPage="1"/>
  </sheetPr>
  <dimension ref="A1:L75"/>
  <sheetViews>
    <sheetView zoomScaleNormal="100" workbookViewId="0"/>
  </sheetViews>
  <sheetFormatPr defaultRowHeight="15"/>
  <cols>
    <col min="1" max="1" width="29.140625" style="75" customWidth="1"/>
    <col min="2" max="2" width="49" style="75" bestFit="1" customWidth="1"/>
    <col min="3" max="3" width="14.5703125" style="75" bestFit="1" customWidth="1"/>
    <col min="4" max="5" width="9.140625" style="75"/>
    <col min="6" max="6" width="10.140625" style="75" bestFit="1" customWidth="1"/>
    <col min="7" max="16384" width="9.140625" style="75"/>
  </cols>
  <sheetData>
    <row r="1" spans="1:3">
      <c r="A1" s="209" t="str">
        <f>"Figure 8B:Costs by Subbasin, FY" &amp; C3</f>
        <v>Figure 8B:Costs by Subbasin, FY2019</v>
      </c>
    </row>
    <row r="3" spans="1:3" s="174" customFormat="1">
      <c r="A3" s="212" t="s">
        <v>51</v>
      </c>
      <c r="B3" s="212" t="s">
        <v>381</v>
      </c>
      <c r="C3" s="213">
        <v>2019</v>
      </c>
    </row>
    <row r="4" spans="1:3" ht="16.5">
      <c r="A4" s="173" t="s">
        <v>297</v>
      </c>
      <c r="B4" s="173" t="s">
        <v>302</v>
      </c>
      <c r="C4" s="173">
        <v>22359</v>
      </c>
    </row>
    <row r="5" spans="1:3" ht="16.5">
      <c r="A5" s="173" t="s">
        <v>284</v>
      </c>
      <c r="B5" s="173" t="s">
        <v>283</v>
      </c>
      <c r="C5" s="173">
        <v>23087</v>
      </c>
    </row>
    <row r="6" spans="1:3" ht="16.5">
      <c r="A6" s="173" t="s">
        <v>297</v>
      </c>
      <c r="B6" s="173" t="s">
        <v>298</v>
      </c>
      <c r="C6" s="173">
        <v>25689</v>
      </c>
    </row>
    <row r="7" spans="1:3" ht="16.5">
      <c r="A7" s="173" t="s">
        <v>334</v>
      </c>
      <c r="B7" s="173" t="s">
        <v>339</v>
      </c>
      <c r="C7" s="173">
        <v>29103</v>
      </c>
    </row>
    <row r="8" spans="1:3" ht="16.5">
      <c r="A8" s="173" t="s">
        <v>323</v>
      </c>
      <c r="B8" s="173" t="s">
        <v>328</v>
      </c>
      <c r="C8" s="173">
        <v>42083</v>
      </c>
    </row>
    <row r="9" spans="1:3" ht="16.5">
      <c r="A9" s="173" t="s">
        <v>305</v>
      </c>
      <c r="B9" s="173" t="s">
        <v>309</v>
      </c>
      <c r="C9" s="173">
        <v>81943</v>
      </c>
    </row>
    <row r="10" spans="1:3" ht="16.5">
      <c r="A10" s="173" t="s">
        <v>297</v>
      </c>
      <c r="B10" s="173" t="s">
        <v>296</v>
      </c>
      <c r="C10" s="173">
        <v>86240</v>
      </c>
    </row>
    <row r="11" spans="1:3" ht="16.5">
      <c r="A11" s="173" t="s">
        <v>305</v>
      </c>
      <c r="B11" s="173" t="s">
        <v>307</v>
      </c>
      <c r="C11" s="173">
        <v>91303</v>
      </c>
    </row>
    <row r="12" spans="1:3" ht="16.5">
      <c r="A12" s="173" t="s">
        <v>305</v>
      </c>
      <c r="B12" s="173" t="s">
        <v>306</v>
      </c>
      <c r="C12" s="173">
        <v>108564</v>
      </c>
    </row>
    <row r="13" spans="1:3" ht="16.5">
      <c r="A13" s="173" t="s">
        <v>318</v>
      </c>
      <c r="B13" s="173" t="s">
        <v>320</v>
      </c>
      <c r="C13" s="173">
        <v>122342</v>
      </c>
    </row>
    <row r="14" spans="1:3" ht="16.5">
      <c r="A14" s="173" t="s">
        <v>284</v>
      </c>
      <c r="B14" s="173" t="s">
        <v>286</v>
      </c>
      <c r="C14" s="173">
        <v>132028</v>
      </c>
    </row>
    <row r="15" spans="1:3" ht="16.5">
      <c r="A15" s="173" t="s">
        <v>291</v>
      </c>
      <c r="B15" s="173" t="s">
        <v>295</v>
      </c>
      <c r="C15" s="173">
        <v>215578</v>
      </c>
    </row>
    <row r="16" spans="1:3" ht="16.5">
      <c r="A16" s="173" t="s">
        <v>305</v>
      </c>
      <c r="B16" s="173" t="s">
        <v>308</v>
      </c>
      <c r="C16" s="173">
        <v>411339</v>
      </c>
    </row>
    <row r="17" spans="1:3" ht="16.5">
      <c r="A17" s="173" t="s">
        <v>297</v>
      </c>
      <c r="B17" s="173" t="s">
        <v>299</v>
      </c>
      <c r="C17" s="173">
        <v>423740</v>
      </c>
    </row>
    <row r="18" spans="1:3" ht="16.5">
      <c r="A18" s="173" t="s">
        <v>334</v>
      </c>
      <c r="B18" s="173" t="s">
        <v>335</v>
      </c>
      <c r="C18" s="173">
        <v>433593</v>
      </c>
    </row>
    <row r="19" spans="1:3" ht="16.5">
      <c r="A19" s="173" t="s">
        <v>291</v>
      </c>
      <c r="B19" s="173" t="s">
        <v>294</v>
      </c>
      <c r="C19" s="173">
        <v>436666</v>
      </c>
    </row>
    <row r="20" spans="1:3" ht="16.5">
      <c r="A20" s="173" t="s">
        <v>291</v>
      </c>
      <c r="B20" s="173" t="s">
        <v>293</v>
      </c>
      <c r="C20" s="173">
        <v>443387</v>
      </c>
    </row>
    <row r="21" spans="1:3" ht="16.5">
      <c r="A21" s="173" t="s">
        <v>348</v>
      </c>
      <c r="B21" s="173" t="s">
        <v>351</v>
      </c>
      <c r="C21" s="173">
        <v>518872</v>
      </c>
    </row>
    <row r="22" spans="1:3" ht="16.5">
      <c r="A22" s="173" t="s">
        <v>334</v>
      </c>
      <c r="B22" s="173" t="s">
        <v>333</v>
      </c>
      <c r="C22" s="173">
        <v>573171</v>
      </c>
    </row>
    <row r="23" spans="1:3" ht="16.5">
      <c r="A23" s="173" t="s">
        <v>297</v>
      </c>
      <c r="B23" s="173" t="s">
        <v>301</v>
      </c>
      <c r="C23" s="173">
        <v>675711</v>
      </c>
    </row>
    <row r="24" spans="1:3" ht="16.5">
      <c r="A24" s="173" t="s">
        <v>334</v>
      </c>
      <c r="B24" s="173" t="s">
        <v>338</v>
      </c>
      <c r="C24" s="173">
        <v>709426</v>
      </c>
    </row>
    <row r="25" spans="1:3" ht="16.5">
      <c r="A25" s="173" t="s">
        <v>341</v>
      </c>
      <c r="B25" s="173" t="s">
        <v>345</v>
      </c>
      <c r="C25" s="173">
        <v>722932</v>
      </c>
    </row>
    <row r="26" spans="1:3" ht="16.5">
      <c r="A26" s="173" t="s">
        <v>323</v>
      </c>
      <c r="B26" s="173" t="s">
        <v>331</v>
      </c>
      <c r="C26" s="173">
        <v>742162</v>
      </c>
    </row>
    <row r="27" spans="1:3" ht="16.5">
      <c r="A27" s="173" t="s">
        <v>318</v>
      </c>
      <c r="B27" s="173" t="s">
        <v>317</v>
      </c>
      <c r="C27" s="173">
        <v>1013810</v>
      </c>
    </row>
    <row r="28" spans="1:3" ht="16.5">
      <c r="A28" s="173" t="s">
        <v>297</v>
      </c>
      <c r="B28" s="173" t="s">
        <v>300</v>
      </c>
      <c r="C28" s="173">
        <v>1199232</v>
      </c>
    </row>
    <row r="29" spans="1:3" ht="16.5">
      <c r="A29" s="173" t="s">
        <v>348</v>
      </c>
      <c r="B29" s="173" t="s">
        <v>347</v>
      </c>
      <c r="C29" s="173">
        <v>1237767</v>
      </c>
    </row>
    <row r="30" spans="1:3" ht="16.5">
      <c r="A30" s="173" t="s">
        <v>341</v>
      </c>
      <c r="B30" s="173" t="s">
        <v>344</v>
      </c>
      <c r="C30" s="173">
        <v>1305518</v>
      </c>
    </row>
    <row r="31" spans="1:3" ht="16.5">
      <c r="A31" s="173" t="s">
        <v>348</v>
      </c>
      <c r="B31" s="173" t="s">
        <v>349</v>
      </c>
      <c r="C31" s="173">
        <v>1343568</v>
      </c>
    </row>
    <row r="32" spans="1:3" ht="16.5">
      <c r="A32" s="173" t="s">
        <v>318</v>
      </c>
      <c r="B32" s="173" t="s">
        <v>319</v>
      </c>
      <c r="C32" s="173">
        <v>1498079</v>
      </c>
    </row>
    <row r="33" spans="1:3" ht="16.5">
      <c r="A33" s="173" t="s">
        <v>323</v>
      </c>
      <c r="B33" s="173" t="s">
        <v>326</v>
      </c>
      <c r="C33" s="173">
        <v>1911010</v>
      </c>
    </row>
    <row r="34" spans="1:3" ht="16.5">
      <c r="A34" s="173" t="s">
        <v>297</v>
      </c>
      <c r="B34" s="173" t="s">
        <v>303</v>
      </c>
      <c r="C34" s="173">
        <v>1971459</v>
      </c>
    </row>
    <row r="35" spans="1:3" ht="16.5">
      <c r="A35" s="173" t="s">
        <v>312</v>
      </c>
      <c r="B35" s="173" t="s">
        <v>313</v>
      </c>
      <c r="C35" s="173">
        <v>1972702</v>
      </c>
    </row>
    <row r="36" spans="1:3" ht="16.5">
      <c r="A36" s="173" t="s">
        <v>312</v>
      </c>
      <c r="B36" s="173" t="s">
        <v>316</v>
      </c>
      <c r="C36" s="173">
        <v>2039218</v>
      </c>
    </row>
    <row r="37" spans="1:3" ht="16.5">
      <c r="A37" s="173" t="s">
        <v>341</v>
      </c>
      <c r="B37" s="173" t="s">
        <v>340</v>
      </c>
      <c r="C37" s="173">
        <v>2165825</v>
      </c>
    </row>
    <row r="38" spans="1:3" ht="16.5">
      <c r="A38" s="173" t="s">
        <v>291</v>
      </c>
      <c r="B38" s="173" t="s">
        <v>292</v>
      </c>
      <c r="C38" s="173">
        <v>2351857</v>
      </c>
    </row>
    <row r="39" spans="1:3" ht="16.5">
      <c r="A39" s="173" t="s">
        <v>334</v>
      </c>
      <c r="B39" s="173" t="s">
        <v>334</v>
      </c>
      <c r="C39" s="173">
        <v>2656838</v>
      </c>
    </row>
    <row r="40" spans="1:3" ht="16.5">
      <c r="A40" s="173" t="s">
        <v>312</v>
      </c>
      <c r="B40" s="173" t="s">
        <v>311</v>
      </c>
      <c r="C40" s="173">
        <v>2922853</v>
      </c>
    </row>
    <row r="41" spans="1:3" ht="16.5">
      <c r="A41" s="173" t="s">
        <v>334</v>
      </c>
      <c r="B41" s="173" t="s">
        <v>336</v>
      </c>
      <c r="C41" s="173">
        <v>3249660</v>
      </c>
    </row>
    <row r="42" spans="1:3" ht="16.5">
      <c r="A42" s="173" t="s">
        <v>334</v>
      </c>
      <c r="B42" s="173" t="s">
        <v>337</v>
      </c>
      <c r="C42" s="173">
        <v>3698190</v>
      </c>
    </row>
    <row r="43" spans="1:3" ht="16.5">
      <c r="A43" s="173" t="s">
        <v>323</v>
      </c>
      <c r="B43" s="173" t="s">
        <v>324</v>
      </c>
      <c r="C43" s="173">
        <v>4070365</v>
      </c>
    </row>
    <row r="44" spans="1:3" ht="16.5">
      <c r="A44" s="173" t="s">
        <v>318</v>
      </c>
      <c r="B44" s="173" t="s">
        <v>321</v>
      </c>
      <c r="C44" s="173">
        <v>4325289</v>
      </c>
    </row>
    <row r="45" spans="1:3" ht="16.5">
      <c r="A45" s="173" t="s">
        <v>341</v>
      </c>
      <c r="B45" s="173" t="s">
        <v>346</v>
      </c>
      <c r="C45" s="173">
        <v>4418320</v>
      </c>
    </row>
    <row r="46" spans="1:3" ht="16.5">
      <c r="A46" s="173" t="s">
        <v>323</v>
      </c>
      <c r="B46" s="173" t="s">
        <v>332</v>
      </c>
      <c r="C46" s="173">
        <v>4636585</v>
      </c>
    </row>
    <row r="47" spans="1:3" ht="16.5">
      <c r="A47" s="173" t="s">
        <v>52</v>
      </c>
      <c r="B47" s="173" t="s">
        <v>52</v>
      </c>
      <c r="C47" s="173">
        <v>4720584</v>
      </c>
    </row>
    <row r="48" spans="1:3" ht="16.5">
      <c r="A48" s="173" t="s">
        <v>284</v>
      </c>
      <c r="B48" s="173" t="s">
        <v>285</v>
      </c>
      <c r="C48" s="173">
        <v>5099313</v>
      </c>
    </row>
    <row r="49" spans="1:3" ht="16.5">
      <c r="A49" s="173" t="s">
        <v>312</v>
      </c>
      <c r="B49" s="173" t="s">
        <v>314</v>
      </c>
      <c r="C49" s="173">
        <v>5608712</v>
      </c>
    </row>
    <row r="50" spans="1:3" ht="16.5">
      <c r="A50" s="173" t="s">
        <v>323</v>
      </c>
      <c r="B50" s="173" t="s">
        <v>327</v>
      </c>
      <c r="C50" s="173">
        <v>5723325</v>
      </c>
    </row>
    <row r="51" spans="1:3" ht="16.5">
      <c r="A51" s="173" t="s">
        <v>341</v>
      </c>
      <c r="B51" s="173" t="s">
        <v>343</v>
      </c>
      <c r="C51" s="173">
        <v>5777371</v>
      </c>
    </row>
    <row r="52" spans="1:3" ht="16.5">
      <c r="A52" s="173" t="s">
        <v>341</v>
      </c>
      <c r="B52" s="173" t="s">
        <v>342</v>
      </c>
      <c r="C52" s="173">
        <v>5823872</v>
      </c>
    </row>
    <row r="53" spans="1:3" ht="16.5">
      <c r="A53" s="173" t="s">
        <v>305</v>
      </c>
      <c r="B53" s="173" t="s">
        <v>310</v>
      </c>
      <c r="C53" s="173">
        <v>6144027</v>
      </c>
    </row>
    <row r="54" spans="1:3" ht="16.5">
      <c r="A54" s="173" t="s">
        <v>312</v>
      </c>
      <c r="B54" s="173" t="s">
        <v>315</v>
      </c>
      <c r="C54" s="173">
        <v>6514202</v>
      </c>
    </row>
    <row r="55" spans="1:3" ht="16.5">
      <c r="A55" s="173" t="s">
        <v>323</v>
      </c>
      <c r="B55" s="173" t="s">
        <v>325</v>
      </c>
      <c r="C55" s="173">
        <v>7836471</v>
      </c>
    </row>
    <row r="56" spans="1:3" ht="16.5">
      <c r="A56" s="173" t="s">
        <v>323</v>
      </c>
      <c r="B56" s="173" t="s">
        <v>329</v>
      </c>
      <c r="C56" s="173">
        <v>7867962</v>
      </c>
    </row>
    <row r="57" spans="1:3" ht="16.5">
      <c r="A57" s="173" t="s">
        <v>323</v>
      </c>
      <c r="B57" s="173" t="s">
        <v>330</v>
      </c>
      <c r="C57" s="173">
        <v>8183285</v>
      </c>
    </row>
    <row r="58" spans="1:3" ht="16.5">
      <c r="A58" s="173" t="s">
        <v>291</v>
      </c>
      <c r="B58" s="173" t="s">
        <v>290</v>
      </c>
      <c r="C58" s="173">
        <v>10581994</v>
      </c>
    </row>
    <row r="59" spans="1:3" ht="16.5">
      <c r="A59" s="173" t="s">
        <v>348</v>
      </c>
      <c r="B59" s="173" t="s">
        <v>350</v>
      </c>
      <c r="C59" s="173">
        <v>12506487</v>
      </c>
    </row>
    <row r="60" spans="1:3" ht="16.5">
      <c r="A60" s="173" t="s">
        <v>288</v>
      </c>
      <c r="B60" s="173" t="s">
        <v>287</v>
      </c>
      <c r="C60" s="173">
        <v>13093069</v>
      </c>
    </row>
    <row r="61" spans="1:3" ht="16.5">
      <c r="A61" s="173" t="s">
        <v>288</v>
      </c>
      <c r="B61" s="173" t="s">
        <v>289</v>
      </c>
      <c r="C61" s="173">
        <v>14260246</v>
      </c>
    </row>
    <row r="62" spans="1:3" ht="16.5">
      <c r="A62" s="173" t="s">
        <v>305</v>
      </c>
      <c r="B62" s="173" t="s">
        <v>304</v>
      </c>
      <c r="C62" s="173">
        <v>26707470</v>
      </c>
    </row>
    <row r="63" spans="1:3" ht="16.5">
      <c r="A63" s="173" t="s">
        <v>323</v>
      </c>
      <c r="B63" s="173" t="s">
        <v>322</v>
      </c>
      <c r="C63" s="173">
        <v>29873134</v>
      </c>
    </row>
    <row r="64" spans="1:3" ht="18">
      <c r="A64" s="173" t="s">
        <v>282</v>
      </c>
      <c r="B64" s="173"/>
      <c r="C64" s="173">
        <v>17471914</v>
      </c>
    </row>
    <row r="65" spans="1:12" ht="16.5">
      <c r="A65" s="173" t="s">
        <v>269</v>
      </c>
      <c r="B65" s="173"/>
      <c r="C65" s="173">
        <v>11607301</v>
      </c>
    </row>
    <row r="66" spans="1:12" ht="16.5">
      <c r="A66" s="173" t="s">
        <v>270</v>
      </c>
      <c r="B66" s="173"/>
      <c r="C66" s="173">
        <v>254958</v>
      </c>
    </row>
    <row r="67" spans="1:12">
      <c r="A67" s="172" t="s">
        <v>38</v>
      </c>
      <c r="B67" s="171"/>
      <c r="C67" s="170">
        <f>SUM(C4:C66)</f>
        <v>262715160</v>
      </c>
    </row>
    <row r="68" spans="1:12" ht="16.5">
      <c r="B68" s="31"/>
      <c r="C68" s="169"/>
    </row>
    <row r="69" spans="1:12" ht="16.5">
      <c r="A69" s="34" t="s">
        <v>1</v>
      </c>
      <c r="B69" s="168"/>
    </row>
    <row r="70" spans="1:12" ht="16.5">
      <c r="A70" s="365" t="s">
        <v>50</v>
      </c>
      <c r="B70" s="365"/>
      <c r="C70" s="365"/>
      <c r="D70" s="365"/>
      <c r="E70" s="365"/>
      <c r="F70" s="365"/>
      <c r="G70" s="365"/>
      <c r="H70" s="365"/>
    </row>
    <row r="71" spans="1:12" ht="16.5">
      <c r="A71" s="365" t="s">
        <v>49</v>
      </c>
      <c r="B71" s="365"/>
      <c r="C71" s="365"/>
      <c r="D71" s="365"/>
      <c r="E71" s="365"/>
      <c r="F71" s="365"/>
      <c r="G71" s="365"/>
      <c r="H71" s="365"/>
    </row>
    <row r="72" spans="1:12" ht="39.75" customHeight="1">
      <c r="A72" s="366" t="s">
        <v>251</v>
      </c>
      <c r="B72" s="366"/>
      <c r="C72" s="366"/>
      <c r="D72" s="366"/>
      <c r="E72" s="366"/>
      <c r="F72" s="366"/>
      <c r="G72" s="366"/>
      <c r="H72" s="366"/>
    </row>
    <row r="73" spans="1:12" ht="16.5">
      <c r="A73" s="166" t="s">
        <v>352</v>
      </c>
      <c r="B73" s="166"/>
      <c r="C73" s="166"/>
      <c r="D73" s="166"/>
      <c r="E73" s="166"/>
      <c r="F73" s="166"/>
      <c r="G73" s="166"/>
      <c r="H73" s="166"/>
      <c r="I73" s="166"/>
      <c r="J73" s="166"/>
      <c r="K73" s="166"/>
      <c r="L73" s="166"/>
    </row>
    <row r="74" spans="1:12" ht="16.5">
      <c r="A74" s="166"/>
      <c r="B74" s="166"/>
      <c r="C74" s="166"/>
      <c r="D74" s="166"/>
      <c r="E74" s="166"/>
      <c r="F74" s="166"/>
      <c r="G74" s="166"/>
      <c r="H74" s="166"/>
      <c r="I74" s="166"/>
      <c r="J74" s="166"/>
      <c r="K74" s="166"/>
      <c r="L74" s="166"/>
    </row>
    <row r="75" spans="1:12" ht="16.5">
      <c r="A75" s="38" t="s">
        <v>90</v>
      </c>
      <c r="B75" s="166" t="str">
        <f>subtitle</f>
        <v>Total: $262.7 million includes $22.3 million in obligations to capital projects, plus General and Administrative (G&amp;A) costs ($11.6 million), and Columbia River System Operations Review/Environmental Impact Statement costs ($255,000)</v>
      </c>
      <c r="C75" s="166"/>
      <c r="D75" s="166"/>
      <c r="E75" s="166"/>
      <c r="F75" s="166"/>
      <c r="G75" s="166"/>
      <c r="H75" s="166"/>
      <c r="I75" s="166"/>
      <c r="J75" s="166"/>
      <c r="K75" s="166"/>
      <c r="L75" s="166"/>
    </row>
  </sheetData>
  <sortState xmlns:xlrd2="http://schemas.microsoft.com/office/spreadsheetml/2017/richdata2" ref="A4:C63">
    <sortCondition ref="C4:C63"/>
  </sortState>
  <mergeCells count="3">
    <mergeCell ref="A70:H70"/>
    <mergeCell ref="A71:H71"/>
    <mergeCell ref="A72:H72"/>
  </mergeCells>
  <pageMargins left="0.7" right="0.7" top="0.75" bottom="0.75" header="0.3" footer="0.3"/>
  <pageSetup scale="65"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4"/>
  <sheetViews>
    <sheetView zoomScaleNormal="100" workbookViewId="0">
      <selection sqref="A1:I1"/>
    </sheetView>
  </sheetViews>
  <sheetFormatPr defaultRowHeight="15"/>
  <cols>
    <col min="1" max="1" width="55.28515625" style="75" customWidth="1"/>
    <col min="2" max="3" width="19.85546875" style="75" customWidth="1"/>
    <col min="4" max="8" width="17.42578125" style="75" customWidth="1"/>
    <col min="9" max="9" width="16.42578125" style="75" customWidth="1"/>
    <col min="10" max="10" width="11.85546875" style="75" customWidth="1"/>
    <col min="11" max="16384" width="9.140625" style="75"/>
  </cols>
  <sheetData>
    <row r="1" spans="1:10" ht="25.5" customHeight="1">
      <c r="A1" s="367" t="str">
        <f>"Figure 9: Costs by Work Element Location, FY"&amp;I2</f>
        <v>Figure 9: Costs by Work Element Location, FY2019</v>
      </c>
      <c r="B1" s="367"/>
      <c r="C1" s="367"/>
      <c r="D1" s="367"/>
      <c r="E1" s="367"/>
      <c r="F1" s="367"/>
      <c r="G1" s="367"/>
      <c r="H1" s="367"/>
      <c r="I1" s="367"/>
    </row>
    <row r="2" spans="1:10" ht="15.75">
      <c r="A2" s="210" t="s">
        <v>164</v>
      </c>
      <c r="B2" s="211">
        <v>2012</v>
      </c>
      <c r="C2" s="211">
        <v>2013</v>
      </c>
      <c r="D2" s="211">
        <v>2014</v>
      </c>
      <c r="E2" s="211">
        <v>2015</v>
      </c>
      <c r="F2" s="211">
        <v>2016</v>
      </c>
      <c r="G2" s="211">
        <v>2017</v>
      </c>
      <c r="H2" s="211">
        <v>2018</v>
      </c>
      <c r="I2" s="211">
        <v>2019</v>
      </c>
      <c r="J2" s="196" t="s">
        <v>375</v>
      </c>
    </row>
    <row r="3" spans="1:10" ht="17.25">
      <c r="A3" s="80" t="s">
        <v>103</v>
      </c>
      <c r="B3" s="112">
        <v>115404913</v>
      </c>
      <c r="C3" s="112">
        <v>95365193</v>
      </c>
      <c r="D3" s="113">
        <v>86071758</v>
      </c>
      <c r="E3" s="113">
        <v>90272231.799999997</v>
      </c>
      <c r="F3" s="120">
        <v>89322441</v>
      </c>
      <c r="G3" s="120">
        <v>87798353</v>
      </c>
      <c r="H3" s="120">
        <v>92423713</v>
      </c>
      <c r="I3" s="120">
        <v>93321746</v>
      </c>
      <c r="J3" s="207">
        <f t="shared" ref="J3:J12" si="0">I3/SUM(I$3:I$11)</f>
        <v>0.35556532109961569</v>
      </c>
    </row>
    <row r="4" spans="1:10" ht="17.25">
      <c r="A4" s="80" t="s">
        <v>102</v>
      </c>
      <c r="B4" s="112">
        <v>73383217</v>
      </c>
      <c r="C4" s="112">
        <v>61857476</v>
      </c>
      <c r="D4" s="113">
        <v>78704753</v>
      </c>
      <c r="E4" s="113">
        <v>68248817.269999996</v>
      </c>
      <c r="F4" s="120">
        <v>60368059</v>
      </c>
      <c r="G4" s="120">
        <v>60237861</v>
      </c>
      <c r="H4" s="120">
        <v>64509038</v>
      </c>
      <c r="I4" s="120">
        <v>50933161</v>
      </c>
      <c r="J4" s="207">
        <f t="shared" si="0"/>
        <v>0.19406051131515931</v>
      </c>
    </row>
    <row r="5" spans="1:10" ht="17.25">
      <c r="A5" s="80" t="s">
        <v>101</v>
      </c>
      <c r="B5" s="112">
        <v>85320690</v>
      </c>
      <c r="C5" s="112">
        <v>101607686</v>
      </c>
      <c r="D5" s="113">
        <v>61266093</v>
      </c>
      <c r="E5" s="113">
        <v>97958650.379999995</v>
      </c>
      <c r="F5" s="120">
        <v>93424732</v>
      </c>
      <c r="G5" s="120">
        <v>83807412</v>
      </c>
      <c r="H5" s="120">
        <v>82121619</v>
      </c>
      <c r="I5" s="120">
        <v>80976957</v>
      </c>
      <c r="J5" s="207">
        <f t="shared" si="0"/>
        <v>0.30853042245239148</v>
      </c>
    </row>
    <row r="6" spans="1:10" ht="17.25">
      <c r="A6" s="80" t="s">
        <v>96</v>
      </c>
      <c r="B6" s="112">
        <v>2367853</v>
      </c>
      <c r="C6" s="112">
        <v>589410</v>
      </c>
      <c r="D6" s="113">
        <v>989723</v>
      </c>
      <c r="E6" s="113">
        <v>938155.66</v>
      </c>
      <c r="F6" s="120">
        <v>1085664</v>
      </c>
      <c r="G6" s="120">
        <v>1031552</v>
      </c>
      <c r="H6" s="120">
        <v>962752</v>
      </c>
      <c r="I6" s="120">
        <v>1069114</v>
      </c>
      <c r="J6" s="207">
        <f t="shared" si="0"/>
        <v>4.0734328170638229E-3</v>
      </c>
    </row>
    <row r="7" spans="1:10" ht="17.25">
      <c r="A7" s="80" t="s">
        <v>100</v>
      </c>
      <c r="B7" s="112">
        <v>11143660</v>
      </c>
      <c r="C7" s="112">
        <v>7215356</v>
      </c>
      <c r="D7" s="113">
        <v>8285323</v>
      </c>
      <c r="E7" s="113">
        <v>5345068.57</v>
      </c>
      <c r="F7" s="120">
        <v>7233270</v>
      </c>
      <c r="G7" s="120">
        <v>4856792</v>
      </c>
      <c r="H7" s="120">
        <v>16732097</v>
      </c>
      <c r="I7" s="120">
        <v>4501315</v>
      </c>
      <c r="J7" s="207">
        <f t="shared" si="0"/>
        <v>1.7150466873450017E-2</v>
      </c>
    </row>
    <row r="8" spans="1:10" ht="17.25">
      <c r="A8" s="80" t="s">
        <v>99</v>
      </c>
      <c r="B8" s="112">
        <v>1983288</v>
      </c>
      <c r="C8" s="112">
        <v>2042752</v>
      </c>
      <c r="D8" s="113">
        <v>1859249</v>
      </c>
      <c r="E8" s="113">
        <v>1991757.54</v>
      </c>
      <c r="F8" s="120">
        <v>1849774</v>
      </c>
      <c r="G8" s="120">
        <v>2099864</v>
      </c>
      <c r="H8" s="120">
        <v>1934720</v>
      </c>
      <c r="I8" s="120">
        <v>1725361</v>
      </c>
      <c r="J8" s="207">
        <f t="shared" si="0"/>
        <v>6.5738004728046352E-3</v>
      </c>
    </row>
    <row r="9" spans="1:10" ht="17.25">
      <c r="A9" s="80" t="s">
        <v>98</v>
      </c>
      <c r="B9" s="112">
        <v>883615</v>
      </c>
      <c r="C9" s="112">
        <v>524606</v>
      </c>
      <c r="D9" s="113">
        <v>494000</v>
      </c>
      <c r="E9" s="113">
        <v>763224.97</v>
      </c>
      <c r="F9" s="120">
        <v>642383</v>
      </c>
      <c r="G9" s="120">
        <v>758778</v>
      </c>
      <c r="H9" s="120">
        <v>770601</v>
      </c>
      <c r="I9" s="120">
        <v>853333</v>
      </c>
      <c r="J9" s="207">
        <f t="shared" si="0"/>
        <v>3.2512853129633727E-3</v>
      </c>
    </row>
    <row r="10" spans="1:10" ht="17.25">
      <c r="A10" s="78" t="s">
        <v>271</v>
      </c>
      <c r="B10" s="112">
        <f>11994+15910542</f>
        <v>15922536</v>
      </c>
      <c r="C10" s="114">
        <v>21899413</v>
      </c>
      <c r="D10" s="115">
        <v>31463211</v>
      </c>
      <c r="E10" s="115">
        <v>14032643.140000001</v>
      </c>
      <c r="F10" s="121">
        <v>20245851</v>
      </c>
      <c r="G10" s="121">
        <v>19366924</v>
      </c>
      <c r="H10" s="121">
        <v>19245550</v>
      </c>
      <c r="I10" s="121">
        <v>17471914</v>
      </c>
      <c r="J10" s="207">
        <f t="shared" si="0"/>
        <v>6.6569765118141611E-2</v>
      </c>
    </row>
    <row r="11" spans="1:10" ht="17.25">
      <c r="A11" s="80" t="s">
        <v>269</v>
      </c>
      <c r="B11" s="112"/>
      <c r="C11" s="112"/>
      <c r="D11" s="113"/>
      <c r="E11" s="113"/>
      <c r="F11" s="120"/>
      <c r="G11" s="120"/>
      <c r="H11" s="120">
        <v>10367580</v>
      </c>
      <c r="I11" s="120">
        <v>11607301</v>
      </c>
      <c r="J11" s="207">
        <f t="shared" si="0"/>
        <v>4.4224994538410056E-2</v>
      </c>
    </row>
    <row r="12" spans="1:10" ht="17.25">
      <c r="A12" s="78" t="s">
        <v>270</v>
      </c>
      <c r="B12" s="112"/>
      <c r="C12" s="114"/>
      <c r="D12" s="115"/>
      <c r="E12" s="115"/>
      <c r="F12" s="121"/>
      <c r="G12" s="121"/>
      <c r="H12" s="121">
        <v>304457</v>
      </c>
      <c r="I12" s="121">
        <v>254958</v>
      </c>
      <c r="J12" s="207">
        <f t="shared" si="0"/>
        <v>9.7141584917320148E-4</v>
      </c>
    </row>
    <row r="13" spans="1:10" ht="18" thickBot="1">
      <c r="A13" s="78"/>
      <c r="B13" s="79">
        <f t="shared" ref="B13:I13" si="1">SUM(B3:B12)</f>
        <v>306409772</v>
      </c>
      <c r="C13" s="79">
        <f t="shared" si="1"/>
        <v>291101892</v>
      </c>
      <c r="D13" s="79">
        <f t="shared" si="1"/>
        <v>269134110</v>
      </c>
      <c r="E13" s="79">
        <f t="shared" si="1"/>
        <v>279550549.32999998</v>
      </c>
      <c r="F13" s="79">
        <f t="shared" si="1"/>
        <v>274172174</v>
      </c>
      <c r="G13" s="79">
        <f t="shared" ref="G13:H13" si="2">SUM(G3:G12)</f>
        <v>259957536</v>
      </c>
      <c r="H13" s="79">
        <f t="shared" si="2"/>
        <v>289372127</v>
      </c>
      <c r="I13" s="79">
        <f t="shared" si="1"/>
        <v>262715160</v>
      </c>
    </row>
    <row r="14" spans="1:10" ht="18" thickTop="1">
      <c r="A14" s="78"/>
      <c r="B14" s="78"/>
      <c r="C14" s="78"/>
      <c r="D14" s="78"/>
      <c r="E14" s="78"/>
      <c r="F14" s="78"/>
      <c r="G14" s="78"/>
      <c r="H14" s="78"/>
      <c r="I14" s="77"/>
    </row>
    <row r="15" spans="1:10" ht="15.75">
      <c r="A15" s="76" t="s">
        <v>1</v>
      </c>
      <c r="B15" s="76"/>
      <c r="C15" s="76"/>
    </row>
    <row r="16" spans="1:10" s="189" customFormat="1" ht="16.5" customHeight="1">
      <c r="A16" s="368" t="s">
        <v>97</v>
      </c>
      <c r="B16" s="368"/>
      <c r="C16" s="368"/>
      <c r="D16" s="368"/>
      <c r="E16" s="368"/>
      <c r="F16" s="368"/>
      <c r="G16" s="368"/>
      <c r="H16" s="368"/>
      <c r="I16" s="368"/>
      <c r="J16" s="368"/>
    </row>
    <row r="17" spans="1:13" s="189" customFormat="1" ht="40.5" customHeight="1">
      <c r="A17" s="368" t="s">
        <v>227</v>
      </c>
      <c r="B17" s="368"/>
      <c r="C17" s="368"/>
      <c r="D17" s="368"/>
      <c r="E17" s="368"/>
      <c r="F17" s="368"/>
      <c r="G17" s="368"/>
      <c r="H17" s="368"/>
      <c r="I17" s="368"/>
      <c r="J17" s="368"/>
    </row>
    <row r="18" spans="1:13" s="189" customFormat="1" ht="16.5">
      <c r="A18" s="368" t="s">
        <v>364</v>
      </c>
      <c r="B18" s="368"/>
      <c r="C18" s="368"/>
      <c r="D18" s="368"/>
      <c r="E18" s="368"/>
      <c r="F18" s="368"/>
      <c r="G18" s="368"/>
      <c r="H18" s="368"/>
      <c r="I18" s="368"/>
      <c r="J18" s="368"/>
    </row>
    <row r="19" spans="1:13" s="189" customFormat="1" ht="49.5" customHeight="1">
      <c r="A19" s="369" t="s">
        <v>356</v>
      </c>
      <c r="B19" s="369"/>
      <c r="C19" s="369"/>
      <c r="D19" s="369"/>
      <c r="E19" s="369"/>
      <c r="F19" s="369"/>
      <c r="G19" s="369"/>
      <c r="H19" s="369"/>
      <c r="I19" s="369"/>
      <c r="J19" s="369"/>
      <c r="K19" s="190"/>
      <c r="L19" s="190"/>
      <c r="M19" s="190"/>
    </row>
    <row r="21" spans="1:13" ht="15.75">
      <c r="A21" s="206" t="s">
        <v>90</v>
      </c>
    </row>
    <row r="22" spans="1:13" ht="17.25">
      <c r="A22" s="80" t="str">
        <f>subtitle</f>
        <v>Total: $262.7 million includes $22.3 million in obligations to capital projects, plus General and Administrative (G&amp;A) costs ($11.6 million), and Columbia River System Operations Review/Environmental Impact Statement costs ($255,000)</v>
      </c>
    </row>
    <row r="24" spans="1:13" ht="15.75">
      <c r="A24" s="81" t="s">
        <v>374</v>
      </c>
    </row>
  </sheetData>
  <mergeCells count="5">
    <mergeCell ref="A1:I1"/>
    <mergeCell ref="A16:J16"/>
    <mergeCell ref="A17:J17"/>
    <mergeCell ref="A18:J18"/>
    <mergeCell ref="A19:J19"/>
  </mergeCells>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15A2-53FD-45D2-972F-FBD5B5D09AAA}">
  <sheetPr>
    <pageSetUpPr fitToPage="1"/>
  </sheetPr>
  <dimension ref="A1:O163"/>
  <sheetViews>
    <sheetView tabSelected="1" topLeftCell="A19" zoomScaleNormal="100" workbookViewId="0">
      <selection activeCell="N19" sqref="N19"/>
    </sheetView>
  </sheetViews>
  <sheetFormatPr defaultRowHeight="16.5"/>
  <cols>
    <col min="1" max="1" width="12.42578125" style="379" bestFit="1" customWidth="1"/>
    <col min="2" max="2" width="66.140625" style="334" customWidth="1"/>
    <col min="3" max="3" width="13.7109375" style="191" customWidth="1"/>
    <col min="4" max="5" width="13.7109375" style="191" bestFit="1" customWidth="1"/>
    <col min="6" max="8" width="13.7109375" style="378" bestFit="1" customWidth="1"/>
    <col min="9" max="9" width="13.7109375" style="378" customWidth="1"/>
    <col min="10" max="11" width="13.7109375" style="378" bestFit="1" customWidth="1"/>
    <col min="12" max="16384" width="9.140625" style="378"/>
  </cols>
  <sheetData>
    <row r="1" spans="1:11" ht="27.75" customHeight="1">
      <c r="A1" s="367" t="str">
        <f>"Figure 10: Costs by Contractor Type, FY"&amp;K2</f>
        <v>Figure 10: Costs by Contractor Type, FY2019</v>
      </c>
      <c r="B1" s="367"/>
      <c r="C1" s="367"/>
      <c r="D1" s="367"/>
      <c r="E1" s="367"/>
      <c r="F1" s="367"/>
      <c r="G1" s="367"/>
      <c r="H1" s="367"/>
      <c r="I1" s="367"/>
      <c r="J1" s="367"/>
      <c r="K1" s="367"/>
    </row>
    <row r="2" spans="1:11" s="393" customFormat="1" ht="32.25" customHeight="1">
      <c r="A2" s="395" t="s">
        <v>162</v>
      </c>
      <c r="B2" s="395" t="s">
        <v>161</v>
      </c>
      <c r="C2" s="394">
        <v>2011</v>
      </c>
      <c r="D2" s="394">
        <v>2012</v>
      </c>
      <c r="E2" s="394">
        <v>2013</v>
      </c>
      <c r="F2" s="394">
        <v>2014</v>
      </c>
      <c r="G2" s="394">
        <v>2015</v>
      </c>
      <c r="H2" s="394">
        <v>2016</v>
      </c>
      <c r="I2" s="394">
        <v>2017</v>
      </c>
      <c r="J2" s="394">
        <v>2018</v>
      </c>
      <c r="K2" s="394">
        <v>2019</v>
      </c>
    </row>
    <row r="3" spans="1:11">
      <c r="A3" s="379" t="s">
        <v>160</v>
      </c>
      <c r="B3" s="334" t="s">
        <v>158</v>
      </c>
      <c r="C3" s="191">
        <v>16437276</v>
      </c>
      <c r="D3" s="191">
        <v>15281324</v>
      </c>
      <c r="E3" s="191">
        <v>16789765.34</v>
      </c>
      <c r="F3" s="191">
        <v>18302893.870000001</v>
      </c>
      <c r="G3" s="191">
        <v>18662085.170000002</v>
      </c>
      <c r="H3" s="191">
        <v>20288062</v>
      </c>
      <c r="I3" s="191">
        <v>18817913.82</v>
      </c>
      <c r="J3" s="191">
        <v>15144232</v>
      </c>
      <c r="K3" s="191">
        <f>VLOOKUP(B3,lkp_10,2,FALSE)</f>
        <v>15844777.719999999</v>
      </c>
    </row>
    <row r="4" spans="1:11">
      <c r="B4" s="334" t="s">
        <v>159</v>
      </c>
      <c r="C4" s="191">
        <v>10011126</v>
      </c>
      <c r="D4" s="191">
        <v>10226671.5</v>
      </c>
      <c r="E4" s="191">
        <v>7294105.1900000004</v>
      </c>
      <c r="F4" s="191">
        <v>6823152.6100000003</v>
      </c>
      <c r="G4" s="191">
        <v>7869433</v>
      </c>
      <c r="H4" s="191">
        <v>6916950</v>
      </c>
      <c r="I4" s="191">
        <v>7239871.330000001</v>
      </c>
      <c r="J4" s="191">
        <v>7262514</v>
      </c>
      <c r="K4" s="191">
        <f>VLOOKUP(B4,lkp_10,2,FALSE)</f>
        <v>6843743.7699999996</v>
      </c>
    </row>
    <row r="5" spans="1:11">
      <c r="B5" s="334" t="s">
        <v>153</v>
      </c>
      <c r="C5" s="191">
        <v>2385971</v>
      </c>
      <c r="D5" s="191">
        <v>3135563.61</v>
      </c>
      <c r="E5" s="191">
        <v>2209566.7000000002</v>
      </c>
      <c r="F5" s="191">
        <v>1704163.07</v>
      </c>
      <c r="G5" s="191">
        <v>1705065.54</v>
      </c>
      <c r="H5" s="191">
        <v>1809300</v>
      </c>
      <c r="I5" s="191">
        <v>2014355.6099999999</v>
      </c>
      <c r="J5" s="191">
        <v>1665717</v>
      </c>
      <c r="K5" s="191">
        <f>VLOOKUP(B5,lkp_10,2,FALSE)</f>
        <v>1931626.73</v>
      </c>
    </row>
    <row r="6" spans="1:11">
      <c r="B6" s="334" t="s">
        <v>157</v>
      </c>
      <c r="C6" s="191">
        <v>2842702</v>
      </c>
      <c r="D6" s="191">
        <v>2472045.7200000002</v>
      </c>
      <c r="E6" s="191">
        <v>2845423.81</v>
      </c>
      <c r="F6" s="191">
        <v>3425748.4</v>
      </c>
      <c r="G6" s="191">
        <v>2718120.18</v>
      </c>
      <c r="H6" s="191">
        <v>3027580</v>
      </c>
      <c r="I6" s="191">
        <v>2289092.34</v>
      </c>
      <c r="J6" s="191">
        <v>2636188</v>
      </c>
      <c r="K6" s="191">
        <f>VLOOKUP(B6,lkp_10,2,FALSE)</f>
        <v>1743822.97</v>
      </c>
    </row>
    <row r="7" spans="1:11">
      <c r="B7" s="334" t="s">
        <v>235</v>
      </c>
      <c r="C7" s="191">
        <v>750143</v>
      </c>
      <c r="D7" s="191">
        <v>573644.63</v>
      </c>
      <c r="E7" s="191">
        <v>381426.58</v>
      </c>
      <c r="F7" s="191">
        <v>379050.12</v>
      </c>
      <c r="G7" s="191">
        <v>625655.61</v>
      </c>
      <c r="H7" s="191">
        <v>793662.02</v>
      </c>
      <c r="I7" s="191">
        <v>392411.07</v>
      </c>
      <c r="J7" s="191">
        <v>736525</v>
      </c>
      <c r="K7" s="191">
        <f>VLOOKUP(B7,lkp_10,2,FALSE)</f>
        <v>1043403.94</v>
      </c>
    </row>
    <row r="8" spans="1:11">
      <c r="B8" s="334" t="s">
        <v>154</v>
      </c>
      <c r="C8" s="191">
        <v>1124508</v>
      </c>
      <c r="D8" s="191">
        <v>851567.22</v>
      </c>
      <c r="E8" s="191">
        <v>819257.58</v>
      </c>
      <c r="F8" s="191">
        <v>813991.96</v>
      </c>
      <c r="G8" s="191">
        <v>309565.11</v>
      </c>
      <c r="H8" s="191">
        <v>962585</v>
      </c>
      <c r="I8" s="191">
        <v>814089.25</v>
      </c>
      <c r="J8" s="191">
        <v>915292</v>
      </c>
      <c r="K8" s="191">
        <f>VLOOKUP(B8,lkp_10,2,FALSE)</f>
        <v>512494.07</v>
      </c>
    </row>
    <row r="9" spans="1:11">
      <c r="B9" s="334" t="s">
        <v>156</v>
      </c>
      <c r="C9" s="191">
        <v>160153</v>
      </c>
      <c r="D9" s="191">
        <v>237485.58</v>
      </c>
      <c r="E9" s="191">
        <v>181861.7</v>
      </c>
      <c r="F9" s="191">
        <v>312773.18</v>
      </c>
      <c r="G9" s="191">
        <v>714662.68</v>
      </c>
      <c r="H9" s="191">
        <v>263562</v>
      </c>
      <c r="I9" s="191">
        <v>272941</v>
      </c>
      <c r="J9" s="191">
        <v>255321</v>
      </c>
      <c r="K9" s="191">
        <f>VLOOKUP(B9,lkp_10,2,FALSE)</f>
        <v>105320.74</v>
      </c>
    </row>
    <row r="10" spans="1:11">
      <c r="B10" s="334" t="s">
        <v>155</v>
      </c>
      <c r="C10" s="191">
        <v>358523</v>
      </c>
      <c r="D10" s="191">
        <v>358213.68</v>
      </c>
      <c r="E10" s="191">
        <v>604601.54</v>
      </c>
      <c r="F10" s="191">
        <v>171313.17</v>
      </c>
      <c r="G10" s="191">
        <v>309498.65000000002</v>
      </c>
      <c r="H10" s="191">
        <v>1278361</v>
      </c>
      <c r="I10" s="191">
        <v>272192</v>
      </c>
      <c r="J10" s="191">
        <v>116413</v>
      </c>
      <c r="K10" s="191">
        <f>VLOOKUP(B10,lkp_10,2,FALSE)</f>
        <v>66974.570000000007</v>
      </c>
    </row>
    <row r="11" spans="1:11">
      <c r="B11" s="334" t="s">
        <v>114</v>
      </c>
      <c r="C11" s="191">
        <v>904925</v>
      </c>
      <c r="E11" s="191">
        <v>178002</v>
      </c>
      <c r="F11" s="191">
        <v>50000</v>
      </c>
      <c r="G11" s="191">
        <v>50000</v>
      </c>
      <c r="H11" s="191"/>
      <c r="I11" s="191"/>
      <c r="J11" s="191"/>
      <c r="K11" s="191"/>
    </row>
    <row r="12" spans="1:11">
      <c r="A12" s="392" t="s">
        <v>152</v>
      </c>
      <c r="B12" s="392"/>
      <c r="C12" s="385">
        <f>SUM(C3:C11)</f>
        <v>34975327</v>
      </c>
      <c r="D12" s="385">
        <f>SUM(D3:D11)</f>
        <v>33136515.939999994</v>
      </c>
      <c r="E12" s="385">
        <f>SUM(E3:E11)</f>
        <v>31304010.439999994</v>
      </c>
      <c r="F12" s="385">
        <f>SUM(F3:F11)</f>
        <v>31983086.380000003</v>
      </c>
      <c r="G12" s="385">
        <f>SUM(G3:G11)</f>
        <v>32964085.939999998</v>
      </c>
      <c r="H12" s="385">
        <f>SUM(H3:H11)</f>
        <v>35340062.019999996</v>
      </c>
      <c r="I12" s="385">
        <f>SUM(I3:I11)</f>
        <v>32112866.420000002</v>
      </c>
      <c r="J12" s="385">
        <f>SUM(J3:J11)</f>
        <v>28732202</v>
      </c>
      <c r="K12" s="385">
        <f>SUM(K3:K11)</f>
        <v>28092164.509999998</v>
      </c>
    </row>
    <row r="13" spans="1:11">
      <c r="F13" s="191"/>
      <c r="G13" s="191"/>
      <c r="H13" s="191"/>
      <c r="I13" s="191"/>
      <c r="J13" s="191"/>
      <c r="K13" s="191"/>
    </row>
    <row r="14" spans="1:11">
      <c r="A14" s="379" t="s">
        <v>104</v>
      </c>
      <c r="B14" s="334" t="s">
        <v>151</v>
      </c>
      <c r="C14" s="191">
        <v>10238326</v>
      </c>
      <c r="D14" s="191">
        <v>15805508.949999999</v>
      </c>
      <c r="E14" s="191">
        <v>13248074.52</v>
      </c>
      <c r="F14" s="191">
        <v>14244565.92</v>
      </c>
      <c r="G14" s="191">
        <v>14416087.09</v>
      </c>
      <c r="H14" s="191">
        <v>15246156</v>
      </c>
      <c r="I14" s="191">
        <v>14664698.560000001</v>
      </c>
      <c r="J14" s="191">
        <v>15400007</v>
      </c>
      <c r="K14" s="191">
        <f>VLOOKUP(B14,lkp_10,2,FALSE)</f>
        <v>13814905.16</v>
      </c>
    </row>
    <row r="15" spans="1:11">
      <c r="B15" s="334" t="s">
        <v>150</v>
      </c>
      <c r="D15" s="191">
        <v>59516.38</v>
      </c>
      <c r="E15" s="191">
        <v>76366.52</v>
      </c>
      <c r="F15" s="191">
        <v>112610.87</v>
      </c>
      <c r="G15" s="191">
        <v>88522.53</v>
      </c>
      <c r="H15" s="191">
        <v>55535</v>
      </c>
      <c r="I15" s="191">
        <v>18413</v>
      </c>
      <c r="J15" s="191">
        <v>30354</v>
      </c>
      <c r="K15" s="191">
        <f>VLOOKUP(B15,lkp_10,2,FALSE)</f>
        <v>24640.92</v>
      </c>
    </row>
    <row r="16" spans="1:11">
      <c r="B16" s="334" t="s">
        <v>276</v>
      </c>
      <c r="F16" s="191"/>
      <c r="G16" s="191"/>
      <c r="H16" s="191"/>
      <c r="I16" s="191"/>
      <c r="J16" s="191">
        <v>20658</v>
      </c>
      <c r="K16" s="191">
        <f>VLOOKUP(B16,lkp_10,2,FALSE)</f>
        <v>-134</v>
      </c>
    </row>
    <row r="17" spans="1:11">
      <c r="B17" s="391" t="s">
        <v>149</v>
      </c>
      <c r="C17" s="388">
        <f>SUM(C14:C16)</f>
        <v>10238326</v>
      </c>
      <c r="D17" s="388">
        <f>SUM(D14:D16)</f>
        <v>15865025.33</v>
      </c>
      <c r="E17" s="388">
        <f>SUM(E14:E16)</f>
        <v>13324441.039999999</v>
      </c>
      <c r="F17" s="388">
        <f>SUM(F14:F16)</f>
        <v>14357176.789999999</v>
      </c>
      <c r="G17" s="388">
        <f>SUM(G14:G16)</f>
        <v>14504609.619999999</v>
      </c>
      <c r="H17" s="388">
        <f>SUM(H14:H16)</f>
        <v>15301691</v>
      </c>
      <c r="I17" s="388">
        <f>SUM(I14:I16)</f>
        <v>14683111.560000001</v>
      </c>
      <c r="J17" s="388">
        <f>SUM(J14:J16)</f>
        <v>15451019</v>
      </c>
      <c r="K17" s="388">
        <f>SUM(K14:K16)</f>
        <v>13839412.08</v>
      </c>
    </row>
    <row r="18" spans="1:11" ht="7.5" customHeight="1">
      <c r="F18" s="191"/>
      <c r="G18" s="191"/>
      <c r="H18" s="191"/>
      <c r="I18" s="191"/>
      <c r="J18" s="191"/>
      <c r="K18" s="191"/>
    </row>
    <row r="19" spans="1:11">
      <c r="B19" s="334" t="s">
        <v>148</v>
      </c>
      <c r="C19" s="191">
        <v>10847630</v>
      </c>
      <c r="D19" s="191">
        <v>17836560.809999999</v>
      </c>
      <c r="E19" s="191">
        <v>18281035.739999998</v>
      </c>
      <c r="F19" s="191">
        <v>13726829.310000001</v>
      </c>
      <c r="G19" s="191">
        <v>15455053.789999999</v>
      </c>
      <c r="H19" s="191">
        <v>11875775</v>
      </c>
      <c r="I19" s="191">
        <v>12451687.119999999</v>
      </c>
      <c r="J19" s="191">
        <v>11779934</v>
      </c>
      <c r="K19" s="191">
        <f>VLOOKUP(B19,lkp_10,2,FALSE)</f>
        <v>11128381.119999999</v>
      </c>
    </row>
    <row r="20" spans="1:11">
      <c r="B20" s="334" t="s">
        <v>147</v>
      </c>
      <c r="F20" s="191"/>
      <c r="G20" s="191"/>
      <c r="H20" s="191"/>
      <c r="I20" s="191"/>
      <c r="J20" s="191"/>
      <c r="K20" s="191"/>
    </row>
    <row r="21" spans="1:11">
      <c r="B21" s="334" t="s">
        <v>146</v>
      </c>
      <c r="C21" s="191">
        <v>2551533</v>
      </c>
      <c r="D21" s="191">
        <v>2487432.84</v>
      </c>
      <c r="E21" s="191">
        <v>2905499.55</v>
      </c>
      <c r="F21" s="191">
        <v>1368456.31</v>
      </c>
      <c r="G21" s="191">
        <v>2742180.2</v>
      </c>
      <c r="H21" s="191">
        <v>3352210</v>
      </c>
      <c r="I21" s="191">
        <v>4013413.03</v>
      </c>
      <c r="J21" s="191">
        <v>4107184</v>
      </c>
      <c r="K21" s="191">
        <f>VLOOKUP(B21,lkp_10,2,FALSE)</f>
        <v>2658008.98</v>
      </c>
    </row>
    <row r="22" spans="1:11">
      <c r="B22" s="391" t="s">
        <v>145</v>
      </c>
      <c r="C22" s="388">
        <f>SUM(C19:C21)</f>
        <v>13399163</v>
      </c>
      <c r="D22" s="388">
        <f>SUM(D19:D21)</f>
        <v>20323993.649999999</v>
      </c>
      <c r="E22" s="388">
        <f>SUM(E19:E21)</f>
        <v>21186535.289999999</v>
      </c>
      <c r="F22" s="388">
        <f>SUM(F19:F21)</f>
        <v>15095285.620000001</v>
      </c>
      <c r="G22" s="388">
        <f>SUM(G19:G21)</f>
        <v>18197233.989999998</v>
      </c>
      <c r="H22" s="388">
        <f>SUM(H19:H21)</f>
        <v>15227985</v>
      </c>
      <c r="I22" s="388">
        <f>SUM(I19:I21)</f>
        <v>16465100.149999999</v>
      </c>
      <c r="J22" s="388">
        <f>SUM(J19:J21)</f>
        <v>15887118</v>
      </c>
      <c r="K22" s="388">
        <f>SUM(K19:K21)</f>
        <v>13786390.1</v>
      </c>
    </row>
    <row r="23" spans="1:11" ht="6" customHeight="1">
      <c r="F23" s="191"/>
      <c r="G23" s="191"/>
      <c r="H23" s="191"/>
      <c r="I23" s="191"/>
      <c r="J23" s="191"/>
      <c r="K23" s="191"/>
    </row>
    <row r="24" spans="1:11">
      <c r="B24" s="334" t="s">
        <v>144</v>
      </c>
      <c r="C24" s="191">
        <v>9148722</v>
      </c>
      <c r="D24" s="191">
        <v>11855753.15</v>
      </c>
      <c r="E24" s="191">
        <v>10691474.27</v>
      </c>
      <c r="F24" s="191">
        <v>12164790.199999999</v>
      </c>
      <c r="G24" s="191">
        <v>11894739.43</v>
      </c>
      <c r="H24" s="191">
        <v>12793663</v>
      </c>
      <c r="I24" s="191">
        <v>10976873.369999997</v>
      </c>
      <c r="J24" s="191">
        <v>11026037</v>
      </c>
      <c r="K24" s="191">
        <f>VLOOKUP(B24,lkp_10,2,FALSE)</f>
        <v>11069042.779999999</v>
      </c>
    </row>
    <row r="25" spans="1:11">
      <c r="B25" s="334" t="s">
        <v>143</v>
      </c>
      <c r="C25" s="191">
        <v>43689</v>
      </c>
      <c r="F25" s="191"/>
      <c r="G25" s="191"/>
      <c r="H25" s="191"/>
      <c r="I25" s="191"/>
      <c r="J25" s="191"/>
      <c r="K25" s="191"/>
    </row>
    <row r="26" spans="1:11">
      <c r="B26" s="391" t="s">
        <v>142</v>
      </c>
      <c r="C26" s="388">
        <f>SUM(C24:C25)</f>
        <v>9192411</v>
      </c>
      <c r="D26" s="388">
        <f>SUM(D24:D25)</f>
        <v>11855753.15</v>
      </c>
      <c r="E26" s="388">
        <f>SUM(E24:E25)</f>
        <v>10691474.27</v>
      </c>
      <c r="F26" s="388">
        <f>SUM(F24:F25)</f>
        <v>12164790.199999999</v>
      </c>
      <c r="G26" s="388">
        <f>SUM(G24:G25)</f>
        <v>11894739.43</v>
      </c>
      <c r="H26" s="388">
        <f>SUM(H24:H25)</f>
        <v>12793663</v>
      </c>
      <c r="I26" s="388">
        <f>SUM(I24:I25)</f>
        <v>10976873.369999997</v>
      </c>
      <c r="J26" s="388">
        <f>SUM(J24:J25)</f>
        <v>11026037</v>
      </c>
      <c r="K26" s="388">
        <f>SUM(K24:K25)</f>
        <v>11069042.779999999</v>
      </c>
    </row>
    <row r="27" spans="1:11" ht="6.75" customHeight="1">
      <c r="F27" s="191"/>
      <c r="G27" s="191"/>
      <c r="H27" s="191"/>
      <c r="I27" s="191"/>
      <c r="J27" s="191"/>
      <c r="K27" s="191"/>
    </row>
    <row r="28" spans="1:11">
      <c r="B28" s="334" t="s">
        <v>141</v>
      </c>
      <c r="C28" s="191">
        <v>2414914</v>
      </c>
      <c r="D28" s="191">
        <v>2382531.36</v>
      </c>
      <c r="E28" s="191">
        <v>2777167.37</v>
      </c>
      <c r="F28" s="191">
        <v>3063650.19</v>
      </c>
      <c r="G28" s="191">
        <v>3051536.75</v>
      </c>
      <c r="H28" s="191">
        <v>3810995</v>
      </c>
      <c r="I28" s="191">
        <v>3076776</v>
      </c>
      <c r="J28" s="191">
        <v>3185901</v>
      </c>
      <c r="K28" s="191">
        <f>VLOOKUP(B28,lkp_10,2,FALSE)</f>
        <v>2087883.66</v>
      </c>
    </row>
    <row r="29" spans="1:11">
      <c r="B29" s="391" t="s">
        <v>140</v>
      </c>
      <c r="C29" s="388">
        <f>SUM(C28:C28)</f>
        <v>2414914</v>
      </c>
      <c r="D29" s="388">
        <f>SUM(D28:D28)</f>
        <v>2382531.36</v>
      </c>
      <c r="E29" s="388">
        <f>SUM(E28:E28)</f>
        <v>2777167.37</v>
      </c>
      <c r="F29" s="388">
        <f>SUM(F28:F28)</f>
        <v>3063650.19</v>
      </c>
      <c r="G29" s="388">
        <f>SUM(G28:G28)</f>
        <v>3051536.75</v>
      </c>
      <c r="H29" s="388">
        <f>SUM(H28:H28)</f>
        <v>3810995</v>
      </c>
      <c r="I29" s="388">
        <f>SUM(I28:I28)</f>
        <v>3076776</v>
      </c>
      <c r="J29" s="388">
        <f>SUM(J28:J28)</f>
        <v>3185901</v>
      </c>
      <c r="K29" s="388">
        <f>SUM(K28:K28)</f>
        <v>2087883.66</v>
      </c>
    </row>
    <row r="30" spans="1:11" ht="18" customHeight="1">
      <c r="A30" s="370" t="s">
        <v>139</v>
      </c>
      <c r="B30" s="370"/>
      <c r="C30" s="385">
        <f>SUM(C29,C26,C22,C17)</f>
        <v>35244814</v>
      </c>
      <c r="D30" s="385">
        <f>SUM(D29,D26,D22,D17)</f>
        <v>50427303.489999995</v>
      </c>
      <c r="E30" s="385">
        <f>SUM(E29,E26,E22,E17)</f>
        <v>47979617.969999999</v>
      </c>
      <c r="F30" s="385">
        <f>SUM(F29,F26,F22,F17)</f>
        <v>44680902.799999997</v>
      </c>
      <c r="G30" s="385">
        <f>SUM(G29,G26,G22,G17)</f>
        <v>47648119.789999999</v>
      </c>
      <c r="H30" s="385">
        <f>SUM(H29,H26,H22,H17)</f>
        <v>47134334</v>
      </c>
      <c r="I30" s="385">
        <f>SUM(I29,I26,I22,I17)</f>
        <v>45201861.079999998</v>
      </c>
      <c r="J30" s="385">
        <f>SUM(J29,J26,J22,J17)</f>
        <v>45550075</v>
      </c>
      <c r="K30" s="385">
        <f>SUM(K29,K26,K22,K17)</f>
        <v>40782728.619999997</v>
      </c>
    </row>
    <row r="31" spans="1:11">
      <c r="B31" s="379"/>
      <c r="F31" s="191"/>
      <c r="G31" s="191"/>
      <c r="H31" s="191"/>
      <c r="I31" s="191"/>
      <c r="J31" s="191"/>
      <c r="K31" s="191"/>
    </row>
    <row r="32" spans="1:11">
      <c r="A32" s="379" t="s">
        <v>138</v>
      </c>
      <c r="B32" s="334" t="s">
        <v>119</v>
      </c>
      <c r="C32" s="191">
        <v>32944242</v>
      </c>
      <c r="D32" s="191">
        <v>25813515.890000001</v>
      </c>
      <c r="E32" s="191">
        <v>25447028.68</v>
      </c>
      <c r="F32" s="191">
        <v>23930423.989999998</v>
      </c>
      <c r="G32" s="191">
        <v>27481990.550000001</v>
      </c>
      <c r="H32" s="191">
        <v>27344154</v>
      </c>
      <c r="I32" s="191">
        <v>23095849.280000001</v>
      </c>
      <c r="J32" s="191">
        <v>30088177</v>
      </c>
      <c r="K32" s="191">
        <f>VLOOKUP(B32,lkp_10,2,FALSE)</f>
        <v>23060163.939999994</v>
      </c>
    </row>
    <row r="33" spans="2:11">
      <c r="B33" s="334" t="s">
        <v>134</v>
      </c>
      <c r="C33" s="191">
        <v>16189398</v>
      </c>
      <c r="D33" s="191">
        <v>21993515.789999999</v>
      </c>
      <c r="E33" s="191">
        <v>16872697.670000002</v>
      </c>
      <c r="F33" s="191">
        <v>15116518.9</v>
      </c>
      <c r="G33" s="191">
        <v>14293923.970000001</v>
      </c>
      <c r="H33" s="191">
        <v>15137000</v>
      </c>
      <c r="I33" s="191">
        <v>20566434.849999998</v>
      </c>
      <c r="J33" s="191">
        <v>16674160</v>
      </c>
      <c r="K33" s="191">
        <f>VLOOKUP(B33,lkp_10,2,FALSE)</f>
        <v>16547621.699999996</v>
      </c>
    </row>
    <row r="34" spans="2:11">
      <c r="B34" s="334" t="s">
        <v>127</v>
      </c>
      <c r="C34" s="191">
        <v>15349520</v>
      </c>
      <c r="D34" s="191">
        <v>16073605.48</v>
      </c>
      <c r="E34" s="191">
        <v>15800876.02</v>
      </c>
      <c r="F34" s="191">
        <v>15294864.880000001</v>
      </c>
      <c r="G34" s="191">
        <v>16713068.199999999</v>
      </c>
      <c r="H34" s="191">
        <v>16526287</v>
      </c>
      <c r="I34" s="191">
        <v>18138282.009999998</v>
      </c>
      <c r="J34" s="191">
        <v>16731875</v>
      </c>
      <c r="K34" s="191">
        <f>VLOOKUP(B34,lkp_10,2,FALSE)</f>
        <v>15000943.699999999</v>
      </c>
    </row>
    <row r="35" spans="2:11">
      <c r="B35" s="334" t="s">
        <v>122</v>
      </c>
      <c r="C35" s="191">
        <v>11365123</v>
      </c>
      <c r="D35" s="191">
        <v>9951477.0299999993</v>
      </c>
      <c r="E35" s="191">
        <v>12122356.76</v>
      </c>
      <c r="F35" s="191">
        <v>12088601.689999999</v>
      </c>
      <c r="G35" s="191">
        <v>11248947.369999999</v>
      </c>
      <c r="H35" s="191">
        <v>10584971</v>
      </c>
      <c r="I35" s="191">
        <v>11987367.720000001</v>
      </c>
      <c r="J35" s="191">
        <v>13963980</v>
      </c>
      <c r="K35" s="191">
        <f>VLOOKUP(B35,lkp_10,2,FALSE)</f>
        <v>14080297.659999996</v>
      </c>
    </row>
    <row r="36" spans="2:11">
      <c r="B36" s="334" t="s">
        <v>128</v>
      </c>
      <c r="C36" s="191">
        <v>8537716</v>
      </c>
      <c r="D36" s="191">
        <v>12321474</v>
      </c>
      <c r="E36" s="191">
        <v>15094787.6</v>
      </c>
      <c r="F36" s="191">
        <v>21941730.670000002</v>
      </c>
      <c r="G36" s="191">
        <v>11586883.73</v>
      </c>
      <c r="H36" s="191">
        <v>15188307</v>
      </c>
      <c r="I36" s="191">
        <v>11041579.77</v>
      </c>
      <c r="J36" s="191">
        <v>12755152</v>
      </c>
      <c r="K36" s="191">
        <f>VLOOKUP(B36,lkp_10,2,FALSE)</f>
        <v>10441818.99</v>
      </c>
    </row>
    <row r="37" spans="2:11">
      <c r="B37" s="334" t="s">
        <v>135</v>
      </c>
      <c r="C37" s="191">
        <v>7660904</v>
      </c>
      <c r="D37" s="191">
        <v>8747388.2599999998</v>
      </c>
      <c r="E37" s="191">
        <v>7939587.2699999996</v>
      </c>
      <c r="F37" s="191">
        <v>8553076.3699999992</v>
      </c>
      <c r="G37" s="191">
        <v>9041925.8399999999</v>
      </c>
      <c r="H37" s="191">
        <v>9140737</v>
      </c>
      <c r="I37" s="191">
        <v>9740397.0799999982</v>
      </c>
      <c r="J37" s="191">
        <v>8413360</v>
      </c>
      <c r="K37" s="191">
        <f>VLOOKUP(B37,lkp_10,2,FALSE)</f>
        <v>8244084.9399999976</v>
      </c>
    </row>
    <row r="38" spans="2:11">
      <c r="B38" s="334" t="s">
        <v>131</v>
      </c>
      <c r="C38" s="191">
        <v>6859314</v>
      </c>
      <c r="D38" s="191">
        <v>7223658.5800000001</v>
      </c>
      <c r="E38" s="191">
        <v>11203329.99</v>
      </c>
      <c r="F38" s="191">
        <v>5691055.3700000001</v>
      </c>
      <c r="G38" s="191">
        <v>12065436.449999999</v>
      </c>
      <c r="H38" s="191">
        <v>6615140</v>
      </c>
      <c r="I38" s="191">
        <v>8271585.4100000001</v>
      </c>
      <c r="J38" s="191">
        <v>8173784</v>
      </c>
      <c r="K38" s="191">
        <f>VLOOKUP(B38,lkp_10,2,FALSE)</f>
        <v>7077489.7400000012</v>
      </c>
    </row>
    <row r="39" spans="2:11">
      <c r="B39" s="334" t="s">
        <v>129</v>
      </c>
      <c r="C39" s="191">
        <v>2066331</v>
      </c>
      <c r="D39" s="191">
        <v>2575344.41</v>
      </c>
      <c r="E39" s="191">
        <v>2709447.93</v>
      </c>
      <c r="F39" s="191">
        <v>2962457.34</v>
      </c>
      <c r="G39" s="191">
        <v>3133721.78</v>
      </c>
      <c r="H39" s="191">
        <v>3359054</v>
      </c>
      <c r="I39" s="191">
        <v>4505004.3800000008</v>
      </c>
      <c r="J39" s="191">
        <v>4568749</v>
      </c>
      <c r="K39" s="191">
        <f>VLOOKUP(B39,lkp_10,2,FALSE)</f>
        <v>4048020.7299999995</v>
      </c>
    </row>
    <row r="40" spans="2:11">
      <c r="B40" s="334" t="s">
        <v>125</v>
      </c>
      <c r="C40" s="191">
        <v>2830660</v>
      </c>
      <c r="D40" s="191">
        <v>2837601.3</v>
      </c>
      <c r="E40" s="191">
        <v>4009231.03</v>
      </c>
      <c r="F40" s="191">
        <v>3551517.74</v>
      </c>
      <c r="G40" s="191">
        <v>3477187.41</v>
      </c>
      <c r="H40" s="191">
        <v>3422313</v>
      </c>
      <c r="I40" s="191">
        <v>3912663.8599999994</v>
      </c>
      <c r="J40" s="191">
        <v>3607056</v>
      </c>
      <c r="K40" s="191">
        <f>VLOOKUP(B40,lkp_10,2,FALSE)</f>
        <v>3891274.99</v>
      </c>
    </row>
    <row r="41" spans="2:11">
      <c r="B41" s="334" t="s">
        <v>123</v>
      </c>
      <c r="C41" s="191">
        <v>2803647</v>
      </c>
      <c r="D41" s="191">
        <v>2932795.66</v>
      </c>
      <c r="E41" s="191">
        <v>2709869.99</v>
      </c>
      <c r="F41" s="191">
        <v>3314938.77</v>
      </c>
      <c r="G41" s="191">
        <v>2989703.16</v>
      </c>
      <c r="H41" s="191">
        <v>3403933</v>
      </c>
      <c r="I41" s="191">
        <v>3673493.3099999996</v>
      </c>
      <c r="J41" s="191">
        <v>5267198</v>
      </c>
      <c r="K41" s="191">
        <f>VLOOKUP(B41,lkp_10,2,FALSE)</f>
        <v>3464330.9700000007</v>
      </c>
    </row>
    <row r="42" spans="2:11">
      <c r="B42" s="334" t="s">
        <v>136</v>
      </c>
      <c r="C42" s="191">
        <v>2340704</v>
      </c>
      <c r="D42" s="191">
        <v>2668551.16</v>
      </c>
      <c r="E42" s="191">
        <v>2714055.36</v>
      </c>
      <c r="F42" s="191">
        <v>2606885.94</v>
      </c>
      <c r="G42" s="191">
        <v>2686195.65</v>
      </c>
      <c r="H42" s="191">
        <v>2722811</v>
      </c>
      <c r="I42" s="191">
        <v>2717874.71</v>
      </c>
      <c r="J42" s="191">
        <v>2726337</v>
      </c>
      <c r="K42" s="191">
        <f>VLOOKUP(B42,lkp_10,2,FALSE)</f>
        <v>2742503.0500000003</v>
      </c>
    </row>
    <row r="43" spans="2:11">
      <c r="B43" s="334" t="s">
        <v>124</v>
      </c>
      <c r="C43" s="191">
        <v>841382</v>
      </c>
      <c r="D43" s="191">
        <v>1147875</v>
      </c>
      <c r="E43" s="191">
        <v>694692.43</v>
      </c>
      <c r="F43" s="191">
        <v>626509.31000000006</v>
      </c>
      <c r="G43" s="191">
        <v>1086909.6599999999</v>
      </c>
      <c r="H43" s="191">
        <v>936944</v>
      </c>
      <c r="I43" s="191">
        <v>1023666</v>
      </c>
      <c r="J43" s="191">
        <v>1028574</v>
      </c>
      <c r="K43" s="191">
        <f>VLOOKUP(B43,lkp_10,2,FALSE)</f>
        <v>1221590.6500000001</v>
      </c>
    </row>
    <row r="44" spans="2:11">
      <c r="B44" s="334" t="s">
        <v>137</v>
      </c>
      <c r="C44" s="191">
        <v>658775</v>
      </c>
      <c r="D44" s="191">
        <v>831696.91</v>
      </c>
      <c r="E44" s="191">
        <v>610971.79</v>
      </c>
      <c r="F44" s="191">
        <v>761026.25</v>
      </c>
      <c r="G44" s="191">
        <v>1081654.73</v>
      </c>
      <c r="H44" s="191">
        <v>797849</v>
      </c>
      <c r="I44" s="191">
        <v>811009.52</v>
      </c>
      <c r="J44" s="191">
        <v>828953</v>
      </c>
      <c r="K44" s="191">
        <f>VLOOKUP(B44,lkp_10,2,FALSE)</f>
        <v>738429.14999999991</v>
      </c>
    </row>
    <row r="45" spans="2:11">
      <c r="B45" s="334" t="s">
        <v>126</v>
      </c>
      <c r="C45" s="191">
        <v>430107</v>
      </c>
      <c r="D45" s="191">
        <v>453174.96</v>
      </c>
      <c r="E45" s="191">
        <v>755838.51</v>
      </c>
      <c r="F45" s="191">
        <v>664291.94999999995</v>
      </c>
      <c r="G45" s="191">
        <v>684144.2</v>
      </c>
      <c r="H45" s="191">
        <v>632232</v>
      </c>
      <c r="I45" s="191">
        <v>613878.14000000013</v>
      </c>
      <c r="J45" s="191">
        <v>629823</v>
      </c>
      <c r="K45" s="191">
        <f>VLOOKUP(B45,lkp_10,2,FALSE)</f>
        <v>566427.66</v>
      </c>
    </row>
    <row r="46" spans="2:11">
      <c r="B46" s="334" t="s">
        <v>121</v>
      </c>
      <c r="C46" s="191">
        <v>427731</v>
      </c>
      <c r="D46" s="191">
        <v>403540.21</v>
      </c>
      <c r="E46" s="191">
        <v>389914</v>
      </c>
      <c r="F46" s="191">
        <v>448433.02</v>
      </c>
      <c r="G46" s="191">
        <v>542524.98</v>
      </c>
      <c r="H46" s="191">
        <v>466896</v>
      </c>
      <c r="I46" s="191">
        <v>537684</v>
      </c>
      <c r="J46" s="191">
        <v>506008</v>
      </c>
      <c r="K46" s="191">
        <f>VLOOKUP(B46,lkp_10,2,FALSE)</f>
        <v>507759.98</v>
      </c>
    </row>
    <row r="47" spans="2:11">
      <c r="B47" s="334" t="s">
        <v>120</v>
      </c>
      <c r="C47" s="191">
        <v>148610</v>
      </c>
      <c r="D47" s="191">
        <v>162735.01</v>
      </c>
      <c r="E47" s="191">
        <v>206529.12</v>
      </c>
      <c r="F47" s="191">
        <v>340149.56</v>
      </c>
      <c r="G47" s="191">
        <v>393094.87</v>
      </c>
      <c r="H47" s="191">
        <v>381505</v>
      </c>
      <c r="I47" s="191">
        <v>316905</v>
      </c>
      <c r="J47" s="191">
        <v>396708</v>
      </c>
      <c r="K47" s="191">
        <f>VLOOKUP(B47,lkp_10,2,FALSE)</f>
        <v>371180.75</v>
      </c>
    </row>
    <row r="48" spans="2:11">
      <c r="B48" s="334" t="s">
        <v>130</v>
      </c>
      <c r="C48" s="191">
        <v>34325</v>
      </c>
      <c r="D48" s="191">
        <v>118229.05</v>
      </c>
      <c r="E48" s="191">
        <v>364936.65</v>
      </c>
      <c r="F48" s="191">
        <v>453801.49</v>
      </c>
      <c r="G48" s="191">
        <v>633054.71999999997</v>
      </c>
      <c r="H48" s="191">
        <v>661308</v>
      </c>
      <c r="I48" s="191">
        <v>614064.73</v>
      </c>
      <c r="J48" s="191">
        <v>545674</v>
      </c>
      <c r="K48" s="191">
        <f>VLOOKUP(B48,lkp_10,2,FALSE)</f>
        <v>282488.83999999997</v>
      </c>
    </row>
    <row r="49" spans="1:11" ht="16.5" customHeight="1">
      <c r="B49" s="334" t="s">
        <v>133</v>
      </c>
      <c r="C49" s="191">
        <v>124703</v>
      </c>
      <c r="D49" s="191">
        <v>158296.26999999999</v>
      </c>
      <c r="E49" s="191">
        <v>110571.35</v>
      </c>
      <c r="F49" s="191">
        <v>140397.85999999999</v>
      </c>
      <c r="G49" s="191">
        <v>134869.24</v>
      </c>
      <c r="H49" s="191">
        <v>163102</v>
      </c>
      <c r="I49" s="191">
        <v>234021</v>
      </c>
      <c r="J49" s="191">
        <v>138705</v>
      </c>
      <c r="K49" s="191">
        <f>VLOOKUP(B49,lkp_10,2,FALSE)</f>
        <v>132666.63</v>
      </c>
    </row>
    <row r="50" spans="1:11" ht="16.5" customHeight="1">
      <c r="B50" s="334" t="s">
        <v>132</v>
      </c>
      <c r="E50" s="191">
        <v>68133.8</v>
      </c>
      <c r="F50" s="191">
        <v>52779.89</v>
      </c>
      <c r="G50" s="191">
        <v>140868.88</v>
      </c>
      <c r="H50" s="191">
        <v>124210</v>
      </c>
      <c r="I50" s="191">
        <v>102394</v>
      </c>
      <c r="J50" s="191">
        <v>130034</v>
      </c>
      <c r="K50" s="191">
        <f>VLOOKUP(B50,lkp_10,2,FALSE)</f>
        <v>104183.70999999999</v>
      </c>
    </row>
    <row r="51" spans="1:11">
      <c r="B51" s="334" t="s">
        <v>236</v>
      </c>
      <c r="F51" s="191"/>
      <c r="G51" s="191"/>
      <c r="H51" s="191">
        <v>4650</v>
      </c>
      <c r="I51" s="191">
        <v>-4650</v>
      </c>
      <c r="J51" s="191"/>
      <c r="K51" s="191"/>
    </row>
    <row r="52" spans="1:11">
      <c r="A52" s="370" t="s">
        <v>118</v>
      </c>
      <c r="B52" s="370"/>
      <c r="C52" s="385">
        <f>SUM(C32:C51)</f>
        <v>111613192</v>
      </c>
      <c r="D52" s="385">
        <f>SUM(D32:D51)</f>
        <v>116414474.96999997</v>
      </c>
      <c r="E52" s="385">
        <f>SUM(E32:E51)</f>
        <v>119824855.95000002</v>
      </c>
      <c r="F52" s="385">
        <f>SUM(F32:F51)</f>
        <v>118539460.98999999</v>
      </c>
      <c r="G52" s="385">
        <f>SUM(G32:G51)</f>
        <v>119416105.39000002</v>
      </c>
      <c r="H52" s="385">
        <f>SUM(H32:H51)</f>
        <v>117613403</v>
      </c>
      <c r="I52" s="385">
        <f>SUM(I32:I51)</f>
        <v>121899504.76999998</v>
      </c>
      <c r="J52" s="385">
        <f>SUM(J32:J51)</f>
        <v>127174307</v>
      </c>
      <c r="K52" s="385">
        <f>SUM(K32:K51)</f>
        <v>112523277.77999997</v>
      </c>
    </row>
    <row r="53" spans="1:11">
      <c r="B53" s="390"/>
      <c r="F53" s="191"/>
      <c r="G53" s="191"/>
      <c r="H53" s="191"/>
      <c r="I53" s="191"/>
      <c r="J53" s="191"/>
      <c r="K53" s="191"/>
    </row>
    <row r="54" spans="1:11" ht="30">
      <c r="A54" s="145" t="s">
        <v>117</v>
      </c>
      <c r="B54" s="389" t="s">
        <v>116</v>
      </c>
      <c r="C54" s="385">
        <v>13908430</v>
      </c>
      <c r="D54" s="385">
        <v>14053990.26</v>
      </c>
      <c r="E54" s="385">
        <v>12711728.189999999</v>
      </c>
      <c r="F54" s="385">
        <v>13671164.91</v>
      </c>
      <c r="G54" s="385">
        <v>13923765.529999999</v>
      </c>
      <c r="H54" s="385">
        <v>13908920</v>
      </c>
      <c r="I54" s="385">
        <v>14114665.6</v>
      </c>
      <c r="J54" s="385">
        <v>13517548</v>
      </c>
      <c r="K54" s="385">
        <f>VLOOKUP(B54,lkp_10,2,FALSE)</f>
        <v>16836697.550000001</v>
      </c>
    </row>
    <row r="55" spans="1:11">
      <c r="F55" s="191"/>
      <c r="G55" s="191"/>
      <c r="H55" s="191"/>
      <c r="I55" s="191"/>
      <c r="J55" s="191"/>
      <c r="K55" s="191"/>
    </row>
    <row r="56" spans="1:11" ht="30">
      <c r="A56" s="335" t="s">
        <v>115</v>
      </c>
      <c r="B56" s="389" t="s">
        <v>237</v>
      </c>
      <c r="C56" s="385">
        <v>3662199</v>
      </c>
      <c r="D56" s="385">
        <v>3384748.36</v>
      </c>
      <c r="E56" s="385">
        <v>2800349.96</v>
      </c>
      <c r="F56" s="385">
        <v>3123239.52</v>
      </c>
      <c r="G56" s="385">
        <v>3143475.74</v>
      </c>
      <c r="H56" s="385">
        <v>3036343</v>
      </c>
      <c r="I56" s="385">
        <v>3102343.58</v>
      </c>
      <c r="J56" s="385">
        <v>3019916</v>
      </c>
      <c r="K56" s="385">
        <f>VLOOKUP(B56,lkp_10,2,FALSE)</f>
        <v>2897182.59</v>
      </c>
    </row>
    <row r="57" spans="1:11">
      <c r="F57" s="191"/>
      <c r="G57" s="191"/>
      <c r="H57" s="191"/>
      <c r="I57" s="191"/>
      <c r="J57" s="191"/>
      <c r="K57" s="191"/>
    </row>
    <row r="58" spans="1:11">
      <c r="A58" s="379" t="s">
        <v>114</v>
      </c>
      <c r="B58" s="334" t="s">
        <v>113</v>
      </c>
      <c r="C58" s="191">
        <v>51870632</v>
      </c>
      <c r="D58" s="191">
        <v>37603354.659999996</v>
      </c>
      <c r="E58" s="191">
        <v>36314947.420000002</v>
      </c>
      <c r="F58" s="191">
        <v>21464270.649999999</v>
      </c>
      <c r="G58" s="191">
        <v>24068856.09</v>
      </c>
      <c r="H58" s="191">
        <v>25183984.759999998</v>
      </c>
      <c r="I58" s="191">
        <v>24010159.039999999</v>
      </c>
      <c r="J58" s="191">
        <v>22142181</v>
      </c>
      <c r="K58" s="191">
        <f>VLOOKUP(B58,lkp_10,2,FALSE)</f>
        <v>26273412.68</v>
      </c>
    </row>
    <row r="59" spans="1:11" ht="18">
      <c r="B59" s="334" t="s">
        <v>110</v>
      </c>
      <c r="C59" s="191">
        <v>52203712</v>
      </c>
      <c r="D59" s="191">
        <v>38048399.530000001</v>
      </c>
      <c r="E59" s="191">
        <v>23741722.07</v>
      </c>
      <c r="F59" s="191">
        <v>20104220.399999999</v>
      </c>
      <c r="G59" s="191">
        <v>22112085.41</v>
      </c>
      <c r="H59" s="191">
        <v>18204478</v>
      </c>
      <c r="I59" s="191">
        <v>8998595</v>
      </c>
      <c r="J59" s="191">
        <v>26702585</v>
      </c>
      <c r="K59" s="191">
        <f>VLOOKUP(B59,lkp_10,2,FALSE)</f>
        <v>12768517.42</v>
      </c>
    </row>
    <row r="60" spans="1:11">
      <c r="B60" s="334" t="s">
        <v>112</v>
      </c>
      <c r="C60" s="381">
        <v>5933917</v>
      </c>
      <c r="D60" s="381">
        <v>8235814.3799999999</v>
      </c>
      <c r="E60" s="381">
        <v>7854727.4900000002</v>
      </c>
      <c r="F60" s="381">
        <v>8969539.379999999</v>
      </c>
      <c r="G60" s="381">
        <v>10995773.41</v>
      </c>
      <c r="H60" s="381">
        <v>7743398.8499999996</v>
      </c>
      <c r="I60" s="381">
        <v>4497166.07</v>
      </c>
      <c r="J60" s="381">
        <v>6471900</v>
      </c>
      <c r="K60" s="191">
        <f>VLOOKUP(B60,lkp_10,2,FALSE)</f>
        <v>5682822.5</v>
      </c>
    </row>
    <row r="61" spans="1:11">
      <c r="B61" s="334" t="s">
        <v>108</v>
      </c>
      <c r="C61" s="191">
        <v>4778134</v>
      </c>
      <c r="D61" s="191">
        <v>4833194.43</v>
      </c>
      <c r="E61" s="191">
        <v>5528549.8099999996</v>
      </c>
      <c r="F61" s="191">
        <v>4191459.14</v>
      </c>
      <c r="G61" s="191">
        <v>5148896.25</v>
      </c>
      <c r="H61" s="191">
        <v>4792260</v>
      </c>
      <c r="I61" s="191">
        <v>4538278</v>
      </c>
      <c r="J61" s="191">
        <v>4643486</v>
      </c>
      <c r="K61" s="191">
        <f>VLOOKUP(B61,lkp_10,2,FALSE)</f>
        <v>4504494.53</v>
      </c>
    </row>
    <row r="62" spans="1:11">
      <c r="B62" s="334" t="s">
        <v>109</v>
      </c>
      <c r="C62" s="191">
        <v>935038</v>
      </c>
      <c r="D62" s="191">
        <v>1802447.45</v>
      </c>
      <c r="E62" s="191">
        <v>1810123.48</v>
      </c>
      <c r="F62" s="191">
        <v>1862081.77</v>
      </c>
      <c r="G62" s="191">
        <v>2058244.58</v>
      </c>
      <c r="H62" s="191">
        <v>1989826</v>
      </c>
      <c r="I62" s="191">
        <v>2318310.46</v>
      </c>
      <c r="J62" s="191">
        <v>1690830</v>
      </c>
      <c r="K62" s="191">
        <f>VLOOKUP(B62,lkp_10,2,FALSE)</f>
        <v>1322507.22</v>
      </c>
    </row>
    <row r="63" spans="1:11" ht="16.5" customHeight="1">
      <c r="B63" s="334" t="s">
        <v>365</v>
      </c>
      <c r="C63" s="191">
        <v>-5658821</v>
      </c>
      <c r="D63" s="191">
        <v>-3141637.28</v>
      </c>
      <c r="F63" s="191"/>
      <c r="G63" s="191">
        <v>-1875149.14</v>
      </c>
      <c r="H63" s="191">
        <v>-774836</v>
      </c>
      <c r="I63" s="191">
        <v>-836214</v>
      </c>
      <c r="J63" s="191">
        <v>-944940</v>
      </c>
      <c r="K63" s="191">
        <f>VLOOKUP(B63,lkp_10,2,FALSE)</f>
        <v>-830904.81</v>
      </c>
    </row>
    <row r="64" spans="1:11">
      <c r="B64" s="334" t="s">
        <v>111</v>
      </c>
      <c r="C64" s="191">
        <v>1748321</v>
      </c>
      <c r="D64" s="191">
        <v>1611165.69</v>
      </c>
      <c r="E64" s="191">
        <v>1231259.69</v>
      </c>
      <c r="F64" s="191">
        <v>544683.72</v>
      </c>
      <c r="G64" s="191">
        <v>-53709.74</v>
      </c>
      <c r="H64" s="191"/>
      <c r="I64" s="191"/>
      <c r="J64" s="191"/>
      <c r="K64" s="191"/>
    </row>
    <row r="65" spans="1:15">
      <c r="A65" s="370" t="s">
        <v>107</v>
      </c>
      <c r="B65" s="370"/>
      <c r="C65" s="385">
        <f>SUM(C58:C64)</f>
        <v>111810933</v>
      </c>
      <c r="D65" s="385">
        <f>SUM(D58:D64)</f>
        <v>88992738.859999999</v>
      </c>
      <c r="E65" s="385">
        <f>SUM(E58:E64)</f>
        <v>76481329.960000008</v>
      </c>
      <c r="F65" s="385">
        <f>SUM(F58:F64)</f>
        <v>57136255.059999995</v>
      </c>
      <c r="G65" s="385">
        <f>SUM(G58:G64)</f>
        <v>62454996.859999992</v>
      </c>
      <c r="H65" s="385">
        <f>SUM(H58:H64)</f>
        <v>57139111.609999999</v>
      </c>
      <c r="I65" s="385">
        <f>SUM(I58:I64)</f>
        <v>43526294.57</v>
      </c>
      <c r="J65" s="385">
        <f>SUM(J58:J64)</f>
        <v>60706042</v>
      </c>
      <c r="K65" s="385">
        <f>SUM(K58:K64)</f>
        <v>49720849.539999999</v>
      </c>
    </row>
    <row r="66" spans="1:15">
      <c r="B66" s="379"/>
      <c r="C66" s="388"/>
      <c r="D66" s="388"/>
      <c r="E66" s="388"/>
      <c r="F66" s="388"/>
      <c r="G66" s="388"/>
      <c r="H66" s="388"/>
      <c r="I66" s="388"/>
      <c r="J66" s="388"/>
      <c r="K66" s="388"/>
    </row>
    <row r="67" spans="1:15">
      <c r="A67" s="167" t="s">
        <v>277</v>
      </c>
      <c r="B67" s="167"/>
      <c r="C67" s="387"/>
      <c r="D67" s="387"/>
      <c r="E67" s="387"/>
      <c r="F67" s="387"/>
      <c r="G67" s="387"/>
      <c r="H67" s="387"/>
      <c r="I67" s="387"/>
      <c r="J67" s="387">
        <v>10367580</v>
      </c>
      <c r="K67" s="387">
        <f>VLOOKUP(A67,lkp_10,2,FALSE)</f>
        <v>11607301</v>
      </c>
      <c r="L67"/>
      <c r="M67"/>
      <c r="N67"/>
      <c r="O67"/>
    </row>
    <row r="68" spans="1:15">
      <c r="A68" s="90" t="s">
        <v>270</v>
      </c>
      <c r="B68" s="90"/>
      <c r="C68" s="386"/>
      <c r="D68" s="386"/>
      <c r="E68" s="386"/>
      <c r="F68" s="386"/>
      <c r="G68" s="386"/>
      <c r="H68" s="386"/>
      <c r="I68" s="386"/>
      <c r="J68" s="386">
        <v>304457</v>
      </c>
      <c r="K68" s="386">
        <f>VLOOKUP(A68,lkp_10,2,FALSE)</f>
        <v>254958</v>
      </c>
      <c r="L68"/>
      <c r="M68"/>
      <c r="N68"/>
      <c r="O68"/>
    </row>
    <row r="69" spans="1:15">
      <c r="A69" s="90"/>
      <c r="B69" s="90"/>
      <c r="F69" s="191"/>
      <c r="G69" s="191"/>
      <c r="H69" s="191"/>
      <c r="I69" s="191"/>
      <c r="J69" s="191"/>
      <c r="K69" s="191"/>
    </row>
    <row r="70" spans="1:15">
      <c r="A70" s="370" t="s">
        <v>106</v>
      </c>
      <c r="B70" s="370"/>
      <c r="C70" s="385">
        <f>C12+C30+C52+C54+C56+C65+C67+C68</f>
        <v>311214895</v>
      </c>
      <c r="D70" s="385">
        <f>D12+D30+D52+D54+D56+D65+D67+D68</f>
        <v>306409771.88</v>
      </c>
      <c r="E70" s="385">
        <f>E12+E30+E52+E54+E56+E65+E67+E68</f>
        <v>291101892.47000003</v>
      </c>
      <c r="F70" s="385">
        <f>F12+F30+F52+F54+F56+F65+F67+F68</f>
        <v>269134109.66000003</v>
      </c>
      <c r="G70" s="385">
        <f>G12+G30+G52+G54+G56+G65+G67+G68</f>
        <v>279550549.25</v>
      </c>
      <c r="H70" s="385">
        <f>H12+H30+H52+H54+H56+H65+H67+H68</f>
        <v>274172173.63</v>
      </c>
      <c r="I70" s="385">
        <f>I12+I30+I52+I54+I56+I65+I67+I68</f>
        <v>259957536.01999998</v>
      </c>
      <c r="J70" s="385">
        <f>J12+J30+J52+J54+J56+J65+J67+J68</f>
        <v>289372127</v>
      </c>
      <c r="K70" s="385">
        <f>K12+K30+K52+K54+K56+K65+K67+K68</f>
        <v>262715159.58999997</v>
      </c>
    </row>
    <row r="72" spans="1:15">
      <c r="A72" s="379" t="s">
        <v>1</v>
      </c>
    </row>
    <row r="73" spans="1:15" ht="16.5" customHeight="1">
      <c r="A73" s="378" t="s">
        <v>105</v>
      </c>
      <c r="B73" s="378"/>
      <c r="C73" s="378"/>
      <c r="D73" s="378"/>
      <c r="E73" s="378"/>
    </row>
    <row r="74" spans="1:15">
      <c r="A74" s="378" t="s">
        <v>278</v>
      </c>
      <c r="B74" s="378"/>
      <c r="C74" s="378"/>
      <c r="D74" s="378"/>
      <c r="E74" s="378"/>
    </row>
    <row r="75" spans="1:15">
      <c r="A75" s="378" t="s">
        <v>279</v>
      </c>
      <c r="B75" s="378"/>
      <c r="C75" s="378"/>
      <c r="D75" s="378"/>
      <c r="E75" s="378"/>
    </row>
    <row r="76" spans="1:15" ht="35.25" customHeight="1">
      <c r="A76" s="384"/>
      <c r="B76" s="384"/>
      <c r="C76" s="384"/>
      <c r="D76" s="384"/>
      <c r="E76" s="384"/>
      <c r="F76" s="384"/>
      <c r="G76" s="384"/>
    </row>
    <row r="77" spans="1:15">
      <c r="G77" s="383" t="s">
        <v>90</v>
      </c>
      <c r="H77" s="378" t="str">
        <f>subtitle</f>
        <v>Total: $262.7 million includes $22.3 million in obligations to capital projects, plus General and Administrative (G&amp;A) costs ($11.6 million), and Columbia River System Operations Review/Environmental Impact Statement costs ($255,000)</v>
      </c>
    </row>
    <row r="78" spans="1:15" ht="44.25">
      <c r="A78" s="379" t="s">
        <v>439</v>
      </c>
      <c r="B78" s="382" t="s">
        <v>438</v>
      </c>
    </row>
    <row r="80" spans="1:15">
      <c r="A80" s="334" t="s">
        <v>163</v>
      </c>
      <c r="B80" s="380" t="s">
        <v>168</v>
      </c>
      <c r="C80" s="191">
        <v>15844777.719999999</v>
      </c>
      <c r="D80" s="380"/>
      <c r="E80" s="378"/>
      <c r="F80" s="191"/>
    </row>
    <row r="81" spans="1:6">
      <c r="A81" s="334" t="s">
        <v>163</v>
      </c>
      <c r="B81" s="380" t="s">
        <v>169</v>
      </c>
      <c r="C81" s="191">
        <v>6843743.7699999996</v>
      </c>
      <c r="D81" s="380"/>
      <c r="E81" s="378"/>
      <c r="F81" s="191"/>
    </row>
    <row r="82" spans="1:6">
      <c r="A82" s="334" t="s">
        <v>163</v>
      </c>
      <c r="B82" s="380" t="s">
        <v>171</v>
      </c>
      <c r="C82" s="191">
        <v>1931626.73</v>
      </c>
      <c r="D82" s="380"/>
      <c r="E82" s="378"/>
      <c r="F82" s="191"/>
    </row>
    <row r="83" spans="1:6">
      <c r="A83" s="334" t="s">
        <v>163</v>
      </c>
      <c r="B83" s="380" t="s">
        <v>170</v>
      </c>
      <c r="C83" s="191">
        <v>1743822.97</v>
      </c>
      <c r="D83" s="380"/>
      <c r="E83" s="378"/>
      <c r="F83" s="191"/>
    </row>
    <row r="84" spans="1:6">
      <c r="A84" s="334" t="s">
        <v>163</v>
      </c>
      <c r="B84" s="380" t="s">
        <v>280</v>
      </c>
      <c r="C84" s="191">
        <v>1043403.94</v>
      </c>
      <c r="D84" s="380"/>
      <c r="E84" s="378"/>
      <c r="F84" s="191"/>
    </row>
    <row r="85" spans="1:6">
      <c r="A85" s="334" t="s">
        <v>163</v>
      </c>
      <c r="B85" s="380" t="s">
        <v>238</v>
      </c>
      <c r="C85" s="191">
        <v>512494.07</v>
      </c>
      <c r="D85" s="380"/>
      <c r="E85" s="378"/>
      <c r="F85" s="191"/>
    </row>
    <row r="86" spans="1:6">
      <c r="A86" s="334" t="s">
        <v>163</v>
      </c>
      <c r="B86" s="380" t="s">
        <v>172</v>
      </c>
      <c r="C86" s="191">
        <v>172295</v>
      </c>
      <c r="D86" s="380"/>
      <c r="E86" s="378"/>
      <c r="F86" s="191"/>
    </row>
    <row r="87" spans="1:6">
      <c r="A87" s="334" t="s">
        <v>164</v>
      </c>
      <c r="B87" s="380" t="s">
        <v>173</v>
      </c>
      <c r="C87" s="191">
        <v>13814905.16</v>
      </c>
      <c r="D87" s="380"/>
      <c r="E87" s="378"/>
      <c r="F87" s="191"/>
    </row>
    <row r="88" spans="1:6">
      <c r="A88" s="334" t="s">
        <v>164</v>
      </c>
      <c r="B88" s="380" t="s">
        <v>174</v>
      </c>
      <c r="C88" s="191">
        <v>11128381.119999999</v>
      </c>
      <c r="D88" s="380"/>
      <c r="F88" s="191"/>
    </row>
    <row r="89" spans="1:6">
      <c r="A89" s="334" t="s">
        <v>164</v>
      </c>
      <c r="B89" s="380" t="s">
        <v>175</v>
      </c>
      <c r="C89" s="191">
        <v>11069042.779999999</v>
      </c>
      <c r="D89" s="380"/>
    </row>
    <row r="90" spans="1:6">
      <c r="A90" s="334" t="s">
        <v>164</v>
      </c>
      <c r="B90" s="380" t="s">
        <v>177</v>
      </c>
      <c r="C90" s="191">
        <v>2658008.98</v>
      </c>
    </row>
    <row r="91" spans="1:6">
      <c r="A91" s="334" t="s">
        <v>164</v>
      </c>
      <c r="B91" s="380" t="s">
        <v>176</v>
      </c>
      <c r="C91" s="191">
        <v>2087883.66</v>
      </c>
    </row>
    <row r="92" spans="1:6">
      <c r="A92" s="334" t="s">
        <v>165</v>
      </c>
      <c r="B92" s="380" t="s">
        <v>178</v>
      </c>
      <c r="C92" s="191">
        <v>23060163.939999994</v>
      </c>
      <c r="D92" s="378"/>
    </row>
    <row r="93" spans="1:6">
      <c r="A93" s="334" t="s">
        <v>165</v>
      </c>
      <c r="B93" s="380" t="s">
        <v>181</v>
      </c>
      <c r="C93" s="191">
        <v>16547621.699999996</v>
      </c>
      <c r="D93" s="380"/>
    </row>
    <row r="94" spans="1:6">
      <c r="A94" s="334" t="s">
        <v>165</v>
      </c>
      <c r="B94" s="380" t="s">
        <v>180</v>
      </c>
      <c r="C94" s="191">
        <v>15000943.699999999</v>
      </c>
      <c r="D94" s="378"/>
    </row>
    <row r="95" spans="1:6">
      <c r="A95" s="334" t="s">
        <v>165</v>
      </c>
      <c r="B95" s="380" t="s">
        <v>182</v>
      </c>
      <c r="C95" s="191">
        <v>14080297.659999996</v>
      </c>
      <c r="D95" s="378"/>
    </row>
    <row r="96" spans="1:6">
      <c r="A96" s="334" t="s">
        <v>165</v>
      </c>
      <c r="B96" s="380" t="s">
        <v>179</v>
      </c>
      <c r="C96" s="191">
        <v>10441818.99</v>
      </c>
      <c r="D96" s="378"/>
    </row>
    <row r="97" spans="1:4">
      <c r="A97" s="334" t="s">
        <v>165</v>
      </c>
      <c r="B97" s="380" t="s">
        <v>183</v>
      </c>
      <c r="C97" s="191">
        <v>8244084.9399999976</v>
      </c>
      <c r="D97" s="378"/>
    </row>
    <row r="98" spans="1:4">
      <c r="A98" s="334" t="s">
        <v>165</v>
      </c>
      <c r="B98" s="380" t="s">
        <v>184</v>
      </c>
      <c r="C98" s="191">
        <v>7077489.7400000012</v>
      </c>
      <c r="D98" s="378"/>
    </row>
    <row r="99" spans="1:4">
      <c r="A99" s="334" t="s">
        <v>165</v>
      </c>
      <c r="B99" s="380" t="s">
        <v>187</v>
      </c>
      <c r="C99" s="191">
        <v>4048020.7299999995</v>
      </c>
      <c r="D99" s="380"/>
    </row>
    <row r="100" spans="1:4">
      <c r="A100" s="334" t="s">
        <v>165</v>
      </c>
      <c r="B100" s="380" t="s">
        <v>185</v>
      </c>
      <c r="C100" s="191">
        <v>3891274.99</v>
      </c>
      <c r="D100" s="378"/>
    </row>
    <row r="101" spans="1:4">
      <c r="A101" s="334" t="s">
        <v>165</v>
      </c>
      <c r="B101" s="380" t="s">
        <v>186</v>
      </c>
      <c r="C101" s="191">
        <v>3464330.9700000007</v>
      </c>
      <c r="D101" s="378"/>
    </row>
    <row r="102" spans="1:4">
      <c r="A102" s="334" t="s">
        <v>165</v>
      </c>
      <c r="B102" s="380" t="s">
        <v>188</v>
      </c>
      <c r="C102" s="191">
        <v>2742503.0500000003</v>
      </c>
      <c r="D102" s="378"/>
    </row>
    <row r="103" spans="1:4">
      <c r="A103" s="334" t="s">
        <v>165</v>
      </c>
      <c r="B103" s="380" t="s">
        <v>231</v>
      </c>
      <c r="C103" s="191">
        <v>1221590.6500000001</v>
      </c>
      <c r="D103" s="378"/>
    </row>
    <row r="104" spans="1:4">
      <c r="A104" s="334" t="s">
        <v>165</v>
      </c>
      <c r="B104" s="380" t="s">
        <v>232</v>
      </c>
      <c r="C104" s="191">
        <v>738429.14999999991</v>
      </c>
      <c r="D104" s="378"/>
    </row>
    <row r="105" spans="1:4" ht="18" customHeight="1">
      <c r="A105" s="334" t="s">
        <v>165</v>
      </c>
      <c r="B105" s="380" t="s">
        <v>189</v>
      </c>
      <c r="C105" s="191">
        <v>1964708</v>
      </c>
      <c r="D105" s="378"/>
    </row>
    <row r="106" spans="1:4">
      <c r="A106" s="334" t="s">
        <v>166</v>
      </c>
      <c r="B106" s="380" t="s">
        <v>190</v>
      </c>
      <c r="C106" s="191">
        <v>16836697.550000001</v>
      </c>
      <c r="D106" s="378"/>
    </row>
    <row r="107" spans="1:4">
      <c r="A107" s="334" t="s">
        <v>167</v>
      </c>
      <c r="B107" s="380" t="s">
        <v>167</v>
      </c>
      <c r="C107" s="191">
        <v>2897182.59</v>
      </c>
      <c r="D107" s="378"/>
    </row>
    <row r="108" spans="1:4">
      <c r="A108" s="334" t="s">
        <v>52</v>
      </c>
      <c r="B108" s="380" t="s">
        <v>191</v>
      </c>
      <c r="C108" s="191">
        <v>26273412.68</v>
      </c>
      <c r="D108" s="380"/>
    </row>
    <row r="109" spans="1:4">
      <c r="A109" s="334" t="s">
        <v>52</v>
      </c>
      <c r="B109" s="380" t="s">
        <v>192</v>
      </c>
      <c r="C109" s="191">
        <v>12768517.42</v>
      </c>
      <c r="D109" s="378"/>
    </row>
    <row r="110" spans="1:4">
      <c r="A110" s="334" t="s">
        <v>52</v>
      </c>
      <c r="B110" s="380" t="s">
        <v>193</v>
      </c>
      <c r="C110" s="191">
        <v>5682822.5</v>
      </c>
      <c r="D110" s="378"/>
    </row>
    <row r="111" spans="1:4">
      <c r="A111" s="334" t="s">
        <v>52</v>
      </c>
      <c r="B111" s="380" t="s">
        <v>194</v>
      </c>
      <c r="C111" s="381">
        <v>4504494.53</v>
      </c>
      <c r="D111" s="378"/>
    </row>
    <row r="112" spans="1:4">
      <c r="A112" s="334" t="s">
        <v>52</v>
      </c>
      <c r="B112" s="380" t="s">
        <v>239</v>
      </c>
      <c r="C112" s="191">
        <v>1322507.22</v>
      </c>
    </row>
    <row r="113" spans="2:3">
      <c r="B113" s="380"/>
    </row>
    <row r="114" spans="2:3">
      <c r="B114" s="380"/>
    </row>
    <row r="116" spans="2:3" ht="33">
      <c r="B116" s="334" t="s">
        <v>437</v>
      </c>
    </row>
    <row r="117" spans="2:3">
      <c r="B117" s="334" t="s">
        <v>436</v>
      </c>
    </row>
    <row r="118" spans="2:3">
      <c r="B118" s="334" t="s">
        <v>435</v>
      </c>
    </row>
    <row r="120" spans="2:3">
      <c r="B120" t="s">
        <v>277</v>
      </c>
      <c r="C120">
        <v>11607301</v>
      </c>
    </row>
    <row r="121" spans="2:3">
      <c r="B121" t="s">
        <v>158</v>
      </c>
      <c r="C121">
        <v>15844777.719999999</v>
      </c>
    </row>
    <row r="122" spans="2:3">
      <c r="B122" t="s">
        <v>137</v>
      </c>
      <c r="C122">
        <v>738429.14999999991</v>
      </c>
    </row>
    <row r="123" spans="2:3">
      <c r="B123" t="s">
        <v>365</v>
      </c>
      <c r="C123">
        <v>-830904.81</v>
      </c>
    </row>
    <row r="124" spans="2:3">
      <c r="B124" t="s">
        <v>136</v>
      </c>
      <c r="C124">
        <v>2742503.0500000003</v>
      </c>
    </row>
    <row r="125" spans="2:3">
      <c r="B125" t="s">
        <v>135</v>
      </c>
      <c r="C125">
        <v>8244084.9399999976</v>
      </c>
    </row>
    <row r="126" spans="2:3">
      <c r="B126" t="s">
        <v>134</v>
      </c>
      <c r="C126">
        <v>16547621.699999996</v>
      </c>
    </row>
    <row r="127" spans="2:3">
      <c r="B127" t="s">
        <v>133</v>
      </c>
      <c r="C127">
        <v>132666.63</v>
      </c>
    </row>
    <row r="128" spans="2:3">
      <c r="B128" t="s">
        <v>132</v>
      </c>
      <c r="C128">
        <v>104183.70999999999</v>
      </c>
    </row>
    <row r="129" spans="2:3">
      <c r="B129" t="s">
        <v>131</v>
      </c>
      <c r="C129">
        <v>7077489.7400000012</v>
      </c>
    </row>
    <row r="130" spans="2:3">
      <c r="B130" t="s">
        <v>130</v>
      </c>
      <c r="C130">
        <v>282488.83999999997</v>
      </c>
    </row>
    <row r="131" spans="2:3">
      <c r="B131" t="s">
        <v>270</v>
      </c>
      <c r="C131">
        <v>254958</v>
      </c>
    </row>
    <row r="132" spans="2:3">
      <c r="B132" t="s">
        <v>148</v>
      </c>
      <c r="C132">
        <v>11128381.119999999</v>
      </c>
    </row>
    <row r="133" spans="2:3">
      <c r="B133" t="s">
        <v>146</v>
      </c>
      <c r="C133">
        <v>2658008.98</v>
      </c>
    </row>
    <row r="134" spans="2:3">
      <c r="B134" t="s">
        <v>129</v>
      </c>
      <c r="C134">
        <v>4048020.7299999995</v>
      </c>
    </row>
    <row r="135" spans="2:3">
      <c r="B135" t="s">
        <v>128</v>
      </c>
      <c r="C135">
        <v>10441818.99</v>
      </c>
    </row>
    <row r="136" spans="2:3">
      <c r="B136" t="s">
        <v>434</v>
      </c>
      <c r="C136">
        <v>12768517.42</v>
      </c>
    </row>
    <row r="137" spans="2:3">
      <c r="B137" t="s">
        <v>112</v>
      </c>
      <c r="C137">
        <v>5682822.5</v>
      </c>
    </row>
    <row r="138" spans="2:3">
      <c r="B138" t="s">
        <v>141</v>
      </c>
      <c r="C138">
        <v>2087883.66</v>
      </c>
    </row>
    <row r="139" spans="2:3">
      <c r="B139" t="s">
        <v>108</v>
      </c>
      <c r="C139">
        <v>4504494.53</v>
      </c>
    </row>
    <row r="140" spans="2:3">
      <c r="B140" t="s">
        <v>159</v>
      </c>
      <c r="C140">
        <v>6843743.7699999996</v>
      </c>
    </row>
    <row r="141" spans="2:3">
      <c r="B141" t="s">
        <v>127</v>
      </c>
      <c r="C141">
        <v>15000943.699999999</v>
      </c>
    </row>
    <row r="142" spans="2:3">
      <c r="B142" t="s">
        <v>276</v>
      </c>
      <c r="C142">
        <v>-134</v>
      </c>
    </row>
    <row r="143" spans="2:3">
      <c r="B143" t="s">
        <v>151</v>
      </c>
      <c r="C143">
        <v>13814905.16</v>
      </c>
    </row>
    <row r="144" spans="2:3">
      <c r="B144" t="s">
        <v>150</v>
      </c>
      <c r="C144">
        <v>24640.92</v>
      </c>
    </row>
    <row r="145" spans="2:3">
      <c r="B145" t="s">
        <v>235</v>
      </c>
      <c r="C145">
        <v>1043403.94</v>
      </c>
    </row>
    <row r="146" spans="2:3">
      <c r="B146" t="s">
        <v>116</v>
      </c>
      <c r="C146">
        <v>16836697.550000001</v>
      </c>
    </row>
    <row r="147" spans="2:3">
      <c r="B147" t="s">
        <v>113</v>
      </c>
      <c r="C147">
        <v>26273412.68</v>
      </c>
    </row>
    <row r="148" spans="2:3">
      <c r="B148" t="s">
        <v>126</v>
      </c>
      <c r="C148">
        <v>566427.66</v>
      </c>
    </row>
    <row r="149" spans="2:3">
      <c r="B149" t="s">
        <v>125</v>
      </c>
      <c r="C149">
        <v>3891274.99</v>
      </c>
    </row>
    <row r="150" spans="2:3">
      <c r="B150" t="s">
        <v>124</v>
      </c>
      <c r="C150">
        <v>1221590.6500000001</v>
      </c>
    </row>
    <row r="151" spans="2:3">
      <c r="B151" t="s">
        <v>123</v>
      </c>
      <c r="C151">
        <v>3464330.9700000007</v>
      </c>
    </row>
    <row r="152" spans="2:3">
      <c r="B152" t="s">
        <v>122</v>
      </c>
      <c r="C152">
        <v>14080297.659999996</v>
      </c>
    </row>
    <row r="153" spans="2:3">
      <c r="B153" t="s">
        <v>237</v>
      </c>
      <c r="C153">
        <v>2897182.59</v>
      </c>
    </row>
    <row r="154" spans="2:3">
      <c r="B154" t="s">
        <v>121</v>
      </c>
      <c r="C154">
        <v>507759.98</v>
      </c>
    </row>
    <row r="155" spans="2:3">
      <c r="B155" t="s">
        <v>120</v>
      </c>
      <c r="C155">
        <v>371180.75</v>
      </c>
    </row>
    <row r="156" spans="2:3">
      <c r="B156" t="s">
        <v>155</v>
      </c>
      <c r="C156">
        <v>66974.570000000007</v>
      </c>
    </row>
    <row r="157" spans="2:3">
      <c r="B157" t="s">
        <v>156</v>
      </c>
      <c r="C157">
        <v>105320.74</v>
      </c>
    </row>
    <row r="158" spans="2:3">
      <c r="B158" t="s">
        <v>157</v>
      </c>
      <c r="C158">
        <v>1743822.97</v>
      </c>
    </row>
    <row r="159" spans="2:3">
      <c r="B159" t="s">
        <v>154</v>
      </c>
      <c r="C159">
        <v>512494.07</v>
      </c>
    </row>
    <row r="160" spans="2:3">
      <c r="B160" t="s">
        <v>153</v>
      </c>
      <c r="C160">
        <v>1931626.73</v>
      </c>
    </row>
    <row r="161" spans="2:3">
      <c r="B161" t="s">
        <v>109</v>
      </c>
      <c r="C161">
        <v>1322507.22</v>
      </c>
    </row>
    <row r="162" spans="2:3">
      <c r="B162" t="s">
        <v>144</v>
      </c>
      <c r="C162">
        <v>11069042.779999999</v>
      </c>
    </row>
    <row r="163" spans="2:3">
      <c r="B163" t="s">
        <v>119</v>
      </c>
      <c r="C163">
        <v>23060163.939999994</v>
      </c>
    </row>
  </sheetData>
  <mergeCells count="7">
    <mergeCell ref="A12:B12"/>
    <mergeCell ref="A30:B30"/>
    <mergeCell ref="A52:B52"/>
    <mergeCell ref="A70:B70"/>
    <mergeCell ref="A65:B65"/>
    <mergeCell ref="A1:I1"/>
    <mergeCell ref="J1:K1"/>
  </mergeCells>
  <pageMargins left="0.25" right="0.25" top="0.75" bottom="0.75" header="0.3" footer="0.3"/>
  <pageSetup scale="85"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81"/>
  <sheetViews>
    <sheetView zoomScaleNormal="100" workbookViewId="0"/>
  </sheetViews>
  <sheetFormatPr defaultRowHeight="12.75"/>
  <cols>
    <col min="1" max="1" width="58" customWidth="1"/>
    <col min="2" max="10" width="15.5703125" customWidth="1"/>
  </cols>
  <sheetData>
    <row r="1" spans="1:10" ht="15">
      <c r="A1" s="333" t="str">
        <f>"Figure 11: Costs of Land Purchases for Fish and Wildlife Habitat, FY"&amp;J3</f>
        <v>Figure 11: Costs of Land Purchases for Fish and Wildlife Habitat, FY2019</v>
      </c>
    </row>
    <row r="3" spans="1:10" ht="14.25">
      <c r="A3" s="91" t="s">
        <v>53</v>
      </c>
      <c r="B3" s="92">
        <v>2011</v>
      </c>
      <c r="C3" s="92">
        <v>2012</v>
      </c>
      <c r="D3" s="92">
        <v>2013</v>
      </c>
      <c r="E3" s="92">
        <v>2014</v>
      </c>
      <c r="F3" s="92">
        <v>2015</v>
      </c>
      <c r="G3" s="92">
        <v>2016</v>
      </c>
      <c r="H3" s="92">
        <v>2017</v>
      </c>
      <c r="I3" s="92">
        <v>2018</v>
      </c>
      <c r="J3" s="92">
        <v>2019</v>
      </c>
    </row>
    <row r="4" spans="1:10" ht="16.5" customHeight="1">
      <c r="A4" s="93" t="s">
        <v>196</v>
      </c>
      <c r="B4" s="84">
        <v>9716071</v>
      </c>
      <c r="C4" s="84"/>
      <c r="D4" s="84">
        <v>4595329</v>
      </c>
      <c r="E4" s="84"/>
      <c r="F4" s="84">
        <v>1082452</v>
      </c>
      <c r="G4" s="84">
        <v>10868814</v>
      </c>
      <c r="H4" s="84">
        <v>5038680</v>
      </c>
      <c r="I4" s="84">
        <v>6978254</v>
      </c>
      <c r="J4" s="84">
        <v>9629687</v>
      </c>
    </row>
    <row r="5" spans="1:10" ht="16.5">
      <c r="A5" s="93" t="s">
        <v>59</v>
      </c>
      <c r="B5" s="84">
        <v>1750665</v>
      </c>
      <c r="C5" s="84">
        <v>5384783</v>
      </c>
      <c r="D5" s="84"/>
      <c r="E5" s="84">
        <v>14000000</v>
      </c>
      <c r="F5" s="84"/>
      <c r="G5" s="84">
        <v>1877580.5</v>
      </c>
      <c r="H5" s="84"/>
      <c r="I5" s="84">
        <v>7369712</v>
      </c>
      <c r="J5" s="84">
        <v>1580664</v>
      </c>
    </row>
    <row r="6" spans="1:10" ht="16.5">
      <c r="A6" s="93" t="s">
        <v>55</v>
      </c>
      <c r="B6" s="84"/>
      <c r="C6" s="84">
        <v>5306043</v>
      </c>
      <c r="D6" s="84">
        <v>1711234.64</v>
      </c>
      <c r="E6" s="84">
        <v>693095.5</v>
      </c>
      <c r="F6" s="84">
        <v>2051603.16</v>
      </c>
      <c r="G6" s="84">
        <v>40307.800000000003</v>
      </c>
      <c r="H6" s="84">
        <v>99543</v>
      </c>
      <c r="I6" s="84">
        <v>170178</v>
      </c>
      <c r="J6" s="84">
        <v>492294</v>
      </c>
    </row>
    <row r="7" spans="1:10" ht="16.5">
      <c r="A7" s="93" t="s">
        <v>69</v>
      </c>
      <c r="B7" s="84">
        <v>4068146</v>
      </c>
      <c r="C7" s="84">
        <v>6370225.5</v>
      </c>
      <c r="D7" s="84">
        <v>1596594</v>
      </c>
      <c r="E7" s="84">
        <v>2196196.7799999998</v>
      </c>
      <c r="F7" s="84">
        <v>490964.5</v>
      </c>
      <c r="G7" s="84">
        <v>1815933.75</v>
      </c>
      <c r="H7" s="84">
        <v>476466</v>
      </c>
      <c r="I7" s="84">
        <v>524163</v>
      </c>
      <c r="J7" s="84">
        <v>440084</v>
      </c>
    </row>
    <row r="8" spans="1:10" ht="16.5">
      <c r="A8" s="93" t="s">
        <v>72</v>
      </c>
      <c r="B8" s="84"/>
      <c r="C8" s="84">
        <v>15381.84</v>
      </c>
      <c r="D8" s="84"/>
      <c r="E8" s="84"/>
      <c r="F8" s="84">
        <v>771010</v>
      </c>
      <c r="G8" s="84">
        <v>1783866</v>
      </c>
      <c r="H8" s="84"/>
      <c r="I8" s="84">
        <v>491757</v>
      </c>
      <c r="J8" s="84">
        <v>280574</v>
      </c>
    </row>
    <row r="9" spans="1:10" ht="16.5">
      <c r="A9" s="93" t="s">
        <v>197</v>
      </c>
      <c r="B9" s="84"/>
      <c r="C9" s="84">
        <v>2365285.0499999998</v>
      </c>
      <c r="D9" s="84">
        <v>572468.53</v>
      </c>
      <c r="E9" s="84"/>
      <c r="F9" s="84"/>
      <c r="G9" s="84"/>
      <c r="H9" s="84"/>
      <c r="I9" s="84"/>
      <c r="J9" s="84">
        <v>171567</v>
      </c>
    </row>
    <row r="10" spans="1:10" ht="16.5">
      <c r="A10" s="93" t="s">
        <v>273</v>
      </c>
      <c r="B10" s="84"/>
      <c r="C10" s="84">
        <v>928718</v>
      </c>
      <c r="D10" s="84">
        <v>348570</v>
      </c>
      <c r="E10" s="84"/>
      <c r="F10" s="84"/>
      <c r="G10" s="84">
        <v>85217</v>
      </c>
      <c r="H10" s="84">
        <v>72676</v>
      </c>
      <c r="I10" s="84">
        <v>203432</v>
      </c>
      <c r="J10" s="84">
        <v>166061</v>
      </c>
    </row>
    <row r="11" spans="1:10" ht="16.5">
      <c r="A11" s="93" t="s">
        <v>66</v>
      </c>
      <c r="B11" s="84">
        <v>5788</v>
      </c>
      <c r="C11" s="84">
        <v>820.08</v>
      </c>
      <c r="D11" s="84">
        <v>5000</v>
      </c>
      <c r="E11" s="84">
        <v>5000</v>
      </c>
      <c r="F11" s="84">
        <v>5729</v>
      </c>
      <c r="G11" s="84">
        <v>5899.13</v>
      </c>
      <c r="H11" s="84">
        <v>5980</v>
      </c>
      <c r="I11" s="84">
        <v>5980</v>
      </c>
      <c r="J11" s="84">
        <v>5000</v>
      </c>
    </row>
    <row r="12" spans="1:10" ht="16.5">
      <c r="A12" s="93" t="s">
        <v>229</v>
      </c>
      <c r="B12" s="84"/>
      <c r="C12" s="84"/>
      <c r="D12" s="84"/>
      <c r="E12" s="84"/>
      <c r="F12" s="84">
        <v>3632833</v>
      </c>
      <c r="G12" s="84"/>
      <c r="H12" s="84"/>
      <c r="I12" s="84"/>
      <c r="J12" s="84">
        <v>1387</v>
      </c>
    </row>
    <row r="13" spans="1:10" ht="16.5">
      <c r="A13" s="93" t="s">
        <v>75</v>
      </c>
      <c r="B13" s="84">
        <v>3344161</v>
      </c>
      <c r="C13" s="84">
        <v>4437146.2</v>
      </c>
      <c r="D13" s="84">
        <v>333123.40000000002</v>
      </c>
      <c r="E13" s="84"/>
      <c r="F13" s="84"/>
      <c r="G13" s="84">
        <v>260540</v>
      </c>
      <c r="H13" s="84">
        <v>866530</v>
      </c>
      <c r="I13" s="84">
        <v>225545</v>
      </c>
      <c r="J13" s="84">
        <v>1200</v>
      </c>
    </row>
    <row r="14" spans="1:10" ht="16.5">
      <c r="A14" s="93" t="s">
        <v>62</v>
      </c>
      <c r="B14" s="84"/>
      <c r="C14" s="84">
        <v>946738.51</v>
      </c>
      <c r="D14" s="84"/>
      <c r="E14" s="84"/>
      <c r="F14" s="84"/>
      <c r="G14" s="84"/>
      <c r="H14" s="84">
        <v>500</v>
      </c>
      <c r="I14" s="84">
        <v>500</v>
      </c>
      <c r="J14" s="84">
        <v>500</v>
      </c>
    </row>
    <row r="15" spans="1:10" ht="16.5">
      <c r="A15" s="93" t="s">
        <v>195</v>
      </c>
      <c r="B15" s="84">
        <v>9750112</v>
      </c>
      <c r="C15" s="84">
        <v>1349403</v>
      </c>
      <c r="D15" s="84">
        <v>642763</v>
      </c>
      <c r="E15" s="84">
        <v>1610425</v>
      </c>
      <c r="F15" s="84">
        <v>154274</v>
      </c>
      <c r="G15" s="84"/>
      <c r="H15" s="84"/>
      <c r="I15" s="84">
        <v>10733065</v>
      </c>
      <c r="J15" s="84"/>
    </row>
    <row r="16" spans="1:10" ht="16.5">
      <c r="A16" s="93" t="s">
        <v>230</v>
      </c>
      <c r="B16" s="84"/>
      <c r="C16" s="84"/>
      <c r="D16" s="84"/>
      <c r="E16" s="84"/>
      <c r="F16" s="84">
        <v>562383</v>
      </c>
      <c r="G16" s="84"/>
      <c r="H16" s="84"/>
      <c r="I16" s="84"/>
      <c r="J16" s="84"/>
    </row>
    <row r="17" spans="1:10" ht="16.5">
      <c r="A17" s="93" t="s">
        <v>54</v>
      </c>
      <c r="B17" s="84"/>
      <c r="C17" s="84">
        <v>1075000</v>
      </c>
      <c r="D17" s="84"/>
      <c r="E17" s="84"/>
      <c r="F17" s="84"/>
      <c r="G17" s="84"/>
      <c r="H17" s="84"/>
      <c r="I17" s="84"/>
      <c r="J17" s="84"/>
    </row>
    <row r="18" spans="1:10" ht="16.5">
      <c r="A18" s="93" t="s">
        <v>78</v>
      </c>
      <c r="B18" s="84"/>
      <c r="C18" s="84"/>
      <c r="D18" s="84">
        <v>1212330</v>
      </c>
      <c r="E18" s="84"/>
      <c r="F18" s="84"/>
      <c r="G18" s="84"/>
      <c r="H18" s="84"/>
      <c r="I18" s="84"/>
      <c r="J18" s="84"/>
    </row>
    <row r="19" spans="1:10" ht="16.5">
      <c r="A19" s="93" t="s">
        <v>272</v>
      </c>
      <c r="B19" s="84"/>
      <c r="C19" s="84"/>
      <c r="D19" s="84"/>
      <c r="E19" s="84"/>
      <c r="F19" s="84"/>
      <c r="G19" s="84"/>
      <c r="H19" s="84"/>
      <c r="I19" s="84"/>
      <c r="J19" s="84"/>
    </row>
    <row r="20" spans="1:10" ht="16.5">
      <c r="A20" s="93" t="s">
        <v>56</v>
      </c>
      <c r="B20" s="84">
        <v>720811</v>
      </c>
      <c r="C20" s="84">
        <v>1743906.48</v>
      </c>
      <c r="D20" s="84">
        <v>1611629.5</v>
      </c>
      <c r="E20" s="84">
        <v>283048.12</v>
      </c>
      <c r="F20" s="84"/>
      <c r="G20" s="84"/>
      <c r="H20" s="84"/>
      <c r="I20" s="84"/>
      <c r="J20" s="84"/>
    </row>
    <row r="21" spans="1:10" ht="16.5">
      <c r="A21" s="93" t="s">
        <v>57</v>
      </c>
      <c r="B21" s="84"/>
      <c r="C21" s="84">
        <v>54304.5</v>
      </c>
      <c r="D21" s="84">
        <v>3596391</v>
      </c>
      <c r="E21" s="84">
        <v>12500</v>
      </c>
      <c r="F21" s="84">
        <v>1741196.75</v>
      </c>
      <c r="G21" s="84"/>
      <c r="H21" s="84"/>
      <c r="I21" s="84"/>
      <c r="J21" s="84"/>
    </row>
    <row r="22" spans="1:10" ht="16.5">
      <c r="A22" s="93" t="s">
        <v>77</v>
      </c>
      <c r="B22" s="84"/>
      <c r="C22" s="84"/>
      <c r="D22" s="84">
        <v>520081</v>
      </c>
      <c r="E22" s="84"/>
      <c r="F22" s="84"/>
      <c r="G22" s="84"/>
      <c r="H22" s="84"/>
      <c r="I22" s="84"/>
      <c r="J22" s="84"/>
    </row>
    <row r="23" spans="1:10" ht="16.5">
      <c r="A23" s="93" t="s">
        <v>228</v>
      </c>
      <c r="B23" s="84"/>
      <c r="C23" s="84"/>
      <c r="D23" s="84"/>
      <c r="E23" s="84"/>
      <c r="F23" s="84">
        <v>423162</v>
      </c>
      <c r="G23" s="84"/>
      <c r="H23" s="84"/>
      <c r="I23" s="84"/>
      <c r="J23" s="84"/>
    </row>
    <row r="24" spans="1:10" ht="16.5">
      <c r="A24" s="93" t="s">
        <v>58</v>
      </c>
      <c r="B24" s="84"/>
      <c r="C24" s="84">
        <v>772500</v>
      </c>
      <c r="D24" s="84">
        <v>1500000</v>
      </c>
      <c r="E24" s="84">
        <v>244082</v>
      </c>
      <c r="F24" s="84">
        <v>947500</v>
      </c>
      <c r="G24" s="84"/>
      <c r="H24" s="84"/>
      <c r="I24" s="84"/>
      <c r="J24" s="84"/>
    </row>
    <row r="25" spans="1:10" ht="16.5">
      <c r="A25" s="93" t="s">
        <v>60</v>
      </c>
      <c r="B25" s="84"/>
      <c r="C25" s="84"/>
      <c r="D25" s="84"/>
      <c r="E25" s="84"/>
      <c r="F25" s="84">
        <v>7980000</v>
      </c>
      <c r="G25" s="84">
        <v>680000</v>
      </c>
      <c r="H25" s="84">
        <v>2438220</v>
      </c>
      <c r="I25" s="84"/>
      <c r="J25" s="84"/>
    </row>
    <row r="26" spans="1:10" ht="16.5">
      <c r="A26" s="93" t="s">
        <v>61</v>
      </c>
      <c r="B26" s="84"/>
      <c r="C26" s="84"/>
      <c r="D26" s="84"/>
      <c r="E26" s="84"/>
      <c r="F26" s="84"/>
      <c r="G26" s="84"/>
      <c r="H26" s="84"/>
      <c r="I26" s="84"/>
      <c r="J26" s="84"/>
    </row>
    <row r="27" spans="1:10" ht="16.5">
      <c r="A27" s="93" t="s">
        <v>274</v>
      </c>
      <c r="B27" s="84"/>
      <c r="C27" s="84">
        <v>420929</v>
      </c>
      <c r="D27" s="84"/>
      <c r="E27" s="84"/>
      <c r="F27" s="84"/>
      <c r="G27" s="84"/>
      <c r="H27" s="84"/>
      <c r="I27" s="84"/>
      <c r="J27" s="84"/>
    </row>
    <row r="28" spans="1:10" ht="16.5">
      <c r="A28" s="93" t="s">
        <v>79</v>
      </c>
      <c r="B28" s="84"/>
      <c r="C28" s="84">
        <v>52986</v>
      </c>
      <c r="D28" s="84"/>
      <c r="E28" s="84">
        <v>318372</v>
      </c>
      <c r="F28" s="84"/>
      <c r="G28" s="84"/>
      <c r="H28" s="84"/>
      <c r="I28" s="84"/>
      <c r="J28" s="84"/>
    </row>
    <row r="29" spans="1:10" ht="16.5">
      <c r="A29" s="93" t="s">
        <v>63</v>
      </c>
      <c r="B29" s="84"/>
      <c r="C29" s="84"/>
      <c r="D29" s="84"/>
      <c r="E29" s="84"/>
      <c r="F29" s="84"/>
      <c r="G29" s="84"/>
      <c r="H29" s="84"/>
      <c r="I29" s="84"/>
      <c r="J29" s="84"/>
    </row>
    <row r="30" spans="1:10" ht="16.5">
      <c r="A30" s="93" t="s">
        <v>64</v>
      </c>
      <c r="B30" s="84"/>
      <c r="C30" s="84"/>
      <c r="D30" s="84"/>
      <c r="E30" s="84"/>
      <c r="F30" s="84"/>
      <c r="G30" s="84"/>
      <c r="H30" s="84"/>
      <c r="I30" s="84"/>
      <c r="J30" s="84"/>
    </row>
    <row r="31" spans="1:10" ht="16.5">
      <c r="A31" s="93" t="s">
        <v>65</v>
      </c>
      <c r="B31" s="84">
        <v>20851010</v>
      </c>
      <c r="C31" s="84"/>
      <c r="D31" s="84">
        <v>3412000</v>
      </c>
      <c r="E31" s="84"/>
      <c r="F31" s="84">
        <v>2268978</v>
      </c>
      <c r="G31" s="84"/>
      <c r="H31" s="84"/>
      <c r="I31" s="84"/>
      <c r="J31" s="84"/>
    </row>
    <row r="32" spans="1:10" ht="17.25" customHeight="1">
      <c r="A32" s="93" t="s">
        <v>67</v>
      </c>
      <c r="B32" s="84"/>
      <c r="C32" s="84"/>
      <c r="D32" s="84">
        <v>600000</v>
      </c>
      <c r="E32" s="84"/>
      <c r="F32" s="84"/>
      <c r="G32" s="84"/>
      <c r="H32" s="84"/>
      <c r="I32" s="84"/>
      <c r="J32" s="84"/>
    </row>
    <row r="33" spans="1:13" ht="33">
      <c r="A33" s="93" t="s">
        <v>68</v>
      </c>
      <c r="B33" s="84"/>
      <c r="C33" s="84"/>
      <c r="D33" s="84"/>
      <c r="E33" s="84"/>
      <c r="F33" s="84"/>
      <c r="G33" s="84"/>
      <c r="H33" s="84"/>
      <c r="I33" s="84"/>
      <c r="J33" s="84"/>
    </row>
    <row r="34" spans="1:13" ht="16.5">
      <c r="A34" s="93" t="s">
        <v>70</v>
      </c>
      <c r="B34" s="84">
        <v>1996948</v>
      </c>
      <c r="C34" s="84">
        <v>3666163</v>
      </c>
      <c r="D34" s="84"/>
      <c r="E34" s="84"/>
      <c r="F34" s="84"/>
      <c r="G34" s="84">
        <v>786320</v>
      </c>
      <c r="H34" s="84"/>
      <c r="I34" s="84"/>
      <c r="J34" s="84"/>
    </row>
    <row r="35" spans="1:13" ht="16.5">
      <c r="A35" s="93" t="s">
        <v>71</v>
      </c>
      <c r="B35" s="84"/>
      <c r="C35" s="84">
        <v>3156008</v>
      </c>
      <c r="D35" s="84"/>
      <c r="E35" s="84"/>
      <c r="F35" s="84"/>
      <c r="G35" s="84"/>
      <c r="H35" s="84"/>
      <c r="I35" s="84"/>
      <c r="J35" s="84"/>
    </row>
    <row r="36" spans="1:13" ht="16.5">
      <c r="A36" s="93" t="s">
        <v>73</v>
      </c>
      <c r="B36" s="84"/>
      <c r="C36" s="84"/>
      <c r="D36" s="84"/>
      <c r="E36" s="84"/>
      <c r="F36" s="84"/>
      <c r="G36" s="84"/>
      <c r="H36" s="84"/>
      <c r="I36" s="84"/>
      <c r="J36" s="84"/>
    </row>
    <row r="37" spans="1:13" ht="16.5">
      <c r="A37" s="93" t="s">
        <v>74</v>
      </c>
      <c r="B37" s="84"/>
      <c r="C37" s="84"/>
      <c r="D37" s="84">
        <v>500509</v>
      </c>
      <c r="E37" s="84">
        <v>741501</v>
      </c>
      <c r="F37" s="84"/>
      <c r="G37" s="84"/>
      <c r="H37" s="84"/>
      <c r="I37" s="84"/>
      <c r="J37" s="84"/>
    </row>
    <row r="38" spans="1:13" ht="16.5">
      <c r="A38" s="93" t="s">
        <v>76</v>
      </c>
      <c r="B38" s="84"/>
      <c r="C38" s="84"/>
      <c r="D38" s="84">
        <v>983699</v>
      </c>
      <c r="E38" s="84"/>
      <c r="F38" s="84"/>
      <c r="G38" s="84"/>
      <c r="H38" s="84"/>
      <c r="I38" s="84"/>
      <c r="J38" s="84"/>
    </row>
    <row r="39" spans="1:13" ht="14.25" customHeight="1">
      <c r="A39" s="94" t="s">
        <v>95</v>
      </c>
      <c r="B39" s="58">
        <f t="shared" ref="B39:J39" si="0">SUM(B4:B38)</f>
        <v>52203712</v>
      </c>
      <c r="C39" s="58">
        <f t="shared" si="0"/>
        <v>38046341.159999996</v>
      </c>
      <c r="D39" s="58">
        <f t="shared" si="0"/>
        <v>23741722.07</v>
      </c>
      <c r="E39" s="58">
        <f t="shared" si="0"/>
        <v>20104220.400000002</v>
      </c>
      <c r="F39" s="58">
        <f t="shared" si="0"/>
        <v>22112085.41</v>
      </c>
      <c r="G39" s="58">
        <f t="shared" si="0"/>
        <v>18204478.18</v>
      </c>
      <c r="H39" s="58">
        <f t="shared" si="0"/>
        <v>8998595</v>
      </c>
      <c r="I39" s="58">
        <f t="shared" si="0"/>
        <v>26702586</v>
      </c>
      <c r="J39" s="58">
        <f t="shared" si="0"/>
        <v>12769018</v>
      </c>
    </row>
    <row r="41" spans="1:13" ht="14.25">
      <c r="A41" s="95" t="s">
        <v>199</v>
      </c>
    </row>
    <row r="42" spans="1:13" ht="16.5">
      <c r="A42" s="147" t="s">
        <v>198</v>
      </c>
      <c r="B42" s="147"/>
      <c r="C42" s="147"/>
      <c r="D42" s="147"/>
      <c r="E42" s="147"/>
      <c r="F42" s="147"/>
      <c r="G42" s="147"/>
      <c r="H42" s="147"/>
      <c r="I42" s="147"/>
      <c r="J42" s="147"/>
      <c r="K42" s="147"/>
      <c r="L42" s="147"/>
      <c r="M42" s="147"/>
    </row>
    <row r="43" spans="1:13" ht="16.5">
      <c r="A43" s="147" t="s">
        <v>252</v>
      </c>
      <c r="B43" s="147"/>
      <c r="C43" s="147"/>
      <c r="D43" s="147"/>
      <c r="E43" s="147"/>
      <c r="F43" s="147"/>
      <c r="G43" s="147"/>
      <c r="H43" s="147"/>
      <c r="I43" s="147"/>
      <c r="J43" s="147"/>
      <c r="K43" s="147"/>
      <c r="L43" s="147"/>
      <c r="M43" s="147"/>
    </row>
    <row r="44" spans="1:13" ht="16.5">
      <c r="A44" s="371" t="s">
        <v>275</v>
      </c>
      <c r="B44" s="371"/>
      <c r="C44" s="371"/>
      <c r="D44" s="371"/>
      <c r="E44" s="371"/>
      <c r="F44" s="371"/>
      <c r="G44" s="371"/>
      <c r="H44" s="371"/>
      <c r="I44" s="371"/>
      <c r="J44" s="371"/>
      <c r="K44" s="371"/>
      <c r="L44" s="371"/>
      <c r="M44" s="146"/>
    </row>
    <row r="47" spans="1:13" ht="14.25">
      <c r="A47" s="95" t="s">
        <v>376</v>
      </c>
    </row>
    <row r="48" spans="1:13" ht="16.5">
      <c r="A48" s="93" t="s">
        <v>196</v>
      </c>
      <c r="B48" s="84">
        <v>9629687</v>
      </c>
    </row>
    <row r="49" spans="1:2" ht="16.5">
      <c r="A49" s="93" t="s">
        <v>59</v>
      </c>
      <c r="B49" s="84">
        <v>1580664</v>
      </c>
    </row>
    <row r="50" spans="1:2" ht="16.5">
      <c r="A50" s="93" t="s">
        <v>55</v>
      </c>
      <c r="B50" s="84">
        <v>492294</v>
      </c>
    </row>
    <row r="51" spans="1:2" ht="16.5">
      <c r="A51" s="93" t="s">
        <v>69</v>
      </c>
      <c r="B51" s="84">
        <v>440084</v>
      </c>
    </row>
    <row r="52" spans="1:2" ht="16.5">
      <c r="A52" s="93" t="s">
        <v>72</v>
      </c>
      <c r="B52" s="84">
        <v>280574</v>
      </c>
    </row>
    <row r="53" spans="1:2" ht="16.5">
      <c r="A53" s="93" t="s">
        <v>197</v>
      </c>
      <c r="B53" s="84">
        <v>171567</v>
      </c>
    </row>
    <row r="54" spans="1:2" ht="16.5">
      <c r="A54" s="93" t="s">
        <v>273</v>
      </c>
      <c r="B54" s="84">
        <v>166061</v>
      </c>
    </row>
    <row r="55" spans="1:2" ht="16.5">
      <c r="A55" s="93" t="s">
        <v>66</v>
      </c>
      <c r="B55" s="84">
        <v>5000</v>
      </c>
    </row>
    <row r="56" spans="1:2" ht="16.5">
      <c r="A56" s="93" t="s">
        <v>229</v>
      </c>
      <c r="B56" s="84">
        <v>1387</v>
      </c>
    </row>
    <row r="57" spans="1:2" ht="16.5">
      <c r="A57" s="93" t="s">
        <v>75</v>
      </c>
      <c r="B57" s="84">
        <v>1200</v>
      </c>
    </row>
    <row r="58" spans="1:2" ht="16.5">
      <c r="A58" s="93" t="s">
        <v>62</v>
      </c>
      <c r="B58" s="84">
        <v>500</v>
      </c>
    </row>
    <row r="59" spans="1:2" ht="16.5">
      <c r="A59" s="93"/>
      <c r="B59" s="84"/>
    </row>
    <row r="60" spans="1:2" ht="16.5">
      <c r="A60" s="208" t="s">
        <v>90</v>
      </c>
      <c r="B60" s="84"/>
    </row>
    <row r="61" spans="1:2" ht="16.5">
      <c r="A61" s="93" t="str">
        <f>"Total: $" &amp; TEXT(J39,"#0.0,,") &amp; " million"</f>
        <v>Total: $12.8 million</v>
      </c>
      <c r="B61" s="84"/>
    </row>
    <row r="62" spans="1:2" ht="16.5">
      <c r="B62" s="84"/>
    </row>
    <row r="63" spans="1:2" ht="16.5">
      <c r="A63" s="93"/>
      <c r="B63" s="84"/>
    </row>
    <row r="64" spans="1:2" ht="16.5">
      <c r="A64" s="93"/>
      <c r="B64" s="84"/>
    </row>
    <row r="65" spans="1:2" ht="16.5">
      <c r="A65" s="93"/>
      <c r="B65" s="84"/>
    </row>
    <row r="66" spans="1:2" ht="16.5">
      <c r="A66" s="93"/>
      <c r="B66" s="84"/>
    </row>
    <row r="67" spans="1:2" ht="16.5">
      <c r="A67" s="93"/>
      <c r="B67" s="84"/>
    </row>
    <row r="68" spans="1:2" ht="16.5">
      <c r="A68" s="93"/>
      <c r="B68" s="84"/>
    </row>
    <row r="69" spans="1:2" ht="16.5">
      <c r="A69" s="93"/>
      <c r="B69" s="84"/>
    </row>
    <row r="70" spans="1:2" ht="16.5">
      <c r="A70" s="93"/>
      <c r="B70" s="84"/>
    </row>
    <row r="71" spans="1:2" ht="16.5">
      <c r="A71" s="93"/>
    </row>
    <row r="72" spans="1:2" ht="16.5">
      <c r="A72" s="93"/>
    </row>
    <row r="73" spans="1:2" ht="16.5">
      <c r="A73" s="93"/>
    </row>
    <row r="74" spans="1:2" ht="16.5">
      <c r="A74" s="93"/>
    </row>
    <row r="75" spans="1:2" ht="16.5">
      <c r="A75" s="93"/>
    </row>
    <row r="76" spans="1:2" ht="16.5">
      <c r="A76" s="93"/>
    </row>
    <row r="77" spans="1:2" ht="16.5">
      <c r="A77" s="93"/>
    </row>
    <row r="78" spans="1:2" ht="16.5">
      <c r="A78" s="93"/>
    </row>
    <row r="79" spans="1:2" ht="16.5">
      <c r="A79" s="93"/>
    </row>
    <row r="80" spans="1:2" ht="16.5">
      <c r="A80" s="93"/>
    </row>
    <row r="81" spans="1:1" ht="16.5">
      <c r="A81" s="93"/>
    </row>
  </sheetData>
  <sortState xmlns:xlrd2="http://schemas.microsoft.com/office/spreadsheetml/2017/richdata2" ref="A4:J38">
    <sortCondition descending="1" ref="J4:J38"/>
  </sortState>
  <mergeCells count="1">
    <mergeCell ref="A44:L44"/>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D5D82-7661-4607-9965-B8DE2DB8D0E5}">
  <sheetPr>
    <pageSetUpPr fitToPage="1"/>
  </sheetPr>
  <dimension ref="A1:IT107"/>
  <sheetViews>
    <sheetView zoomScaleNormal="100" workbookViewId="0">
      <pane xSplit="1" topLeftCell="AD1" activePane="topRight" state="frozen"/>
      <selection activeCell="A24" sqref="A24"/>
      <selection pane="topRight" activeCell="AI8" sqref="AI8"/>
    </sheetView>
  </sheetViews>
  <sheetFormatPr defaultColWidth="8.85546875" defaultRowHeight="19.5"/>
  <cols>
    <col min="1" max="1" width="90.42578125" style="315" customWidth="1"/>
    <col min="2" max="22" width="11.5703125" style="315" hidden="1" customWidth="1"/>
    <col min="23" max="23" width="13.5703125" style="315" hidden="1" customWidth="1"/>
    <col min="24" max="24" width="11.5703125" style="315" hidden="1" customWidth="1"/>
    <col min="25" max="25" width="12.140625" style="315" hidden="1" customWidth="1"/>
    <col min="26" max="27" width="11.5703125" style="315" hidden="1" customWidth="1"/>
    <col min="28" max="28" width="11.5703125" style="315" customWidth="1"/>
    <col min="29" max="29" width="12.28515625" style="225" customWidth="1"/>
    <col min="30" max="30" width="13.28515625" style="226" customWidth="1"/>
    <col min="31" max="31" width="16.5703125" style="227" customWidth="1"/>
    <col min="32" max="32" width="17.42578125" style="227" customWidth="1"/>
    <col min="33" max="33" width="14.7109375" style="227" customWidth="1"/>
    <col min="34" max="41" width="14.5703125" style="227" customWidth="1"/>
    <col min="42" max="257" width="8.85546875" style="227"/>
    <col min="258" max="258" width="90.42578125" style="227" customWidth="1"/>
    <col min="259" max="279" width="11.5703125" style="227" customWidth="1"/>
    <col min="280" max="280" width="13.5703125" style="227" customWidth="1"/>
    <col min="281" max="281" width="11.5703125" style="227" customWidth="1"/>
    <col min="282" max="282" width="12.140625" style="227" customWidth="1"/>
    <col min="283" max="285" width="11.5703125" style="227" customWidth="1"/>
    <col min="286" max="286" width="12.28515625" style="227" customWidth="1"/>
    <col min="287" max="287" width="13.28515625" style="227" customWidth="1"/>
    <col min="288" max="288" width="16.5703125" style="227" customWidth="1"/>
    <col min="289" max="289" width="17.42578125" style="227" customWidth="1"/>
    <col min="290" max="290" width="14.7109375" style="227" customWidth="1"/>
    <col min="291" max="293" width="14.5703125" style="227" customWidth="1"/>
    <col min="294" max="294" width="20" style="227" bestFit="1" customWidth="1"/>
    <col min="295" max="295" width="20.85546875" style="227" customWidth="1"/>
    <col min="296" max="296" width="99" style="227" bestFit="1" customWidth="1"/>
    <col min="297" max="297" width="25.85546875" style="227" bestFit="1" customWidth="1"/>
    <col min="298" max="513" width="8.85546875" style="227"/>
    <col min="514" max="514" width="90.42578125" style="227" customWidth="1"/>
    <col min="515" max="535" width="11.5703125" style="227" customWidth="1"/>
    <col min="536" max="536" width="13.5703125" style="227" customWidth="1"/>
    <col min="537" max="537" width="11.5703125" style="227" customWidth="1"/>
    <col min="538" max="538" width="12.140625" style="227" customWidth="1"/>
    <col min="539" max="541" width="11.5703125" style="227" customWidth="1"/>
    <col min="542" max="542" width="12.28515625" style="227" customWidth="1"/>
    <col min="543" max="543" width="13.28515625" style="227" customWidth="1"/>
    <col min="544" max="544" width="16.5703125" style="227" customWidth="1"/>
    <col min="545" max="545" width="17.42578125" style="227" customWidth="1"/>
    <col min="546" max="546" width="14.7109375" style="227" customWidth="1"/>
    <col min="547" max="549" width="14.5703125" style="227" customWidth="1"/>
    <col min="550" max="550" width="20" style="227" bestFit="1" customWidth="1"/>
    <col min="551" max="551" width="20.85546875" style="227" customWidth="1"/>
    <col min="552" max="552" width="99" style="227" bestFit="1" customWidth="1"/>
    <col min="553" max="553" width="25.85546875" style="227" bestFit="1" customWidth="1"/>
    <col min="554" max="769" width="8.85546875" style="227"/>
    <col min="770" max="770" width="90.42578125" style="227" customWidth="1"/>
    <col min="771" max="791" width="11.5703125" style="227" customWidth="1"/>
    <col min="792" max="792" width="13.5703125" style="227" customWidth="1"/>
    <col min="793" max="793" width="11.5703125" style="227" customWidth="1"/>
    <col min="794" max="794" width="12.140625" style="227" customWidth="1"/>
    <col min="795" max="797" width="11.5703125" style="227" customWidth="1"/>
    <col min="798" max="798" width="12.28515625" style="227" customWidth="1"/>
    <col min="799" max="799" width="13.28515625" style="227" customWidth="1"/>
    <col min="800" max="800" width="16.5703125" style="227" customWidth="1"/>
    <col min="801" max="801" width="17.42578125" style="227" customWidth="1"/>
    <col min="802" max="802" width="14.7109375" style="227" customWidth="1"/>
    <col min="803" max="805" width="14.5703125" style="227" customWidth="1"/>
    <col min="806" max="806" width="20" style="227" bestFit="1" customWidth="1"/>
    <col min="807" max="807" width="20.85546875" style="227" customWidth="1"/>
    <col min="808" max="808" width="99" style="227" bestFit="1" customWidth="1"/>
    <col min="809" max="809" width="25.85546875" style="227" bestFit="1" customWidth="1"/>
    <col min="810" max="1025" width="8.85546875" style="227"/>
    <col min="1026" max="1026" width="90.42578125" style="227" customWidth="1"/>
    <col min="1027" max="1047" width="11.5703125" style="227" customWidth="1"/>
    <col min="1048" max="1048" width="13.5703125" style="227" customWidth="1"/>
    <col min="1049" max="1049" width="11.5703125" style="227" customWidth="1"/>
    <col min="1050" max="1050" width="12.140625" style="227" customWidth="1"/>
    <col min="1051" max="1053" width="11.5703125" style="227" customWidth="1"/>
    <col min="1054" max="1054" width="12.28515625" style="227" customWidth="1"/>
    <col min="1055" max="1055" width="13.28515625" style="227" customWidth="1"/>
    <col min="1056" max="1056" width="16.5703125" style="227" customWidth="1"/>
    <col min="1057" max="1057" width="17.42578125" style="227" customWidth="1"/>
    <col min="1058" max="1058" width="14.7109375" style="227" customWidth="1"/>
    <col min="1059" max="1061" width="14.5703125" style="227" customWidth="1"/>
    <col min="1062" max="1062" width="20" style="227" bestFit="1" customWidth="1"/>
    <col min="1063" max="1063" width="20.85546875" style="227" customWidth="1"/>
    <col min="1064" max="1064" width="99" style="227" bestFit="1" customWidth="1"/>
    <col min="1065" max="1065" width="25.85546875" style="227" bestFit="1" customWidth="1"/>
    <col min="1066" max="1281" width="8.85546875" style="227"/>
    <col min="1282" max="1282" width="90.42578125" style="227" customWidth="1"/>
    <col min="1283" max="1303" width="11.5703125" style="227" customWidth="1"/>
    <col min="1304" max="1304" width="13.5703125" style="227" customWidth="1"/>
    <col min="1305" max="1305" width="11.5703125" style="227" customWidth="1"/>
    <col min="1306" max="1306" width="12.140625" style="227" customWidth="1"/>
    <col min="1307" max="1309" width="11.5703125" style="227" customWidth="1"/>
    <col min="1310" max="1310" width="12.28515625" style="227" customWidth="1"/>
    <col min="1311" max="1311" width="13.28515625" style="227" customWidth="1"/>
    <col min="1312" max="1312" width="16.5703125" style="227" customWidth="1"/>
    <col min="1313" max="1313" width="17.42578125" style="227" customWidth="1"/>
    <col min="1314" max="1314" width="14.7109375" style="227" customWidth="1"/>
    <col min="1315" max="1317" width="14.5703125" style="227" customWidth="1"/>
    <col min="1318" max="1318" width="20" style="227" bestFit="1" customWidth="1"/>
    <col min="1319" max="1319" width="20.85546875" style="227" customWidth="1"/>
    <col min="1320" max="1320" width="99" style="227" bestFit="1" customWidth="1"/>
    <col min="1321" max="1321" width="25.85546875" style="227" bestFit="1" customWidth="1"/>
    <col min="1322" max="1537" width="8.85546875" style="227"/>
    <col min="1538" max="1538" width="90.42578125" style="227" customWidth="1"/>
    <col min="1539" max="1559" width="11.5703125" style="227" customWidth="1"/>
    <col min="1560" max="1560" width="13.5703125" style="227" customWidth="1"/>
    <col min="1561" max="1561" width="11.5703125" style="227" customWidth="1"/>
    <col min="1562" max="1562" width="12.140625" style="227" customWidth="1"/>
    <col min="1563" max="1565" width="11.5703125" style="227" customWidth="1"/>
    <col min="1566" max="1566" width="12.28515625" style="227" customWidth="1"/>
    <col min="1567" max="1567" width="13.28515625" style="227" customWidth="1"/>
    <col min="1568" max="1568" width="16.5703125" style="227" customWidth="1"/>
    <col min="1569" max="1569" width="17.42578125" style="227" customWidth="1"/>
    <col min="1570" max="1570" width="14.7109375" style="227" customWidth="1"/>
    <col min="1571" max="1573" width="14.5703125" style="227" customWidth="1"/>
    <col min="1574" max="1574" width="20" style="227" bestFit="1" customWidth="1"/>
    <col min="1575" max="1575" width="20.85546875" style="227" customWidth="1"/>
    <col min="1576" max="1576" width="99" style="227" bestFit="1" customWidth="1"/>
    <col min="1577" max="1577" width="25.85546875" style="227" bestFit="1" customWidth="1"/>
    <col min="1578" max="1793" width="8.85546875" style="227"/>
    <col min="1794" max="1794" width="90.42578125" style="227" customWidth="1"/>
    <col min="1795" max="1815" width="11.5703125" style="227" customWidth="1"/>
    <col min="1816" max="1816" width="13.5703125" style="227" customWidth="1"/>
    <col min="1817" max="1817" width="11.5703125" style="227" customWidth="1"/>
    <col min="1818" max="1818" width="12.140625" style="227" customWidth="1"/>
    <col min="1819" max="1821" width="11.5703125" style="227" customWidth="1"/>
    <col min="1822" max="1822" width="12.28515625" style="227" customWidth="1"/>
    <col min="1823" max="1823" width="13.28515625" style="227" customWidth="1"/>
    <col min="1824" max="1824" width="16.5703125" style="227" customWidth="1"/>
    <col min="1825" max="1825" width="17.42578125" style="227" customWidth="1"/>
    <col min="1826" max="1826" width="14.7109375" style="227" customWidth="1"/>
    <col min="1827" max="1829" width="14.5703125" style="227" customWidth="1"/>
    <col min="1830" max="1830" width="20" style="227" bestFit="1" customWidth="1"/>
    <col min="1831" max="1831" width="20.85546875" style="227" customWidth="1"/>
    <col min="1832" max="1832" width="99" style="227" bestFit="1" customWidth="1"/>
    <col min="1833" max="1833" width="25.85546875" style="227" bestFit="1" customWidth="1"/>
    <col min="1834" max="2049" width="8.85546875" style="227"/>
    <col min="2050" max="2050" width="90.42578125" style="227" customWidth="1"/>
    <col min="2051" max="2071" width="11.5703125" style="227" customWidth="1"/>
    <col min="2072" max="2072" width="13.5703125" style="227" customWidth="1"/>
    <col min="2073" max="2073" width="11.5703125" style="227" customWidth="1"/>
    <col min="2074" max="2074" width="12.140625" style="227" customWidth="1"/>
    <col min="2075" max="2077" width="11.5703125" style="227" customWidth="1"/>
    <col min="2078" max="2078" width="12.28515625" style="227" customWidth="1"/>
    <col min="2079" max="2079" width="13.28515625" style="227" customWidth="1"/>
    <col min="2080" max="2080" width="16.5703125" style="227" customWidth="1"/>
    <col min="2081" max="2081" width="17.42578125" style="227" customWidth="1"/>
    <col min="2082" max="2082" width="14.7109375" style="227" customWidth="1"/>
    <col min="2083" max="2085" width="14.5703125" style="227" customWidth="1"/>
    <col min="2086" max="2086" width="20" style="227" bestFit="1" customWidth="1"/>
    <col min="2087" max="2087" width="20.85546875" style="227" customWidth="1"/>
    <col min="2088" max="2088" width="99" style="227" bestFit="1" customWidth="1"/>
    <col min="2089" max="2089" width="25.85546875" style="227" bestFit="1" customWidth="1"/>
    <col min="2090" max="2305" width="8.85546875" style="227"/>
    <col min="2306" max="2306" width="90.42578125" style="227" customWidth="1"/>
    <col min="2307" max="2327" width="11.5703125" style="227" customWidth="1"/>
    <col min="2328" max="2328" width="13.5703125" style="227" customWidth="1"/>
    <col min="2329" max="2329" width="11.5703125" style="227" customWidth="1"/>
    <col min="2330" max="2330" width="12.140625" style="227" customWidth="1"/>
    <col min="2331" max="2333" width="11.5703125" style="227" customWidth="1"/>
    <col min="2334" max="2334" width="12.28515625" style="227" customWidth="1"/>
    <col min="2335" max="2335" width="13.28515625" style="227" customWidth="1"/>
    <col min="2336" max="2336" width="16.5703125" style="227" customWidth="1"/>
    <col min="2337" max="2337" width="17.42578125" style="227" customWidth="1"/>
    <col min="2338" max="2338" width="14.7109375" style="227" customWidth="1"/>
    <col min="2339" max="2341" width="14.5703125" style="227" customWidth="1"/>
    <col min="2342" max="2342" width="20" style="227" bestFit="1" customWidth="1"/>
    <col min="2343" max="2343" width="20.85546875" style="227" customWidth="1"/>
    <col min="2344" max="2344" width="99" style="227" bestFit="1" customWidth="1"/>
    <col min="2345" max="2345" width="25.85546875" style="227" bestFit="1" customWidth="1"/>
    <col min="2346" max="2561" width="8.85546875" style="227"/>
    <col min="2562" max="2562" width="90.42578125" style="227" customWidth="1"/>
    <col min="2563" max="2583" width="11.5703125" style="227" customWidth="1"/>
    <col min="2584" max="2584" width="13.5703125" style="227" customWidth="1"/>
    <col min="2585" max="2585" width="11.5703125" style="227" customWidth="1"/>
    <col min="2586" max="2586" width="12.140625" style="227" customWidth="1"/>
    <col min="2587" max="2589" width="11.5703125" style="227" customWidth="1"/>
    <col min="2590" max="2590" width="12.28515625" style="227" customWidth="1"/>
    <col min="2591" max="2591" width="13.28515625" style="227" customWidth="1"/>
    <col min="2592" max="2592" width="16.5703125" style="227" customWidth="1"/>
    <col min="2593" max="2593" width="17.42578125" style="227" customWidth="1"/>
    <col min="2594" max="2594" width="14.7109375" style="227" customWidth="1"/>
    <col min="2595" max="2597" width="14.5703125" style="227" customWidth="1"/>
    <col min="2598" max="2598" width="20" style="227" bestFit="1" customWidth="1"/>
    <col min="2599" max="2599" width="20.85546875" style="227" customWidth="1"/>
    <col min="2600" max="2600" width="99" style="227" bestFit="1" customWidth="1"/>
    <col min="2601" max="2601" width="25.85546875" style="227" bestFit="1" customWidth="1"/>
    <col min="2602" max="2817" width="8.85546875" style="227"/>
    <col min="2818" max="2818" width="90.42578125" style="227" customWidth="1"/>
    <col min="2819" max="2839" width="11.5703125" style="227" customWidth="1"/>
    <col min="2840" max="2840" width="13.5703125" style="227" customWidth="1"/>
    <col min="2841" max="2841" width="11.5703125" style="227" customWidth="1"/>
    <col min="2842" max="2842" width="12.140625" style="227" customWidth="1"/>
    <col min="2843" max="2845" width="11.5703125" style="227" customWidth="1"/>
    <col min="2846" max="2846" width="12.28515625" style="227" customWidth="1"/>
    <col min="2847" max="2847" width="13.28515625" style="227" customWidth="1"/>
    <col min="2848" max="2848" width="16.5703125" style="227" customWidth="1"/>
    <col min="2849" max="2849" width="17.42578125" style="227" customWidth="1"/>
    <col min="2850" max="2850" width="14.7109375" style="227" customWidth="1"/>
    <col min="2851" max="2853" width="14.5703125" style="227" customWidth="1"/>
    <col min="2854" max="2854" width="20" style="227" bestFit="1" customWidth="1"/>
    <col min="2855" max="2855" width="20.85546875" style="227" customWidth="1"/>
    <col min="2856" max="2856" width="99" style="227" bestFit="1" customWidth="1"/>
    <col min="2857" max="2857" width="25.85546875" style="227" bestFit="1" customWidth="1"/>
    <col min="2858" max="3073" width="8.85546875" style="227"/>
    <col min="3074" max="3074" width="90.42578125" style="227" customWidth="1"/>
    <col min="3075" max="3095" width="11.5703125" style="227" customWidth="1"/>
    <col min="3096" max="3096" width="13.5703125" style="227" customWidth="1"/>
    <col min="3097" max="3097" width="11.5703125" style="227" customWidth="1"/>
    <col min="3098" max="3098" width="12.140625" style="227" customWidth="1"/>
    <col min="3099" max="3101" width="11.5703125" style="227" customWidth="1"/>
    <col min="3102" max="3102" width="12.28515625" style="227" customWidth="1"/>
    <col min="3103" max="3103" width="13.28515625" style="227" customWidth="1"/>
    <col min="3104" max="3104" width="16.5703125" style="227" customWidth="1"/>
    <col min="3105" max="3105" width="17.42578125" style="227" customWidth="1"/>
    <col min="3106" max="3106" width="14.7109375" style="227" customWidth="1"/>
    <col min="3107" max="3109" width="14.5703125" style="227" customWidth="1"/>
    <col min="3110" max="3110" width="20" style="227" bestFit="1" customWidth="1"/>
    <col min="3111" max="3111" width="20.85546875" style="227" customWidth="1"/>
    <col min="3112" max="3112" width="99" style="227" bestFit="1" customWidth="1"/>
    <col min="3113" max="3113" width="25.85546875" style="227" bestFit="1" customWidth="1"/>
    <col min="3114" max="3329" width="8.85546875" style="227"/>
    <col min="3330" max="3330" width="90.42578125" style="227" customWidth="1"/>
    <col min="3331" max="3351" width="11.5703125" style="227" customWidth="1"/>
    <col min="3352" max="3352" width="13.5703125" style="227" customWidth="1"/>
    <col min="3353" max="3353" width="11.5703125" style="227" customWidth="1"/>
    <col min="3354" max="3354" width="12.140625" style="227" customWidth="1"/>
    <col min="3355" max="3357" width="11.5703125" style="227" customWidth="1"/>
    <col min="3358" max="3358" width="12.28515625" style="227" customWidth="1"/>
    <col min="3359" max="3359" width="13.28515625" style="227" customWidth="1"/>
    <col min="3360" max="3360" width="16.5703125" style="227" customWidth="1"/>
    <col min="3361" max="3361" width="17.42578125" style="227" customWidth="1"/>
    <col min="3362" max="3362" width="14.7109375" style="227" customWidth="1"/>
    <col min="3363" max="3365" width="14.5703125" style="227" customWidth="1"/>
    <col min="3366" max="3366" width="20" style="227" bestFit="1" customWidth="1"/>
    <col min="3367" max="3367" width="20.85546875" style="227" customWidth="1"/>
    <col min="3368" max="3368" width="99" style="227" bestFit="1" customWidth="1"/>
    <col min="3369" max="3369" width="25.85546875" style="227" bestFit="1" customWidth="1"/>
    <col min="3370" max="3585" width="8.85546875" style="227"/>
    <col min="3586" max="3586" width="90.42578125" style="227" customWidth="1"/>
    <col min="3587" max="3607" width="11.5703125" style="227" customWidth="1"/>
    <col min="3608" max="3608" width="13.5703125" style="227" customWidth="1"/>
    <col min="3609" max="3609" width="11.5703125" style="227" customWidth="1"/>
    <col min="3610" max="3610" width="12.140625" style="227" customWidth="1"/>
    <col min="3611" max="3613" width="11.5703125" style="227" customWidth="1"/>
    <col min="3614" max="3614" width="12.28515625" style="227" customWidth="1"/>
    <col min="3615" max="3615" width="13.28515625" style="227" customWidth="1"/>
    <col min="3616" max="3616" width="16.5703125" style="227" customWidth="1"/>
    <col min="3617" max="3617" width="17.42578125" style="227" customWidth="1"/>
    <col min="3618" max="3618" width="14.7109375" style="227" customWidth="1"/>
    <col min="3619" max="3621" width="14.5703125" style="227" customWidth="1"/>
    <col min="3622" max="3622" width="20" style="227" bestFit="1" customWidth="1"/>
    <col min="3623" max="3623" width="20.85546875" style="227" customWidth="1"/>
    <col min="3624" max="3624" width="99" style="227" bestFit="1" customWidth="1"/>
    <col min="3625" max="3625" width="25.85546875" style="227" bestFit="1" customWidth="1"/>
    <col min="3626" max="3841" width="8.85546875" style="227"/>
    <col min="3842" max="3842" width="90.42578125" style="227" customWidth="1"/>
    <col min="3843" max="3863" width="11.5703125" style="227" customWidth="1"/>
    <col min="3864" max="3864" width="13.5703125" style="227" customWidth="1"/>
    <col min="3865" max="3865" width="11.5703125" style="227" customWidth="1"/>
    <col min="3866" max="3866" width="12.140625" style="227" customWidth="1"/>
    <col min="3867" max="3869" width="11.5703125" style="227" customWidth="1"/>
    <col min="3870" max="3870" width="12.28515625" style="227" customWidth="1"/>
    <col min="3871" max="3871" width="13.28515625" style="227" customWidth="1"/>
    <col min="3872" max="3872" width="16.5703125" style="227" customWidth="1"/>
    <col min="3873" max="3873" width="17.42578125" style="227" customWidth="1"/>
    <col min="3874" max="3874" width="14.7109375" style="227" customWidth="1"/>
    <col min="3875" max="3877" width="14.5703125" style="227" customWidth="1"/>
    <col min="3878" max="3878" width="20" style="227" bestFit="1" customWidth="1"/>
    <col min="3879" max="3879" width="20.85546875" style="227" customWidth="1"/>
    <col min="3880" max="3880" width="99" style="227" bestFit="1" customWidth="1"/>
    <col min="3881" max="3881" width="25.85546875" style="227" bestFit="1" customWidth="1"/>
    <col min="3882" max="4097" width="8.85546875" style="227"/>
    <col min="4098" max="4098" width="90.42578125" style="227" customWidth="1"/>
    <col min="4099" max="4119" width="11.5703125" style="227" customWidth="1"/>
    <col min="4120" max="4120" width="13.5703125" style="227" customWidth="1"/>
    <col min="4121" max="4121" width="11.5703125" style="227" customWidth="1"/>
    <col min="4122" max="4122" width="12.140625" style="227" customWidth="1"/>
    <col min="4123" max="4125" width="11.5703125" style="227" customWidth="1"/>
    <col min="4126" max="4126" width="12.28515625" style="227" customWidth="1"/>
    <col min="4127" max="4127" width="13.28515625" style="227" customWidth="1"/>
    <col min="4128" max="4128" width="16.5703125" style="227" customWidth="1"/>
    <col min="4129" max="4129" width="17.42578125" style="227" customWidth="1"/>
    <col min="4130" max="4130" width="14.7109375" style="227" customWidth="1"/>
    <col min="4131" max="4133" width="14.5703125" style="227" customWidth="1"/>
    <col min="4134" max="4134" width="20" style="227" bestFit="1" customWidth="1"/>
    <col min="4135" max="4135" width="20.85546875" style="227" customWidth="1"/>
    <col min="4136" max="4136" width="99" style="227" bestFit="1" customWidth="1"/>
    <col min="4137" max="4137" width="25.85546875" style="227" bestFit="1" customWidth="1"/>
    <col min="4138" max="4353" width="8.85546875" style="227"/>
    <col min="4354" max="4354" width="90.42578125" style="227" customWidth="1"/>
    <col min="4355" max="4375" width="11.5703125" style="227" customWidth="1"/>
    <col min="4376" max="4376" width="13.5703125" style="227" customWidth="1"/>
    <col min="4377" max="4377" width="11.5703125" style="227" customWidth="1"/>
    <col min="4378" max="4378" width="12.140625" style="227" customWidth="1"/>
    <col min="4379" max="4381" width="11.5703125" style="227" customWidth="1"/>
    <col min="4382" max="4382" width="12.28515625" style="227" customWidth="1"/>
    <col min="4383" max="4383" width="13.28515625" style="227" customWidth="1"/>
    <col min="4384" max="4384" width="16.5703125" style="227" customWidth="1"/>
    <col min="4385" max="4385" width="17.42578125" style="227" customWidth="1"/>
    <col min="4386" max="4386" width="14.7109375" style="227" customWidth="1"/>
    <col min="4387" max="4389" width="14.5703125" style="227" customWidth="1"/>
    <col min="4390" max="4390" width="20" style="227" bestFit="1" customWidth="1"/>
    <col min="4391" max="4391" width="20.85546875" style="227" customWidth="1"/>
    <col min="4392" max="4392" width="99" style="227" bestFit="1" customWidth="1"/>
    <col min="4393" max="4393" width="25.85546875" style="227" bestFit="1" customWidth="1"/>
    <col min="4394" max="4609" width="8.85546875" style="227"/>
    <col min="4610" max="4610" width="90.42578125" style="227" customWidth="1"/>
    <col min="4611" max="4631" width="11.5703125" style="227" customWidth="1"/>
    <col min="4632" max="4632" width="13.5703125" style="227" customWidth="1"/>
    <col min="4633" max="4633" width="11.5703125" style="227" customWidth="1"/>
    <col min="4634" max="4634" width="12.140625" style="227" customWidth="1"/>
    <col min="4635" max="4637" width="11.5703125" style="227" customWidth="1"/>
    <col min="4638" max="4638" width="12.28515625" style="227" customWidth="1"/>
    <col min="4639" max="4639" width="13.28515625" style="227" customWidth="1"/>
    <col min="4640" max="4640" width="16.5703125" style="227" customWidth="1"/>
    <col min="4641" max="4641" width="17.42578125" style="227" customWidth="1"/>
    <col min="4642" max="4642" width="14.7109375" style="227" customWidth="1"/>
    <col min="4643" max="4645" width="14.5703125" style="227" customWidth="1"/>
    <col min="4646" max="4646" width="20" style="227" bestFit="1" customWidth="1"/>
    <col min="4647" max="4647" width="20.85546875" style="227" customWidth="1"/>
    <col min="4648" max="4648" width="99" style="227" bestFit="1" customWidth="1"/>
    <col min="4649" max="4649" width="25.85546875" style="227" bestFit="1" customWidth="1"/>
    <col min="4650" max="4865" width="8.85546875" style="227"/>
    <col min="4866" max="4866" width="90.42578125" style="227" customWidth="1"/>
    <col min="4867" max="4887" width="11.5703125" style="227" customWidth="1"/>
    <col min="4888" max="4888" width="13.5703125" style="227" customWidth="1"/>
    <col min="4889" max="4889" width="11.5703125" style="227" customWidth="1"/>
    <col min="4890" max="4890" width="12.140625" style="227" customWidth="1"/>
    <col min="4891" max="4893" width="11.5703125" style="227" customWidth="1"/>
    <col min="4894" max="4894" width="12.28515625" style="227" customWidth="1"/>
    <col min="4895" max="4895" width="13.28515625" style="227" customWidth="1"/>
    <col min="4896" max="4896" width="16.5703125" style="227" customWidth="1"/>
    <col min="4897" max="4897" width="17.42578125" style="227" customWidth="1"/>
    <col min="4898" max="4898" width="14.7109375" style="227" customWidth="1"/>
    <col min="4899" max="4901" width="14.5703125" style="227" customWidth="1"/>
    <col min="4902" max="4902" width="20" style="227" bestFit="1" customWidth="1"/>
    <col min="4903" max="4903" width="20.85546875" style="227" customWidth="1"/>
    <col min="4904" max="4904" width="99" style="227" bestFit="1" customWidth="1"/>
    <col min="4905" max="4905" width="25.85546875" style="227" bestFit="1" customWidth="1"/>
    <col min="4906" max="5121" width="8.85546875" style="227"/>
    <col min="5122" max="5122" width="90.42578125" style="227" customWidth="1"/>
    <col min="5123" max="5143" width="11.5703125" style="227" customWidth="1"/>
    <col min="5144" max="5144" width="13.5703125" style="227" customWidth="1"/>
    <col min="5145" max="5145" width="11.5703125" style="227" customWidth="1"/>
    <col min="5146" max="5146" width="12.140625" style="227" customWidth="1"/>
    <col min="5147" max="5149" width="11.5703125" style="227" customWidth="1"/>
    <col min="5150" max="5150" width="12.28515625" style="227" customWidth="1"/>
    <col min="5151" max="5151" width="13.28515625" style="227" customWidth="1"/>
    <col min="5152" max="5152" width="16.5703125" style="227" customWidth="1"/>
    <col min="5153" max="5153" width="17.42578125" style="227" customWidth="1"/>
    <col min="5154" max="5154" width="14.7109375" style="227" customWidth="1"/>
    <col min="5155" max="5157" width="14.5703125" style="227" customWidth="1"/>
    <col min="5158" max="5158" width="20" style="227" bestFit="1" customWidth="1"/>
    <col min="5159" max="5159" width="20.85546875" style="227" customWidth="1"/>
    <col min="5160" max="5160" width="99" style="227" bestFit="1" customWidth="1"/>
    <col min="5161" max="5161" width="25.85546875" style="227" bestFit="1" customWidth="1"/>
    <col min="5162" max="5377" width="8.85546875" style="227"/>
    <col min="5378" max="5378" width="90.42578125" style="227" customWidth="1"/>
    <col min="5379" max="5399" width="11.5703125" style="227" customWidth="1"/>
    <col min="5400" max="5400" width="13.5703125" style="227" customWidth="1"/>
    <col min="5401" max="5401" width="11.5703125" style="227" customWidth="1"/>
    <col min="5402" max="5402" width="12.140625" style="227" customWidth="1"/>
    <col min="5403" max="5405" width="11.5703125" style="227" customWidth="1"/>
    <col min="5406" max="5406" width="12.28515625" style="227" customWidth="1"/>
    <col min="5407" max="5407" width="13.28515625" style="227" customWidth="1"/>
    <col min="5408" max="5408" width="16.5703125" style="227" customWidth="1"/>
    <col min="5409" max="5409" width="17.42578125" style="227" customWidth="1"/>
    <col min="5410" max="5410" width="14.7109375" style="227" customWidth="1"/>
    <col min="5411" max="5413" width="14.5703125" style="227" customWidth="1"/>
    <col min="5414" max="5414" width="20" style="227" bestFit="1" customWidth="1"/>
    <col min="5415" max="5415" width="20.85546875" style="227" customWidth="1"/>
    <col min="5416" max="5416" width="99" style="227" bestFit="1" customWidth="1"/>
    <col min="5417" max="5417" width="25.85546875" style="227" bestFit="1" customWidth="1"/>
    <col min="5418" max="5633" width="8.85546875" style="227"/>
    <col min="5634" max="5634" width="90.42578125" style="227" customWidth="1"/>
    <col min="5635" max="5655" width="11.5703125" style="227" customWidth="1"/>
    <col min="5656" max="5656" width="13.5703125" style="227" customWidth="1"/>
    <col min="5657" max="5657" width="11.5703125" style="227" customWidth="1"/>
    <col min="5658" max="5658" width="12.140625" style="227" customWidth="1"/>
    <col min="5659" max="5661" width="11.5703125" style="227" customWidth="1"/>
    <col min="5662" max="5662" width="12.28515625" style="227" customWidth="1"/>
    <col min="5663" max="5663" width="13.28515625" style="227" customWidth="1"/>
    <col min="5664" max="5664" width="16.5703125" style="227" customWidth="1"/>
    <col min="5665" max="5665" width="17.42578125" style="227" customWidth="1"/>
    <col min="5666" max="5666" width="14.7109375" style="227" customWidth="1"/>
    <col min="5667" max="5669" width="14.5703125" style="227" customWidth="1"/>
    <col min="5670" max="5670" width="20" style="227" bestFit="1" customWidth="1"/>
    <col min="5671" max="5671" width="20.85546875" style="227" customWidth="1"/>
    <col min="5672" max="5672" width="99" style="227" bestFit="1" customWidth="1"/>
    <col min="5673" max="5673" width="25.85546875" style="227" bestFit="1" customWidth="1"/>
    <col min="5674" max="5889" width="8.85546875" style="227"/>
    <col min="5890" max="5890" width="90.42578125" style="227" customWidth="1"/>
    <col min="5891" max="5911" width="11.5703125" style="227" customWidth="1"/>
    <col min="5912" max="5912" width="13.5703125" style="227" customWidth="1"/>
    <col min="5913" max="5913" width="11.5703125" style="227" customWidth="1"/>
    <col min="5914" max="5914" width="12.140625" style="227" customWidth="1"/>
    <col min="5915" max="5917" width="11.5703125" style="227" customWidth="1"/>
    <col min="5918" max="5918" width="12.28515625" style="227" customWidth="1"/>
    <col min="5919" max="5919" width="13.28515625" style="227" customWidth="1"/>
    <col min="5920" max="5920" width="16.5703125" style="227" customWidth="1"/>
    <col min="5921" max="5921" width="17.42578125" style="227" customWidth="1"/>
    <col min="5922" max="5922" width="14.7109375" style="227" customWidth="1"/>
    <col min="5923" max="5925" width="14.5703125" style="227" customWidth="1"/>
    <col min="5926" max="5926" width="20" style="227" bestFit="1" customWidth="1"/>
    <col min="5927" max="5927" width="20.85546875" style="227" customWidth="1"/>
    <col min="5928" max="5928" width="99" style="227" bestFit="1" customWidth="1"/>
    <col min="5929" max="5929" width="25.85546875" style="227" bestFit="1" customWidth="1"/>
    <col min="5930" max="6145" width="8.85546875" style="227"/>
    <col min="6146" max="6146" width="90.42578125" style="227" customWidth="1"/>
    <col min="6147" max="6167" width="11.5703125" style="227" customWidth="1"/>
    <col min="6168" max="6168" width="13.5703125" style="227" customWidth="1"/>
    <col min="6169" max="6169" width="11.5703125" style="227" customWidth="1"/>
    <col min="6170" max="6170" width="12.140625" style="227" customWidth="1"/>
    <col min="6171" max="6173" width="11.5703125" style="227" customWidth="1"/>
    <col min="6174" max="6174" width="12.28515625" style="227" customWidth="1"/>
    <col min="6175" max="6175" width="13.28515625" style="227" customWidth="1"/>
    <col min="6176" max="6176" width="16.5703125" style="227" customWidth="1"/>
    <col min="6177" max="6177" width="17.42578125" style="227" customWidth="1"/>
    <col min="6178" max="6178" width="14.7109375" style="227" customWidth="1"/>
    <col min="6179" max="6181" width="14.5703125" style="227" customWidth="1"/>
    <col min="6182" max="6182" width="20" style="227" bestFit="1" customWidth="1"/>
    <col min="6183" max="6183" width="20.85546875" style="227" customWidth="1"/>
    <col min="6184" max="6184" width="99" style="227" bestFit="1" customWidth="1"/>
    <col min="6185" max="6185" width="25.85546875" style="227" bestFit="1" customWidth="1"/>
    <col min="6186" max="6401" width="8.85546875" style="227"/>
    <col min="6402" max="6402" width="90.42578125" style="227" customWidth="1"/>
    <col min="6403" max="6423" width="11.5703125" style="227" customWidth="1"/>
    <col min="6424" max="6424" width="13.5703125" style="227" customWidth="1"/>
    <col min="6425" max="6425" width="11.5703125" style="227" customWidth="1"/>
    <col min="6426" max="6426" width="12.140625" style="227" customWidth="1"/>
    <col min="6427" max="6429" width="11.5703125" style="227" customWidth="1"/>
    <col min="6430" max="6430" width="12.28515625" style="227" customWidth="1"/>
    <col min="6431" max="6431" width="13.28515625" style="227" customWidth="1"/>
    <col min="6432" max="6432" width="16.5703125" style="227" customWidth="1"/>
    <col min="6433" max="6433" width="17.42578125" style="227" customWidth="1"/>
    <col min="6434" max="6434" width="14.7109375" style="227" customWidth="1"/>
    <col min="6435" max="6437" width="14.5703125" style="227" customWidth="1"/>
    <col min="6438" max="6438" width="20" style="227" bestFit="1" customWidth="1"/>
    <col min="6439" max="6439" width="20.85546875" style="227" customWidth="1"/>
    <col min="6440" max="6440" width="99" style="227" bestFit="1" customWidth="1"/>
    <col min="6441" max="6441" width="25.85546875" style="227" bestFit="1" customWidth="1"/>
    <col min="6442" max="6657" width="8.85546875" style="227"/>
    <col min="6658" max="6658" width="90.42578125" style="227" customWidth="1"/>
    <col min="6659" max="6679" width="11.5703125" style="227" customWidth="1"/>
    <col min="6680" max="6680" width="13.5703125" style="227" customWidth="1"/>
    <col min="6681" max="6681" width="11.5703125" style="227" customWidth="1"/>
    <col min="6682" max="6682" width="12.140625" style="227" customWidth="1"/>
    <col min="6683" max="6685" width="11.5703125" style="227" customWidth="1"/>
    <col min="6686" max="6686" width="12.28515625" style="227" customWidth="1"/>
    <col min="6687" max="6687" width="13.28515625" style="227" customWidth="1"/>
    <col min="6688" max="6688" width="16.5703125" style="227" customWidth="1"/>
    <col min="6689" max="6689" width="17.42578125" style="227" customWidth="1"/>
    <col min="6690" max="6690" width="14.7109375" style="227" customWidth="1"/>
    <col min="6691" max="6693" width="14.5703125" style="227" customWidth="1"/>
    <col min="6694" max="6694" width="20" style="227" bestFit="1" customWidth="1"/>
    <col min="6695" max="6695" width="20.85546875" style="227" customWidth="1"/>
    <col min="6696" max="6696" width="99" style="227" bestFit="1" customWidth="1"/>
    <col min="6697" max="6697" width="25.85546875" style="227" bestFit="1" customWidth="1"/>
    <col min="6698" max="6913" width="8.85546875" style="227"/>
    <col min="6914" max="6914" width="90.42578125" style="227" customWidth="1"/>
    <col min="6915" max="6935" width="11.5703125" style="227" customWidth="1"/>
    <col min="6936" max="6936" width="13.5703125" style="227" customWidth="1"/>
    <col min="6937" max="6937" width="11.5703125" style="227" customWidth="1"/>
    <col min="6938" max="6938" width="12.140625" style="227" customWidth="1"/>
    <col min="6939" max="6941" width="11.5703125" style="227" customWidth="1"/>
    <col min="6942" max="6942" width="12.28515625" style="227" customWidth="1"/>
    <col min="6943" max="6943" width="13.28515625" style="227" customWidth="1"/>
    <col min="6944" max="6944" width="16.5703125" style="227" customWidth="1"/>
    <col min="6945" max="6945" width="17.42578125" style="227" customWidth="1"/>
    <col min="6946" max="6946" width="14.7109375" style="227" customWidth="1"/>
    <col min="6947" max="6949" width="14.5703125" style="227" customWidth="1"/>
    <col min="6950" max="6950" width="20" style="227" bestFit="1" customWidth="1"/>
    <col min="6951" max="6951" width="20.85546875" style="227" customWidth="1"/>
    <col min="6952" max="6952" width="99" style="227" bestFit="1" customWidth="1"/>
    <col min="6953" max="6953" width="25.85546875" style="227" bestFit="1" customWidth="1"/>
    <col min="6954" max="7169" width="8.85546875" style="227"/>
    <col min="7170" max="7170" width="90.42578125" style="227" customWidth="1"/>
    <col min="7171" max="7191" width="11.5703125" style="227" customWidth="1"/>
    <col min="7192" max="7192" width="13.5703125" style="227" customWidth="1"/>
    <col min="7193" max="7193" width="11.5703125" style="227" customWidth="1"/>
    <col min="7194" max="7194" width="12.140625" style="227" customWidth="1"/>
    <col min="7195" max="7197" width="11.5703125" style="227" customWidth="1"/>
    <col min="7198" max="7198" width="12.28515625" style="227" customWidth="1"/>
    <col min="7199" max="7199" width="13.28515625" style="227" customWidth="1"/>
    <col min="7200" max="7200" width="16.5703125" style="227" customWidth="1"/>
    <col min="7201" max="7201" width="17.42578125" style="227" customWidth="1"/>
    <col min="7202" max="7202" width="14.7109375" style="227" customWidth="1"/>
    <col min="7203" max="7205" width="14.5703125" style="227" customWidth="1"/>
    <col min="7206" max="7206" width="20" style="227" bestFit="1" customWidth="1"/>
    <col min="7207" max="7207" width="20.85546875" style="227" customWidth="1"/>
    <col min="7208" max="7208" width="99" style="227" bestFit="1" customWidth="1"/>
    <col min="7209" max="7209" width="25.85546875" style="227" bestFit="1" customWidth="1"/>
    <col min="7210" max="7425" width="8.85546875" style="227"/>
    <col min="7426" max="7426" width="90.42578125" style="227" customWidth="1"/>
    <col min="7427" max="7447" width="11.5703125" style="227" customWidth="1"/>
    <col min="7448" max="7448" width="13.5703125" style="227" customWidth="1"/>
    <col min="7449" max="7449" width="11.5703125" style="227" customWidth="1"/>
    <col min="7450" max="7450" width="12.140625" style="227" customWidth="1"/>
    <col min="7451" max="7453" width="11.5703125" style="227" customWidth="1"/>
    <col min="7454" max="7454" width="12.28515625" style="227" customWidth="1"/>
    <col min="7455" max="7455" width="13.28515625" style="227" customWidth="1"/>
    <col min="7456" max="7456" width="16.5703125" style="227" customWidth="1"/>
    <col min="7457" max="7457" width="17.42578125" style="227" customWidth="1"/>
    <col min="7458" max="7458" width="14.7109375" style="227" customWidth="1"/>
    <col min="7459" max="7461" width="14.5703125" style="227" customWidth="1"/>
    <col min="7462" max="7462" width="20" style="227" bestFit="1" customWidth="1"/>
    <col min="7463" max="7463" width="20.85546875" style="227" customWidth="1"/>
    <col min="7464" max="7464" width="99" style="227" bestFit="1" customWidth="1"/>
    <col min="7465" max="7465" width="25.85546875" style="227" bestFit="1" customWidth="1"/>
    <col min="7466" max="7681" width="8.85546875" style="227"/>
    <col min="7682" max="7682" width="90.42578125" style="227" customWidth="1"/>
    <col min="7683" max="7703" width="11.5703125" style="227" customWidth="1"/>
    <col min="7704" max="7704" width="13.5703125" style="227" customWidth="1"/>
    <col min="7705" max="7705" width="11.5703125" style="227" customWidth="1"/>
    <col min="7706" max="7706" width="12.140625" style="227" customWidth="1"/>
    <col min="7707" max="7709" width="11.5703125" style="227" customWidth="1"/>
    <col min="7710" max="7710" width="12.28515625" style="227" customWidth="1"/>
    <col min="7711" max="7711" width="13.28515625" style="227" customWidth="1"/>
    <col min="7712" max="7712" width="16.5703125" style="227" customWidth="1"/>
    <col min="7713" max="7713" width="17.42578125" style="227" customWidth="1"/>
    <col min="7714" max="7714" width="14.7109375" style="227" customWidth="1"/>
    <col min="7715" max="7717" width="14.5703125" style="227" customWidth="1"/>
    <col min="7718" max="7718" width="20" style="227" bestFit="1" customWidth="1"/>
    <col min="7719" max="7719" width="20.85546875" style="227" customWidth="1"/>
    <col min="7720" max="7720" width="99" style="227" bestFit="1" customWidth="1"/>
    <col min="7721" max="7721" width="25.85546875" style="227" bestFit="1" customWidth="1"/>
    <col min="7722" max="7937" width="8.85546875" style="227"/>
    <col min="7938" max="7938" width="90.42578125" style="227" customWidth="1"/>
    <col min="7939" max="7959" width="11.5703125" style="227" customWidth="1"/>
    <col min="7960" max="7960" width="13.5703125" style="227" customWidth="1"/>
    <col min="7961" max="7961" width="11.5703125" style="227" customWidth="1"/>
    <col min="7962" max="7962" width="12.140625" style="227" customWidth="1"/>
    <col min="7963" max="7965" width="11.5703125" style="227" customWidth="1"/>
    <col min="7966" max="7966" width="12.28515625" style="227" customWidth="1"/>
    <col min="7967" max="7967" width="13.28515625" style="227" customWidth="1"/>
    <col min="7968" max="7968" width="16.5703125" style="227" customWidth="1"/>
    <col min="7969" max="7969" width="17.42578125" style="227" customWidth="1"/>
    <col min="7970" max="7970" width="14.7109375" style="227" customWidth="1"/>
    <col min="7971" max="7973" width="14.5703125" style="227" customWidth="1"/>
    <col min="7974" max="7974" width="20" style="227" bestFit="1" customWidth="1"/>
    <col min="7975" max="7975" width="20.85546875" style="227" customWidth="1"/>
    <col min="7976" max="7976" width="99" style="227" bestFit="1" customWidth="1"/>
    <col min="7977" max="7977" width="25.85546875" style="227" bestFit="1" customWidth="1"/>
    <col min="7978" max="8193" width="8.85546875" style="227"/>
    <col min="8194" max="8194" width="90.42578125" style="227" customWidth="1"/>
    <col min="8195" max="8215" width="11.5703125" style="227" customWidth="1"/>
    <col min="8216" max="8216" width="13.5703125" style="227" customWidth="1"/>
    <col min="8217" max="8217" width="11.5703125" style="227" customWidth="1"/>
    <col min="8218" max="8218" width="12.140625" style="227" customWidth="1"/>
    <col min="8219" max="8221" width="11.5703125" style="227" customWidth="1"/>
    <col min="8222" max="8222" width="12.28515625" style="227" customWidth="1"/>
    <col min="8223" max="8223" width="13.28515625" style="227" customWidth="1"/>
    <col min="8224" max="8224" width="16.5703125" style="227" customWidth="1"/>
    <col min="8225" max="8225" width="17.42578125" style="227" customWidth="1"/>
    <col min="8226" max="8226" width="14.7109375" style="227" customWidth="1"/>
    <col min="8227" max="8229" width="14.5703125" style="227" customWidth="1"/>
    <col min="8230" max="8230" width="20" style="227" bestFit="1" customWidth="1"/>
    <col min="8231" max="8231" width="20.85546875" style="227" customWidth="1"/>
    <col min="8232" max="8232" width="99" style="227" bestFit="1" customWidth="1"/>
    <col min="8233" max="8233" width="25.85546875" style="227" bestFit="1" customWidth="1"/>
    <col min="8234" max="8449" width="8.85546875" style="227"/>
    <col min="8450" max="8450" width="90.42578125" style="227" customWidth="1"/>
    <col min="8451" max="8471" width="11.5703125" style="227" customWidth="1"/>
    <col min="8472" max="8472" width="13.5703125" style="227" customWidth="1"/>
    <col min="8473" max="8473" width="11.5703125" style="227" customWidth="1"/>
    <col min="8474" max="8474" width="12.140625" style="227" customWidth="1"/>
    <col min="8475" max="8477" width="11.5703125" style="227" customWidth="1"/>
    <col min="8478" max="8478" width="12.28515625" style="227" customWidth="1"/>
    <col min="8479" max="8479" width="13.28515625" style="227" customWidth="1"/>
    <col min="8480" max="8480" width="16.5703125" style="227" customWidth="1"/>
    <col min="8481" max="8481" width="17.42578125" style="227" customWidth="1"/>
    <col min="8482" max="8482" width="14.7109375" style="227" customWidth="1"/>
    <col min="8483" max="8485" width="14.5703125" style="227" customWidth="1"/>
    <col min="8486" max="8486" width="20" style="227" bestFit="1" customWidth="1"/>
    <col min="8487" max="8487" width="20.85546875" style="227" customWidth="1"/>
    <col min="8488" max="8488" width="99" style="227" bestFit="1" customWidth="1"/>
    <col min="8489" max="8489" width="25.85546875" style="227" bestFit="1" customWidth="1"/>
    <col min="8490" max="8705" width="8.85546875" style="227"/>
    <col min="8706" max="8706" width="90.42578125" style="227" customWidth="1"/>
    <col min="8707" max="8727" width="11.5703125" style="227" customWidth="1"/>
    <col min="8728" max="8728" width="13.5703125" style="227" customWidth="1"/>
    <col min="8729" max="8729" width="11.5703125" style="227" customWidth="1"/>
    <col min="8730" max="8730" width="12.140625" style="227" customWidth="1"/>
    <col min="8731" max="8733" width="11.5703125" style="227" customWidth="1"/>
    <col min="8734" max="8734" width="12.28515625" style="227" customWidth="1"/>
    <col min="8735" max="8735" width="13.28515625" style="227" customWidth="1"/>
    <col min="8736" max="8736" width="16.5703125" style="227" customWidth="1"/>
    <col min="8737" max="8737" width="17.42578125" style="227" customWidth="1"/>
    <col min="8738" max="8738" width="14.7109375" style="227" customWidth="1"/>
    <col min="8739" max="8741" width="14.5703125" style="227" customWidth="1"/>
    <col min="8742" max="8742" width="20" style="227" bestFit="1" customWidth="1"/>
    <col min="8743" max="8743" width="20.85546875" style="227" customWidth="1"/>
    <col min="8744" max="8744" width="99" style="227" bestFit="1" customWidth="1"/>
    <col min="8745" max="8745" width="25.85546875" style="227" bestFit="1" customWidth="1"/>
    <col min="8746" max="8961" width="8.85546875" style="227"/>
    <col min="8962" max="8962" width="90.42578125" style="227" customWidth="1"/>
    <col min="8963" max="8983" width="11.5703125" style="227" customWidth="1"/>
    <col min="8984" max="8984" width="13.5703125" style="227" customWidth="1"/>
    <col min="8985" max="8985" width="11.5703125" style="227" customWidth="1"/>
    <col min="8986" max="8986" width="12.140625" style="227" customWidth="1"/>
    <col min="8987" max="8989" width="11.5703125" style="227" customWidth="1"/>
    <col min="8990" max="8990" width="12.28515625" style="227" customWidth="1"/>
    <col min="8991" max="8991" width="13.28515625" style="227" customWidth="1"/>
    <col min="8992" max="8992" width="16.5703125" style="227" customWidth="1"/>
    <col min="8993" max="8993" width="17.42578125" style="227" customWidth="1"/>
    <col min="8994" max="8994" width="14.7109375" style="227" customWidth="1"/>
    <col min="8995" max="8997" width="14.5703125" style="227" customWidth="1"/>
    <col min="8998" max="8998" width="20" style="227" bestFit="1" customWidth="1"/>
    <col min="8999" max="8999" width="20.85546875" style="227" customWidth="1"/>
    <col min="9000" max="9000" width="99" style="227" bestFit="1" customWidth="1"/>
    <col min="9001" max="9001" width="25.85546875" style="227" bestFit="1" customWidth="1"/>
    <col min="9002" max="9217" width="8.85546875" style="227"/>
    <col min="9218" max="9218" width="90.42578125" style="227" customWidth="1"/>
    <col min="9219" max="9239" width="11.5703125" style="227" customWidth="1"/>
    <col min="9240" max="9240" width="13.5703125" style="227" customWidth="1"/>
    <col min="9241" max="9241" width="11.5703125" style="227" customWidth="1"/>
    <col min="9242" max="9242" width="12.140625" style="227" customWidth="1"/>
    <col min="9243" max="9245" width="11.5703125" style="227" customWidth="1"/>
    <col min="9246" max="9246" width="12.28515625" style="227" customWidth="1"/>
    <col min="9247" max="9247" width="13.28515625" style="227" customWidth="1"/>
    <col min="9248" max="9248" width="16.5703125" style="227" customWidth="1"/>
    <col min="9249" max="9249" width="17.42578125" style="227" customWidth="1"/>
    <col min="9250" max="9250" width="14.7109375" style="227" customWidth="1"/>
    <col min="9251" max="9253" width="14.5703125" style="227" customWidth="1"/>
    <col min="9254" max="9254" width="20" style="227" bestFit="1" customWidth="1"/>
    <col min="9255" max="9255" width="20.85546875" style="227" customWidth="1"/>
    <col min="9256" max="9256" width="99" style="227" bestFit="1" customWidth="1"/>
    <col min="9257" max="9257" width="25.85546875" style="227" bestFit="1" customWidth="1"/>
    <col min="9258" max="9473" width="8.85546875" style="227"/>
    <col min="9474" max="9474" width="90.42578125" style="227" customWidth="1"/>
    <col min="9475" max="9495" width="11.5703125" style="227" customWidth="1"/>
    <col min="9496" max="9496" width="13.5703125" style="227" customWidth="1"/>
    <col min="9497" max="9497" width="11.5703125" style="227" customWidth="1"/>
    <col min="9498" max="9498" width="12.140625" style="227" customWidth="1"/>
    <col min="9499" max="9501" width="11.5703125" style="227" customWidth="1"/>
    <col min="9502" max="9502" width="12.28515625" style="227" customWidth="1"/>
    <col min="9503" max="9503" width="13.28515625" style="227" customWidth="1"/>
    <col min="9504" max="9504" width="16.5703125" style="227" customWidth="1"/>
    <col min="9505" max="9505" width="17.42578125" style="227" customWidth="1"/>
    <col min="9506" max="9506" width="14.7109375" style="227" customWidth="1"/>
    <col min="9507" max="9509" width="14.5703125" style="227" customWidth="1"/>
    <col min="9510" max="9510" width="20" style="227" bestFit="1" customWidth="1"/>
    <col min="9511" max="9511" width="20.85546875" style="227" customWidth="1"/>
    <col min="9512" max="9512" width="99" style="227" bestFit="1" customWidth="1"/>
    <col min="9513" max="9513" width="25.85546875" style="227" bestFit="1" customWidth="1"/>
    <col min="9514" max="9729" width="8.85546875" style="227"/>
    <col min="9730" max="9730" width="90.42578125" style="227" customWidth="1"/>
    <col min="9731" max="9751" width="11.5703125" style="227" customWidth="1"/>
    <col min="9752" max="9752" width="13.5703125" style="227" customWidth="1"/>
    <col min="9753" max="9753" width="11.5703125" style="227" customWidth="1"/>
    <col min="9754" max="9754" width="12.140625" style="227" customWidth="1"/>
    <col min="9755" max="9757" width="11.5703125" style="227" customWidth="1"/>
    <col min="9758" max="9758" width="12.28515625" style="227" customWidth="1"/>
    <col min="9759" max="9759" width="13.28515625" style="227" customWidth="1"/>
    <col min="9760" max="9760" width="16.5703125" style="227" customWidth="1"/>
    <col min="9761" max="9761" width="17.42578125" style="227" customWidth="1"/>
    <col min="9762" max="9762" width="14.7109375" style="227" customWidth="1"/>
    <col min="9763" max="9765" width="14.5703125" style="227" customWidth="1"/>
    <col min="9766" max="9766" width="20" style="227" bestFit="1" customWidth="1"/>
    <col min="9767" max="9767" width="20.85546875" style="227" customWidth="1"/>
    <col min="9768" max="9768" width="99" style="227" bestFit="1" customWidth="1"/>
    <col min="9769" max="9769" width="25.85546875" style="227" bestFit="1" customWidth="1"/>
    <col min="9770" max="9985" width="8.85546875" style="227"/>
    <col min="9986" max="9986" width="90.42578125" style="227" customWidth="1"/>
    <col min="9987" max="10007" width="11.5703125" style="227" customWidth="1"/>
    <col min="10008" max="10008" width="13.5703125" style="227" customWidth="1"/>
    <col min="10009" max="10009" width="11.5703125" style="227" customWidth="1"/>
    <col min="10010" max="10010" width="12.140625" style="227" customWidth="1"/>
    <col min="10011" max="10013" width="11.5703125" style="227" customWidth="1"/>
    <col min="10014" max="10014" width="12.28515625" style="227" customWidth="1"/>
    <col min="10015" max="10015" width="13.28515625" style="227" customWidth="1"/>
    <col min="10016" max="10016" width="16.5703125" style="227" customWidth="1"/>
    <col min="10017" max="10017" width="17.42578125" style="227" customWidth="1"/>
    <col min="10018" max="10018" width="14.7109375" style="227" customWidth="1"/>
    <col min="10019" max="10021" width="14.5703125" style="227" customWidth="1"/>
    <col min="10022" max="10022" width="20" style="227" bestFit="1" customWidth="1"/>
    <col min="10023" max="10023" width="20.85546875" style="227" customWidth="1"/>
    <col min="10024" max="10024" width="99" style="227" bestFit="1" customWidth="1"/>
    <col min="10025" max="10025" width="25.85546875" style="227" bestFit="1" customWidth="1"/>
    <col min="10026" max="10241" width="8.85546875" style="227"/>
    <col min="10242" max="10242" width="90.42578125" style="227" customWidth="1"/>
    <col min="10243" max="10263" width="11.5703125" style="227" customWidth="1"/>
    <col min="10264" max="10264" width="13.5703125" style="227" customWidth="1"/>
    <col min="10265" max="10265" width="11.5703125" style="227" customWidth="1"/>
    <col min="10266" max="10266" width="12.140625" style="227" customWidth="1"/>
    <col min="10267" max="10269" width="11.5703125" style="227" customWidth="1"/>
    <col min="10270" max="10270" width="12.28515625" style="227" customWidth="1"/>
    <col min="10271" max="10271" width="13.28515625" style="227" customWidth="1"/>
    <col min="10272" max="10272" width="16.5703125" style="227" customWidth="1"/>
    <col min="10273" max="10273" width="17.42578125" style="227" customWidth="1"/>
    <col min="10274" max="10274" width="14.7109375" style="227" customWidth="1"/>
    <col min="10275" max="10277" width="14.5703125" style="227" customWidth="1"/>
    <col min="10278" max="10278" width="20" style="227" bestFit="1" customWidth="1"/>
    <col min="10279" max="10279" width="20.85546875" style="227" customWidth="1"/>
    <col min="10280" max="10280" width="99" style="227" bestFit="1" customWidth="1"/>
    <col min="10281" max="10281" width="25.85546875" style="227" bestFit="1" customWidth="1"/>
    <col min="10282" max="10497" width="8.85546875" style="227"/>
    <col min="10498" max="10498" width="90.42578125" style="227" customWidth="1"/>
    <col min="10499" max="10519" width="11.5703125" style="227" customWidth="1"/>
    <col min="10520" max="10520" width="13.5703125" style="227" customWidth="1"/>
    <col min="10521" max="10521" width="11.5703125" style="227" customWidth="1"/>
    <col min="10522" max="10522" width="12.140625" style="227" customWidth="1"/>
    <col min="10523" max="10525" width="11.5703125" style="227" customWidth="1"/>
    <col min="10526" max="10526" width="12.28515625" style="227" customWidth="1"/>
    <col min="10527" max="10527" width="13.28515625" style="227" customWidth="1"/>
    <col min="10528" max="10528" width="16.5703125" style="227" customWidth="1"/>
    <col min="10529" max="10529" width="17.42578125" style="227" customWidth="1"/>
    <col min="10530" max="10530" width="14.7109375" style="227" customWidth="1"/>
    <col min="10531" max="10533" width="14.5703125" style="227" customWidth="1"/>
    <col min="10534" max="10534" width="20" style="227" bestFit="1" customWidth="1"/>
    <col min="10535" max="10535" width="20.85546875" style="227" customWidth="1"/>
    <col min="10536" max="10536" width="99" style="227" bestFit="1" customWidth="1"/>
    <col min="10537" max="10537" width="25.85546875" style="227" bestFit="1" customWidth="1"/>
    <col min="10538" max="10753" width="8.85546875" style="227"/>
    <col min="10754" max="10754" width="90.42578125" style="227" customWidth="1"/>
    <col min="10755" max="10775" width="11.5703125" style="227" customWidth="1"/>
    <col min="10776" max="10776" width="13.5703125" style="227" customWidth="1"/>
    <col min="10777" max="10777" width="11.5703125" style="227" customWidth="1"/>
    <col min="10778" max="10778" width="12.140625" style="227" customWidth="1"/>
    <col min="10779" max="10781" width="11.5703125" style="227" customWidth="1"/>
    <col min="10782" max="10782" width="12.28515625" style="227" customWidth="1"/>
    <col min="10783" max="10783" width="13.28515625" style="227" customWidth="1"/>
    <col min="10784" max="10784" width="16.5703125" style="227" customWidth="1"/>
    <col min="10785" max="10785" width="17.42578125" style="227" customWidth="1"/>
    <col min="10786" max="10786" width="14.7109375" style="227" customWidth="1"/>
    <col min="10787" max="10789" width="14.5703125" style="227" customWidth="1"/>
    <col min="10790" max="10790" width="20" style="227" bestFit="1" customWidth="1"/>
    <col min="10791" max="10791" width="20.85546875" style="227" customWidth="1"/>
    <col min="10792" max="10792" width="99" style="227" bestFit="1" customWidth="1"/>
    <col min="10793" max="10793" width="25.85546875" style="227" bestFit="1" customWidth="1"/>
    <col min="10794" max="11009" width="8.85546875" style="227"/>
    <col min="11010" max="11010" width="90.42578125" style="227" customWidth="1"/>
    <col min="11011" max="11031" width="11.5703125" style="227" customWidth="1"/>
    <col min="11032" max="11032" width="13.5703125" style="227" customWidth="1"/>
    <col min="11033" max="11033" width="11.5703125" style="227" customWidth="1"/>
    <col min="11034" max="11034" width="12.140625" style="227" customWidth="1"/>
    <col min="11035" max="11037" width="11.5703125" style="227" customWidth="1"/>
    <col min="11038" max="11038" width="12.28515625" style="227" customWidth="1"/>
    <col min="11039" max="11039" width="13.28515625" style="227" customWidth="1"/>
    <col min="11040" max="11040" width="16.5703125" style="227" customWidth="1"/>
    <col min="11041" max="11041" width="17.42578125" style="227" customWidth="1"/>
    <col min="11042" max="11042" width="14.7109375" style="227" customWidth="1"/>
    <col min="11043" max="11045" width="14.5703125" style="227" customWidth="1"/>
    <col min="11046" max="11046" width="20" style="227" bestFit="1" customWidth="1"/>
    <col min="11047" max="11047" width="20.85546875" style="227" customWidth="1"/>
    <col min="11048" max="11048" width="99" style="227" bestFit="1" customWidth="1"/>
    <col min="11049" max="11049" width="25.85546875" style="227" bestFit="1" customWidth="1"/>
    <col min="11050" max="11265" width="8.85546875" style="227"/>
    <col min="11266" max="11266" width="90.42578125" style="227" customWidth="1"/>
    <col min="11267" max="11287" width="11.5703125" style="227" customWidth="1"/>
    <col min="11288" max="11288" width="13.5703125" style="227" customWidth="1"/>
    <col min="11289" max="11289" width="11.5703125" style="227" customWidth="1"/>
    <col min="11290" max="11290" width="12.140625" style="227" customWidth="1"/>
    <col min="11291" max="11293" width="11.5703125" style="227" customWidth="1"/>
    <col min="11294" max="11294" width="12.28515625" style="227" customWidth="1"/>
    <col min="11295" max="11295" width="13.28515625" style="227" customWidth="1"/>
    <col min="11296" max="11296" width="16.5703125" style="227" customWidth="1"/>
    <col min="11297" max="11297" width="17.42578125" style="227" customWidth="1"/>
    <col min="11298" max="11298" width="14.7109375" style="227" customWidth="1"/>
    <col min="11299" max="11301" width="14.5703125" style="227" customWidth="1"/>
    <col min="11302" max="11302" width="20" style="227" bestFit="1" customWidth="1"/>
    <col min="11303" max="11303" width="20.85546875" style="227" customWidth="1"/>
    <col min="11304" max="11304" width="99" style="227" bestFit="1" customWidth="1"/>
    <col min="11305" max="11305" width="25.85546875" style="227" bestFit="1" customWidth="1"/>
    <col min="11306" max="11521" width="8.85546875" style="227"/>
    <col min="11522" max="11522" width="90.42578125" style="227" customWidth="1"/>
    <col min="11523" max="11543" width="11.5703125" style="227" customWidth="1"/>
    <col min="11544" max="11544" width="13.5703125" style="227" customWidth="1"/>
    <col min="11545" max="11545" width="11.5703125" style="227" customWidth="1"/>
    <col min="11546" max="11546" width="12.140625" style="227" customWidth="1"/>
    <col min="11547" max="11549" width="11.5703125" style="227" customWidth="1"/>
    <col min="11550" max="11550" width="12.28515625" style="227" customWidth="1"/>
    <col min="11551" max="11551" width="13.28515625" style="227" customWidth="1"/>
    <col min="11552" max="11552" width="16.5703125" style="227" customWidth="1"/>
    <col min="11553" max="11553" width="17.42578125" style="227" customWidth="1"/>
    <col min="11554" max="11554" width="14.7109375" style="227" customWidth="1"/>
    <col min="11555" max="11557" width="14.5703125" style="227" customWidth="1"/>
    <col min="11558" max="11558" width="20" style="227" bestFit="1" customWidth="1"/>
    <col min="11559" max="11559" width="20.85546875" style="227" customWidth="1"/>
    <col min="11560" max="11560" width="99" style="227" bestFit="1" customWidth="1"/>
    <col min="11561" max="11561" width="25.85546875" style="227" bestFit="1" customWidth="1"/>
    <col min="11562" max="11777" width="8.85546875" style="227"/>
    <col min="11778" max="11778" width="90.42578125" style="227" customWidth="1"/>
    <col min="11779" max="11799" width="11.5703125" style="227" customWidth="1"/>
    <col min="11800" max="11800" width="13.5703125" style="227" customWidth="1"/>
    <col min="11801" max="11801" width="11.5703125" style="227" customWidth="1"/>
    <col min="11802" max="11802" width="12.140625" style="227" customWidth="1"/>
    <col min="11803" max="11805" width="11.5703125" style="227" customWidth="1"/>
    <col min="11806" max="11806" width="12.28515625" style="227" customWidth="1"/>
    <col min="11807" max="11807" width="13.28515625" style="227" customWidth="1"/>
    <col min="11808" max="11808" width="16.5703125" style="227" customWidth="1"/>
    <col min="11809" max="11809" width="17.42578125" style="227" customWidth="1"/>
    <col min="11810" max="11810" width="14.7109375" style="227" customWidth="1"/>
    <col min="11811" max="11813" width="14.5703125" style="227" customWidth="1"/>
    <col min="11814" max="11814" width="20" style="227" bestFit="1" customWidth="1"/>
    <col min="11815" max="11815" width="20.85546875" style="227" customWidth="1"/>
    <col min="11816" max="11816" width="99" style="227" bestFit="1" customWidth="1"/>
    <col min="11817" max="11817" width="25.85546875" style="227" bestFit="1" customWidth="1"/>
    <col min="11818" max="12033" width="8.85546875" style="227"/>
    <col min="12034" max="12034" width="90.42578125" style="227" customWidth="1"/>
    <col min="12035" max="12055" width="11.5703125" style="227" customWidth="1"/>
    <col min="12056" max="12056" width="13.5703125" style="227" customWidth="1"/>
    <col min="12057" max="12057" width="11.5703125" style="227" customWidth="1"/>
    <col min="12058" max="12058" width="12.140625" style="227" customWidth="1"/>
    <col min="12059" max="12061" width="11.5703125" style="227" customWidth="1"/>
    <col min="12062" max="12062" width="12.28515625" style="227" customWidth="1"/>
    <col min="12063" max="12063" width="13.28515625" style="227" customWidth="1"/>
    <col min="12064" max="12064" width="16.5703125" style="227" customWidth="1"/>
    <col min="12065" max="12065" width="17.42578125" style="227" customWidth="1"/>
    <col min="12066" max="12066" width="14.7109375" style="227" customWidth="1"/>
    <col min="12067" max="12069" width="14.5703125" style="227" customWidth="1"/>
    <col min="12070" max="12070" width="20" style="227" bestFit="1" customWidth="1"/>
    <col min="12071" max="12071" width="20.85546875" style="227" customWidth="1"/>
    <col min="12072" max="12072" width="99" style="227" bestFit="1" customWidth="1"/>
    <col min="12073" max="12073" width="25.85546875" style="227" bestFit="1" customWidth="1"/>
    <col min="12074" max="12289" width="8.85546875" style="227"/>
    <col min="12290" max="12290" width="90.42578125" style="227" customWidth="1"/>
    <col min="12291" max="12311" width="11.5703125" style="227" customWidth="1"/>
    <col min="12312" max="12312" width="13.5703125" style="227" customWidth="1"/>
    <col min="12313" max="12313" width="11.5703125" style="227" customWidth="1"/>
    <col min="12314" max="12314" width="12.140625" style="227" customWidth="1"/>
    <col min="12315" max="12317" width="11.5703125" style="227" customWidth="1"/>
    <col min="12318" max="12318" width="12.28515625" style="227" customWidth="1"/>
    <col min="12319" max="12319" width="13.28515625" style="227" customWidth="1"/>
    <col min="12320" max="12320" width="16.5703125" style="227" customWidth="1"/>
    <col min="12321" max="12321" width="17.42578125" style="227" customWidth="1"/>
    <col min="12322" max="12322" width="14.7109375" style="227" customWidth="1"/>
    <col min="12323" max="12325" width="14.5703125" style="227" customWidth="1"/>
    <col min="12326" max="12326" width="20" style="227" bestFit="1" customWidth="1"/>
    <col min="12327" max="12327" width="20.85546875" style="227" customWidth="1"/>
    <col min="12328" max="12328" width="99" style="227" bestFit="1" customWidth="1"/>
    <col min="12329" max="12329" width="25.85546875" style="227" bestFit="1" customWidth="1"/>
    <col min="12330" max="12545" width="8.85546875" style="227"/>
    <col min="12546" max="12546" width="90.42578125" style="227" customWidth="1"/>
    <col min="12547" max="12567" width="11.5703125" style="227" customWidth="1"/>
    <col min="12568" max="12568" width="13.5703125" style="227" customWidth="1"/>
    <col min="12569" max="12569" width="11.5703125" style="227" customWidth="1"/>
    <col min="12570" max="12570" width="12.140625" style="227" customWidth="1"/>
    <col min="12571" max="12573" width="11.5703125" style="227" customWidth="1"/>
    <col min="12574" max="12574" width="12.28515625" style="227" customWidth="1"/>
    <col min="12575" max="12575" width="13.28515625" style="227" customWidth="1"/>
    <col min="12576" max="12576" width="16.5703125" style="227" customWidth="1"/>
    <col min="12577" max="12577" width="17.42578125" style="227" customWidth="1"/>
    <col min="12578" max="12578" width="14.7109375" style="227" customWidth="1"/>
    <col min="12579" max="12581" width="14.5703125" style="227" customWidth="1"/>
    <col min="12582" max="12582" width="20" style="227" bestFit="1" customWidth="1"/>
    <col min="12583" max="12583" width="20.85546875" style="227" customWidth="1"/>
    <col min="12584" max="12584" width="99" style="227" bestFit="1" customWidth="1"/>
    <col min="12585" max="12585" width="25.85546875" style="227" bestFit="1" customWidth="1"/>
    <col min="12586" max="12801" width="8.85546875" style="227"/>
    <col min="12802" max="12802" width="90.42578125" style="227" customWidth="1"/>
    <col min="12803" max="12823" width="11.5703125" style="227" customWidth="1"/>
    <col min="12824" max="12824" width="13.5703125" style="227" customWidth="1"/>
    <col min="12825" max="12825" width="11.5703125" style="227" customWidth="1"/>
    <col min="12826" max="12826" width="12.140625" style="227" customWidth="1"/>
    <col min="12827" max="12829" width="11.5703125" style="227" customWidth="1"/>
    <col min="12830" max="12830" width="12.28515625" style="227" customWidth="1"/>
    <col min="12831" max="12831" width="13.28515625" style="227" customWidth="1"/>
    <col min="12832" max="12832" width="16.5703125" style="227" customWidth="1"/>
    <col min="12833" max="12833" width="17.42578125" style="227" customWidth="1"/>
    <col min="12834" max="12834" width="14.7109375" style="227" customWidth="1"/>
    <col min="12835" max="12837" width="14.5703125" style="227" customWidth="1"/>
    <col min="12838" max="12838" width="20" style="227" bestFit="1" customWidth="1"/>
    <col min="12839" max="12839" width="20.85546875" style="227" customWidth="1"/>
    <col min="12840" max="12840" width="99" style="227" bestFit="1" customWidth="1"/>
    <col min="12841" max="12841" width="25.85546875" style="227" bestFit="1" customWidth="1"/>
    <col min="12842" max="13057" width="8.85546875" style="227"/>
    <col min="13058" max="13058" width="90.42578125" style="227" customWidth="1"/>
    <col min="13059" max="13079" width="11.5703125" style="227" customWidth="1"/>
    <col min="13080" max="13080" width="13.5703125" style="227" customWidth="1"/>
    <col min="13081" max="13081" width="11.5703125" style="227" customWidth="1"/>
    <col min="13082" max="13082" width="12.140625" style="227" customWidth="1"/>
    <col min="13083" max="13085" width="11.5703125" style="227" customWidth="1"/>
    <col min="13086" max="13086" width="12.28515625" style="227" customWidth="1"/>
    <col min="13087" max="13087" width="13.28515625" style="227" customWidth="1"/>
    <col min="13088" max="13088" width="16.5703125" style="227" customWidth="1"/>
    <col min="13089" max="13089" width="17.42578125" style="227" customWidth="1"/>
    <col min="13090" max="13090" width="14.7109375" style="227" customWidth="1"/>
    <col min="13091" max="13093" width="14.5703125" style="227" customWidth="1"/>
    <col min="13094" max="13094" width="20" style="227" bestFit="1" customWidth="1"/>
    <col min="13095" max="13095" width="20.85546875" style="227" customWidth="1"/>
    <col min="13096" max="13096" width="99" style="227" bestFit="1" customWidth="1"/>
    <col min="13097" max="13097" width="25.85546875" style="227" bestFit="1" customWidth="1"/>
    <col min="13098" max="13313" width="8.85546875" style="227"/>
    <col min="13314" max="13314" width="90.42578125" style="227" customWidth="1"/>
    <col min="13315" max="13335" width="11.5703125" style="227" customWidth="1"/>
    <col min="13336" max="13336" width="13.5703125" style="227" customWidth="1"/>
    <col min="13337" max="13337" width="11.5703125" style="227" customWidth="1"/>
    <col min="13338" max="13338" width="12.140625" style="227" customWidth="1"/>
    <col min="13339" max="13341" width="11.5703125" style="227" customWidth="1"/>
    <col min="13342" max="13342" width="12.28515625" style="227" customWidth="1"/>
    <col min="13343" max="13343" width="13.28515625" style="227" customWidth="1"/>
    <col min="13344" max="13344" width="16.5703125" style="227" customWidth="1"/>
    <col min="13345" max="13345" width="17.42578125" style="227" customWidth="1"/>
    <col min="13346" max="13346" width="14.7109375" style="227" customWidth="1"/>
    <col min="13347" max="13349" width="14.5703125" style="227" customWidth="1"/>
    <col min="13350" max="13350" width="20" style="227" bestFit="1" customWidth="1"/>
    <col min="13351" max="13351" width="20.85546875" style="227" customWidth="1"/>
    <col min="13352" max="13352" width="99" style="227" bestFit="1" customWidth="1"/>
    <col min="13353" max="13353" width="25.85546875" style="227" bestFit="1" customWidth="1"/>
    <col min="13354" max="13569" width="8.85546875" style="227"/>
    <col min="13570" max="13570" width="90.42578125" style="227" customWidth="1"/>
    <col min="13571" max="13591" width="11.5703125" style="227" customWidth="1"/>
    <col min="13592" max="13592" width="13.5703125" style="227" customWidth="1"/>
    <col min="13593" max="13593" width="11.5703125" style="227" customWidth="1"/>
    <col min="13594" max="13594" width="12.140625" style="227" customWidth="1"/>
    <col min="13595" max="13597" width="11.5703125" style="227" customWidth="1"/>
    <col min="13598" max="13598" width="12.28515625" style="227" customWidth="1"/>
    <col min="13599" max="13599" width="13.28515625" style="227" customWidth="1"/>
    <col min="13600" max="13600" width="16.5703125" style="227" customWidth="1"/>
    <col min="13601" max="13601" width="17.42578125" style="227" customWidth="1"/>
    <col min="13602" max="13602" width="14.7109375" style="227" customWidth="1"/>
    <col min="13603" max="13605" width="14.5703125" style="227" customWidth="1"/>
    <col min="13606" max="13606" width="20" style="227" bestFit="1" customWidth="1"/>
    <col min="13607" max="13607" width="20.85546875" style="227" customWidth="1"/>
    <col min="13608" max="13608" width="99" style="227" bestFit="1" customWidth="1"/>
    <col min="13609" max="13609" width="25.85546875" style="227" bestFit="1" customWidth="1"/>
    <col min="13610" max="13825" width="8.85546875" style="227"/>
    <col min="13826" max="13826" width="90.42578125" style="227" customWidth="1"/>
    <col min="13827" max="13847" width="11.5703125" style="227" customWidth="1"/>
    <col min="13848" max="13848" width="13.5703125" style="227" customWidth="1"/>
    <col min="13849" max="13849" width="11.5703125" style="227" customWidth="1"/>
    <col min="13850" max="13850" width="12.140625" style="227" customWidth="1"/>
    <col min="13851" max="13853" width="11.5703125" style="227" customWidth="1"/>
    <col min="13854" max="13854" width="12.28515625" style="227" customWidth="1"/>
    <col min="13855" max="13855" width="13.28515625" style="227" customWidth="1"/>
    <col min="13856" max="13856" width="16.5703125" style="227" customWidth="1"/>
    <col min="13857" max="13857" width="17.42578125" style="227" customWidth="1"/>
    <col min="13858" max="13858" width="14.7109375" style="227" customWidth="1"/>
    <col min="13859" max="13861" width="14.5703125" style="227" customWidth="1"/>
    <col min="13862" max="13862" width="20" style="227" bestFit="1" customWidth="1"/>
    <col min="13863" max="13863" width="20.85546875" style="227" customWidth="1"/>
    <col min="13864" max="13864" width="99" style="227" bestFit="1" customWidth="1"/>
    <col min="13865" max="13865" width="25.85546875" style="227" bestFit="1" customWidth="1"/>
    <col min="13866" max="14081" width="8.85546875" style="227"/>
    <col min="14082" max="14082" width="90.42578125" style="227" customWidth="1"/>
    <col min="14083" max="14103" width="11.5703125" style="227" customWidth="1"/>
    <col min="14104" max="14104" width="13.5703125" style="227" customWidth="1"/>
    <col min="14105" max="14105" width="11.5703125" style="227" customWidth="1"/>
    <col min="14106" max="14106" width="12.140625" style="227" customWidth="1"/>
    <col min="14107" max="14109" width="11.5703125" style="227" customWidth="1"/>
    <col min="14110" max="14110" width="12.28515625" style="227" customWidth="1"/>
    <col min="14111" max="14111" width="13.28515625" style="227" customWidth="1"/>
    <col min="14112" max="14112" width="16.5703125" style="227" customWidth="1"/>
    <col min="14113" max="14113" width="17.42578125" style="227" customWidth="1"/>
    <col min="14114" max="14114" width="14.7109375" style="227" customWidth="1"/>
    <col min="14115" max="14117" width="14.5703125" style="227" customWidth="1"/>
    <col min="14118" max="14118" width="20" style="227" bestFit="1" customWidth="1"/>
    <col min="14119" max="14119" width="20.85546875" style="227" customWidth="1"/>
    <col min="14120" max="14120" width="99" style="227" bestFit="1" customWidth="1"/>
    <col min="14121" max="14121" width="25.85546875" style="227" bestFit="1" customWidth="1"/>
    <col min="14122" max="14337" width="8.85546875" style="227"/>
    <col min="14338" max="14338" width="90.42578125" style="227" customWidth="1"/>
    <col min="14339" max="14359" width="11.5703125" style="227" customWidth="1"/>
    <col min="14360" max="14360" width="13.5703125" style="227" customWidth="1"/>
    <col min="14361" max="14361" width="11.5703125" style="227" customWidth="1"/>
    <col min="14362" max="14362" width="12.140625" style="227" customWidth="1"/>
    <col min="14363" max="14365" width="11.5703125" style="227" customWidth="1"/>
    <col min="14366" max="14366" width="12.28515625" style="227" customWidth="1"/>
    <col min="14367" max="14367" width="13.28515625" style="227" customWidth="1"/>
    <col min="14368" max="14368" width="16.5703125" style="227" customWidth="1"/>
    <col min="14369" max="14369" width="17.42578125" style="227" customWidth="1"/>
    <col min="14370" max="14370" width="14.7109375" style="227" customWidth="1"/>
    <col min="14371" max="14373" width="14.5703125" style="227" customWidth="1"/>
    <col min="14374" max="14374" width="20" style="227" bestFit="1" customWidth="1"/>
    <col min="14375" max="14375" width="20.85546875" style="227" customWidth="1"/>
    <col min="14376" max="14376" width="99" style="227" bestFit="1" customWidth="1"/>
    <col min="14377" max="14377" width="25.85546875" style="227" bestFit="1" customWidth="1"/>
    <col min="14378" max="14593" width="8.85546875" style="227"/>
    <col min="14594" max="14594" width="90.42578125" style="227" customWidth="1"/>
    <col min="14595" max="14615" width="11.5703125" style="227" customWidth="1"/>
    <col min="14616" max="14616" width="13.5703125" style="227" customWidth="1"/>
    <col min="14617" max="14617" width="11.5703125" style="227" customWidth="1"/>
    <col min="14618" max="14618" width="12.140625" style="227" customWidth="1"/>
    <col min="14619" max="14621" width="11.5703125" style="227" customWidth="1"/>
    <col min="14622" max="14622" width="12.28515625" style="227" customWidth="1"/>
    <col min="14623" max="14623" width="13.28515625" style="227" customWidth="1"/>
    <col min="14624" max="14624" width="16.5703125" style="227" customWidth="1"/>
    <col min="14625" max="14625" width="17.42578125" style="227" customWidth="1"/>
    <col min="14626" max="14626" width="14.7109375" style="227" customWidth="1"/>
    <col min="14627" max="14629" width="14.5703125" style="227" customWidth="1"/>
    <col min="14630" max="14630" width="20" style="227" bestFit="1" customWidth="1"/>
    <col min="14631" max="14631" width="20.85546875" style="227" customWidth="1"/>
    <col min="14632" max="14632" width="99" style="227" bestFit="1" customWidth="1"/>
    <col min="14633" max="14633" width="25.85546875" style="227" bestFit="1" customWidth="1"/>
    <col min="14634" max="14849" width="8.85546875" style="227"/>
    <col min="14850" max="14850" width="90.42578125" style="227" customWidth="1"/>
    <col min="14851" max="14871" width="11.5703125" style="227" customWidth="1"/>
    <col min="14872" max="14872" width="13.5703125" style="227" customWidth="1"/>
    <col min="14873" max="14873" width="11.5703125" style="227" customWidth="1"/>
    <col min="14874" max="14874" width="12.140625" style="227" customWidth="1"/>
    <col min="14875" max="14877" width="11.5703125" style="227" customWidth="1"/>
    <col min="14878" max="14878" width="12.28515625" style="227" customWidth="1"/>
    <col min="14879" max="14879" width="13.28515625" style="227" customWidth="1"/>
    <col min="14880" max="14880" width="16.5703125" style="227" customWidth="1"/>
    <col min="14881" max="14881" width="17.42578125" style="227" customWidth="1"/>
    <col min="14882" max="14882" width="14.7109375" style="227" customWidth="1"/>
    <col min="14883" max="14885" width="14.5703125" style="227" customWidth="1"/>
    <col min="14886" max="14886" width="20" style="227" bestFit="1" customWidth="1"/>
    <col min="14887" max="14887" width="20.85546875" style="227" customWidth="1"/>
    <col min="14888" max="14888" width="99" style="227" bestFit="1" customWidth="1"/>
    <col min="14889" max="14889" width="25.85546875" style="227" bestFit="1" customWidth="1"/>
    <col min="14890" max="15105" width="8.85546875" style="227"/>
    <col min="15106" max="15106" width="90.42578125" style="227" customWidth="1"/>
    <col min="15107" max="15127" width="11.5703125" style="227" customWidth="1"/>
    <col min="15128" max="15128" width="13.5703125" style="227" customWidth="1"/>
    <col min="15129" max="15129" width="11.5703125" style="227" customWidth="1"/>
    <col min="15130" max="15130" width="12.140625" style="227" customWidth="1"/>
    <col min="15131" max="15133" width="11.5703125" style="227" customWidth="1"/>
    <col min="15134" max="15134" width="12.28515625" style="227" customWidth="1"/>
    <col min="15135" max="15135" width="13.28515625" style="227" customWidth="1"/>
    <col min="15136" max="15136" width="16.5703125" style="227" customWidth="1"/>
    <col min="15137" max="15137" width="17.42578125" style="227" customWidth="1"/>
    <col min="15138" max="15138" width="14.7109375" style="227" customWidth="1"/>
    <col min="15139" max="15141" width="14.5703125" style="227" customWidth="1"/>
    <col min="15142" max="15142" width="20" style="227" bestFit="1" customWidth="1"/>
    <col min="15143" max="15143" width="20.85546875" style="227" customWidth="1"/>
    <col min="15144" max="15144" width="99" style="227" bestFit="1" customWidth="1"/>
    <col min="15145" max="15145" width="25.85546875" style="227" bestFit="1" customWidth="1"/>
    <col min="15146" max="15361" width="8.85546875" style="227"/>
    <col min="15362" max="15362" width="90.42578125" style="227" customWidth="1"/>
    <col min="15363" max="15383" width="11.5703125" style="227" customWidth="1"/>
    <col min="15384" max="15384" width="13.5703125" style="227" customWidth="1"/>
    <col min="15385" max="15385" width="11.5703125" style="227" customWidth="1"/>
    <col min="15386" max="15386" width="12.140625" style="227" customWidth="1"/>
    <col min="15387" max="15389" width="11.5703125" style="227" customWidth="1"/>
    <col min="15390" max="15390" width="12.28515625" style="227" customWidth="1"/>
    <col min="15391" max="15391" width="13.28515625" style="227" customWidth="1"/>
    <col min="15392" max="15392" width="16.5703125" style="227" customWidth="1"/>
    <col min="15393" max="15393" width="17.42578125" style="227" customWidth="1"/>
    <col min="15394" max="15394" width="14.7109375" style="227" customWidth="1"/>
    <col min="15395" max="15397" width="14.5703125" style="227" customWidth="1"/>
    <col min="15398" max="15398" width="20" style="227" bestFit="1" customWidth="1"/>
    <col min="15399" max="15399" width="20.85546875" style="227" customWidth="1"/>
    <col min="15400" max="15400" width="99" style="227" bestFit="1" customWidth="1"/>
    <col min="15401" max="15401" width="25.85546875" style="227" bestFit="1" customWidth="1"/>
    <col min="15402" max="15617" width="8.85546875" style="227"/>
    <col min="15618" max="15618" width="90.42578125" style="227" customWidth="1"/>
    <col min="15619" max="15639" width="11.5703125" style="227" customWidth="1"/>
    <col min="15640" max="15640" width="13.5703125" style="227" customWidth="1"/>
    <col min="15641" max="15641" width="11.5703125" style="227" customWidth="1"/>
    <col min="15642" max="15642" width="12.140625" style="227" customWidth="1"/>
    <col min="15643" max="15645" width="11.5703125" style="227" customWidth="1"/>
    <col min="15646" max="15646" width="12.28515625" style="227" customWidth="1"/>
    <col min="15647" max="15647" width="13.28515625" style="227" customWidth="1"/>
    <col min="15648" max="15648" width="16.5703125" style="227" customWidth="1"/>
    <col min="15649" max="15649" width="17.42578125" style="227" customWidth="1"/>
    <col min="15650" max="15650" width="14.7109375" style="227" customWidth="1"/>
    <col min="15651" max="15653" width="14.5703125" style="227" customWidth="1"/>
    <col min="15654" max="15654" width="20" style="227" bestFit="1" customWidth="1"/>
    <col min="15655" max="15655" width="20.85546875" style="227" customWidth="1"/>
    <col min="15656" max="15656" width="99" style="227" bestFit="1" customWidth="1"/>
    <col min="15657" max="15657" width="25.85546875" style="227" bestFit="1" customWidth="1"/>
    <col min="15658" max="15873" width="8.85546875" style="227"/>
    <col min="15874" max="15874" width="90.42578125" style="227" customWidth="1"/>
    <col min="15875" max="15895" width="11.5703125" style="227" customWidth="1"/>
    <col min="15896" max="15896" width="13.5703125" style="227" customWidth="1"/>
    <col min="15897" max="15897" width="11.5703125" style="227" customWidth="1"/>
    <col min="15898" max="15898" width="12.140625" style="227" customWidth="1"/>
    <col min="15899" max="15901" width="11.5703125" style="227" customWidth="1"/>
    <col min="15902" max="15902" width="12.28515625" style="227" customWidth="1"/>
    <col min="15903" max="15903" width="13.28515625" style="227" customWidth="1"/>
    <col min="15904" max="15904" width="16.5703125" style="227" customWidth="1"/>
    <col min="15905" max="15905" width="17.42578125" style="227" customWidth="1"/>
    <col min="15906" max="15906" width="14.7109375" style="227" customWidth="1"/>
    <col min="15907" max="15909" width="14.5703125" style="227" customWidth="1"/>
    <col min="15910" max="15910" width="20" style="227" bestFit="1" customWidth="1"/>
    <col min="15911" max="15911" width="20.85546875" style="227" customWidth="1"/>
    <col min="15912" max="15912" width="99" style="227" bestFit="1" customWidth="1"/>
    <col min="15913" max="15913" width="25.85546875" style="227" bestFit="1" customWidth="1"/>
    <col min="15914" max="16129" width="8.85546875" style="227"/>
    <col min="16130" max="16130" width="90.42578125" style="227" customWidth="1"/>
    <col min="16131" max="16151" width="11.5703125" style="227" customWidth="1"/>
    <col min="16152" max="16152" width="13.5703125" style="227" customWidth="1"/>
    <col min="16153" max="16153" width="11.5703125" style="227" customWidth="1"/>
    <col min="16154" max="16154" width="12.140625" style="227" customWidth="1"/>
    <col min="16155" max="16157" width="11.5703125" style="227" customWidth="1"/>
    <col min="16158" max="16158" width="12.28515625" style="227" customWidth="1"/>
    <col min="16159" max="16159" width="13.28515625" style="227" customWidth="1"/>
    <col min="16160" max="16160" width="16.5703125" style="227" customWidth="1"/>
    <col min="16161" max="16161" width="17.42578125" style="227" customWidth="1"/>
    <col min="16162" max="16162" width="14.7109375" style="227" customWidth="1"/>
    <col min="16163" max="16165" width="14.5703125" style="227" customWidth="1"/>
    <col min="16166" max="16166" width="20" style="227" bestFit="1" customWidth="1"/>
    <col min="16167" max="16167" width="20.85546875" style="227" customWidth="1"/>
    <col min="16168" max="16168" width="99" style="227" bestFit="1" customWidth="1"/>
    <col min="16169" max="16169" width="25.85546875" style="227" bestFit="1" customWidth="1"/>
    <col min="16170" max="16384" width="8.85546875" style="227"/>
  </cols>
  <sheetData>
    <row r="1" spans="1:254" ht="27" thickBot="1">
      <c r="A1" s="373" t="s">
        <v>433</v>
      </c>
      <c r="B1" s="374"/>
      <c r="C1" s="374"/>
      <c r="D1" s="374"/>
      <c r="E1" s="374"/>
      <c r="F1" s="374"/>
      <c r="G1" s="374"/>
      <c r="H1" s="374"/>
      <c r="I1" s="374"/>
      <c r="J1" s="374"/>
      <c r="K1" s="374"/>
      <c r="L1" s="374"/>
      <c r="M1" s="374"/>
      <c r="N1" s="374"/>
      <c r="O1" s="374"/>
      <c r="P1" s="374"/>
      <c r="Q1" s="375"/>
      <c r="R1" s="375"/>
      <c r="S1" s="375"/>
      <c r="T1" s="375"/>
      <c r="U1" s="375"/>
      <c r="V1" s="375"/>
      <c r="W1" s="375"/>
      <c r="X1" s="375"/>
      <c r="Y1" s="375"/>
      <c r="Z1" s="375"/>
      <c r="AA1" s="224"/>
      <c r="AB1" s="224"/>
    </row>
    <row r="2" spans="1:254" s="234" customFormat="1" ht="39.75" thickBot="1">
      <c r="A2" s="228" t="s">
        <v>382</v>
      </c>
      <c r="B2" s="229" t="s">
        <v>383</v>
      </c>
      <c r="C2" s="229" t="s">
        <v>384</v>
      </c>
      <c r="D2" s="229" t="s">
        <v>385</v>
      </c>
      <c r="E2" s="229" t="s">
        <v>386</v>
      </c>
      <c r="F2" s="229" t="s">
        <v>387</v>
      </c>
      <c r="G2" s="229" t="s">
        <v>388</v>
      </c>
      <c r="H2" s="229" t="s">
        <v>389</v>
      </c>
      <c r="I2" s="229" t="s">
        <v>390</v>
      </c>
      <c r="J2" s="229" t="s">
        <v>391</v>
      </c>
      <c r="K2" s="229" t="s">
        <v>392</v>
      </c>
      <c r="L2" s="229" t="s">
        <v>393</v>
      </c>
      <c r="M2" s="229" t="s">
        <v>394</v>
      </c>
      <c r="N2" s="230">
        <v>1992</v>
      </c>
      <c r="O2" s="230">
        <v>1993</v>
      </c>
      <c r="P2" s="231">
        <v>1994</v>
      </c>
      <c r="Q2" s="231">
        <v>1995</v>
      </c>
      <c r="R2" s="231">
        <v>1996</v>
      </c>
      <c r="S2" s="231">
        <v>1997</v>
      </c>
      <c r="T2" s="231">
        <v>1998</v>
      </c>
      <c r="U2" s="231">
        <v>1999</v>
      </c>
      <c r="V2" s="231">
        <v>2000</v>
      </c>
      <c r="W2" s="231">
        <v>2001</v>
      </c>
      <c r="X2" s="231">
        <v>2002</v>
      </c>
      <c r="Y2" s="231">
        <v>2003</v>
      </c>
      <c r="Z2" s="231">
        <v>2004</v>
      </c>
      <c r="AA2" s="231">
        <v>2005</v>
      </c>
      <c r="AB2" s="232">
        <v>2006</v>
      </c>
      <c r="AC2" s="232">
        <v>2007</v>
      </c>
      <c r="AD2" s="232">
        <v>2008</v>
      </c>
      <c r="AE2" s="232">
        <v>2009</v>
      </c>
      <c r="AF2" s="232">
        <v>2010</v>
      </c>
      <c r="AG2" s="232">
        <v>2011</v>
      </c>
      <c r="AH2" s="232">
        <v>2012</v>
      </c>
      <c r="AI2" s="232">
        <v>2013</v>
      </c>
      <c r="AJ2" s="232">
        <v>2014</v>
      </c>
      <c r="AK2" s="232">
        <v>2015</v>
      </c>
      <c r="AL2" s="232">
        <v>2016</v>
      </c>
      <c r="AM2" s="232">
        <v>2017</v>
      </c>
      <c r="AN2" s="232">
        <v>2018</v>
      </c>
      <c r="AO2" s="232">
        <v>2019</v>
      </c>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c r="CZ2" s="233"/>
      <c r="DA2" s="233"/>
      <c r="DB2" s="233"/>
      <c r="DC2" s="233"/>
      <c r="DD2" s="233"/>
      <c r="DE2" s="233"/>
      <c r="DF2" s="233"/>
      <c r="DG2" s="233"/>
      <c r="DH2" s="233"/>
      <c r="DI2" s="233"/>
      <c r="DJ2" s="233"/>
      <c r="DK2" s="233"/>
      <c r="DL2" s="233"/>
      <c r="DM2" s="233"/>
      <c r="DN2" s="233"/>
      <c r="DO2" s="233"/>
      <c r="DP2" s="233"/>
      <c r="DQ2" s="233"/>
      <c r="DR2" s="233"/>
      <c r="DS2" s="233"/>
      <c r="DT2" s="233"/>
      <c r="DU2" s="233"/>
      <c r="DV2" s="233"/>
      <c r="DW2" s="233"/>
      <c r="DX2" s="233"/>
      <c r="DY2" s="233"/>
      <c r="DZ2" s="233"/>
      <c r="EA2" s="233"/>
      <c r="EB2" s="233"/>
      <c r="EC2" s="233"/>
      <c r="ED2" s="233"/>
      <c r="EE2" s="233"/>
      <c r="EF2" s="233"/>
      <c r="EG2" s="233"/>
      <c r="EH2" s="233"/>
      <c r="EI2" s="233"/>
      <c r="EJ2" s="233"/>
      <c r="EK2" s="233"/>
      <c r="EL2" s="233"/>
      <c r="EM2" s="233"/>
      <c r="EN2" s="233"/>
      <c r="EO2" s="233"/>
      <c r="EP2" s="233"/>
      <c r="EQ2" s="233"/>
      <c r="ER2" s="233"/>
      <c r="ES2" s="233"/>
      <c r="ET2" s="233"/>
      <c r="EU2" s="233"/>
      <c r="EV2" s="233"/>
      <c r="EW2" s="233"/>
      <c r="EX2" s="233"/>
      <c r="EY2" s="233"/>
      <c r="EZ2" s="233"/>
      <c r="FA2" s="233"/>
      <c r="FB2" s="233"/>
      <c r="FC2" s="233"/>
      <c r="FD2" s="233"/>
      <c r="FE2" s="233"/>
      <c r="FF2" s="233"/>
      <c r="FG2" s="233"/>
      <c r="FH2" s="233"/>
      <c r="FI2" s="233"/>
      <c r="FJ2" s="233"/>
      <c r="FK2" s="233"/>
      <c r="FL2" s="233"/>
      <c r="FM2" s="233"/>
      <c r="FN2" s="233"/>
      <c r="FO2" s="233"/>
      <c r="FP2" s="233"/>
      <c r="FQ2" s="233"/>
      <c r="FR2" s="233"/>
      <c r="FS2" s="233"/>
      <c r="FT2" s="233"/>
      <c r="FU2" s="233"/>
      <c r="FV2" s="233"/>
      <c r="FW2" s="233"/>
      <c r="FX2" s="233"/>
      <c r="FY2" s="233"/>
      <c r="FZ2" s="233"/>
      <c r="GA2" s="233"/>
      <c r="GB2" s="233"/>
      <c r="GC2" s="233"/>
      <c r="GD2" s="233"/>
      <c r="GE2" s="233"/>
      <c r="GF2" s="233"/>
      <c r="GG2" s="233"/>
      <c r="GH2" s="233"/>
      <c r="GI2" s="233"/>
      <c r="GJ2" s="233"/>
      <c r="GK2" s="233"/>
      <c r="GL2" s="233"/>
      <c r="GM2" s="233"/>
      <c r="GN2" s="233"/>
      <c r="GO2" s="233"/>
      <c r="GP2" s="233"/>
      <c r="GQ2" s="233"/>
      <c r="GR2" s="233"/>
      <c r="GS2" s="233"/>
      <c r="GT2" s="233"/>
      <c r="GU2" s="233"/>
      <c r="GV2" s="233"/>
      <c r="GW2" s="233"/>
      <c r="GX2" s="233"/>
      <c r="GY2" s="233"/>
      <c r="GZ2" s="233"/>
      <c r="HA2" s="233"/>
      <c r="HB2" s="233"/>
      <c r="HC2" s="233"/>
      <c r="HD2" s="233"/>
      <c r="HE2" s="233"/>
      <c r="HF2" s="233"/>
      <c r="HG2" s="233"/>
      <c r="HH2" s="233"/>
      <c r="HI2" s="233"/>
      <c r="HJ2" s="233"/>
      <c r="HK2" s="233"/>
      <c r="HL2" s="233"/>
      <c r="HM2" s="233"/>
      <c r="HN2" s="233"/>
      <c r="HO2" s="233"/>
      <c r="HP2" s="233"/>
      <c r="HQ2" s="233"/>
      <c r="HR2" s="233"/>
      <c r="HS2" s="233"/>
      <c r="HT2" s="233"/>
      <c r="HU2" s="233"/>
      <c r="HV2" s="233"/>
      <c r="HW2" s="233"/>
      <c r="HX2" s="233"/>
      <c r="HY2" s="233"/>
      <c r="HZ2" s="233"/>
      <c r="IA2" s="233"/>
      <c r="IB2" s="233"/>
      <c r="IC2" s="233"/>
      <c r="ID2" s="233"/>
      <c r="IE2" s="233"/>
      <c r="IF2" s="233"/>
      <c r="IG2" s="233"/>
      <c r="IH2" s="233"/>
      <c r="II2" s="233"/>
      <c r="IJ2" s="233"/>
      <c r="IK2" s="233"/>
      <c r="IL2" s="233"/>
      <c r="IM2" s="233"/>
      <c r="IN2" s="233"/>
      <c r="IO2" s="233"/>
      <c r="IP2" s="233"/>
      <c r="IQ2" s="233"/>
      <c r="IR2" s="233"/>
      <c r="IS2" s="233"/>
      <c r="IT2" s="233"/>
    </row>
    <row r="3" spans="1:254" ht="21">
      <c r="A3" s="235" t="s">
        <v>395</v>
      </c>
      <c r="B3" s="236"/>
      <c r="C3" s="237"/>
      <c r="D3" s="237"/>
      <c r="E3" s="237"/>
      <c r="F3" s="237"/>
      <c r="G3" s="237"/>
      <c r="H3" s="237"/>
      <c r="I3" s="237"/>
      <c r="J3" s="237"/>
      <c r="K3" s="237"/>
      <c r="L3" s="237"/>
      <c r="M3" s="237"/>
      <c r="N3" s="237"/>
      <c r="O3" s="237"/>
      <c r="P3" s="238"/>
      <c r="Q3" s="238"/>
      <c r="R3" s="238"/>
      <c r="S3" s="238"/>
      <c r="T3" s="238"/>
      <c r="U3" s="238"/>
      <c r="V3" s="238"/>
      <c r="W3" s="238"/>
      <c r="X3" s="238"/>
      <c r="Y3" s="238"/>
      <c r="Z3" s="238"/>
      <c r="AA3" s="238"/>
      <c r="AB3" s="239"/>
      <c r="AC3" s="240"/>
      <c r="AD3" s="240"/>
      <c r="AE3" s="240"/>
      <c r="AF3" s="240"/>
      <c r="AG3" s="240"/>
      <c r="AH3" s="240"/>
      <c r="AI3" s="240"/>
      <c r="AJ3" s="240"/>
      <c r="AK3" s="240"/>
      <c r="AL3" s="240"/>
      <c r="AM3" s="240"/>
      <c r="AN3" s="240"/>
      <c r="AO3" s="240"/>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c r="IF3" s="233"/>
      <c r="IG3" s="233"/>
      <c r="IH3" s="233"/>
      <c r="II3" s="233"/>
      <c r="IJ3" s="233"/>
      <c r="IK3" s="233"/>
      <c r="IL3" s="233"/>
      <c r="IM3" s="233"/>
      <c r="IN3" s="233"/>
      <c r="IO3" s="233"/>
      <c r="IP3" s="233"/>
      <c r="IQ3" s="233"/>
      <c r="IR3" s="233"/>
      <c r="IS3" s="233"/>
      <c r="IT3" s="233"/>
    </row>
    <row r="4" spans="1:254">
      <c r="A4" s="241" t="s">
        <v>396</v>
      </c>
      <c r="B4" s="242">
        <v>0</v>
      </c>
      <c r="C4" s="243">
        <v>0</v>
      </c>
      <c r="D4" s="243">
        <v>0</v>
      </c>
      <c r="E4" s="243">
        <v>0</v>
      </c>
      <c r="F4" s="243">
        <v>0</v>
      </c>
      <c r="G4" s="243">
        <v>10.199999999999999</v>
      </c>
      <c r="H4" s="242">
        <v>8</v>
      </c>
      <c r="I4" s="242">
        <v>4.7</v>
      </c>
      <c r="J4" s="242">
        <v>7.7</v>
      </c>
      <c r="K4" s="242">
        <v>8.3000000000000007</v>
      </c>
      <c r="L4" s="242">
        <v>16.2</v>
      </c>
      <c r="M4" s="242">
        <v>17.7</v>
      </c>
      <c r="N4" s="242">
        <v>11.2</v>
      </c>
      <c r="O4" s="242">
        <v>17.3</v>
      </c>
      <c r="P4" s="244">
        <v>20.5</v>
      </c>
      <c r="Q4" s="244">
        <v>32.5</v>
      </c>
      <c r="R4" s="244">
        <v>26</v>
      </c>
      <c r="S4" s="244">
        <v>28.1</v>
      </c>
      <c r="T4" s="244">
        <v>22</v>
      </c>
      <c r="U4" s="244">
        <v>14.7</v>
      </c>
      <c r="V4" s="244">
        <v>13.9</v>
      </c>
      <c r="W4" s="244">
        <v>16.5</v>
      </c>
      <c r="X4" s="244">
        <v>6.1</v>
      </c>
      <c r="Y4" s="244">
        <v>11.6</v>
      </c>
      <c r="Z4" s="244">
        <v>8.5</v>
      </c>
      <c r="AA4" s="244">
        <v>12.2</v>
      </c>
      <c r="AB4" s="245">
        <v>35.4</v>
      </c>
      <c r="AC4" s="246">
        <v>35.168999999999997</v>
      </c>
      <c r="AD4" s="246">
        <v>25.53447087</v>
      </c>
      <c r="AE4" s="246">
        <v>27.412362430000002</v>
      </c>
      <c r="AF4" s="246">
        <v>39.998391389999995</v>
      </c>
      <c r="AG4" s="246">
        <v>90.166620269999981</v>
      </c>
      <c r="AH4" s="247">
        <v>57.45</v>
      </c>
      <c r="AI4" s="248">
        <v>52.1</v>
      </c>
      <c r="AJ4" s="248">
        <v>37.353348319999995</v>
      </c>
      <c r="AK4" s="248">
        <v>21.373337419999999</v>
      </c>
      <c r="AL4" s="248">
        <v>16.02998393</v>
      </c>
      <c r="AM4" s="248">
        <v>5.4</v>
      </c>
      <c r="AN4" s="248">
        <v>30.668736860000003</v>
      </c>
      <c r="AO4" s="248">
        <v>22.312997709999998</v>
      </c>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3"/>
      <c r="ID4" s="233"/>
      <c r="IE4" s="233"/>
      <c r="IF4" s="233"/>
      <c r="IG4" s="233"/>
      <c r="IH4" s="233"/>
      <c r="II4" s="233"/>
      <c r="IJ4" s="233"/>
      <c r="IK4" s="233"/>
      <c r="IL4" s="233"/>
      <c r="IM4" s="233"/>
      <c r="IN4" s="233"/>
      <c r="IO4" s="233"/>
      <c r="IP4" s="233"/>
      <c r="IQ4" s="233"/>
      <c r="IR4" s="233"/>
      <c r="IS4" s="233"/>
      <c r="IT4" s="233"/>
    </row>
    <row r="5" spans="1:254">
      <c r="A5" s="249" t="s">
        <v>397</v>
      </c>
      <c r="B5" s="250">
        <v>0</v>
      </c>
      <c r="C5" s="250">
        <v>0</v>
      </c>
      <c r="D5" s="250">
        <v>0</v>
      </c>
      <c r="E5" s="250">
        <v>0</v>
      </c>
      <c r="F5" s="250">
        <v>0</v>
      </c>
      <c r="G5" s="250">
        <v>0</v>
      </c>
      <c r="H5" s="250">
        <v>0</v>
      </c>
      <c r="I5" s="250">
        <v>0</v>
      </c>
      <c r="J5" s="250">
        <v>0</v>
      </c>
      <c r="K5" s="250">
        <v>0</v>
      </c>
      <c r="L5" s="250">
        <v>0</v>
      </c>
      <c r="M5" s="250">
        <v>0</v>
      </c>
      <c r="N5" s="250">
        <v>0</v>
      </c>
      <c r="O5" s="250">
        <v>0</v>
      </c>
      <c r="P5" s="250">
        <v>0</v>
      </c>
      <c r="Q5" s="250">
        <v>0</v>
      </c>
      <c r="R5" s="250">
        <v>0</v>
      </c>
      <c r="S5" s="250">
        <v>0</v>
      </c>
      <c r="T5" s="250">
        <v>0</v>
      </c>
      <c r="U5" s="250">
        <v>0</v>
      </c>
      <c r="V5" s="250">
        <v>0</v>
      </c>
      <c r="W5" s="250">
        <v>0</v>
      </c>
      <c r="X5" s="250">
        <v>0</v>
      </c>
      <c r="Y5" s="250">
        <v>0</v>
      </c>
      <c r="Z5" s="250">
        <v>0</v>
      </c>
      <c r="AA5" s="250">
        <v>0</v>
      </c>
      <c r="AB5" s="245">
        <v>0.9</v>
      </c>
      <c r="AC5" s="246">
        <v>1.0369999999999999</v>
      </c>
      <c r="AD5" s="246">
        <v>1.3368422</v>
      </c>
      <c r="AE5" s="246">
        <v>0.59909880000000004</v>
      </c>
      <c r="AF5" s="246">
        <v>1.2177011199999999</v>
      </c>
      <c r="AG5" s="246">
        <v>0.82124492000000027</v>
      </c>
      <c r="AH5" s="247">
        <v>0.380297</v>
      </c>
      <c r="AI5" s="248">
        <v>0</v>
      </c>
      <c r="AJ5" s="248">
        <v>0.1</v>
      </c>
      <c r="AK5" s="248">
        <v>1.3566744300000002</v>
      </c>
      <c r="AL5" s="248">
        <v>1.2080949699999999</v>
      </c>
      <c r="AM5" s="248">
        <v>1.4</v>
      </c>
      <c r="AN5" s="248">
        <v>0.78166014000000006</v>
      </c>
      <c r="AO5" s="248">
        <v>1.256752E-2</v>
      </c>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3"/>
      <c r="EY5" s="233"/>
      <c r="EZ5" s="233"/>
      <c r="FA5" s="233"/>
      <c r="FB5" s="233"/>
      <c r="FC5" s="233"/>
      <c r="FD5" s="233"/>
      <c r="FE5" s="233"/>
      <c r="FF5" s="233"/>
      <c r="FG5" s="233"/>
      <c r="FH5" s="233"/>
      <c r="FI5" s="233"/>
      <c r="FJ5" s="233"/>
      <c r="FK5" s="233"/>
      <c r="FL5" s="233"/>
      <c r="FM5" s="233"/>
      <c r="FN5" s="233"/>
      <c r="FO5" s="233"/>
      <c r="FP5" s="233"/>
      <c r="FQ5" s="233"/>
      <c r="FR5" s="233"/>
      <c r="FS5" s="233"/>
      <c r="FT5" s="233"/>
      <c r="FU5" s="233"/>
      <c r="FV5" s="233"/>
      <c r="FW5" s="233"/>
      <c r="FX5" s="233"/>
      <c r="FY5" s="233"/>
      <c r="FZ5" s="233"/>
      <c r="GA5" s="233"/>
      <c r="GB5" s="233"/>
      <c r="GC5" s="233"/>
      <c r="GD5" s="233"/>
      <c r="GE5" s="233"/>
      <c r="GF5" s="233"/>
      <c r="GG5" s="233"/>
      <c r="GH5" s="233"/>
      <c r="GI5" s="233"/>
      <c r="GJ5" s="233"/>
      <c r="GK5" s="233"/>
      <c r="GL5" s="233"/>
      <c r="GM5" s="233"/>
      <c r="GN5" s="233"/>
      <c r="GO5" s="233"/>
      <c r="GP5" s="233"/>
      <c r="GQ5" s="233"/>
      <c r="GR5" s="233"/>
      <c r="GS5" s="233"/>
      <c r="GT5" s="233"/>
      <c r="GU5" s="233"/>
      <c r="GV5" s="233"/>
      <c r="GW5" s="233"/>
      <c r="GX5" s="233"/>
      <c r="GY5" s="233"/>
      <c r="GZ5" s="233"/>
      <c r="HA5" s="233"/>
      <c r="HB5" s="233"/>
      <c r="HC5" s="233"/>
      <c r="HD5" s="233"/>
      <c r="HE5" s="233"/>
      <c r="HF5" s="233"/>
      <c r="HG5" s="233"/>
      <c r="HH5" s="233"/>
      <c r="HI5" s="233"/>
      <c r="HJ5" s="233"/>
      <c r="HK5" s="233"/>
      <c r="HL5" s="233"/>
      <c r="HM5" s="233"/>
      <c r="HN5" s="233"/>
      <c r="HO5" s="233"/>
      <c r="HP5" s="233"/>
      <c r="HQ5" s="233"/>
      <c r="HR5" s="233"/>
      <c r="HS5" s="233"/>
      <c r="HT5" s="233"/>
      <c r="HU5" s="233"/>
      <c r="HV5" s="233"/>
      <c r="HW5" s="233"/>
      <c r="HX5" s="233"/>
      <c r="HY5" s="233"/>
      <c r="HZ5" s="233"/>
      <c r="IA5" s="233"/>
      <c r="IB5" s="233"/>
      <c r="IC5" s="233"/>
      <c r="ID5" s="233"/>
      <c r="IE5" s="233"/>
      <c r="IF5" s="233"/>
      <c r="IG5" s="233"/>
      <c r="IH5" s="233"/>
      <c r="II5" s="233"/>
      <c r="IJ5" s="233"/>
      <c r="IK5" s="233"/>
      <c r="IL5" s="233"/>
      <c r="IM5" s="233"/>
      <c r="IN5" s="233"/>
      <c r="IO5" s="233"/>
      <c r="IP5" s="233"/>
      <c r="IQ5" s="233"/>
      <c r="IR5" s="233"/>
      <c r="IS5" s="233"/>
      <c r="IT5" s="233"/>
    </row>
    <row r="6" spans="1:254" ht="20.25" thickBot="1">
      <c r="A6" s="249" t="s">
        <v>398</v>
      </c>
      <c r="B6" s="251">
        <v>30</v>
      </c>
      <c r="C6" s="251">
        <v>17.899999999999999</v>
      </c>
      <c r="D6" s="251">
        <v>61.7</v>
      </c>
      <c r="E6" s="251">
        <v>55.1</v>
      </c>
      <c r="F6" s="251">
        <v>9</v>
      </c>
      <c r="G6" s="251">
        <v>46.4</v>
      </c>
      <c r="H6" s="251">
        <v>9.1</v>
      </c>
      <c r="I6" s="251">
        <v>78.599999999999994</v>
      </c>
      <c r="J6" s="251">
        <v>7.6</v>
      </c>
      <c r="K6" s="251">
        <v>5.3</v>
      </c>
      <c r="L6" s="251">
        <v>4.5</v>
      </c>
      <c r="M6" s="251">
        <v>4</v>
      </c>
      <c r="N6" s="251">
        <v>0.9</v>
      </c>
      <c r="O6" s="251">
        <v>85.8</v>
      </c>
      <c r="P6" s="250">
        <v>39.4</v>
      </c>
      <c r="Q6" s="250">
        <v>39.299999999999997</v>
      </c>
      <c r="R6" s="250">
        <v>45.1</v>
      </c>
      <c r="S6" s="250">
        <v>-42.6</v>
      </c>
      <c r="T6" s="250">
        <v>0</v>
      </c>
      <c r="U6" s="250">
        <v>14.1</v>
      </c>
      <c r="V6" s="250">
        <v>47</v>
      </c>
      <c r="W6" s="250">
        <v>6.2</v>
      </c>
      <c r="X6" s="250">
        <v>8.8000000000000007</v>
      </c>
      <c r="Y6" s="250">
        <v>68.400000000000006</v>
      </c>
      <c r="Z6" s="250">
        <v>75.900000000000006</v>
      </c>
      <c r="AA6" s="250">
        <v>53.8</v>
      </c>
      <c r="AB6" s="252">
        <v>360</v>
      </c>
      <c r="AC6" s="253">
        <v>60.4</v>
      </c>
      <c r="AD6" s="253">
        <v>37.299999999999997</v>
      </c>
      <c r="AE6" s="253">
        <v>135.69999999999999</v>
      </c>
      <c r="AF6" s="253">
        <v>56.4</v>
      </c>
      <c r="AG6" s="253">
        <v>102.95</v>
      </c>
      <c r="AH6" s="254">
        <v>114.5</v>
      </c>
      <c r="AI6" s="255">
        <v>103.59</v>
      </c>
      <c r="AJ6" s="255">
        <v>101.7</v>
      </c>
      <c r="AK6" s="255">
        <v>81.39589715000001</v>
      </c>
      <c r="AL6" s="255">
        <v>34.134514600000003</v>
      </c>
      <c r="AM6" s="255">
        <v>58.9</v>
      </c>
      <c r="AN6" s="255">
        <v>51.766300999999999</v>
      </c>
      <c r="AO6" s="255">
        <v>55.546022000000001</v>
      </c>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233"/>
      <c r="GK6" s="233"/>
      <c r="GL6" s="233"/>
      <c r="GM6" s="233"/>
      <c r="GN6" s="233"/>
      <c r="GO6" s="233"/>
      <c r="GP6" s="233"/>
      <c r="GQ6" s="233"/>
      <c r="GR6" s="233"/>
      <c r="GS6" s="233"/>
      <c r="GT6" s="233"/>
      <c r="GU6" s="233"/>
      <c r="GV6" s="233"/>
      <c r="GW6" s="233"/>
      <c r="GX6" s="233"/>
      <c r="GY6" s="233"/>
      <c r="GZ6" s="233"/>
      <c r="HA6" s="233"/>
      <c r="HB6" s="233"/>
      <c r="HC6" s="233"/>
      <c r="HD6" s="233"/>
      <c r="HE6" s="233"/>
      <c r="HF6" s="233"/>
      <c r="HG6" s="233"/>
      <c r="HH6" s="233"/>
      <c r="HI6" s="233"/>
      <c r="HJ6" s="233"/>
      <c r="HK6" s="233"/>
      <c r="HL6" s="233"/>
      <c r="HM6" s="233"/>
      <c r="HN6" s="233"/>
      <c r="HO6" s="233"/>
      <c r="HP6" s="233"/>
      <c r="HQ6" s="233"/>
      <c r="HR6" s="233"/>
      <c r="HS6" s="233"/>
      <c r="HT6" s="233"/>
      <c r="HU6" s="233"/>
      <c r="HV6" s="233"/>
      <c r="HW6" s="233"/>
      <c r="HX6" s="233"/>
      <c r="HY6" s="233"/>
      <c r="HZ6" s="233"/>
      <c r="IA6" s="233"/>
      <c r="IB6" s="233"/>
      <c r="IC6" s="233"/>
      <c r="ID6" s="233"/>
      <c r="IE6" s="233"/>
      <c r="IF6" s="233"/>
      <c r="IG6" s="233"/>
      <c r="IH6" s="233"/>
      <c r="II6" s="233"/>
      <c r="IJ6" s="233"/>
      <c r="IK6" s="233"/>
      <c r="IL6" s="233"/>
      <c r="IM6" s="233"/>
      <c r="IN6" s="233"/>
      <c r="IO6" s="233"/>
      <c r="IP6" s="233"/>
      <c r="IQ6" s="233"/>
      <c r="IR6" s="233"/>
      <c r="IS6" s="233"/>
      <c r="IT6" s="233"/>
    </row>
    <row r="7" spans="1:254" s="260" customFormat="1" ht="20.25" thickBot="1">
      <c r="A7" s="256" t="s">
        <v>399</v>
      </c>
      <c r="B7" s="257">
        <f t="shared" ref="B7:AJ7" si="0">SUM(B4:B6)</f>
        <v>30</v>
      </c>
      <c r="C7" s="257">
        <f t="shared" si="0"/>
        <v>17.899999999999999</v>
      </c>
      <c r="D7" s="257">
        <f t="shared" si="0"/>
        <v>61.7</v>
      </c>
      <c r="E7" s="257">
        <f t="shared" si="0"/>
        <v>55.1</v>
      </c>
      <c r="F7" s="257">
        <f t="shared" si="0"/>
        <v>9</v>
      </c>
      <c r="G7" s="257">
        <f t="shared" si="0"/>
        <v>56.599999999999994</v>
      </c>
      <c r="H7" s="257">
        <f t="shared" si="0"/>
        <v>17.100000000000001</v>
      </c>
      <c r="I7" s="257">
        <f t="shared" si="0"/>
        <v>83.3</v>
      </c>
      <c r="J7" s="257">
        <f t="shared" si="0"/>
        <v>15.3</v>
      </c>
      <c r="K7" s="257">
        <f t="shared" si="0"/>
        <v>13.600000000000001</v>
      </c>
      <c r="L7" s="257">
        <f t="shared" si="0"/>
        <v>20.7</v>
      </c>
      <c r="M7" s="257">
        <f t="shared" si="0"/>
        <v>21.7</v>
      </c>
      <c r="N7" s="257">
        <f t="shared" si="0"/>
        <v>12.1</v>
      </c>
      <c r="O7" s="257">
        <f t="shared" si="0"/>
        <v>103.1</v>
      </c>
      <c r="P7" s="257">
        <f t="shared" si="0"/>
        <v>59.9</v>
      </c>
      <c r="Q7" s="257">
        <f t="shared" si="0"/>
        <v>71.8</v>
      </c>
      <c r="R7" s="257">
        <f t="shared" si="0"/>
        <v>71.099999999999994</v>
      </c>
      <c r="S7" s="257">
        <f t="shared" si="0"/>
        <v>-14.5</v>
      </c>
      <c r="T7" s="257">
        <f t="shared" si="0"/>
        <v>22</v>
      </c>
      <c r="U7" s="257">
        <f t="shared" si="0"/>
        <v>28.799999999999997</v>
      </c>
      <c r="V7" s="257">
        <f t="shared" si="0"/>
        <v>60.9</v>
      </c>
      <c r="W7" s="257">
        <f t="shared" si="0"/>
        <v>22.7</v>
      </c>
      <c r="X7" s="257">
        <f t="shared" si="0"/>
        <v>14.9</v>
      </c>
      <c r="Y7" s="257">
        <f t="shared" si="0"/>
        <v>80</v>
      </c>
      <c r="Z7" s="257">
        <f t="shared" si="0"/>
        <v>84.4</v>
      </c>
      <c r="AA7" s="257">
        <f t="shared" si="0"/>
        <v>66</v>
      </c>
      <c r="AB7" s="258">
        <f t="shared" si="0"/>
        <v>396.3</v>
      </c>
      <c r="AC7" s="258">
        <f t="shared" si="0"/>
        <v>96.605999999999995</v>
      </c>
      <c r="AD7" s="258">
        <f t="shared" si="0"/>
        <v>64.171313069999997</v>
      </c>
      <c r="AE7" s="258">
        <f t="shared" si="0"/>
        <v>163.71146123</v>
      </c>
      <c r="AF7" s="258">
        <f t="shared" si="0"/>
        <v>97.616092509999987</v>
      </c>
      <c r="AG7" s="258">
        <f t="shared" si="0"/>
        <v>193.93786518999997</v>
      </c>
      <c r="AH7" s="259">
        <f t="shared" si="0"/>
        <v>172.330297</v>
      </c>
      <c r="AI7" s="259">
        <f t="shared" si="0"/>
        <v>155.69</v>
      </c>
      <c r="AJ7" s="259">
        <f t="shared" si="0"/>
        <v>139.15334831999999</v>
      </c>
      <c r="AK7" s="259">
        <f>SUM(AK4:AK6)</f>
        <v>104.12590900000001</v>
      </c>
      <c r="AL7" s="259">
        <f>SUM(AL4:AL6)</f>
        <v>51.372593500000008</v>
      </c>
      <c r="AM7" s="259">
        <f>SUM(AM4:AM6)</f>
        <v>65.7</v>
      </c>
      <c r="AN7" s="259">
        <v>83.216698000000008</v>
      </c>
      <c r="AO7" s="259">
        <v>77.871587230000003</v>
      </c>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233"/>
      <c r="CU7" s="233"/>
      <c r="CV7" s="233"/>
      <c r="CW7" s="233"/>
      <c r="CX7" s="233"/>
      <c r="CY7" s="233"/>
      <c r="CZ7" s="233"/>
      <c r="DA7" s="233"/>
      <c r="DB7" s="233"/>
      <c r="DC7" s="233"/>
      <c r="DD7" s="233"/>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EB7" s="233"/>
      <c r="EC7" s="233"/>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233"/>
      <c r="FE7" s="233"/>
      <c r="FF7" s="233"/>
      <c r="FG7" s="233"/>
      <c r="FH7" s="233"/>
      <c r="FI7" s="233"/>
      <c r="FJ7" s="233"/>
      <c r="FK7" s="233"/>
      <c r="FL7" s="233"/>
      <c r="FM7" s="233"/>
      <c r="FN7" s="233"/>
      <c r="FO7" s="233"/>
      <c r="FP7" s="233"/>
      <c r="FQ7" s="233"/>
      <c r="FR7" s="233"/>
      <c r="FS7" s="233"/>
      <c r="FT7" s="233"/>
      <c r="FU7" s="233"/>
      <c r="FV7" s="233"/>
      <c r="FW7" s="233"/>
      <c r="FX7" s="233"/>
      <c r="FY7" s="233"/>
      <c r="FZ7" s="233"/>
      <c r="GA7" s="233"/>
      <c r="GB7" s="233"/>
      <c r="GC7" s="233"/>
      <c r="GD7" s="233"/>
      <c r="GE7" s="233"/>
      <c r="GF7" s="233"/>
      <c r="GG7" s="233"/>
      <c r="GH7" s="233"/>
      <c r="GI7" s="233"/>
      <c r="GJ7" s="233"/>
      <c r="GK7" s="233"/>
      <c r="GL7" s="233"/>
      <c r="GM7" s="233"/>
      <c r="GN7" s="233"/>
      <c r="GO7" s="233"/>
      <c r="GP7" s="233"/>
      <c r="GQ7" s="233"/>
      <c r="GR7" s="233"/>
      <c r="GS7" s="233"/>
      <c r="GT7" s="233"/>
      <c r="GU7" s="233"/>
      <c r="GV7" s="233"/>
      <c r="GW7" s="233"/>
      <c r="GX7" s="233"/>
      <c r="GY7" s="233"/>
      <c r="GZ7" s="233"/>
      <c r="HA7" s="233"/>
      <c r="HB7" s="233"/>
      <c r="HC7" s="233"/>
      <c r="HD7" s="233"/>
      <c r="HE7" s="233"/>
      <c r="HF7" s="233"/>
      <c r="HG7" s="233"/>
      <c r="HH7" s="233"/>
      <c r="HI7" s="233"/>
      <c r="HJ7" s="233"/>
      <c r="HK7" s="233"/>
      <c r="HL7" s="233"/>
      <c r="HM7" s="233"/>
      <c r="HN7" s="233"/>
      <c r="HO7" s="233"/>
      <c r="HP7" s="233"/>
      <c r="HQ7" s="233"/>
      <c r="HR7" s="233"/>
      <c r="HS7" s="233"/>
      <c r="HT7" s="233"/>
      <c r="HU7" s="233"/>
      <c r="HV7" s="233"/>
      <c r="HW7" s="233"/>
      <c r="HX7" s="233"/>
      <c r="HY7" s="233"/>
      <c r="HZ7" s="233"/>
      <c r="IA7" s="233"/>
      <c r="IB7" s="233"/>
      <c r="IC7" s="233"/>
      <c r="ID7" s="233"/>
      <c r="IE7" s="233"/>
      <c r="IF7" s="233"/>
      <c r="IG7" s="233"/>
      <c r="IH7" s="233"/>
      <c r="II7" s="233"/>
      <c r="IJ7" s="233"/>
      <c r="IK7" s="233"/>
      <c r="IL7" s="233"/>
      <c r="IM7" s="233"/>
      <c r="IN7" s="233"/>
      <c r="IO7" s="233"/>
      <c r="IP7" s="233"/>
      <c r="IQ7" s="233"/>
      <c r="IR7" s="233"/>
      <c r="IS7" s="233"/>
      <c r="IT7" s="233"/>
    </row>
    <row r="8" spans="1:254">
      <c r="A8" s="235" t="s">
        <v>400</v>
      </c>
      <c r="B8" s="261">
        <v>0</v>
      </c>
      <c r="C8" s="261">
        <v>0</v>
      </c>
      <c r="D8" s="261">
        <v>0</v>
      </c>
      <c r="E8" s="261">
        <v>0</v>
      </c>
      <c r="F8" s="261">
        <v>0</v>
      </c>
      <c r="G8" s="261">
        <v>0</v>
      </c>
      <c r="H8" s="261">
        <v>0</v>
      </c>
      <c r="I8" s="261">
        <v>0</v>
      </c>
      <c r="J8" s="261">
        <v>0</v>
      </c>
      <c r="K8" s="261">
        <v>0</v>
      </c>
      <c r="L8" s="261">
        <v>0</v>
      </c>
      <c r="M8" s="261">
        <v>0</v>
      </c>
      <c r="N8" s="261">
        <v>0</v>
      </c>
      <c r="O8" s="261">
        <v>0</v>
      </c>
      <c r="P8" s="262">
        <v>0</v>
      </c>
      <c r="Q8" s="262"/>
      <c r="R8" s="262"/>
      <c r="S8" s="262"/>
      <c r="T8" s="262"/>
      <c r="U8" s="262"/>
      <c r="V8" s="262"/>
      <c r="W8" s="262"/>
      <c r="X8" s="262"/>
      <c r="Y8" s="262"/>
      <c r="Z8" s="262"/>
      <c r="AA8" s="262"/>
      <c r="AB8" s="263"/>
      <c r="AC8" s="264"/>
      <c r="AD8" s="264"/>
      <c r="AE8" s="264"/>
      <c r="AF8" s="264"/>
      <c r="AG8" s="264"/>
      <c r="AH8" s="265"/>
      <c r="AI8" s="264"/>
      <c r="AJ8" s="264"/>
      <c r="AK8" s="264"/>
      <c r="AL8" s="264"/>
      <c r="AM8" s="264"/>
      <c r="AN8" s="264"/>
      <c r="AO8" s="264"/>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233"/>
      <c r="FE8" s="233"/>
      <c r="FF8" s="233"/>
      <c r="FG8" s="233"/>
      <c r="FH8" s="233"/>
      <c r="FI8" s="233"/>
      <c r="FJ8" s="233"/>
      <c r="FK8" s="233"/>
      <c r="FL8" s="233"/>
      <c r="FM8" s="233"/>
      <c r="FN8" s="233"/>
      <c r="FO8" s="233"/>
      <c r="FP8" s="233"/>
      <c r="FQ8" s="233"/>
      <c r="FR8" s="233"/>
      <c r="FS8" s="233"/>
      <c r="FT8" s="233"/>
      <c r="FU8" s="233"/>
      <c r="FV8" s="233"/>
      <c r="FW8" s="233"/>
      <c r="FX8" s="233"/>
      <c r="FY8" s="233"/>
      <c r="FZ8" s="233"/>
      <c r="GA8" s="233"/>
      <c r="GB8" s="233"/>
      <c r="GC8" s="233"/>
      <c r="GD8" s="233"/>
      <c r="GE8" s="233"/>
      <c r="GF8" s="233"/>
      <c r="GG8" s="233"/>
      <c r="GH8" s="233"/>
      <c r="GI8" s="233"/>
      <c r="GJ8" s="233"/>
      <c r="GK8" s="233"/>
      <c r="GL8" s="233"/>
      <c r="GM8" s="233"/>
      <c r="GN8" s="233"/>
      <c r="GO8" s="233"/>
      <c r="GP8" s="233"/>
      <c r="GQ8" s="233"/>
      <c r="GR8" s="233"/>
      <c r="GS8" s="233"/>
      <c r="GT8" s="233"/>
      <c r="GU8" s="233"/>
      <c r="GV8" s="233"/>
      <c r="GW8" s="233"/>
      <c r="GX8" s="233"/>
      <c r="GY8" s="233"/>
      <c r="GZ8" s="233"/>
      <c r="HA8" s="233"/>
      <c r="HB8" s="233"/>
      <c r="HC8" s="233"/>
      <c r="HD8" s="233"/>
      <c r="HE8" s="233"/>
      <c r="HF8" s="233"/>
      <c r="HG8" s="233"/>
      <c r="HH8" s="233"/>
      <c r="HI8" s="233"/>
      <c r="HJ8" s="233"/>
      <c r="HK8" s="233"/>
      <c r="HL8" s="233"/>
      <c r="HM8" s="233"/>
      <c r="HN8" s="233"/>
      <c r="HO8" s="233"/>
      <c r="HP8" s="233"/>
      <c r="HQ8" s="233"/>
      <c r="HR8" s="233"/>
      <c r="HS8" s="233"/>
      <c r="HT8" s="233"/>
      <c r="HU8" s="233"/>
      <c r="HV8" s="233"/>
      <c r="HW8" s="233"/>
      <c r="HX8" s="233"/>
      <c r="HY8" s="233"/>
      <c r="HZ8" s="233"/>
      <c r="IA8" s="233"/>
      <c r="IB8" s="233"/>
      <c r="IC8" s="233"/>
      <c r="ID8" s="233"/>
      <c r="IE8" s="233"/>
      <c r="IF8" s="233"/>
      <c r="IG8" s="233"/>
      <c r="IH8" s="233"/>
      <c r="II8" s="233"/>
      <c r="IJ8" s="233"/>
      <c r="IK8" s="233"/>
      <c r="IL8" s="233"/>
      <c r="IM8" s="233"/>
      <c r="IN8" s="233"/>
      <c r="IO8" s="233"/>
      <c r="IP8" s="233"/>
      <c r="IQ8" s="233"/>
      <c r="IR8" s="233"/>
      <c r="IS8" s="233"/>
      <c r="IT8" s="233"/>
    </row>
    <row r="9" spans="1:254">
      <c r="A9" s="266" t="s">
        <v>401</v>
      </c>
      <c r="B9" s="242">
        <v>2.2999999999999998</v>
      </c>
      <c r="C9" s="242">
        <v>2.2999999999999998</v>
      </c>
      <c r="D9" s="242">
        <v>4.5999999999999996</v>
      </c>
      <c r="E9" s="242">
        <v>9.1</v>
      </c>
      <c r="F9" s="242">
        <v>19.600000000000001</v>
      </c>
      <c r="G9" s="242">
        <v>15.9</v>
      </c>
      <c r="H9" s="242">
        <v>19.600000000000001</v>
      </c>
      <c r="I9" s="242">
        <v>22.2</v>
      </c>
      <c r="J9" s="242">
        <v>18.8</v>
      </c>
      <c r="K9" s="242">
        <v>23</v>
      </c>
      <c r="L9" s="242">
        <v>32.799999999999997</v>
      </c>
      <c r="M9" s="242">
        <v>33</v>
      </c>
      <c r="N9" s="242">
        <v>67</v>
      </c>
      <c r="O9" s="242">
        <v>49.6</v>
      </c>
      <c r="P9" s="244">
        <v>55.9</v>
      </c>
      <c r="Q9" s="244">
        <v>71.400000000000006</v>
      </c>
      <c r="R9" s="244">
        <v>68.5</v>
      </c>
      <c r="S9" s="244">
        <v>82.2</v>
      </c>
      <c r="T9" s="244">
        <v>104.9</v>
      </c>
      <c r="U9" s="244">
        <v>108.2</v>
      </c>
      <c r="V9" s="244">
        <v>108.2</v>
      </c>
      <c r="W9" s="244">
        <v>101.1</v>
      </c>
      <c r="X9" s="244">
        <v>137.1</v>
      </c>
      <c r="Y9" s="244">
        <v>140.69999999999999</v>
      </c>
      <c r="Z9" s="244">
        <v>137.9</v>
      </c>
      <c r="AA9" s="244">
        <v>135.80000000000001</v>
      </c>
      <c r="AB9" s="245">
        <v>137.9</v>
      </c>
      <c r="AC9" s="246">
        <v>139.482</v>
      </c>
      <c r="AD9" s="246">
        <v>148.89743393999996</v>
      </c>
      <c r="AE9" s="246">
        <v>177.85944282999998</v>
      </c>
      <c r="AF9" s="246">
        <v>199.58221303000002</v>
      </c>
      <c r="AG9" s="246">
        <v>221.05362423999992</v>
      </c>
      <c r="AH9" s="247">
        <v>248.93</v>
      </c>
      <c r="AI9" s="248">
        <v>239</v>
      </c>
      <c r="AJ9" s="248">
        <v>231.80148199999996</v>
      </c>
      <c r="AK9" s="248">
        <v>258.17721182999998</v>
      </c>
      <c r="AL9" s="248">
        <v>258.14218992999997</v>
      </c>
      <c r="AM9" s="248">
        <v>254.7</v>
      </c>
      <c r="AN9" s="248">
        <v>258.70465134000005</v>
      </c>
      <c r="AO9" s="248">
        <v>240.38390317</v>
      </c>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3"/>
      <c r="CL9" s="233"/>
      <c r="CM9" s="233"/>
      <c r="CN9" s="233"/>
      <c r="CO9" s="233"/>
      <c r="CP9" s="233"/>
      <c r="CQ9" s="233"/>
      <c r="CR9" s="233"/>
      <c r="CS9" s="233"/>
      <c r="CT9" s="233"/>
      <c r="CU9" s="233"/>
      <c r="CV9" s="233"/>
      <c r="CW9" s="233"/>
      <c r="CX9" s="233"/>
      <c r="CY9" s="233"/>
      <c r="CZ9" s="233"/>
      <c r="DA9" s="233"/>
      <c r="DB9" s="233"/>
      <c r="DC9" s="233"/>
      <c r="DD9" s="233"/>
      <c r="DE9" s="233"/>
      <c r="DF9" s="233"/>
      <c r="DG9" s="233"/>
      <c r="DH9" s="233"/>
      <c r="DI9" s="233"/>
      <c r="DJ9" s="233"/>
      <c r="DK9" s="233"/>
      <c r="DL9" s="233"/>
      <c r="DM9" s="233"/>
      <c r="DN9" s="233"/>
      <c r="DO9" s="233"/>
      <c r="DP9" s="233"/>
      <c r="DQ9" s="233"/>
      <c r="DR9" s="233"/>
      <c r="DS9" s="233"/>
      <c r="DT9" s="233"/>
      <c r="DU9" s="233"/>
      <c r="DV9" s="233"/>
      <c r="DW9" s="233"/>
      <c r="DX9" s="233"/>
      <c r="DY9" s="233"/>
      <c r="DZ9" s="233"/>
      <c r="EA9" s="233"/>
      <c r="EB9" s="233"/>
      <c r="EC9" s="233"/>
      <c r="ED9" s="233"/>
      <c r="EE9" s="233"/>
      <c r="EF9" s="233"/>
      <c r="EG9" s="233"/>
      <c r="EH9" s="233"/>
      <c r="EI9" s="233"/>
      <c r="EJ9" s="233"/>
      <c r="EK9" s="233"/>
      <c r="EL9" s="233"/>
      <c r="EM9" s="233"/>
      <c r="EN9" s="233"/>
      <c r="EO9" s="233"/>
      <c r="EP9" s="233"/>
      <c r="EQ9" s="233"/>
      <c r="ER9" s="233"/>
      <c r="ES9" s="233"/>
      <c r="ET9" s="233"/>
      <c r="EU9" s="233"/>
      <c r="EV9" s="233"/>
      <c r="EW9" s="233"/>
      <c r="EX9" s="233"/>
      <c r="EY9" s="233"/>
      <c r="EZ9" s="233"/>
      <c r="FA9" s="233"/>
      <c r="FB9" s="233"/>
      <c r="FC9" s="233"/>
      <c r="FD9" s="233"/>
      <c r="FE9" s="233"/>
      <c r="FF9" s="233"/>
      <c r="FG9" s="233"/>
      <c r="FH9" s="233"/>
      <c r="FI9" s="233"/>
      <c r="FJ9" s="233"/>
      <c r="FK9" s="233"/>
      <c r="FL9" s="233"/>
      <c r="FM9" s="233"/>
      <c r="FN9" s="233"/>
      <c r="FO9" s="233"/>
      <c r="FP9" s="233"/>
      <c r="FQ9" s="233"/>
      <c r="FR9" s="233"/>
      <c r="FS9" s="233"/>
      <c r="FT9" s="233"/>
      <c r="FU9" s="233"/>
      <c r="FV9" s="233"/>
      <c r="FW9" s="233"/>
      <c r="FX9" s="233"/>
      <c r="FY9" s="233"/>
      <c r="FZ9" s="233"/>
      <c r="GA9" s="233"/>
      <c r="GB9" s="233"/>
      <c r="GC9" s="233"/>
      <c r="GD9" s="233"/>
      <c r="GE9" s="233"/>
      <c r="GF9" s="233"/>
      <c r="GG9" s="233"/>
      <c r="GH9" s="233"/>
      <c r="GI9" s="233"/>
      <c r="GJ9" s="233"/>
      <c r="GK9" s="233"/>
      <c r="GL9" s="233"/>
      <c r="GM9" s="233"/>
      <c r="GN9" s="233"/>
      <c r="GO9" s="233"/>
      <c r="GP9" s="233"/>
      <c r="GQ9" s="233"/>
      <c r="GR9" s="233"/>
      <c r="GS9" s="233"/>
      <c r="GT9" s="233"/>
      <c r="GU9" s="233"/>
      <c r="GV9" s="233"/>
      <c r="GW9" s="233"/>
      <c r="GX9" s="233"/>
      <c r="GY9" s="233"/>
      <c r="GZ9" s="233"/>
      <c r="HA9" s="233"/>
      <c r="HB9" s="233"/>
      <c r="HC9" s="233"/>
      <c r="HD9" s="233"/>
      <c r="HE9" s="233"/>
      <c r="HF9" s="233"/>
      <c r="HG9" s="233"/>
      <c r="HH9" s="233"/>
      <c r="HI9" s="233"/>
      <c r="HJ9" s="233"/>
      <c r="HK9" s="233"/>
      <c r="HL9" s="233"/>
      <c r="HM9" s="233"/>
      <c r="HN9" s="233"/>
      <c r="HO9" s="233"/>
      <c r="HP9" s="233"/>
      <c r="HQ9" s="233"/>
      <c r="HR9" s="233"/>
      <c r="HS9" s="233"/>
      <c r="HT9" s="233"/>
      <c r="HU9" s="233"/>
      <c r="HV9" s="233"/>
      <c r="HW9" s="233"/>
      <c r="HX9" s="233"/>
      <c r="HY9" s="233"/>
      <c r="HZ9" s="233"/>
      <c r="IA9" s="233"/>
      <c r="IB9" s="233"/>
      <c r="IC9" s="233"/>
      <c r="ID9" s="233"/>
      <c r="IE9" s="233"/>
      <c r="IF9" s="233"/>
      <c r="IG9" s="233"/>
      <c r="IH9" s="233"/>
      <c r="II9" s="233"/>
      <c r="IJ9" s="233"/>
      <c r="IK9" s="233"/>
      <c r="IL9" s="233"/>
      <c r="IM9" s="233"/>
      <c r="IN9" s="233"/>
      <c r="IO9" s="233"/>
      <c r="IP9" s="233"/>
      <c r="IQ9" s="233"/>
      <c r="IR9" s="233"/>
      <c r="IS9" s="233"/>
      <c r="IT9" s="233"/>
    </row>
    <row r="10" spans="1:254">
      <c r="A10" s="266" t="s">
        <v>402</v>
      </c>
      <c r="B10" s="261"/>
      <c r="C10" s="261"/>
      <c r="D10" s="261"/>
      <c r="E10" s="261"/>
      <c r="F10" s="261"/>
      <c r="G10" s="261"/>
      <c r="H10" s="261"/>
      <c r="I10" s="261"/>
      <c r="J10" s="261"/>
      <c r="K10" s="261"/>
      <c r="L10" s="261"/>
      <c r="M10" s="261"/>
      <c r="N10" s="261"/>
      <c r="O10" s="261"/>
      <c r="P10" s="262"/>
      <c r="Q10" s="262"/>
      <c r="R10" s="262"/>
      <c r="S10" s="262"/>
      <c r="T10" s="262"/>
      <c r="U10" s="262"/>
      <c r="V10" s="262"/>
      <c r="W10" s="262"/>
      <c r="X10" s="262"/>
      <c r="Y10" s="262"/>
      <c r="Z10" s="262"/>
      <c r="AA10" s="262"/>
      <c r="AB10" s="245"/>
      <c r="AC10" s="246"/>
      <c r="AD10" s="246"/>
      <c r="AE10" s="246"/>
      <c r="AF10" s="246"/>
      <c r="AG10" s="246"/>
      <c r="AH10" s="247"/>
      <c r="AI10" s="248">
        <v>0.2</v>
      </c>
      <c r="AJ10" s="248">
        <v>0.3</v>
      </c>
      <c r="AK10" s="248">
        <v>0.12382228999999997</v>
      </c>
      <c r="AL10" s="248">
        <v>1.3212650000000003E-2</v>
      </c>
      <c r="AM10" s="248">
        <v>0</v>
      </c>
      <c r="AN10" s="248">
        <v>6.6416380000000011E-2</v>
      </c>
      <c r="AO10" s="248">
        <v>6.3245499999999991E-3</v>
      </c>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233"/>
      <c r="ED10" s="233"/>
      <c r="EE10" s="233"/>
      <c r="EF10" s="233"/>
      <c r="EG10" s="233"/>
      <c r="EH10" s="233"/>
      <c r="EI10" s="233"/>
      <c r="EJ10" s="233"/>
      <c r="EK10" s="233"/>
      <c r="EL10" s="233"/>
      <c r="EM10" s="233"/>
      <c r="EN10" s="233"/>
      <c r="EO10" s="233"/>
      <c r="EP10" s="233"/>
      <c r="EQ10" s="233"/>
      <c r="ER10" s="233"/>
      <c r="ES10" s="233"/>
      <c r="ET10" s="233"/>
      <c r="EU10" s="233"/>
      <c r="EV10" s="233"/>
      <c r="EW10" s="233"/>
      <c r="EX10" s="233"/>
      <c r="EY10" s="233"/>
      <c r="EZ10" s="233"/>
      <c r="FA10" s="233"/>
      <c r="FB10" s="233"/>
      <c r="FC10" s="233"/>
      <c r="FD10" s="233"/>
      <c r="FE10" s="233"/>
      <c r="FF10" s="233"/>
      <c r="FG10" s="233"/>
      <c r="FH10" s="233"/>
      <c r="FI10" s="233"/>
      <c r="FJ10" s="233"/>
      <c r="FK10" s="233"/>
      <c r="FL10" s="233"/>
      <c r="FM10" s="233"/>
      <c r="FN10" s="233"/>
      <c r="FO10" s="233"/>
      <c r="FP10" s="233"/>
      <c r="FQ10" s="233"/>
      <c r="FR10" s="233"/>
      <c r="FS10" s="233"/>
      <c r="FT10" s="233"/>
      <c r="FU10" s="233"/>
      <c r="FV10" s="233"/>
      <c r="FW10" s="233"/>
      <c r="FX10" s="233"/>
      <c r="FY10" s="233"/>
      <c r="FZ10" s="233"/>
      <c r="GA10" s="233"/>
      <c r="GB10" s="233"/>
      <c r="GC10" s="233"/>
      <c r="GD10" s="233"/>
      <c r="GE10" s="233"/>
      <c r="GF10" s="233"/>
      <c r="GG10" s="233"/>
      <c r="GH10" s="233"/>
      <c r="GI10" s="233"/>
      <c r="GJ10" s="233"/>
      <c r="GK10" s="233"/>
      <c r="GL10" s="233"/>
      <c r="GM10" s="233"/>
      <c r="GN10" s="233"/>
      <c r="GO10" s="233"/>
      <c r="GP10" s="233"/>
      <c r="GQ10" s="233"/>
      <c r="GR10" s="233"/>
      <c r="GS10" s="233"/>
      <c r="GT10" s="233"/>
      <c r="GU10" s="233"/>
      <c r="GV10" s="233"/>
      <c r="GW10" s="233"/>
      <c r="GX10" s="233"/>
      <c r="GY10" s="233"/>
      <c r="GZ10" s="233"/>
      <c r="HA10" s="233"/>
      <c r="HB10" s="233"/>
      <c r="HC10" s="233"/>
      <c r="HD10" s="233"/>
      <c r="HE10" s="233"/>
      <c r="HF10" s="233"/>
      <c r="HG10" s="233"/>
      <c r="HH10" s="233"/>
      <c r="HI10" s="233"/>
      <c r="HJ10" s="233"/>
      <c r="HK10" s="233"/>
      <c r="HL10" s="233"/>
      <c r="HM10" s="233"/>
      <c r="HN10" s="233"/>
      <c r="HO10" s="233"/>
      <c r="HP10" s="233"/>
      <c r="HQ10" s="233"/>
      <c r="HR10" s="233"/>
      <c r="HS10" s="233"/>
      <c r="HT10" s="233"/>
      <c r="HU10" s="233"/>
      <c r="HV10" s="233"/>
      <c r="HW10" s="233"/>
      <c r="HX10" s="233"/>
      <c r="HY10" s="233"/>
      <c r="HZ10" s="233"/>
      <c r="IA10" s="233"/>
      <c r="IB10" s="233"/>
      <c r="IC10" s="233"/>
      <c r="ID10" s="233"/>
      <c r="IE10" s="233"/>
      <c r="IF10" s="233"/>
      <c r="IG10" s="233"/>
      <c r="IH10" s="233"/>
      <c r="II10" s="233"/>
      <c r="IJ10" s="233"/>
      <c r="IK10" s="233"/>
      <c r="IL10" s="233"/>
      <c r="IM10" s="233"/>
      <c r="IN10" s="233"/>
      <c r="IO10" s="233"/>
      <c r="IP10" s="233"/>
      <c r="IQ10" s="233"/>
      <c r="IR10" s="233"/>
      <c r="IS10" s="233"/>
      <c r="IT10" s="233"/>
    </row>
    <row r="11" spans="1:254" ht="21">
      <c r="A11" s="266" t="s">
        <v>403</v>
      </c>
      <c r="B11" s="261">
        <v>0</v>
      </c>
      <c r="C11" s="261">
        <v>0</v>
      </c>
      <c r="D11" s="261">
        <v>0</v>
      </c>
      <c r="E11" s="261">
        <v>0</v>
      </c>
      <c r="F11" s="261">
        <v>0</v>
      </c>
      <c r="G11" s="261">
        <v>0</v>
      </c>
      <c r="H11" s="261">
        <v>0</v>
      </c>
      <c r="I11" s="261">
        <v>0</v>
      </c>
      <c r="J11" s="261">
        <v>0</v>
      </c>
      <c r="K11" s="261">
        <v>0</v>
      </c>
      <c r="L11" s="261">
        <v>0</v>
      </c>
      <c r="M11" s="261">
        <v>0</v>
      </c>
      <c r="N11" s="261">
        <v>0</v>
      </c>
      <c r="O11" s="261">
        <v>0</v>
      </c>
      <c r="P11" s="262">
        <v>0</v>
      </c>
      <c r="Q11" s="262"/>
      <c r="R11" s="262"/>
      <c r="S11" s="262"/>
      <c r="T11" s="262"/>
      <c r="U11" s="262"/>
      <c r="V11" s="262"/>
      <c r="W11" s="262">
        <v>2.9</v>
      </c>
      <c r="X11" s="262">
        <v>7.1</v>
      </c>
      <c r="Y11" s="262">
        <v>6.5</v>
      </c>
      <c r="Z11" s="262">
        <v>7.8</v>
      </c>
      <c r="AA11" s="262">
        <v>0.01</v>
      </c>
      <c r="AB11" s="245">
        <v>0</v>
      </c>
      <c r="AC11" s="246">
        <v>0</v>
      </c>
      <c r="AD11" s="246">
        <v>0</v>
      </c>
      <c r="AE11" s="246">
        <v>0</v>
      </c>
      <c r="AF11" s="246">
        <v>0</v>
      </c>
      <c r="AG11" s="246">
        <v>0</v>
      </c>
      <c r="AH11" s="247">
        <v>0</v>
      </c>
      <c r="AI11" s="248">
        <v>0</v>
      </c>
      <c r="AJ11" s="248">
        <v>0</v>
      </c>
      <c r="AK11" s="248">
        <v>0</v>
      </c>
      <c r="AL11" s="248">
        <v>0</v>
      </c>
      <c r="AM11" s="248">
        <v>0</v>
      </c>
      <c r="AN11" s="248">
        <v>0</v>
      </c>
      <c r="AO11" s="248">
        <v>0</v>
      </c>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3"/>
      <c r="CL11" s="233"/>
      <c r="CM11" s="233"/>
      <c r="CN11" s="233"/>
      <c r="CO11" s="233"/>
      <c r="CP11" s="233"/>
      <c r="CQ11" s="233"/>
      <c r="CR11" s="233"/>
      <c r="CS11" s="233"/>
      <c r="CT11" s="233"/>
      <c r="CU11" s="233"/>
      <c r="CV11" s="233"/>
      <c r="CW11" s="233"/>
      <c r="CX11" s="233"/>
      <c r="CY11" s="233"/>
      <c r="CZ11" s="233"/>
      <c r="DA11" s="233"/>
      <c r="DB11" s="233"/>
      <c r="DC11" s="233"/>
      <c r="DD11" s="233"/>
      <c r="DE11" s="233"/>
      <c r="DF11" s="233"/>
      <c r="DG11" s="233"/>
      <c r="DH11" s="233"/>
      <c r="DI11" s="233"/>
      <c r="DJ11" s="233"/>
      <c r="DK11" s="233"/>
      <c r="DL11" s="233"/>
      <c r="DM11" s="233"/>
      <c r="DN11" s="233"/>
      <c r="DO11" s="233"/>
      <c r="DP11" s="233"/>
      <c r="DQ11" s="233"/>
      <c r="DR11" s="233"/>
      <c r="DS11" s="233"/>
      <c r="DT11" s="233"/>
      <c r="DU11" s="233"/>
      <c r="DV11" s="233"/>
      <c r="DW11" s="233"/>
      <c r="DX11" s="233"/>
      <c r="DY11" s="233"/>
      <c r="DZ11" s="233"/>
      <c r="EA11" s="233"/>
      <c r="EB11" s="233"/>
      <c r="EC11" s="233"/>
      <c r="ED11" s="233"/>
      <c r="EE11" s="233"/>
      <c r="EF11" s="233"/>
      <c r="EG11" s="233"/>
      <c r="EH11" s="233"/>
      <c r="EI11" s="233"/>
      <c r="EJ11" s="233"/>
      <c r="EK11" s="233"/>
      <c r="EL11" s="233"/>
      <c r="EM11" s="233"/>
      <c r="EN11" s="233"/>
      <c r="EO11" s="233"/>
      <c r="EP11" s="233"/>
      <c r="EQ11" s="233"/>
      <c r="ER11" s="233"/>
      <c r="ES11" s="233"/>
      <c r="ET11" s="233"/>
      <c r="EU11" s="233"/>
      <c r="EV11" s="233"/>
      <c r="EW11" s="233"/>
      <c r="EX11" s="233"/>
      <c r="EY11" s="233"/>
      <c r="EZ11" s="233"/>
      <c r="FA11" s="233"/>
      <c r="FB11" s="233"/>
      <c r="FC11" s="233"/>
      <c r="FD11" s="233"/>
      <c r="FE11" s="233"/>
      <c r="FF11" s="233"/>
      <c r="FG11" s="233"/>
      <c r="FH11" s="233"/>
      <c r="FI11" s="233"/>
      <c r="FJ11" s="233"/>
      <c r="FK11" s="233"/>
      <c r="FL11" s="233"/>
      <c r="FM11" s="233"/>
      <c r="FN11" s="233"/>
      <c r="FO11" s="233"/>
      <c r="FP11" s="233"/>
      <c r="FQ11" s="233"/>
      <c r="FR11" s="233"/>
      <c r="FS11" s="233"/>
      <c r="FT11" s="233"/>
      <c r="FU11" s="233"/>
      <c r="FV11" s="233"/>
      <c r="FW11" s="233"/>
      <c r="FX11" s="233"/>
      <c r="FY11" s="233"/>
      <c r="FZ11" s="233"/>
      <c r="GA11" s="233"/>
      <c r="GB11" s="233"/>
      <c r="GC11" s="233"/>
      <c r="GD11" s="233"/>
      <c r="GE11" s="233"/>
      <c r="GF11" s="233"/>
      <c r="GG11" s="233"/>
      <c r="GH11" s="233"/>
      <c r="GI11" s="233"/>
      <c r="GJ11" s="233"/>
      <c r="GK11" s="233"/>
      <c r="GL11" s="233"/>
      <c r="GM11" s="233"/>
      <c r="GN11" s="233"/>
      <c r="GO11" s="233"/>
      <c r="GP11" s="233"/>
      <c r="GQ11" s="233"/>
      <c r="GR11" s="233"/>
      <c r="GS11" s="233"/>
      <c r="GT11" s="233"/>
      <c r="GU11" s="233"/>
      <c r="GV11" s="233"/>
      <c r="GW11" s="233"/>
      <c r="GX11" s="233"/>
      <c r="GY11" s="233"/>
      <c r="GZ11" s="233"/>
      <c r="HA11" s="233"/>
      <c r="HB11" s="233"/>
      <c r="HC11" s="233"/>
      <c r="HD11" s="233"/>
      <c r="HE11" s="233"/>
      <c r="HF11" s="233"/>
      <c r="HG11" s="233"/>
      <c r="HH11" s="233"/>
      <c r="HI11" s="233"/>
      <c r="HJ11" s="233"/>
      <c r="HK11" s="233"/>
      <c r="HL11" s="233"/>
      <c r="HM11" s="233"/>
      <c r="HN11" s="233"/>
      <c r="HO11" s="233"/>
      <c r="HP11" s="233"/>
      <c r="HQ11" s="233"/>
      <c r="HR11" s="233"/>
      <c r="HS11" s="233"/>
      <c r="HT11" s="233"/>
      <c r="HU11" s="233"/>
      <c r="HV11" s="233"/>
      <c r="HW11" s="233"/>
      <c r="HX11" s="233"/>
      <c r="HY11" s="233"/>
      <c r="HZ11" s="233"/>
      <c r="IA11" s="233"/>
      <c r="IB11" s="233"/>
      <c r="IC11" s="233"/>
      <c r="ID11" s="233"/>
      <c r="IE11" s="233"/>
      <c r="IF11" s="233"/>
      <c r="IG11" s="233"/>
      <c r="IH11" s="233"/>
      <c r="II11" s="233"/>
      <c r="IJ11" s="233"/>
      <c r="IK11" s="233"/>
      <c r="IL11" s="233"/>
      <c r="IM11" s="233"/>
      <c r="IN11" s="233"/>
      <c r="IO11" s="233"/>
      <c r="IP11" s="233"/>
      <c r="IQ11" s="233"/>
      <c r="IR11" s="233"/>
      <c r="IS11" s="233"/>
      <c r="IT11" s="233"/>
    </row>
    <row r="12" spans="1:254" ht="21">
      <c r="A12" s="266" t="s">
        <v>404</v>
      </c>
      <c r="B12" s="242">
        <v>0</v>
      </c>
      <c r="C12" s="242">
        <v>0</v>
      </c>
      <c r="D12" s="242">
        <v>0</v>
      </c>
      <c r="E12" s="242">
        <v>0</v>
      </c>
      <c r="F12" s="242">
        <v>0</v>
      </c>
      <c r="G12" s="242">
        <v>0</v>
      </c>
      <c r="H12" s="242">
        <v>0</v>
      </c>
      <c r="I12" s="242">
        <v>0</v>
      </c>
      <c r="J12" s="242">
        <v>0</v>
      </c>
      <c r="K12" s="242">
        <v>0</v>
      </c>
      <c r="L12" s="242">
        <v>0</v>
      </c>
      <c r="M12" s="242">
        <v>0</v>
      </c>
      <c r="N12" s="242">
        <v>0</v>
      </c>
      <c r="O12" s="242">
        <v>0</v>
      </c>
      <c r="P12" s="244">
        <v>0</v>
      </c>
      <c r="Q12" s="244"/>
      <c r="R12" s="244"/>
      <c r="S12" s="244"/>
      <c r="T12" s="244"/>
      <c r="U12" s="244"/>
      <c r="V12" s="244"/>
      <c r="W12" s="244"/>
      <c r="X12" s="244"/>
      <c r="Y12" s="244"/>
      <c r="Z12" s="244"/>
      <c r="AA12" s="244"/>
      <c r="AB12" s="245"/>
      <c r="AC12" s="240"/>
      <c r="AD12" s="240"/>
      <c r="AE12" s="240"/>
      <c r="AF12" s="240"/>
      <c r="AG12" s="240"/>
      <c r="AH12" s="267"/>
      <c r="AI12" s="268"/>
      <c r="AJ12" s="268"/>
      <c r="AK12" s="268"/>
      <c r="AL12" s="268"/>
      <c r="AM12" s="268"/>
      <c r="AN12" s="268"/>
      <c r="AO12" s="268"/>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3"/>
      <c r="CE12" s="233"/>
      <c r="CF12" s="233"/>
      <c r="CG12" s="233"/>
      <c r="CH12" s="233"/>
      <c r="CI12" s="233"/>
      <c r="CJ12" s="233"/>
      <c r="CK12" s="233"/>
      <c r="CL12" s="233"/>
      <c r="CM12" s="233"/>
      <c r="CN12" s="233"/>
      <c r="CO12" s="233"/>
      <c r="CP12" s="233"/>
      <c r="CQ12" s="233"/>
      <c r="CR12" s="233"/>
      <c r="CS12" s="233"/>
      <c r="CT12" s="233"/>
      <c r="CU12" s="233"/>
      <c r="CV12" s="233"/>
      <c r="CW12" s="233"/>
      <c r="CX12" s="233"/>
      <c r="CY12" s="233"/>
      <c r="CZ12" s="233"/>
      <c r="DA12" s="233"/>
      <c r="DB12" s="233"/>
      <c r="DC12" s="233"/>
      <c r="DD12" s="233"/>
      <c r="DE12" s="233"/>
      <c r="DF12" s="233"/>
      <c r="DG12" s="233"/>
      <c r="DH12" s="233"/>
      <c r="DI12" s="233"/>
      <c r="DJ12" s="233"/>
      <c r="DK12" s="233"/>
      <c r="DL12" s="233"/>
      <c r="DM12" s="233"/>
      <c r="DN12" s="233"/>
      <c r="DO12" s="233"/>
      <c r="DP12" s="233"/>
      <c r="DQ12" s="233"/>
      <c r="DR12" s="233"/>
      <c r="DS12" s="233"/>
      <c r="DT12" s="233"/>
      <c r="DU12" s="233"/>
      <c r="DV12" s="233"/>
      <c r="DW12" s="233"/>
      <c r="DX12" s="233"/>
      <c r="DY12" s="233"/>
      <c r="DZ12" s="233"/>
      <c r="EA12" s="233"/>
      <c r="EB12" s="233"/>
      <c r="EC12" s="233"/>
      <c r="ED12" s="233"/>
      <c r="EE12" s="233"/>
      <c r="EF12" s="233"/>
      <c r="EG12" s="233"/>
      <c r="EH12" s="233"/>
      <c r="EI12" s="233"/>
      <c r="EJ12" s="233"/>
      <c r="EK12" s="233"/>
      <c r="EL12" s="233"/>
      <c r="EM12" s="233"/>
      <c r="EN12" s="233"/>
      <c r="EO12" s="233"/>
      <c r="EP12" s="233"/>
      <c r="EQ12" s="233"/>
      <c r="ER12" s="233"/>
      <c r="ES12" s="233"/>
      <c r="ET12" s="233"/>
      <c r="EU12" s="233"/>
      <c r="EV12" s="233"/>
      <c r="EW12" s="233"/>
      <c r="EX12" s="233"/>
      <c r="EY12" s="233"/>
      <c r="EZ12" s="233"/>
      <c r="FA12" s="233"/>
      <c r="FB12" s="233"/>
      <c r="FC12" s="233"/>
      <c r="FD12" s="233"/>
      <c r="FE12" s="233"/>
      <c r="FF12" s="233"/>
      <c r="FG12" s="233"/>
      <c r="FH12" s="233"/>
      <c r="FI12" s="233"/>
      <c r="FJ12" s="233"/>
      <c r="FK12" s="233"/>
      <c r="FL12" s="233"/>
      <c r="FM12" s="233"/>
      <c r="FN12" s="233"/>
      <c r="FO12" s="233"/>
      <c r="FP12" s="233"/>
      <c r="FQ12" s="233"/>
      <c r="FR12" s="233"/>
      <c r="FS12" s="233"/>
      <c r="FT12" s="233"/>
      <c r="FU12" s="233"/>
      <c r="FV12" s="233"/>
      <c r="FW12" s="233"/>
      <c r="FX12" s="233"/>
      <c r="FY12" s="233"/>
      <c r="FZ12" s="233"/>
      <c r="GA12" s="233"/>
      <c r="GB12" s="233"/>
      <c r="GC12" s="233"/>
      <c r="GD12" s="233"/>
      <c r="GE12" s="233"/>
      <c r="GF12" s="233"/>
      <c r="GG12" s="233"/>
      <c r="GH12" s="233"/>
      <c r="GI12" s="233"/>
      <c r="GJ12" s="233"/>
      <c r="GK12" s="233"/>
      <c r="GL12" s="233"/>
      <c r="GM12" s="233"/>
      <c r="GN12" s="233"/>
      <c r="GO12" s="233"/>
      <c r="GP12" s="233"/>
      <c r="GQ12" s="233"/>
      <c r="GR12" s="233"/>
      <c r="GS12" s="233"/>
      <c r="GT12" s="233"/>
      <c r="GU12" s="233"/>
      <c r="GV12" s="233"/>
      <c r="GW12" s="233"/>
      <c r="GX12" s="233"/>
      <c r="GY12" s="233"/>
      <c r="GZ12" s="233"/>
      <c r="HA12" s="233"/>
      <c r="HB12" s="233"/>
      <c r="HC12" s="233"/>
      <c r="HD12" s="233"/>
      <c r="HE12" s="233"/>
      <c r="HF12" s="233"/>
      <c r="HG12" s="233"/>
      <c r="HH12" s="233"/>
      <c r="HI12" s="233"/>
      <c r="HJ12" s="233"/>
      <c r="HK12" s="233"/>
      <c r="HL12" s="233"/>
      <c r="HM12" s="233"/>
      <c r="HN12" s="233"/>
      <c r="HO12" s="233"/>
      <c r="HP12" s="233"/>
      <c r="HQ12" s="233"/>
      <c r="HR12" s="233"/>
      <c r="HS12" s="233"/>
      <c r="HT12" s="233"/>
      <c r="HU12" s="233"/>
      <c r="HV12" s="233"/>
      <c r="HW12" s="233"/>
      <c r="HX12" s="233"/>
      <c r="HY12" s="233"/>
      <c r="HZ12" s="233"/>
      <c r="IA12" s="233"/>
      <c r="IB12" s="233"/>
      <c r="IC12" s="233"/>
      <c r="ID12" s="233"/>
      <c r="IE12" s="233"/>
      <c r="IF12" s="233"/>
      <c r="IG12" s="233"/>
      <c r="IH12" s="233"/>
      <c r="II12" s="233"/>
      <c r="IJ12" s="233"/>
      <c r="IK12" s="233"/>
      <c r="IL12" s="233"/>
      <c r="IM12" s="233"/>
      <c r="IN12" s="233"/>
      <c r="IO12" s="233"/>
      <c r="IP12" s="233"/>
      <c r="IQ12" s="233"/>
      <c r="IR12" s="233"/>
      <c r="IS12" s="233"/>
      <c r="IT12" s="233"/>
    </row>
    <row r="13" spans="1:254">
      <c r="A13" s="241" t="s">
        <v>405</v>
      </c>
      <c r="B13" s="242">
        <v>0</v>
      </c>
      <c r="C13" s="242">
        <v>0.5</v>
      </c>
      <c r="D13" s="242">
        <v>1</v>
      </c>
      <c r="E13" s="242">
        <v>2.2000000000000002</v>
      </c>
      <c r="F13" s="242">
        <v>3.6</v>
      </c>
      <c r="G13" s="242">
        <v>5.4</v>
      </c>
      <c r="H13" s="242">
        <v>4.9000000000000004</v>
      </c>
      <c r="I13" s="242">
        <v>5.8</v>
      </c>
      <c r="J13" s="242">
        <v>5.0999999999999996</v>
      </c>
      <c r="K13" s="242">
        <v>7.6</v>
      </c>
      <c r="L13" s="242">
        <v>8.3000000000000007</v>
      </c>
      <c r="M13" s="242">
        <v>8.6999999999999993</v>
      </c>
      <c r="N13" s="242">
        <v>11.2</v>
      </c>
      <c r="O13" s="242">
        <v>11.2</v>
      </c>
      <c r="P13" s="244">
        <v>12.4</v>
      </c>
      <c r="Q13" s="244">
        <v>12.7</v>
      </c>
      <c r="R13" s="244">
        <v>11.5</v>
      </c>
      <c r="S13" s="244">
        <v>11.8</v>
      </c>
      <c r="T13" s="244">
        <v>11.44</v>
      </c>
      <c r="U13" s="244">
        <v>13</v>
      </c>
      <c r="V13" s="244">
        <v>12.4</v>
      </c>
      <c r="W13" s="244">
        <v>12.7</v>
      </c>
      <c r="X13" s="244">
        <v>14.9</v>
      </c>
      <c r="Y13" s="244">
        <v>15.115</v>
      </c>
      <c r="Z13" s="244">
        <v>17.3</v>
      </c>
      <c r="AA13" s="244">
        <v>17.2</v>
      </c>
      <c r="AB13" s="245">
        <v>20.100000000000001</v>
      </c>
      <c r="AC13" s="246">
        <v>19.27</v>
      </c>
      <c r="AD13" s="246">
        <v>19.399999999999999</v>
      </c>
      <c r="AE13" s="246">
        <v>20.77</v>
      </c>
      <c r="AF13" s="246">
        <v>23.300685000000005</v>
      </c>
      <c r="AG13" s="246">
        <v>24.5</v>
      </c>
      <c r="AH13" s="247">
        <v>21.99</v>
      </c>
      <c r="AI13" s="248">
        <v>28.7</v>
      </c>
      <c r="AJ13" s="248">
        <v>31</v>
      </c>
      <c r="AK13" s="248">
        <v>30.930388000000001</v>
      </c>
      <c r="AL13" s="248">
        <v>28.64534832</v>
      </c>
      <c r="AM13" s="248">
        <v>26</v>
      </c>
      <c r="AN13" s="248">
        <v>31.391885770000005</v>
      </c>
      <c r="AO13" s="248">
        <v>26.667754219999999</v>
      </c>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3"/>
      <c r="DO13" s="233"/>
      <c r="DP13" s="233"/>
      <c r="DQ13" s="233"/>
      <c r="DR13" s="233"/>
      <c r="DS13" s="233"/>
      <c r="DT13" s="233"/>
      <c r="DU13" s="233"/>
      <c r="DV13" s="233"/>
      <c r="DW13" s="233"/>
      <c r="DX13" s="233"/>
      <c r="DY13" s="233"/>
      <c r="DZ13" s="233"/>
      <c r="EA13" s="233"/>
      <c r="EB13" s="233"/>
      <c r="EC13" s="233"/>
      <c r="ED13" s="233"/>
      <c r="EE13" s="233"/>
      <c r="EF13" s="233"/>
      <c r="EG13" s="233"/>
      <c r="EH13" s="233"/>
      <c r="EI13" s="233"/>
      <c r="EJ13" s="233"/>
      <c r="EK13" s="233"/>
      <c r="EL13" s="233"/>
      <c r="EM13" s="233"/>
      <c r="EN13" s="233"/>
      <c r="EO13" s="233"/>
      <c r="EP13" s="233"/>
      <c r="EQ13" s="233"/>
      <c r="ER13" s="233"/>
      <c r="ES13" s="233"/>
      <c r="ET13" s="233"/>
      <c r="EU13" s="233"/>
      <c r="EV13" s="233"/>
      <c r="EW13" s="233"/>
      <c r="EX13" s="233"/>
      <c r="EY13" s="233"/>
      <c r="EZ13" s="233"/>
      <c r="FA13" s="233"/>
      <c r="FB13" s="233"/>
      <c r="FC13" s="233"/>
      <c r="FD13" s="233"/>
      <c r="FE13" s="233"/>
      <c r="FF13" s="233"/>
      <c r="FG13" s="233"/>
      <c r="FH13" s="233"/>
      <c r="FI13" s="233"/>
      <c r="FJ13" s="233"/>
      <c r="FK13" s="233"/>
      <c r="FL13" s="233"/>
      <c r="FM13" s="233"/>
      <c r="FN13" s="233"/>
      <c r="FO13" s="233"/>
      <c r="FP13" s="233"/>
      <c r="FQ13" s="233"/>
      <c r="FR13" s="233"/>
      <c r="FS13" s="233"/>
      <c r="FT13" s="233"/>
      <c r="FU13" s="233"/>
      <c r="FV13" s="233"/>
      <c r="FW13" s="233"/>
      <c r="FX13" s="233"/>
      <c r="FY13" s="233"/>
      <c r="FZ13" s="233"/>
      <c r="GA13" s="233"/>
      <c r="GB13" s="233"/>
      <c r="GC13" s="233"/>
      <c r="GD13" s="233"/>
      <c r="GE13" s="233"/>
      <c r="GF13" s="233"/>
      <c r="GG13" s="233"/>
      <c r="GH13" s="233"/>
      <c r="GI13" s="233"/>
      <c r="GJ13" s="233"/>
      <c r="GK13" s="233"/>
      <c r="GL13" s="233"/>
      <c r="GM13" s="233"/>
      <c r="GN13" s="233"/>
      <c r="GO13" s="233"/>
      <c r="GP13" s="233"/>
      <c r="GQ13" s="233"/>
      <c r="GR13" s="233"/>
      <c r="GS13" s="233"/>
      <c r="GT13" s="233"/>
      <c r="GU13" s="233"/>
      <c r="GV13" s="233"/>
      <c r="GW13" s="233"/>
      <c r="GX13" s="233"/>
      <c r="GY13" s="233"/>
      <c r="GZ13" s="233"/>
      <c r="HA13" s="233"/>
      <c r="HB13" s="233"/>
      <c r="HC13" s="233"/>
      <c r="HD13" s="233"/>
      <c r="HE13" s="233"/>
      <c r="HF13" s="233"/>
      <c r="HG13" s="233"/>
      <c r="HH13" s="233"/>
      <c r="HI13" s="233"/>
      <c r="HJ13" s="233"/>
      <c r="HK13" s="233"/>
      <c r="HL13" s="233"/>
      <c r="HM13" s="233"/>
      <c r="HN13" s="233"/>
      <c r="HO13" s="233"/>
      <c r="HP13" s="233"/>
      <c r="HQ13" s="233"/>
      <c r="HR13" s="233"/>
      <c r="HS13" s="233"/>
      <c r="HT13" s="233"/>
      <c r="HU13" s="233"/>
      <c r="HV13" s="233"/>
      <c r="HW13" s="233"/>
      <c r="HX13" s="233"/>
      <c r="HY13" s="233"/>
      <c r="HZ13" s="233"/>
      <c r="IA13" s="233"/>
      <c r="IB13" s="233"/>
      <c r="IC13" s="233"/>
      <c r="ID13" s="233"/>
      <c r="IE13" s="233"/>
      <c r="IF13" s="233"/>
      <c r="IG13" s="233"/>
      <c r="IH13" s="233"/>
      <c r="II13" s="233"/>
      <c r="IJ13" s="233"/>
      <c r="IK13" s="233"/>
      <c r="IL13" s="233"/>
      <c r="IM13" s="233"/>
      <c r="IN13" s="233"/>
      <c r="IO13" s="233"/>
      <c r="IP13" s="233"/>
      <c r="IQ13" s="233"/>
      <c r="IR13" s="233"/>
      <c r="IS13" s="233"/>
      <c r="IT13" s="233"/>
    </row>
    <row r="14" spans="1:254">
      <c r="A14" s="241" t="s">
        <v>406</v>
      </c>
      <c r="B14" s="242">
        <v>15</v>
      </c>
      <c r="C14" s="242">
        <v>5.4</v>
      </c>
      <c r="D14" s="242">
        <v>7.6</v>
      </c>
      <c r="E14" s="242">
        <v>9.1</v>
      </c>
      <c r="F14" s="242">
        <v>10</v>
      </c>
      <c r="G14" s="242">
        <v>11.4</v>
      </c>
      <c r="H14" s="242">
        <v>15.8</v>
      </c>
      <c r="I14" s="242">
        <v>20.7</v>
      </c>
      <c r="J14" s="242">
        <v>10.5</v>
      </c>
      <c r="K14" s="242">
        <v>12.3</v>
      </c>
      <c r="L14" s="242">
        <v>11.5</v>
      </c>
      <c r="M14" s="242">
        <v>11.8</v>
      </c>
      <c r="N14" s="242">
        <v>13.3</v>
      </c>
      <c r="O14" s="242">
        <v>14</v>
      </c>
      <c r="P14" s="244">
        <v>16.899999999999999</v>
      </c>
      <c r="Q14" s="244">
        <v>17.8</v>
      </c>
      <c r="R14" s="244">
        <v>18.2</v>
      </c>
      <c r="S14" s="244">
        <v>18.899999999999999</v>
      </c>
      <c r="T14" s="244">
        <v>18.54</v>
      </c>
      <c r="U14" s="244">
        <v>19.899999999999999</v>
      </c>
      <c r="V14" s="244">
        <v>19.7</v>
      </c>
      <c r="W14" s="244">
        <v>23.1</v>
      </c>
      <c r="X14" s="244">
        <v>28.23</v>
      </c>
      <c r="Y14" s="244">
        <v>30.32</v>
      </c>
      <c r="Z14" s="244">
        <v>32.299999999999997</v>
      </c>
      <c r="AA14" s="244">
        <v>32.5</v>
      </c>
      <c r="AB14" s="245">
        <v>31.8</v>
      </c>
      <c r="AC14" s="246">
        <v>32.9</v>
      </c>
      <c r="AD14" s="246">
        <v>34.4</v>
      </c>
      <c r="AE14" s="246">
        <v>34.299999999999997</v>
      </c>
      <c r="AF14" s="246">
        <v>36.515000000000001</v>
      </c>
      <c r="AG14" s="246">
        <v>40.299999999999997</v>
      </c>
      <c r="AH14" s="247">
        <v>41.1</v>
      </c>
      <c r="AI14" s="248">
        <v>39.200000000000003</v>
      </c>
      <c r="AJ14" s="248">
        <v>47.8</v>
      </c>
      <c r="AK14" s="248">
        <v>46.4</v>
      </c>
      <c r="AL14" s="248">
        <v>48.195</v>
      </c>
      <c r="AM14" s="248">
        <v>46.8</v>
      </c>
      <c r="AN14" s="248">
        <v>47.5</v>
      </c>
      <c r="AO14" s="248">
        <v>48.9</v>
      </c>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233"/>
      <c r="CW14" s="233"/>
      <c r="CX14" s="233"/>
      <c r="CY14" s="233"/>
      <c r="CZ14" s="233"/>
      <c r="DA14" s="233"/>
      <c r="DB14" s="233"/>
      <c r="DC14" s="233"/>
      <c r="DD14" s="233"/>
      <c r="DE14" s="233"/>
      <c r="DF14" s="233"/>
      <c r="DG14" s="233"/>
      <c r="DH14" s="233"/>
      <c r="DI14" s="233"/>
      <c r="DJ14" s="233"/>
      <c r="DK14" s="233"/>
      <c r="DL14" s="233"/>
      <c r="DM14" s="233"/>
      <c r="DN14" s="233"/>
      <c r="DO14" s="233"/>
      <c r="DP14" s="233"/>
      <c r="DQ14" s="233"/>
      <c r="DR14" s="233"/>
      <c r="DS14" s="233"/>
      <c r="DT14" s="233"/>
      <c r="DU14" s="233"/>
      <c r="DV14" s="233"/>
      <c r="DW14" s="233"/>
      <c r="DX14" s="233"/>
      <c r="DY14" s="233"/>
      <c r="DZ14" s="233"/>
      <c r="EA14" s="233"/>
      <c r="EB14" s="233"/>
      <c r="EC14" s="233"/>
      <c r="ED14" s="233"/>
      <c r="EE14" s="233"/>
      <c r="EF14" s="233"/>
      <c r="EG14" s="233"/>
      <c r="EH14" s="233"/>
      <c r="EI14" s="233"/>
      <c r="EJ14" s="233"/>
      <c r="EK14" s="233"/>
      <c r="EL14" s="233"/>
      <c r="EM14" s="233"/>
      <c r="EN14" s="233"/>
      <c r="EO14" s="233"/>
      <c r="EP14" s="233"/>
      <c r="EQ14" s="233"/>
      <c r="ER14" s="233"/>
      <c r="ES14" s="233"/>
      <c r="ET14" s="233"/>
      <c r="EU14" s="233"/>
      <c r="EV14" s="233"/>
      <c r="EW14" s="233"/>
      <c r="EX14" s="233"/>
      <c r="EY14" s="233"/>
      <c r="EZ14" s="233"/>
      <c r="FA14" s="233"/>
      <c r="FB14" s="233"/>
      <c r="FC14" s="233"/>
      <c r="FD14" s="233"/>
      <c r="FE14" s="233"/>
      <c r="FF14" s="233"/>
      <c r="FG14" s="233"/>
      <c r="FH14" s="233"/>
      <c r="FI14" s="233"/>
      <c r="FJ14" s="233"/>
      <c r="FK14" s="233"/>
      <c r="FL14" s="233"/>
      <c r="FM14" s="233"/>
      <c r="FN14" s="233"/>
      <c r="FO14" s="233"/>
      <c r="FP14" s="233"/>
      <c r="FQ14" s="233"/>
      <c r="FR14" s="233"/>
      <c r="FS14" s="233"/>
      <c r="FT14" s="233"/>
      <c r="FU14" s="233"/>
      <c r="FV14" s="233"/>
      <c r="FW14" s="233"/>
      <c r="FX14" s="233"/>
      <c r="FY14" s="233"/>
      <c r="FZ14" s="233"/>
      <c r="GA14" s="233"/>
      <c r="GB14" s="233"/>
      <c r="GC14" s="233"/>
      <c r="GD14" s="233"/>
      <c r="GE14" s="233"/>
      <c r="GF14" s="233"/>
      <c r="GG14" s="233"/>
      <c r="GH14" s="233"/>
      <c r="GI14" s="233"/>
      <c r="GJ14" s="233"/>
      <c r="GK14" s="233"/>
      <c r="GL14" s="233"/>
      <c r="GM14" s="233"/>
      <c r="GN14" s="233"/>
      <c r="GO14" s="233"/>
      <c r="GP14" s="233"/>
      <c r="GQ14" s="233"/>
      <c r="GR14" s="233"/>
      <c r="GS14" s="233"/>
      <c r="GT14" s="233"/>
      <c r="GU14" s="233"/>
      <c r="GV14" s="233"/>
      <c r="GW14" s="233"/>
      <c r="GX14" s="233"/>
      <c r="GY14" s="233"/>
      <c r="GZ14" s="233"/>
      <c r="HA14" s="233"/>
      <c r="HB14" s="233"/>
      <c r="HC14" s="233"/>
      <c r="HD14" s="233"/>
      <c r="HE14" s="233"/>
      <c r="HF14" s="233"/>
      <c r="HG14" s="233"/>
      <c r="HH14" s="233"/>
      <c r="HI14" s="233"/>
      <c r="HJ14" s="233"/>
      <c r="HK14" s="233"/>
      <c r="HL14" s="233"/>
      <c r="HM14" s="233"/>
      <c r="HN14" s="233"/>
      <c r="HO14" s="233"/>
      <c r="HP14" s="233"/>
      <c r="HQ14" s="233"/>
      <c r="HR14" s="233"/>
      <c r="HS14" s="233"/>
      <c r="HT14" s="233"/>
      <c r="HU14" s="233"/>
      <c r="HV14" s="233"/>
      <c r="HW14" s="233"/>
      <c r="HX14" s="233"/>
      <c r="HY14" s="233"/>
      <c r="HZ14" s="233"/>
      <c r="IA14" s="233"/>
      <c r="IB14" s="233"/>
      <c r="IC14" s="233"/>
      <c r="ID14" s="233"/>
      <c r="IE14" s="233"/>
      <c r="IF14" s="233"/>
      <c r="IG14" s="233"/>
      <c r="IH14" s="233"/>
      <c r="II14" s="233"/>
      <c r="IJ14" s="233"/>
      <c r="IK14" s="233"/>
      <c r="IL14" s="233"/>
      <c r="IM14" s="233"/>
      <c r="IN14" s="233"/>
      <c r="IO14" s="233"/>
      <c r="IP14" s="233"/>
      <c r="IQ14" s="233"/>
      <c r="IR14" s="233"/>
      <c r="IS14" s="233"/>
      <c r="IT14" s="233"/>
    </row>
    <row r="15" spans="1:254">
      <c r="A15" s="241" t="s">
        <v>407</v>
      </c>
      <c r="B15" s="242">
        <v>0</v>
      </c>
      <c r="C15" s="242">
        <v>0</v>
      </c>
      <c r="D15" s="242">
        <v>0</v>
      </c>
      <c r="E15" s="242">
        <v>0</v>
      </c>
      <c r="F15" s="242">
        <v>0</v>
      </c>
      <c r="G15" s="242">
        <v>0</v>
      </c>
      <c r="H15" s="242">
        <v>0</v>
      </c>
      <c r="I15" s="242">
        <v>0</v>
      </c>
      <c r="J15" s="242">
        <v>0</v>
      </c>
      <c r="K15" s="242">
        <v>0</v>
      </c>
      <c r="L15" s="242">
        <v>0</v>
      </c>
      <c r="M15" s="242">
        <v>0</v>
      </c>
      <c r="N15" s="242">
        <v>0</v>
      </c>
      <c r="O15" s="242">
        <v>1.2</v>
      </c>
      <c r="P15" s="244">
        <v>1.3</v>
      </c>
      <c r="Q15" s="244">
        <v>1.3</v>
      </c>
      <c r="R15" s="244">
        <v>1.5</v>
      </c>
      <c r="S15" s="244">
        <v>1.5</v>
      </c>
      <c r="T15" s="244">
        <v>2.7</v>
      </c>
      <c r="U15" s="244">
        <v>2.6</v>
      </c>
      <c r="V15" s="244">
        <v>1.8</v>
      </c>
      <c r="W15" s="244">
        <v>3</v>
      </c>
      <c r="X15" s="244">
        <v>3.78</v>
      </c>
      <c r="Y15" s="244">
        <v>3.12</v>
      </c>
      <c r="Z15" s="244">
        <v>3.9</v>
      </c>
      <c r="AA15" s="244">
        <v>3.92</v>
      </c>
      <c r="AB15" s="245">
        <v>4.5</v>
      </c>
      <c r="AC15" s="246">
        <v>3.9</v>
      </c>
      <c r="AD15" s="246">
        <v>4.3</v>
      </c>
      <c r="AE15" s="246">
        <v>4.5</v>
      </c>
      <c r="AF15" s="246">
        <v>5.2329999999999997</v>
      </c>
      <c r="AG15" s="246">
        <v>5</v>
      </c>
      <c r="AH15" s="247">
        <v>5.3</v>
      </c>
      <c r="AI15" s="248">
        <v>5.6</v>
      </c>
      <c r="AJ15" s="248">
        <v>6.6</v>
      </c>
      <c r="AK15" s="248">
        <v>2.6</v>
      </c>
      <c r="AL15" s="248">
        <v>5.9850000000000003</v>
      </c>
      <c r="AM15" s="248">
        <v>7</v>
      </c>
      <c r="AN15" s="248">
        <v>5.5</v>
      </c>
      <c r="AO15" s="248">
        <v>8.6999999999999993</v>
      </c>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233"/>
      <c r="CW15" s="233"/>
      <c r="CX15" s="233"/>
      <c r="CY15" s="233"/>
      <c r="CZ15" s="233"/>
      <c r="DA15" s="233"/>
      <c r="DB15" s="233"/>
      <c r="DC15" s="233"/>
      <c r="DD15" s="233"/>
      <c r="DE15" s="233"/>
      <c r="DF15" s="233"/>
      <c r="DG15" s="233"/>
      <c r="DH15" s="233"/>
      <c r="DI15" s="233"/>
      <c r="DJ15" s="233"/>
      <c r="DK15" s="233"/>
      <c r="DL15" s="233"/>
      <c r="DM15" s="233"/>
      <c r="DN15" s="233"/>
      <c r="DO15" s="233"/>
      <c r="DP15" s="233"/>
      <c r="DQ15" s="233"/>
      <c r="DR15" s="233"/>
      <c r="DS15" s="233"/>
      <c r="DT15" s="233"/>
      <c r="DU15" s="233"/>
      <c r="DV15" s="233"/>
      <c r="DW15" s="233"/>
      <c r="DX15" s="233"/>
      <c r="DY15" s="233"/>
      <c r="DZ15" s="233"/>
      <c r="EA15" s="233"/>
      <c r="EB15" s="233"/>
      <c r="EC15" s="233"/>
      <c r="ED15" s="233"/>
      <c r="EE15" s="233"/>
      <c r="EF15" s="233"/>
      <c r="EG15" s="233"/>
      <c r="EH15" s="233"/>
      <c r="EI15" s="233"/>
      <c r="EJ15" s="233"/>
      <c r="EK15" s="233"/>
      <c r="EL15" s="233"/>
      <c r="EM15" s="233"/>
      <c r="EN15" s="233"/>
      <c r="EO15" s="233"/>
      <c r="EP15" s="233"/>
      <c r="EQ15" s="233"/>
      <c r="ER15" s="233"/>
      <c r="ES15" s="233"/>
      <c r="ET15" s="233"/>
      <c r="EU15" s="233"/>
      <c r="EV15" s="233"/>
      <c r="EW15" s="233"/>
      <c r="EX15" s="233"/>
      <c r="EY15" s="233"/>
      <c r="EZ15" s="233"/>
      <c r="FA15" s="233"/>
      <c r="FB15" s="233"/>
      <c r="FC15" s="233"/>
      <c r="FD15" s="233"/>
      <c r="FE15" s="233"/>
      <c r="FF15" s="233"/>
      <c r="FG15" s="233"/>
      <c r="FH15" s="233"/>
      <c r="FI15" s="233"/>
      <c r="FJ15" s="233"/>
      <c r="FK15" s="233"/>
      <c r="FL15" s="233"/>
      <c r="FM15" s="233"/>
      <c r="FN15" s="233"/>
      <c r="FO15" s="233"/>
      <c r="FP15" s="233"/>
      <c r="FQ15" s="233"/>
      <c r="FR15" s="233"/>
      <c r="FS15" s="233"/>
      <c r="FT15" s="233"/>
      <c r="FU15" s="233"/>
      <c r="FV15" s="233"/>
      <c r="FW15" s="233"/>
      <c r="FX15" s="233"/>
      <c r="FY15" s="233"/>
      <c r="FZ15" s="233"/>
      <c r="GA15" s="233"/>
      <c r="GB15" s="233"/>
      <c r="GC15" s="233"/>
      <c r="GD15" s="233"/>
      <c r="GE15" s="233"/>
      <c r="GF15" s="233"/>
      <c r="GG15" s="233"/>
      <c r="GH15" s="233"/>
      <c r="GI15" s="233"/>
      <c r="GJ15" s="233"/>
      <c r="GK15" s="233"/>
      <c r="GL15" s="233"/>
      <c r="GM15" s="233"/>
      <c r="GN15" s="233"/>
      <c r="GO15" s="233"/>
      <c r="GP15" s="233"/>
      <c r="GQ15" s="233"/>
      <c r="GR15" s="233"/>
      <c r="GS15" s="233"/>
      <c r="GT15" s="233"/>
      <c r="GU15" s="233"/>
      <c r="GV15" s="233"/>
      <c r="GW15" s="233"/>
      <c r="GX15" s="233"/>
      <c r="GY15" s="233"/>
      <c r="GZ15" s="233"/>
      <c r="HA15" s="233"/>
      <c r="HB15" s="233"/>
      <c r="HC15" s="233"/>
      <c r="HD15" s="233"/>
      <c r="HE15" s="233"/>
      <c r="HF15" s="233"/>
      <c r="HG15" s="233"/>
      <c r="HH15" s="233"/>
      <c r="HI15" s="233"/>
      <c r="HJ15" s="233"/>
      <c r="HK15" s="233"/>
      <c r="HL15" s="233"/>
      <c r="HM15" s="233"/>
      <c r="HN15" s="233"/>
      <c r="HO15" s="233"/>
      <c r="HP15" s="233"/>
      <c r="HQ15" s="233"/>
      <c r="HR15" s="233"/>
      <c r="HS15" s="233"/>
      <c r="HT15" s="233"/>
      <c r="HU15" s="233"/>
      <c r="HV15" s="233"/>
      <c r="HW15" s="233"/>
      <c r="HX15" s="233"/>
      <c r="HY15" s="233"/>
      <c r="HZ15" s="233"/>
      <c r="IA15" s="233"/>
      <c r="IB15" s="233"/>
      <c r="IC15" s="233"/>
      <c r="ID15" s="233"/>
      <c r="IE15" s="233"/>
      <c r="IF15" s="233"/>
      <c r="IG15" s="233"/>
      <c r="IH15" s="233"/>
      <c r="II15" s="233"/>
      <c r="IJ15" s="233"/>
      <c r="IK15" s="233"/>
      <c r="IL15" s="233"/>
      <c r="IM15" s="233"/>
      <c r="IN15" s="233"/>
      <c r="IO15" s="233"/>
      <c r="IP15" s="233"/>
      <c r="IQ15" s="233"/>
      <c r="IR15" s="233"/>
      <c r="IS15" s="233"/>
      <c r="IT15" s="233"/>
    </row>
    <row r="16" spans="1:254" ht="20.25" thickBot="1">
      <c r="A16" s="249" t="s">
        <v>408</v>
      </c>
      <c r="B16" s="251">
        <v>0</v>
      </c>
      <c r="C16" s="251">
        <v>0.2</v>
      </c>
      <c r="D16" s="251">
        <v>2.9</v>
      </c>
      <c r="E16" s="251">
        <v>2.9</v>
      </c>
      <c r="F16" s="251">
        <v>2.4</v>
      </c>
      <c r="G16" s="251">
        <v>3.1</v>
      </c>
      <c r="H16" s="251">
        <v>3</v>
      </c>
      <c r="I16" s="251">
        <v>3.2</v>
      </c>
      <c r="J16" s="251">
        <v>3.4</v>
      </c>
      <c r="K16" s="251">
        <v>3.7</v>
      </c>
      <c r="L16" s="251">
        <v>3.6</v>
      </c>
      <c r="M16" s="251">
        <v>3.8</v>
      </c>
      <c r="N16" s="251">
        <v>3.9</v>
      </c>
      <c r="O16" s="251">
        <v>4.0999999999999996</v>
      </c>
      <c r="P16" s="250">
        <v>4.3</v>
      </c>
      <c r="Q16" s="250">
        <v>4.3</v>
      </c>
      <c r="R16" s="250">
        <v>4.2</v>
      </c>
      <c r="S16" s="250">
        <v>3.7</v>
      </c>
      <c r="T16" s="250">
        <v>3.7</v>
      </c>
      <c r="U16" s="250">
        <v>3.4</v>
      </c>
      <c r="V16" s="250">
        <v>3.7</v>
      </c>
      <c r="W16" s="250">
        <v>3.7</v>
      </c>
      <c r="X16" s="250">
        <v>4</v>
      </c>
      <c r="Y16" s="250">
        <v>4</v>
      </c>
      <c r="Z16" s="250">
        <v>3.7</v>
      </c>
      <c r="AA16" s="250">
        <v>4.3</v>
      </c>
      <c r="AB16" s="252">
        <v>4.25</v>
      </c>
      <c r="AC16" s="269">
        <v>4.1950000000000003</v>
      </c>
      <c r="AD16" s="269">
        <f>8.245/2</f>
        <v>4.1224999999999996</v>
      </c>
      <c r="AE16" s="269">
        <v>4.7</v>
      </c>
      <c r="AF16" s="269">
        <v>4.6523023600000002</v>
      </c>
      <c r="AG16" s="269">
        <v>4.4651007800000002</v>
      </c>
      <c r="AH16" s="270">
        <v>4.62</v>
      </c>
      <c r="AI16" s="271">
        <v>5</v>
      </c>
      <c r="AJ16" s="271">
        <v>4.9000000000000004</v>
      </c>
      <c r="AK16" s="271">
        <v>4.9350975000000004</v>
      </c>
      <c r="AL16" s="272">
        <v>5.36</v>
      </c>
      <c r="AM16" s="272">
        <v>5.4</v>
      </c>
      <c r="AN16" s="272">
        <v>5.4847033149999991</v>
      </c>
      <c r="AO16" s="272">
        <v>5.6375000000000002</v>
      </c>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233"/>
      <c r="CW16" s="233"/>
      <c r="CX16" s="233"/>
      <c r="CY16" s="233"/>
      <c r="CZ16" s="233"/>
      <c r="DA16" s="233"/>
      <c r="DB16" s="233"/>
      <c r="DC16" s="233"/>
      <c r="DD16" s="233"/>
      <c r="DE16" s="233"/>
      <c r="DF16" s="233"/>
      <c r="DG16" s="233"/>
      <c r="DH16" s="233"/>
      <c r="DI16" s="233"/>
      <c r="DJ16" s="233"/>
      <c r="DK16" s="233"/>
      <c r="DL16" s="233"/>
      <c r="DM16" s="233"/>
      <c r="DN16" s="233"/>
      <c r="DO16" s="233"/>
      <c r="DP16" s="233"/>
      <c r="DQ16" s="233"/>
      <c r="DR16" s="233"/>
      <c r="DS16" s="233"/>
      <c r="DT16" s="233"/>
      <c r="DU16" s="233"/>
      <c r="DV16" s="233"/>
      <c r="DW16" s="233"/>
      <c r="DX16" s="233"/>
      <c r="DY16" s="233"/>
      <c r="DZ16" s="233"/>
      <c r="EA16" s="233"/>
      <c r="EB16" s="233"/>
      <c r="EC16" s="233"/>
      <c r="ED16" s="233"/>
      <c r="EE16" s="233"/>
      <c r="EF16" s="233"/>
      <c r="EG16" s="233"/>
      <c r="EH16" s="233"/>
      <c r="EI16" s="233"/>
      <c r="EJ16" s="233"/>
      <c r="EK16" s="233"/>
      <c r="EL16" s="233"/>
      <c r="EM16" s="233"/>
      <c r="EN16" s="233"/>
      <c r="EO16" s="233"/>
      <c r="EP16" s="233"/>
      <c r="EQ16" s="233"/>
      <c r="ER16" s="233"/>
      <c r="ES16" s="233"/>
      <c r="ET16" s="233"/>
      <c r="EU16" s="233"/>
      <c r="EV16" s="233"/>
      <c r="EW16" s="233"/>
      <c r="EX16" s="233"/>
      <c r="EY16" s="233"/>
      <c r="EZ16" s="233"/>
      <c r="FA16" s="233"/>
      <c r="FB16" s="233"/>
      <c r="FC16" s="233"/>
      <c r="FD16" s="233"/>
      <c r="FE16" s="233"/>
      <c r="FF16" s="233"/>
      <c r="FG16" s="233"/>
      <c r="FH16" s="233"/>
      <c r="FI16" s="233"/>
      <c r="FJ16" s="233"/>
      <c r="FK16" s="233"/>
      <c r="FL16" s="233"/>
      <c r="FM16" s="233"/>
      <c r="FN16" s="233"/>
      <c r="FO16" s="233"/>
      <c r="FP16" s="233"/>
      <c r="FQ16" s="233"/>
      <c r="FR16" s="233"/>
      <c r="FS16" s="233"/>
      <c r="FT16" s="233"/>
      <c r="FU16" s="233"/>
      <c r="FV16" s="233"/>
      <c r="FW16" s="233"/>
      <c r="FX16" s="233"/>
      <c r="FY16" s="233"/>
      <c r="FZ16" s="233"/>
      <c r="GA16" s="233"/>
      <c r="GB16" s="233"/>
      <c r="GC16" s="233"/>
      <c r="GD16" s="233"/>
      <c r="GE16" s="233"/>
      <c r="GF16" s="233"/>
      <c r="GG16" s="233"/>
      <c r="GH16" s="233"/>
      <c r="GI16" s="233"/>
      <c r="GJ16" s="233"/>
      <c r="GK16" s="233"/>
      <c r="GL16" s="233"/>
      <c r="GM16" s="233"/>
      <c r="GN16" s="233"/>
      <c r="GO16" s="233"/>
      <c r="GP16" s="233"/>
      <c r="GQ16" s="233"/>
      <c r="GR16" s="233"/>
      <c r="GS16" s="233"/>
      <c r="GT16" s="233"/>
      <c r="GU16" s="233"/>
      <c r="GV16" s="233"/>
      <c r="GW16" s="233"/>
      <c r="GX16" s="233"/>
      <c r="GY16" s="233"/>
      <c r="GZ16" s="233"/>
      <c r="HA16" s="233"/>
      <c r="HB16" s="233"/>
      <c r="HC16" s="233"/>
      <c r="HD16" s="233"/>
      <c r="HE16" s="233"/>
      <c r="HF16" s="233"/>
      <c r="HG16" s="233"/>
      <c r="HH16" s="233"/>
      <c r="HI16" s="233"/>
      <c r="HJ16" s="233"/>
      <c r="HK16" s="233"/>
      <c r="HL16" s="233"/>
      <c r="HM16" s="233"/>
      <c r="HN16" s="233"/>
      <c r="HO16" s="233"/>
      <c r="HP16" s="233"/>
      <c r="HQ16" s="233"/>
      <c r="HR16" s="233"/>
      <c r="HS16" s="233"/>
      <c r="HT16" s="233"/>
      <c r="HU16" s="233"/>
      <c r="HV16" s="233"/>
      <c r="HW16" s="233"/>
      <c r="HX16" s="233"/>
      <c r="HY16" s="233"/>
      <c r="HZ16" s="233"/>
      <c r="IA16" s="233"/>
      <c r="IB16" s="233"/>
      <c r="IC16" s="233"/>
      <c r="ID16" s="233"/>
      <c r="IE16" s="233"/>
      <c r="IF16" s="233"/>
      <c r="IG16" s="233"/>
      <c r="IH16" s="233"/>
      <c r="II16" s="233"/>
      <c r="IJ16" s="233"/>
      <c r="IK16" s="233"/>
      <c r="IL16" s="233"/>
      <c r="IM16" s="233"/>
      <c r="IN16" s="233"/>
      <c r="IO16" s="233"/>
      <c r="IP16" s="233"/>
      <c r="IQ16" s="233"/>
      <c r="IR16" s="233"/>
      <c r="IS16" s="233"/>
      <c r="IT16" s="233"/>
    </row>
    <row r="17" spans="1:254" ht="21" thickTop="1" thickBot="1">
      <c r="A17" s="273" t="s">
        <v>409</v>
      </c>
      <c r="B17" s="274">
        <v>15</v>
      </c>
      <c r="C17" s="274">
        <v>6.1</v>
      </c>
      <c r="D17" s="274">
        <v>11.5</v>
      </c>
      <c r="E17" s="274">
        <v>14.2</v>
      </c>
      <c r="F17" s="274">
        <v>16</v>
      </c>
      <c r="G17" s="274">
        <v>19.899999999999999</v>
      </c>
      <c r="H17" s="274">
        <v>23.7</v>
      </c>
      <c r="I17" s="274">
        <v>29.7</v>
      </c>
      <c r="J17" s="274">
        <v>19</v>
      </c>
      <c r="K17" s="274">
        <v>23.6</v>
      </c>
      <c r="L17" s="274">
        <v>23.4</v>
      </c>
      <c r="M17" s="274">
        <v>24.3</v>
      </c>
      <c r="N17" s="274">
        <v>28.4</v>
      </c>
      <c r="O17" s="274">
        <v>30.5</v>
      </c>
      <c r="P17" s="275">
        <v>34.9</v>
      </c>
      <c r="Q17" s="275">
        <f t="shared" ref="Q17:AC17" si="1">SUM(Q13:Q16)</f>
        <v>36.1</v>
      </c>
      <c r="R17" s="275">
        <f t="shared" si="1"/>
        <v>35.4</v>
      </c>
      <c r="S17" s="275">
        <f t="shared" si="1"/>
        <v>35.900000000000006</v>
      </c>
      <c r="T17" s="275">
        <f t="shared" si="1"/>
        <v>36.380000000000003</v>
      </c>
      <c r="U17" s="275">
        <f t="shared" si="1"/>
        <v>38.9</v>
      </c>
      <c r="V17" s="275">
        <f t="shared" si="1"/>
        <v>37.6</v>
      </c>
      <c r="W17" s="275">
        <f t="shared" si="1"/>
        <v>42.5</v>
      </c>
      <c r="X17" s="275">
        <f t="shared" si="1"/>
        <v>50.910000000000004</v>
      </c>
      <c r="Y17" s="275">
        <f t="shared" si="1"/>
        <v>52.555</v>
      </c>
      <c r="Z17" s="275">
        <f t="shared" si="1"/>
        <v>57.199999999999996</v>
      </c>
      <c r="AA17" s="275">
        <f t="shared" si="1"/>
        <v>57.92</v>
      </c>
      <c r="AB17" s="276">
        <f t="shared" si="1"/>
        <v>60.650000000000006</v>
      </c>
      <c r="AC17" s="276">
        <f t="shared" si="1"/>
        <v>60.265000000000001</v>
      </c>
      <c r="AD17" s="276">
        <f t="shared" ref="AD17:AJ17" si="2">SUM(AD13:AD16)</f>
        <v>62.222499999999997</v>
      </c>
      <c r="AE17" s="276">
        <f t="shared" si="2"/>
        <v>64.27</v>
      </c>
      <c r="AF17" s="276">
        <f t="shared" si="2"/>
        <v>69.700987359999999</v>
      </c>
      <c r="AG17" s="276">
        <f t="shared" si="2"/>
        <v>74.265100779999997</v>
      </c>
      <c r="AH17" s="277">
        <f t="shared" si="2"/>
        <v>73.010000000000005</v>
      </c>
      <c r="AI17" s="277">
        <f t="shared" si="2"/>
        <v>78.5</v>
      </c>
      <c r="AJ17" s="277">
        <f t="shared" si="2"/>
        <v>90.3</v>
      </c>
      <c r="AK17" s="277">
        <f>SUM(AK13:AK16)</f>
        <v>84.865485499999991</v>
      </c>
      <c r="AL17" s="277">
        <f>SUM(AL13:AL16)</f>
        <v>88.185348320000003</v>
      </c>
      <c r="AM17" s="277">
        <f>SUM(AM13:AM16)</f>
        <v>85.2</v>
      </c>
      <c r="AN17" s="277">
        <v>89.876589085000006</v>
      </c>
      <c r="AO17" s="277">
        <v>89.905254220000003</v>
      </c>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33"/>
      <c r="CC17" s="233"/>
      <c r="CD17" s="233"/>
      <c r="CE17" s="233"/>
      <c r="CF17" s="233"/>
      <c r="CG17" s="233"/>
      <c r="CH17" s="233"/>
      <c r="CI17" s="233"/>
      <c r="CJ17" s="233"/>
      <c r="CK17" s="233"/>
      <c r="CL17" s="233"/>
      <c r="CM17" s="233"/>
      <c r="CN17" s="233"/>
      <c r="CO17" s="233"/>
      <c r="CP17" s="233"/>
      <c r="CQ17" s="233"/>
      <c r="CR17" s="233"/>
      <c r="CS17" s="233"/>
      <c r="CT17" s="233"/>
      <c r="CU17" s="233"/>
      <c r="CV17" s="233"/>
      <c r="CW17" s="233"/>
      <c r="CX17" s="233"/>
      <c r="CY17" s="233"/>
      <c r="CZ17" s="233"/>
      <c r="DA17" s="233"/>
      <c r="DB17" s="233"/>
      <c r="DC17" s="233"/>
      <c r="DD17" s="233"/>
      <c r="DE17" s="233"/>
      <c r="DF17" s="233"/>
      <c r="DG17" s="233"/>
      <c r="DH17" s="233"/>
      <c r="DI17" s="233"/>
      <c r="DJ17" s="233"/>
      <c r="DK17" s="233"/>
      <c r="DL17" s="233"/>
      <c r="DM17" s="233"/>
      <c r="DN17" s="233"/>
      <c r="DO17" s="233"/>
      <c r="DP17" s="233"/>
      <c r="DQ17" s="233"/>
      <c r="DR17" s="233"/>
      <c r="DS17" s="233"/>
      <c r="DT17" s="233"/>
      <c r="DU17" s="233"/>
      <c r="DV17" s="233"/>
      <c r="DW17" s="233"/>
      <c r="DX17" s="233"/>
      <c r="DY17" s="233"/>
      <c r="DZ17" s="233"/>
      <c r="EA17" s="233"/>
      <c r="EB17" s="233"/>
      <c r="EC17" s="233"/>
      <c r="ED17" s="233"/>
      <c r="EE17" s="233"/>
      <c r="EF17" s="233"/>
      <c r="EG17" s="233"/>
      <c r="EH17" s="233"/>
      <c r="EI17" s="233"/>
      <c r="EJ17" s="233"/>
      <c r="EK17" s="233"/>
      <c r="EL17" s="233"/>
      <c r="EM17" s="233"/>
      <c r="EN17" s="233"/>
      <c r="EO17" s="233"/>
      <c r="EP17" s="233"/>
      <c r="EQ17" s="233"/>
      <c r="ER17" s="233"/>
      <c r="ES17" s="233"/>
      <c r="ET17" s="233"/>
      <c r="EU17" s="233"/>
      <c r="EV17" s="233"/>
      <c r="EW17" s="233"/>
      <c r="EX17" s="233"/>
      <c r="EY17" s="233"/>
      <c r="EZ17" s="233"/>
      <c r="FA17" s="233"/>
      <c r="FB17" s="233"/>
      <c r="FC17" s="233"/>
      <c r="FD17" s="233"/>
      <c r="FE17" s="233"/>
      <c r="FF17" s="233"/>
      <c r="FG17" s="233"/>
      <c r="FH17" s="233"/>
      <c r="FI17" s="233"/>
      <c r="FJ17" s="233"/>
      <c r="FK17" s="233"/>
      <c r="FL17" s="233"/>
      <c r="FM17" s="233"/>
      <c r="FN17" s="233"/>
      <c r="FO17" s="233"/>
      <c r="FP17" s="233"/>
      <c r="FQ17" s="233"/>
      <c r="FR17" s="233"/>
      <c r="FS17" s="233"/>
      <c r="FT17" s="233"/>
      <c r="FU17" s="233"/>
      <c r="FV17" s="233"/>
      <c r="FW17" s="233"/>
      <c r="FX17" s="233"/>
      <c r="FY17" s="233"/>
      <c r="FZ17" s="233"/>
      <c r="GA17" s="233"/>
      <c r="GB17" s="233"/>
      <c r="GC17" s="233"/>
      <c r="GD17" s="233"/>
      <c r="GE17" s="233"/>
      <c r="GF17" s="233"/>
      <c r="GG17" s="233"/>
      <c r="GH17" s="233"/>
      <c r="GI17" s="233"/>
      <c r="GJ17" s="233"/>
      <c r="GK17" s="233"/>
      <c r="GL17" s="233"/>
      <c r="GM17" s="233"/>
      <c r="GN17" s="233"/>
      <c r="GO17" s="233"/>
      <c r="GP17" s="233"/>
      <c r="GQ17" s="233"/>
      <c r="GR17" s="233"/>
      <c r="GS17" s="233"/>
      <c r="GT17" s="233"/>
      <c r="GU17" s="233"/>
      <c r="GV17" s="233"/>
      <c r="GW17" s="233"/>
      <c r="GX17" s="233"/>
      <c r="GY17" s="233"/>
      <c r="GZ17" s="233"/>
      <c r="HA17" s="233"/>
      <c r="HB17" s="233"/>
      <c r="HC17" s="233"/>
      <c r="HD17" s="233"/>
      <c r="HE17" s="233"/>
      <c r="HF17" s="233"/>
      <c r="HG17" s="233"/>
      <c r="HH17" s="233"/>
      <c r="HI17" s="233"/>
      <c r="HJ17" s="233"/>
      <c r="HK17" s="233"/>
      <c r="HL17" s="233"/>
      <c r="HM17" s="233"/>
      <c r="HN17" s="233"/>
      <c r="HO17" s="233"/>
      <c r="HP17" s="233"/>
      <c r="HQ17" s="233"/>
      <c r="HR17" s="233"/>
      <c r="HS17" s="233"/>
      <c r="HT17" s="233"/>
      <c r="HU17" s="233"/>
      <c r="HV17" s="233"/>
      <c r="HW17" s="233"/>
      <c r="HX17" s="233"/>
      <c r="HY17" s="233"/>
      <c r="HZ17" s="233"/>
      <c r="IA17" s="233"/>
      <c r="IB17" s="233"/>
      <c r="IC17" s="233"/>
      <c r="ID17" s="233"/>
      <c r="IE17" s="233"/>
      <c r="IF17" s="233"/>
      <c r="IG17" s="233"/>
      <c r="IH17" s="233"/>
      <c r="II17" s="233"/>
      <c r="IJ17" s="233"/>
      <c r="IK17" s="233"/>
      <c r="IL17" s="233"/>
      <c r="IM17" s="233"/>
      <c r="IN17" s="233"/>
      <c r="IO17" s="233"/>
      <c r="IP17" s="233"/>
      <c r="IQ17" s="233"/>
      <c r="IR17" s="233"/>
      <c r="IS17" s="233"/>
      <c r="IT17" s="233"/>
    </row>
    <row r="18" spans="1:254" s="279" customFormat="1" ht="20.25" thickBot="1">
      <c r="A18" s="256" t="s">
        <v>410</v>
      </c>
      <c r="B18" s="257">
        <f t="shared" ref="B18:AH18" si="3">B9+B11+B17</f>
        <v>17.3</v>
      </c>
      <c r="C18" s="257">
        <f t="shared" si="3"/>
        <v>8.3999999999999986</v>
      </c>
      <c r="D18" s="257">
        <f t="shared" si="3"/>
        <v>16.100000000000001</v>
      </c>
      <c r="E18" s="257">
        <f t="shared" si="3"/>
        <v>23.299999999999997</v>
      </c>
      <c r="F18" s="257">
        <f t="shared" si="3"/>
        <v>35.6</v>
      </c>
      <c r="G18" s="257">
        <f t="shared" si="3"/>
        <v>35.799999999999997</v>
      </c>
      <c r="H18" s="257">
        <f t="shared" si="3"/>
        <v>43.3</v>
      </c>
      <c r="I18" s="257">
        <f t="shared" si="3"/>
        <v>51.9</v>
      </c>
      <c r="J18" s="257">
        <f t="shared" si="3"/>
        <v>37.799999999999997</v>
      </c>
      <c r="K18" s="257">
        <f t="shared" si="3"/>
        <v>46.6</v>
      </c>
      <c r="L18" s="257">
        <f t="shared" si="3"/>
        <v>56.199999999999996</v>
      </c>
      <c r="M18" s="257">
        <f t="shared" si="3"/>
        <v>57.3</v>
      </c>
      <c r="N18" s="257">
        <f t="shared" si="3"/>
        <v>95.4</v>
      </c>
      <c r="O18" s="257">
        <f t="shared" si="3"/>
        <v>80.099999999999994</v>
      </c>
      <c r="P18" s="257">
        <f t="shared" si="3"/>
        <v>90.8</v>
      </c>
      <c r="Q18" s="257">
        <f t="shared" si="3"/>
        <v>107.5</v>
      </c>
      <c r="R18" s="257">
        <f t="shared" si="3"/>
        <v>103.9</v>
      </c>
      <c r="S18" s="257">
        <f t="shared" si="3"/>
        <v>118.10000000000001</v>
      </c>
      <c r="T18" s="257">
        <f t="shared" si="3"/>
        <v>141.28</v>
      </c>
      <c r="U18" s="257">
        <f t="shared" si="3"/>
        <v>147.1</v>
      </c>
      <c r="V18" s="257">
        <f t="shared" si="3"/>
        <v>145.80000000000001</v>
      </c>
      <c r="W18" s="257">
        <f t="shared" si="3"/>
        <v>146.5</v>
      </c>
      <c r="X18" s="257">
        <f t="shared" si="3"/>
        <v>195.10999999999999</v>
      </c>
      <c r="Y18" s="257">
        <f t="shared" si="3"/>
        <v>199.755</v>
      </c>
      <c r="Z18" s="257">
        <f t="shared" si="3"/>
        <v>202.9</v>
      </c>
      <c r="AA18" s="257">
        <f t="shared" si="3"/>
        <v>193.73000000000002</v>
      </c>
      <c r="AB18" s="258">
        <f t="shared" si="3"/>
        <v>198.55</v>
      </c>
      <c r="AC18" s="258">
        <f t="shared" si="3"/>
        <v>199.74700000000001</v>
      </c>
      <c r="AD18" s="258">
        <f t="shared" si="3"/>
        <v>211.11993393999995</v>
      </c>
      <c r="AE18" s="258">
        <f t="shared" si="3"/>
        <v>242.12944282999996</v>
      </c>
      <c r="AF18" s="258">
        <f t="shared" si="3"/>
        <v>269.28320039000005</v>
      </c>
      <c r="AG18" s="258">
        <f t="shared" si="3"/>
        <v>295.31872501999993</v>
      </c>
      <c r="AH18" s="259">
        <f t="shared" si="3"/>
        <v>321.94</v>
      </c>
      <c r="AI18" s="278">
        <f>AI9+AI10+AI17</f>
        <v>317.7</v>
      </c>
      <c r="AJ18" s="278">
        <f>AJ9+AJ10+AJ17</f>
        <v>322.40148199999999</v>
      </c>
      <c r="AK18" s="278">
        <f>AK9+AK10+AK17</f>
        <v>343.16651961999997</v>
      </c>
      <c r="AL18" s="278">
        <f>AL9+AL10+AL17</f>
        <v>346.34075089999999</v>
      </c>
      <c r="AM18" s="278">
        <f>AM9+AM10+AM17</f>
        <v>339.9</v>
      </c>
      <c r="AN18" s="278">
        <v>348.64765680500011</v>
      </c>
      <c r="AO18" s="278">
        <v>330.29548194</v>
      </c>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233"/>
      <c r="CM18" s="233"/>
      <c r="CN18" s="233"/>
      <c r="CO18" s="233"/>
      <c r="CP18" s="233"/>
      <c r="CQ18" s="233"/>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c r="DX18" s="233"/>
      <c r="DY18" s="233"/>
      <c r="DZ18" s="233"/>
      <c r="EA18" s="233"/>
      <c r="EB18" s="233"/>
      <c r="EC18" s="233"/>
      <c r="ED18" s="233"/>
      <c r="EE18" s="233"/>
      <c r="EF18" s="233"/>
      <c r="EG18" s="233"/>
      <c r="EH18" s="233"/>
      <c r="EI18" s="233"/>
      <c r="EJ18" s="233"/>
      <c r="EK18" s="233"/>
      <c r="EL18" s="233"/>
      <c r="EM18" s="233"/>
      <c r="EN18" s="233"/>
      <c r="EO18" s="233"/>
      <c r="EP18" s="233"/>
      <c r="EQ18" s="233"/>
      <c r="ER18" s="233"/>
      <c r="ES18" s="233"/>
      <c r="ET18" s="233"/>
      <c r="EU18" s="233"/>
      <c r="EV18" s="233"/>
      <c r="EW18" s="233"/>
      <c r="EX18" s="233"/>
      <c r="EY18" s="233"/>
      <c r="EZ18" s="233"/>
      <c r="FA18" s="233"/>
      <c r="FB18" s="233"/>
      <c r="FC18" s="233"/>
      <c r="FD18" s="233"/>
      <c r="FE18" s="233"/>
      <c r="FF18" s="233"/>
      <c r="FG18" s="233"/>
      <c r="FH18" s="233"/>
      <c r="FI18" s="233"/>
      <c r="FJ18" s="233"/>
      <c r="FK18" s="233"/>
      <c r="FL18" s="233"/>
      <c r="FM18" s="233"/>
      <c r="FN18" s="233"/>
      <c r="FO18" s="233"/>
      <c r="FP18" s="233"/>
      <c r="FQ18" s="233"/>
      <c r="FR18" s="233"/>
      <c r="FS18" s="233"/>
      <c r="FT18" s="233"/>
      <c r="FU18" s="233"/>
      <c r="FV18" s="233"/>
      <c r="FW18" s="233"/>
      <c r="FX18" s="233"/>
      <c r="FY18" s="233"/>
      <c r="FZ18" s="233"/>
      <c r="GA18" s="233"/>
      <c r="GB18" s="233"/>
      <c r="GC18" s="233"/>
      <c r="GD18" s="233"/>
      <c r="GE18" s="233"/>
      <c r="GF18" s="233"/>
      <c r="GG18" s="233"/>
      <c r="GH18" s="233"/>
      <c r="GI18" s="233"/>
      <c r="GJ18" s="233"/>
      <c r="GK18" s="233"/>
      <c r="GL18" s="233"/>
      <c r="GM18" s="233"/>
      <c r="GN18" s="233"/>
      <c r="GO18" s="233"/>
      <c r="GP18" s="233"/>
      <c r="GQ18" s="233"/>
      <c r="GR18" s="233"/>
      <c r="GS18" s="233"/>
      <c r="GT18" s="233"/>
      <c r="GU18" s="233"/>
      <c r="GV18" s="233"/>
      <c r="GW18" s="233"/>
      <c r="GX18" s="233"/>
      <c r="GY18" s="233"/>
      <c r="GZ18" s="233"/>
      <c r="HA18" s="233"/>
      <c r="HB18" s="233"/>
      <c r="HC18" s="233"/>
      <c r="HD18" s="233"/>
      <c r="HE18" s="233"/>
      <c r="HF18" s="233"/>
      <c r="HG18" s="233"/>
      <c r="HH18" s="233"/>
      <c r="HI18" s="233"/>
      <c r="HJ18" s="233"/>
      <c r="HK18" s="233"/>
      <c r="HL18" s="233"/>
      <c r="HM18" s="233"/>
      <c r="HN18" s="233"/>
      <c r="HO18" s="233"/>
      <c r="HP18" s="233"/>
      <c r="HQ18" s="233"/>
      <c r="HR18" s="233"/>
      <c r="HS18" s="233"/>
      <c r="HT18" s="233"/>
      <c r="HU18" s="233"/>
      <c r="HV18" s="233"/>
      <c r="HW18" s="233"/>
      <c r="HX18" s="233"/>
      <c r="HY18" s="233"/>
      <c r="HZ18" s="233"/>
      <c r="IA18" s="233"/>
      <c r="IB18" s="233"/>
      <c r="IC18" s="233"/>
      <c r="ID18" s="233"/>
      <c r="IE18" s="233"/>
      <c r="IF18" s="233"/>
      <c r="IG18" s="233"/>
      <c r="IH18" s="233"/>
      <c r="II18" s="233"/>
      <c r="IJ18" s="233"/>
      <c r="IK18" s="233"/>
      <c r="IL18" s="233"/>
      <c r="IM18" s="233"/>
      <c r="IN18" s="233"/>
      <c r="IO18" s="233"/>
      <c r="IP18" s="233"/>
      <c r="IQ18" s="233"/>
      <c r="IR18" s="233"/>
      <c r="IS18" s="233"/>
      <c r="IT18" s="233"/>
    </row>
    <row r="19" spans="1:254" ht="21">
      <c r="A19" s="280" t="s">
        <v>411</v>
      </c>
      <c r="B19" s="261">
        <v>0</v>
      </c>
      <c r="C19" s="261">
        <v>0</v>
      </c>
      <c r="D19" s="261">
        <v>0</v>
      </c>
      <c r="E19" s="261">
        <v>0</v>
      </c>
      <c r="F19" s="261">
        <v>0</v>
      </c>
      <c r="G19" s="261">
        <v>0</v>
      </c>
      <c r="H19" s="261">
        <v>0</v>
      </c>
      <c r="I19" s="261">
        <v>0</v>
      </c>
      <c r="J19" s="261">
        <v>0</v>
      </c>
      <c r="K19" s="261">
        <v>0</v>
      </c>
      <c r="L19" s="261">
        <v>0</v>
      </c>
      <c r="M19" s="261">
        <v>0</v>
      </c>
      <c r="N19" s="261">
        <v>0</v>
      </c>
      <c r="O19" s="261">
        <v>0</v>
      </c>
      <c r="P19" s="262">
        <v>0</v>
      </c>
      <c r="Q19" s="262"/>
      <c r="R19" s="262"/>
      <c r="S19" s="262"/>
      <c r="T19" s="262"/>
      <c r="U19" s="262"/>
      <c r="V19" s="262"/>
      <c r="W19" s="262"/>
      <c r="X19" s="262"/>
      <c r="Y19" s="262"/>
      <c r="Z19" s="262"/>
      <c r="AA19" s="262"/>
      <c r="AB19" s="263"/>
      <c r="AC19" s="264"/>
      <c r="AD19" s="264"/>
      <c r="AE19" s="264"/>
      <c r="AF19" s="264"/>
      <c r="AG19" s="264"/>
      <c r="AH19" s="265"/>
      <c r="AI19" s="264"/>
      <c r="AJ19" s="264"/>
      <c r="AK19" s="264"/>
      <c r="AL19" s="264"/>
      <c r="AM19" s="264"/>
      <c r="AN19" s="264"/>
      <c r="AO19" s="264"/>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33"/>
      <c r="CC19" s="233"/>
      <c r="CD19" s="233"/>
      <c r="CE19" s="233"/>
      <c r="CF19" s="233"/>
      <c r="CG19" s="233"/>
      <c r="CH19" s="233"/>
      <c r="CI19" s="233"/>
      <c r="CJ19" s="233"/>
      <c r="CK19" s="233"/>
      <c r="CL19" s="233"/>
      <c r="CM19" s="233"/>
      <c r="CN19" s="233"/>
      <c r="CO19" s="233"/>
      <c r="CP19" s="233"/>
      <c r="CQ19" s="233"/>
      <c r="CR19" s="233"/>
      <c r="CS19" s="233"/>
      <c r="CT19" s="233"/>
      <c r="CU19" s="233"/>
      <c r="CV19" s="233"/>
      <c r="CW19" s="233"/>
      <c r="CX19" s="233"/>
      <c r="CY19" s="233"/>
      <c r="CZ19" s="233"/>
      <c r="DA19" s="233"/>
      <c r="DB19" s="233"/>
      <c r="DC19" s="233"/>
      <c r="DD19" s="233"/>
      <c r="DE19" s="233"/>
      <c r="DF19" s="233"/>
      <c r="DG19" s="233"/>
      <c r="DH19" s="233"/>
      <c r="DI19" s="233"/>
      <c r="DJ19" s="233"/>
      <c r="DK19" s="233"/>
      <c r="DL19" s="233"/>
      <c r="DM19" s="233"/>
      <c r="DN19" s="233"/>
      <c r="DO19" s="233"/>
      <c r="DP19" s="233"/>
      <c r="DQ19" s="233"/>
      <c r="DR19" s="233"/>
      <c r="DS19" s="233"/>
      <c r="DT19" s="233"/>
      <c r="DU19" s="233"/>
      <c r="DV19" s="233"/>
      <c r="DW19" s="233"/>
      <c r="DX19" s="233"/>
      <c r="DY19" s="233"/>
      <c r="DZ19" s="233"/>
      <c r="EA19" s="233"/>
      <c r="EB19" s="233"/>
      <c r="EC19" s="233"/>
      <c r="ED19" s="233"/>
      <c r="EE19" s="233"/>
      <c r="EF19" s="233"/>
      <c r="EG19" s="233"/>
      <c r="EH19" s="233"/>
      <c r="EI19" s="233"/>
      <c r="EJ19" s="233"/>
      <c r="EK19" s="233"/>
      <c r="EL19" s="233"/>
      <c r="EM19" s="233"/>
      <c r="EN19" s="233"/>
      <c r="EO19" s="233"/>
      <c r="EP19" s="233"/>
      <c r="EQ19" s="233"/>
      <c r="ER19" s="233"/>
      <c r="ES19" s="233"/>
      <c r="ET19" s="233"/>
      <c r="EU19" s="233"/>
      <c r="EV19" s="233"/>
      <c r="EW19" s="233"/>
      <c r="EX19" s="233"/>
      <c r="EY19" s="233"/>
      <c r="EZ19" s="233"/>
      <c r="FA19" s="233"/>
      <c r="FB19" s="233"/>
      <c r="FC19" s="233"/>
      <c r="FD19" s="233"/>
      <c r="FE19" s="233"/>
      <c r="FF19" s="233"/>
      <c r="FG19" s="233"/>
      <c r="FH19" s="233"/>
      <c r="FI19" s="233"/>
      <c r="FJ19" s="233"/>
      <c r="FK19" s="233"/>
      <c r="FL19" s="233"/>
      <c r="FM19" s="233"/>
      <c r="FN19" s="233"/>
      <c r="FO19" s="233"/>
      <c r="FP19" s="233"/>
      <c r="FQ19" s="233"/>
      <c r="FR19" s="233"/>
      <c r="FS19" s="233"/>
      <c r="FT19" s="233"/>
      <c r="FU19" s="233"/>
      <c r="FV19" s="233"/>
      <c r="FW19" s="233"/>
      <c r="FX19" s="233"/>
      <c r="FY19" s="233"/>
      <c r="FZ19" s="233"/>
      <c r="GA19" s="233"/>
      <c r="GB19" s="233"/>
      <c r="GC19" s="233"/>
      <c r="GD19" s="233"/>
      <c r="GE19" s="233"/>
      <c r="GF19" s="233"/>
      <c r="GG19" s="233"/>
      <c r="GH19" s="233"/>
      <c r="GI19" s="233"/>
      <c r="GJ19" s="233"/>
      <c r="GK19" s="233"/>
      <c r="GL19" s="233"/>
      <c r="GM19" s="233"/>
      <c r="GN19" s="233"/>
      <c r="GO19" s="233"/>
      <c r="GP19" s="233"/>
      <c r="GQ19" s="233"/>
      <c r="GR19" s="233"/>
      <c r="GS19" s="233"/>
      <c r="GT19" s="233"/>
      <c r="GU19" s="233"/>
      <c r="GV19" s="233"/>
      <c r="GW19" s="233"/>
      <c r="GX19" s="233"/>
      <c r="GY19" s="233"/>
      <c r="GZ19" s="233"/>
      <c r="HA19" s="233"/>
      <c r="HB19" s="233"/>
      <c r="HC19" s="233"/>
      <c r="HD19" s="233"/>
      <c r="HE19" s="233"/>
      <c r="HF19" s="233"/>
      <c r="HG19" s="233"/>
      <c r="HH19" s="233"/>
      <c r="HI19" s="233"/>
      <c r="HJ19" s="233"/>
      <c r="HK19" s="233"/>
      <c r="HL19" s="233"/>
      <c r="HM19" s="233"/>
      <c r="HN19" s="233"/>
      <c r="HO19" s="233"/>
      <c r="HP19" s="233"/>
      <c r="HQ19" s="233"/>
      <c r="HR19" s="233"/>
      <c r="HS19" s="233"/>
      <c r="HT19" s="233"/>
      <c r="HU19" s="233"/>
      <c r="HV19" s="233"/>
      <c r="HW19" s="233"/>
      <c r="HX19" s="233"/>
      <c r="HY19" s="233"/>
      <c r="HZ19" s="233"/>
      <c r="IA19" s="233"/>
      <c r="IB19" s="233"/>
      <c r="IC19" s="233"/>
      <c r="ID19" s="233"/>
      <c r="IE19" s="233"/>
      <c r="IF19" s="233"/>
      <c r="IG19" s="233"/>
      <c r="IH19" s="233"/>
      <c r="II19" s="233"/>
      <c r="IJ19" s="233"/>
      <c r="IK19" s="233"/>
      <c r="IL19" s="233"/>
      <c r="IM19" s="233"/>
      <c r="IN19" s="233"/>
      <c r="IO19" s="233"/>
      <c r="IP19" s="233"/>
      <c r="IQ19" s="233"/>
      <c r="IR19" s="233"/>
      <c r="IS19" s="233"/>
      <c r="IT19" s="233"/>
    </row>
    <row r="20" spans="1:254">
      <c r="A20" s="281" t="s">
        <v>412</v>
      </c>
      <c r="B20" s="242">
        <v>15</v>
      </c>
      <c r="C20" s="242">
        <v>6.4</v>
      </c>
      <c r="D20" s="242">
        <v>9.1999999999999993</v>
      </c>
      <c r="E20" s="242">
        <v>12.1</v>
      </c>
      <c r="F20" s="242">
        <v>12.7</v>
      </c>
      <c r="G20" s="242">
        <v>15.3</v>
      </c>
      <c r="H20" s="242">
        <v>17.100000000000001</v>
      </c>
      <c r="I20" s="242">
        <v>22.2</v>
      </c>
      <c r="J20" s="242">
        <v>24.3</v>
      </c>
      <c r="K20" s="242">
        <v>24.5</v>
      </c>
      <c r="L20" s="242">
        <v>26</v>
      </c>
      <c r="M20" s="242">
        <v>29.2</v>
      </c>
      <c r="N20" s="242">
        <v>31.4</v>
      </c>
      <c r="O20" s="242">
        <v>40.6</v>
      </c>
      <c r="P20" s="244">
        <v>46.1</v>
      </c>
      <c r="Q20" s="244">
        <v>44.9</v>
      </c>
      <c r="R20" s="244">
        <v>51.1</v>
      </c>
      <c r="S20" s="244">
        <v>52.4</v>
      </c>
      <c r="T20" s="244">
        <v>48.9</v>
      </c>
      <c r="U20" s="244">
        <v>49.4</v>
      </c>
      <c r="V20" s="244">
        <v>48.4</v>
      </c>
      <c r="W20" s="244">
        <v>49.1</v>
      </c>
      <c r="X20" s="244">
        <v>48.5</v>
      </c>
      <c r="Y20" s="244">
        <v>49.9</v>
      </c>
      <c r="Z20" s="244">
        <v>53.3</v>
      </c>
      <c r="AA20" s="244">
        <v>56.4</v>
      </c>
      <c r="AB20" s="245">
        <v>53.4</v>
      </c>
      <c r="AC20" s="246">
        <v>76.009</v>
      </c>
      <c r="AD20" s="246">
        <v>76.900000000000006</v>
      </c>
      <c r="AE20" s="246">
        <v>78.7</v>
      </c>
      <c r="AF20" s="246">
        <v>80.530576881176245</v>
      </c>
      <c r="AG20" s="246">
        <v>79.209488511332921</v>
      </c>
      <c r="AH20" s="247">
        <v>80.599999999999994</v>
      </c>
      <c r="AI20" s="248">
        <v>89.1</v>
      </c>
      <c r="AJ20" s="248">
        <v>83.4</v>
      </c>
      <c r="AK20" s="248">
        <v>89.190742819737665</v>
      </c>
      <c r="AL20" s="248">
        <v>85.597791098136184</v>
      </c>
      <c r="AM20" s="248">
        <v>58.6</v>
      </c>
      <c r="AN20" s="248">
        <v>40.96293249063028</v>
      </c>
      <c r="AO20" s="248">
        <v>39.749498006875612</v>
      </c>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233"/>
      <c r="DH20" s="233"/>
      <c r="DI20" s="233"/>
      <c r="DJ20" s="233"/>
      <c r="DK20" s="233"/>
      <c r="DL20" s="233"/>
      <c r="DM20" s="233"/>
      <c r="DN20" s="233"/>
      <c r="DO20" s="233"/>
      <c r="DP20" s="233"/>
      <c r="DQ20" s="233"/>
      <c r="DR20" s="233"/>
      <c r="DS20" s="233"/>
      <c r="DT20" s="233"/>
      <c r="DU20" s="233"/>
      <c r="DV20" s="233"/>
      <c r="DW20" s="233"/>
      <c r="DX20" s="233"/>
      <c r="DY20" s="233"/>
      <c r="DZ20" s="233"/>
      <c r="EA20" s="233"/>
      <c r="EB20" s="233"/>
      <c r="EC20" s="233"/>
      <c r="ED20" s="233"/>
      <c r="EE20" s="233"/>
      <c r="EF20" s="233"/>
      <c r="EG20" s="233"/>
      <c r="EH20" s="233"/>
      <c r="EI20" s="233"/>
      <c r="EJ20" s="233"/>
      <c r="EK20" s="233"/>
      <c r="EL20" s="233"/>
      <c r="EM20" s="233"/>
      <c r="EN20" s="233"/>
      <c r="EO20" s="233"/>
      <c r="EP20" s="233"/>
      <c r="EQ20" s="233"/>
      <c r="ER20" s="233"/>
      <c r="ES20" s="233"/>
      <c r="ET20" s="233"/>
      <c r="EU20" s="233"/>
      <c r="EV20" s="233"/>
      <c r="EW20" s="233"/>
      <c r="EX20" s="233"/>
      <c r="EY20" s="233"/>
      <c r="EZ20" s="233"/>
      <c r="FA20" s="233"/>
      <c r="FB20" s="233"/>
      <c r="FC20" s="233"/>
      <c r="FD20" s="233"/>
      <c r="FE20" s="233"/>
      <c r="FF20" s="233"/>
      <c r="FG20" s="233"/>
      <c r="FH20" s="233"/>
      <c r="FI20" s="233"/>
      <c r="FJ20" s="233"/>
      <c r="FK20" s="233"/>
      <c r="FL20" s="233"/>
      <c r="FM20" s="233"/>
      <c r="FN20" s="233"/>
      <c r="FO20" s="233"/>
      <c r="FP20" s="233"/>
      <c r="FQ20" s="233"/>
      <c r="FR20" s="233"/>
      <c r="FS20" s="233"/>
      <c r="FT20" s="233"/>
      <c r="FU20" s="233"/>
      <c r="FV20" s="233"/>
      <c r="FW20" s="233"/>
      <c r="FX20" s="233"/>
      <c r="FY20" s="233"/>
      <c r="FZ20" s="233"/>
      <c r="GA20" s="233"/>
      <c r="GB20" s="233"/>
      <c r="GC20" s="233"/>
      <c r="GD20" s="233"/>
      <c r="GE20" s="233"/>
      <c r="GF20" s="233"/>
      <c r="GG20" s="233"/>
      <c r="GH20" s="233"/>
      <c r="GI20" s="233"/>
      <c r="GJ20" s="233"/>
      <c r="GK20" s="233"/>
      <c r="GL20" s="233"/>
      <c r="GM20" s="233"/>
      <c r="GN20" s="233"/>
      <c r="GO20" s="233"/>
      <c r="GP20" s="233"/>
      <c r="GQ20" s="233"/>
      <c r="GR20" s="233"/>
      <c r="GS20" s="233"/>
      <c r="GT20" s="233"/>
      <c r="GU20" s="233"/>
      <c r="GV20" s="233"/>
      <c r="GW20" s="233"/>
      <c r="GX20" s="233"/>
      <c r="GY20" s="233"/>
      <c r="GZ20" s="233"/>
      <c r="HA20" s="233"/>
      <c r="HB20" s="233"/>
      <c r="HC20" s="233"/>
      <c r="HD20" s="233"/>
      <c r="HE20" s="233"/>
      <c r="HF20" s="233"/>
      <c r="HG20" s="233"/>
      <c r="HH20" s="233"/>
      <c r="HI20" s="233"/>
      <c r="HJ20" s="233"/>
      <c r="HK20" s="233"/>
      <c r="HL20" s="233"/>
      <c r="HM20" s="233"/>
      <c r="HN20" s="233"/>
      <c r="HO20" s="233"/>
      <c r="HP20" s="233"/>
      <c r="HQ20" s="233"/>
      <c r="HR20" s="233"/>
      <c r="HS20" s="233"/>
      <c r="HT20" s="233"/>
      <c r="HU20" s="233"/>
      <c r="HV20" s="233"/>
      <c r="HW20" s="233"/>
      <c r="HX20" s="233"/>
      <c r="HY20" s="233"/>
      <c r="HZ20" s="233"/>
      <c r="IA20" s="233"/>
      <c r="IB20" s="233"/>
      <c r="IC20" s="233"/>
      <c r="ID20" s="233"/>
      <c r="IE20" s="233"/>
      <c r="IF20" s="233"/>
      <c r="IG20" s="233"/>
      <c r="IH20" s="233"/>
      <c r="II20" s="233"/>
      <c r="IJ20" s="233"/>
      <c r="IK20" s="233"/>
      <c r="IL20" s="233"/>
      <c r="IM20" s="233"/>
      <c r="IN20" s="233"/>
      <c r="IO20" s="233"/>
      <c r="IP20" s="233"/>
      <c r="IQ20" s="233"/>
      <c r="IR20" s="233"/>
      <c r="IS20" s="233"/>
      <c r="IT20" s="233"/>
    </row>
    <row r="21" spans="1:254">
      <c r="A21" s="281" t="s">
        <v>413</v>
      </c>
      <c r="B21" s="242">
        <v>0</v>
      </c>
      <c r="C21" s="242">
        <v>0</v>
      </c>
      <c r="D21" s="242">
        <v>0</v>
      </c>
      <c r="E21" s="242">
        <v>0</v>
      </c>
      <c r="F21" s="242">
        <v>0</v>
      </c>
      <c r="G21" s="242">
        <v>0.1</v>
      </c>
      <c r="H21" s="242">
        <v>0.5</v>
      </c>
      <c r="I21" s="242">
        <v>0.8</v>
      </c>
      <c r="J21" s="242">
        <v>1.1000000000000001</v>
      </c>
      <c r="K21" s="242">
        <v>1.7</v>
      </c>
      <c r="L21" s="242">
        <v>2.4</v>
      </c>
      <c r="M21" s="242">
        <v>3.6</v>
      </c>
      <c r="N21" s="242">
        <v>4.8</v>
      </c>
      <c r="O21" s="242">
        <v>5.5</v>
      </c>
      <c r="P21" s="244">
        <v>6.8</v>
      </c>
      <c r="Q21" s="244">
        <v>8.5</v>
      </c>
      <c r="R21" s="244">
        <v>10.6</v>
      </c>
      <c r="S21" s="244">
        <v>12.4</v>
      </c>
      <c r="T21" s="244">
        <v>14.1</v>
      </c>
      <c r="U21" s="244">
        <v>15.3</v>
      </c>
      <c r="V21" s="244">
        <v>16.100000000000001</v>
      </c>
      <c r="W21" s="244">
        <v>16.8</v>
      </c>
      <c r="X21" s="244">
        <v>17.2</v>
      </c>
      <c r="Y21" s="244">
        <v>17.399999999999999</v>
      </c>
      <c r="Z21" s="244">
        <v>17.5</v>
      </c>
      <c r="AA21" s="244">
        <v>17.399999999999999</v>
      </c>
      <c r="AB21" s="245">
        <v>17.399999999999999</v>
      </c>
      <c r="AC21" s="246">
        <v>22.885000000000002</v>
      </c>
      <c r="AD21" s="246">
        <v>24.4</v>
      </c>
      <c r="AE21" s="246">
        <v>24.6</v>
      </c>
      <c r="AF21" s="246">
        <v>24.957999999999998</v>
      </c>
      <c r="AG21" s="246">
        <v>28.347999999999999</v>
      </c>
      <c r="AH21" s="247">
        <v>30.2</v>
      </c>
      <c r="AI21" s="248">
        <v>35.700000000000003</v>
      </c>
      <c r="AJ21" s="248">
        <v>38.700000000000003</v>
      </c>
      <c r="AK21" s="248">
        <v>41.33590118</v>
      </c>
      <c r="AL21" s="248">
        <v>42.480182859999999</v>
      </c>
      <c r="AM21" s="248">
        <v>42.5</v>
      </c>
      <c r="AN21" s="248">
        <v>43.360067620000002</v>
      </c>
      <c r="AO21" s="248">
        <v>45.052117350000003</v>
      </c>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33"/>
      <c r="CC21" s="233"/>
      <c r="CD21" s="233"/>
      <c r="CE21" s="233"/>
      <c r="CF21" s="233"/>
      <c r="CG21" s="233"/>
      <c r="CH21" s="233"/>
      <c r="CI21" s="233"/>
      <c r="CJ21" s="233"/>
      <c r="CK21" s="233"/>
      <c r="CL21" s="233"/>
      <c r="CM21" s="233"/>
      <c r="CN21" s="233"/>
      <c r="CO21" s="233"/>
      <c r="CP21" s="233"/>
      <c r="CQ21" s="233"/>
      <c r="CR21" s="233"/>
      <c r="CS21" s="233"/>
      <c r="CT21" s="233"/>
      <c r="CU21" s="233"/>
      <c r="CV21" s="233"/>
      <c r="CW21" s="233"/>
      <c r="CX21" s="233"/>
      <c r="CY21" s="233"/>
      <c r="CZ21" s="233"/>
      <c r="DA21" s="233"/>
      <c r="DB21" s="233"/>
      <c r="DC21" s="233"/>
      <c r="DD21" s="233"/>
      <c r="DE21" s="233"/>
      <c r="DF21" s="233"/>
      <c r="DG21" s="233"/>
      <c r="DH21" s="233"/>
      <c r="DI21" s="233"/>
      <c r="DJ21" s="233"/>
      <c r="DK21" s="233"/>
      <c r="DL21" s="233"/>
      <c r="DM21" s="233"/>
      <c r="DN21" s="233"/>
      <c r="DO21" s="233"/>
      <c r="DP21" s="233"/>
      <c r="DQ21" s="233"/>
      <c r="DR21" s="233"/>
      <c r="DS21" s="233"/>
      <c r="DT21" s="233"/>
      <c r="DU21" s="233"/>
      <c r="DV21" s="233"/>
      <c r="DW21" s="233"/>
      <c r="DX21" s="233"/>
      <c r="DY21" s="233"/>
      <c r="DZ21" s="233"/>
      <c r="EA21" s="233"/>
      <c r="EB21" s="233"/>
      <c r="EC21" s="233"/>
      <c r="ED21" s="233"/>
      <c r="EE21" s="233"/>
      <c r="EF21" s="233"/>
      <c r="EG21" s="233"/>
      <c r="EH21" s="233"/>
      <c r="EI21" s="233"/>
      <c r="EJ21" s="233"/>
      <c r="EK21" s="233"/>
      <c r="EL21" s="233"/>
      <c r="EM21" s="233"/>
      <c r="EN21" s="233"/>
      <c r="EO21" s="233"/>
      <c r="EP21" s="233"/>
      <c r="EQ21" s="233"/>
      <c r="ER21" s="233"/>
      <c r="ES21" s="233"/>
      <c r="ET21" s="233"/>
      <c r="EU21" s="233"/>
      <c r="EV21" s="233"/>
      <c r="EW21" s="233"/>
      <c r="EX21" s="233"/>
      <c r="EY21" s="233"/>
      <c r="EZ21" s="233"/>
      <c r="FA21" s="233"/>
      <c r="FB21" s="233"/>
      <c r="FC21" s="233"/>
      <c r="FD21" s="233"/>
      <c r="FE21" s="233"/>
      <c r="FF21" s="233"/>
      <c r="FG21" s="233"/>
      <c r="FH21" s="233"/>
      <c r="FI21" s="233"/>
      <c r="FJ21" s="233"/>
      <c r="FK21" s="233"/>
      <c r="FL21" s="233"/>
      <c r="FM21" s="233"/>
      <c r="FN21" s="233"/>
      <c r="FO21" s="233"/>
      <c r="FP21" s="233"/>
      <c r="FQ21" s="233"/>
      <c r="FR21" s="233"/>
      <c r="FS21" s="233"/>
      <c r="FT21" s="233"/>
      <c r="FU21" s="233"/>
      <c r="FV21" s="233"/>
      <c r="FW21" s="233"/>
      <c r="FX21" s="233"/>
      <c r="FY21" s="233"/>
      <c r="FZ21" s="233"/>
      <c r="GA21" s="233"/>
      <c r="GB21" s="233"/>
      <c r="GC21" s="233"/>
      <c r="GD21" s="233"/>
      <c r="GE21" s="233"/>
      <c r="GF21" s="233"/>
      <c r="GG21" s="233"/>
      <c r="GH21" s="233"/>
      <c r="GI21" s="233"/>
      <c r="GJ21" s="233"/>
      <c r="GK21" s="233"/>
      <c r="GL21" s="233"/>
      <c r="GM21" s="233"/>
      <c r="GN21" s="233"/>
      <c r="GO21" s="233"/>
      <c r="GP21" s="233"/>
      <c r="GQ21" s="233"/>
      <c r="GR21" s="233"/>
      <c r="GS21" s="233"/>
      <c r="GT21" s="233"/>
      <c r="GU21" s="233"/>
      <c r="GV21" s="233"/>
      <c r="GW21" s="233"/>
      <c r="GX21" s="233"/>
      <c r="GY21" s="233"/>
      <c r="GZ21" s="233"/>
      <c r="HA21" s="233"/>
      <c r="HB21" s="233"/>
      <c r="HC21" s="233"/>
      <c r="HD21" s="233"/>
      <c r="HE21" s="233"/>
      <c r="HF21" s="233"/>
      <c r="HG21" s="233"/>
      <c r="HH21" s="233"/>
      <c r="HI21" s="233"/>
      <c r="HJ21" s="233"/>
      <c r="HK21" s="233"/>
      <c r="HL21" s="233"/>
      <c r="HM21" s="233"/>
      <c r="HN21" s="233"/>
      <c r="HO21" s="233"/>
      <c r="HP21" s="233"/>
      <c r="HQ21" s="233"/>
      <c r="HR21" s="233"/>
      <c r="HS21" s="233"/>
      <c r="HT21" s="233"/>
      <c r="HU21" s="233"/>
      <c r="HV21" s="233"/>
      <c r="HW21" s="233"/>
      <c r="HX21" s="233"/>
      <c r="HY21" s="233"/>
      <c r="HZ21" s="233"/>
      <c r="IA21" s="233"/>
      <c r="IB21" s="233"/>
      <c r="IC21" s="233"/>
      <c r="ID21" s="233"/>
      <c r="IE21" s="233"/>
      <c r="IF21" s="233"/>
      <c r="IG21" s="233"/>
      <c r="IH21" s="233"/>
      <c r="II21" s="233"/>
      <c r="IJ21" s="233"/>
      <c r="IK21" s="233"/>
      <c r="IL21" s="233"/>
      <c r="IM21" s="233"/>
      <c r="IN21" s="233"/>
      <c r="IO21" s="233"/>
      <c r="IP21" s="233"/>
      <c r="IQ21" s="233"/>
      <c r="IR21" s="233"/>
      <c r="IS21" s="233"/>
      <c r="IT21" s="233"/>
    </row>
    <row r="22" spans="1:254">
      <c r="A22" s="282" t="s">
        <v>414</v>
      </c>
      <c r="B22" s="251">
        <v>9</v>
      </c>
      <c r="C22" s="251">
        <v>2.4</v>
      </c>
      <c r="D22" s="251">
        <v>3.2</v>
      </c>
      <c r="E22" s="251">
        <v>3.8</v>
      </c>
      <c r="F22" s="251">
        <v>3.9</v>
      </c>
      <c r="G22" s="251">
        <v>4.3</v>
      </c>
      <c r="H22" s="251">
        <v>4.5</v>
      </c>
      <c r="I22" s="251">
        <v>5.5</v>
      </c>
      <c r="J22" s="251">
        <v>5.6</v>
      </c>
      <c r="K22" s="251">
        <v>5.7</v>
      </c>
      <c r="L22" s="251">
        <v>5.9</v>
      </c>
      <c r="M22" s="251">
        <v>5.4</v>
      </c>
      <c r="N22" s="251">
        <v>5.7</v>
      </c>
      <c r="O22" s="251">
        <v>7.5</v>
      </c>
      <c r="P22" s="250">
        <v>8.4</v>
      </c>
      <c r="Q22" s="250">
        <v>10.199999999999999</v>
      </c>
      <c r="R22" s="250">
        <v>11.4</v>
      </c>
      <c r="S22" s="250">
        <v>11.5</v>
      </c>
      <c r="T22" s="250">
        <v>11.1</v>
      </c>
      <c r="U22" s="250">
        <v>11.4</v>
      </c>
      <c r="V22" s="250">
        <v>11.8</v>
      </c>
      <c r="W22" s="250">
        <v>12.3</v>
      </c>
      <c r="X22" s="250">
        <v>12.5</v>
      </c>
      <c r="Y22" s="250">
        <v>13.2</v>
      </c>
      <c r="Z22" s="250">
        <v>14.6</v>
      </c>
      <c r="AA22" s="250">
        <v>15.9</v>
      </c>
      <c r="AB22" s="245">
        <v>16.7</v>
      </c>
      <c r="AC22" s="246">
        <v>14.016</v>
      </c>
      <c r="AD22" s="246">
        <v>14.9</v>
      </c>
      <c r="AE22" s="246">
        <v>16.7</v>
      </c>
      <c r="AF22" s="246">
        <v>18.027533333333334</v>
      </c>
      <c r="AG22" s="246">
        <v>19.615093333333334</v>
      </c>
      <c r="AH22" s="247">
        <v>20.7</v>
      </c>
      <c r="AI22" s="248">
        <v>18.600000000000001</v>
      </c>
      <c r="AJ22" s="248">
        <v>19.2</v>
      </c>
      <c r="AK22" s="248">
        <v>20.052135293333333</v>
      </c>
      <c r="AL22" s="248">
        <v>20.139013176666666</v>
      </c>
      <c r="AM22" s="248">
        <v>20.3</v>
      </c>
      <c r="AN22" s="248">
        <v>20.750098586666667</v>
      </c>
      <c r="AO22" s="248">
        <v>21.025147253333333</v>
      </c>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33"/>
      <c r="CC22" s="233"/>
      <c r="CD22" s="233"/>
      <c r="CE22" s="233"/>
      <c r="CF22" s="233"/>
      <c r="CG22" s="233"/>
      <c r="CH22" s="233"/>
      <c r="CI22" s="233"/>
      <c r="CJ22" s="233"/>
      <c r="CK22" s="233"/>
      <c r="CL22" s="233"/>
      <c r="CM22" s="233"/>
      <c r="CN22" s="233"/>
      <c r="CO22" s="233"/>
      <c r="CP22" s="233"/>
      <c r="CQ22" s="233"/>
      <c r="CR22" s="233"/>
      <c r="CS22" s="233"/>
      <c r="CT22" s="233"/>
      <c r="CU22" s="233"/>
      <c r="CV22" s="233"/>
      <c r="CW22" s="233"/>
      <c r="CX22" s="233"/>
      <c r="CY22" s="233"/>
      <c r="CZ22" s="233"/>
      <c r="DA22" s="233"/>
      <c r="DB22" s="233"/>
      <c r="DC22" s="233"/>
      <c r="DD22" s="233"/>
      <c r="DE22" s="233"/>
      <c r="DF22" s="233"/>
      <c r="DG22" s="233"/>
      <c r="DH22" s="233"/>
      <c r="DI22" s="233"/>
      <c r="DJ22" s="233"/>
      <c r="DK22" s="233"/>
      <c r="DL22" s="233"/>
      <c r="DM22" s="233"/>
      <c r="DN22" s="233"/>
      <c r="DO22" s="233"/>
      <c r="DP22" s="233"/>
      <c r="DQ22" s="233"/>
      <c r="DR22" s="233"/>
      <c r="DS22" s="233"/>
      <c r="DT22" s="233"/>
      <c r="DU22" s="233"/>
      <c r="DV22" s="233"/>
      <c r="DW22" s="233"/>
      <c r="DX22" s="233"/>
      <c r="DY22" s="233"/>
      <c r="DZ22" s="233"/>
      <c r="EA22" s="233"/>
      <c r="EB22" s="233"/>
      <c r="EC22" s="233"/>
      <c r="ED22" s="233"/>
      <c r="EE22" s="233"/>
      <c r="EF22" s="233"/>
      <c r="EG22" s="233"/>
      <c r="EH22" s="233"/>
      <c r="EI22" s="233"/>
      <c r="EJ22" s="233"/>
      <c r="EK22" s="233"/>
      <c r="EL22" s="233"/>
      <c r="EM22" s="233"/>
      <c r="EN22" s="233"/>
      <c r="EO22" s="233"/>
      <c r="EP22" s="233"/>
      <c r="EQ22" s="233"/>
      <c r="ER22" s="233"/>
      <c r="ES22" s="233"/>
      <c r="ET22" s="233"/>
      <c r="EU22" s="233"/>
      <c r="EV22" s="233"/>
      <c r="EW22" s="233"/>
      <c r="EX22" s="233"/>
      <c r="EY22" s="233"/>
      <c r="EZ22" s="233"/>
      <c r="FA22" s="233"/>
      <c r="FB22" s="233"/>
      <c r="FC22" s="233"/>
      <c r="FD22" s="233"/>
      <c r="FE22" s="233"/>
      <c r="FF22" s="233"/>
      <c r="FG22" s="233"/>
      <c r="FH22" s="233"/>
      <c r="FI22" s="233"/>
      <c r="FJ22" s="233"/>
      <c r="FK22" s="233"/>
      <c r="FL22" s="233"/>
      <c r="FM22" s="233"/>
      <c r="FN22" s="233"/>
      <c r="FO22" s="233"/>
      <c r="FP22" s="233"/>
      <c r="FQ22" s="233"/>
      <c r="FR22" s="233"/>
      <c r="FS22" s="233"/>
      <c r="FT22" s="233"/>
      <c r="FU22" s="233"/>
      <c r="FV22" s="233"/>
      <c r="FW22" s="233"/>
      <c r="FX22" s="233"/>
      <c r="FY22" s="233"/>
      <c r="FZ22" s="233"/>
      <c r="GA22" s="233"/>
      <c r="GB22" s="233"/>
      <c r="GC22" s="233"/>
      <c r="GD22" s="233"/>
      <c r="GE22" s="233"/>
      <c r="GF22" s="233"/>
      <c r="GG22" s="233"/>
      <c r="GH22" s="233"/>
      <c r="GI22" s="233"/>
      <c r="GJ22" s="233"/>
      <c r="GK22" s="233"/>
      <c r="GL22" s="233"/>
      <c r="GM22" s="233"/>
      <c r="GN22" s="233"/>
      <c r="GO22" s="233"/>
      <c r="GP22" s="233"/>
      <c r="GQ22" s="233"/>
      <c r="GR22" s="233"/>
      <c r="GS22" s="233"/>
      <c r="GT22" s="233"/>
      <c r="GU22" s="233"/>
      <c r="GV22" s="233"/>
      <c r="GW22" s="233"/>
      <c r="GX22" s="233"/>
      <c r="GY22" s="233"/>
      <c r="GZ22" s="233"/>
      <c r="HA22" s="233"/>
      <c r="HB22" s="233"/>
      <c r="HC22" s="233"/>
      <c r="HD22" s="233"/>
      <c r="HE22" s="233"/>
      <c r="HF22" s="233"/>
      <c r="HG22" s="233"/>
      <c r="HH22" s="233"/>
      <c r="HI22" s="233"/>
      <c r="HJ22" s="233"/>
      <c r="HK22" s="233"/>
      <c r="HL22" s="233"/>
      <c r="HM22" s="233"/>
      <c r="HN22" s="233"/>
      <c r="HO22" s="233"/>
      <c r="HP22" s="233"/>
      <c r="HQ22" s="233"/>
      <c r="HR22" s="233"/>
      <c r="HS22" s="233"/>
      <c r="HT22" s="233"/>
      <c r="HU22" s="233"/>
      <c r="HV22" s="233"/>
      <c r="HW22" s="233"/>
      <c r="HX22" s="233"/>
      <c r="HY22" s="233"/>
      <c r="HZ22" s="233"/>
      <c r="IA22" s="233"/>
      <c r="IB22" s="233"/>
      <c r="IC22" s="233"/>
      <c r="ID22" s="233"/>
      <c r="IE22" s="233"/>
      <c r="IF22" s="233"/>
      <c r="IG22" s="233"/>
      <c r="IH22" s="233"/>
      <c r="II22" s="233"/>
      <c r="IJ22" s="233"/>
      <c r="IK22" s="233"/>
      <c r="IL22" s="233"/>
      <c r="IM22" s="233"/>
      <c r="IN22" s="233"/>
      <c r="IO22" s="233"/>
      <c r="IP22" s="233"/>
      <c r="IQ22" s="233"/>
      <c r="IR22" s="233"/>
      <c r="IS22" s="233"/>
      <c r="IT22" s="233"/>
    </row>
    <row r="23" spans="1:254" s="260" customFormat="1" ht="20.25" thickBot="1">
      <c r="A23" s="283" t="s">
        <v>415</v>
      </c>
      <c r="B23" s="284">
        <f t="shared" ref="B23:AH23" si="4">SUM(B20:B22)</f>
        <v>24</v>
      </c>
      <c r="C23" s="284">
        <f t="shared" si="4"/>
        <v>8.8000000000000007</v>
      </c>
      <c r="D23" s="284">
        <f t="shared" si="4"/>
        <v>12.399999999999999</v>
      </c>
      <c r="E23" s="284">
        <f t="shared" si="4"/>
        <v>15.899999999999999</v>
      </c>
      <c r="F23" s="284">
        <f t="shared" si="4"/>
        <v>16.599999999999998</v>
      </c>
      <c r="G23" s="284">
        <f t="shared" si="4"/>
        <v>19.7</v>
      </c>
      <c r="H23" s="284">
        <f t="shared" si="4"/>
        <v>22.1</v>
      </c>
      <c r="I23" s="284">
        <f t="shared" si="4"/>
        <v>28.5</v>
      </c>
      <c r="J23" s="284">
        <f t="shared" si="4"/>
        <v>31</v>
      </c>
      <c r="K23" s="284">
        <f t="shared" si="4"/>
        <v>31.9</v>
      </c>
      <c r="L23" s="284">
        <f t="shared" si="4"/>
        <v>34.299999999999997</v>
      </c>
      <c r="M23" s="284">
        <f t="shared" si="4"/>
        <v>38.199999999999996</v>
      </c>
      <c r="N23" s="284">
        <f t="shared" si="4"/>
        <v>41.9</v>
      </c>
      <c r="O23" s="284">
        <f t="shared" si="4"/>
        <v>53.6</v>
      </c>
      <c r="P23" s="284">
        <f t="shared" si="4"/>
        <v>61.3</v>
      </c>
      <c r="Q23" s="284">
        <f t="shared" si="4"/>
        <v>63.599999999999994</v>
      </c>
      <c r="R23" s="284">
        <f t="shared" si="4"/>
        <v>73.100000000000009</v>
      </c>
      <c r="S23" s="284">
        <f t="shared" si="4"/>
        <v>76.3</v>
      </c>
      <c r="T23" s="284">
        <f t="shared" si="4"/>
        <v>74.099999999999994</v>
      </c>
      <c r="U23" s="284">
        <f t="shared" si="4"/>
        <v>76.100000000000009</v>
      </c>
      <c r="V23" s="284">
        <f t="shared" si="4"/>
        <v>76.3</v>
      </c>
      <c r="W23" s="284">
        <f t="shared" si="4"/>
        <v>78.2</v>
      </c>
      <c r="X23" s="284">
        <f t="shared" si="4"/>
        <v>78.2</v>
      </c>
      <c r="Y23" s="284">
        <f t="shared" si="4"/>
        <v>80.5</v>
      </c>
      <c r="Z23" s="284">
        <f t="shared" si="4"/>
        <v>85.399999999999991</v>
      </c>
      <c r="AA23" s="284">
        <f t="shared" si="4"/>
        <v>89.7</v>
      </c>
      <c r="AB23" s="285">
        <f t="shared" si="4"/>
        <v>87.5</v>
      </c>
      <c r="AC23" s="285">
        <f t="shared" si="4"/>
        <v>112.91000000000001</v>
      </c>
      <c r="AD23" s="285">
        <f t="shared" si="4"/>
        <v>116.20000000000002</v>
      </c>
      <c r="AE23" s="285">
        <f t="shared" si="4"/>
        <v>120.00000000000001</v>
      </c>
      <c r="AF23" s="285">
        <f t="shared" si="4"/>
        <v>123.51611021450958</v>
      </c>
      <c r="AG23" s="285">
        <f t="shared" si="4"/>
        <v>127.17258184466625</v>
      </c>
      <c r="AH23" s="286">
        <f t="shared" si="4"/>
        <v>131.5</v>
      </c>
      <c r="AI23" s="285">
        <f>SUM(AI20:AI22)</f>
        <v>143.4</v>
      </c>
      <c r="AJ23" s="285">
        <f>SUM(AJ20:AJ22)</f>
        <v>141.30000000000001</v>
      </c>
      <c r="AK23" s="285">
        <f>SUM(AK20:AK22)</f>
        <v>150.57877929307099</v>
      </c>
      <c r="AL23" s="285">
        <f>SUM(AL20:AL22)</f>
        <v>148.21698713480282</v>
      </c>
      <c r="AM23" s="285">
        <f>SUM(AM20:AM22)</f>
        <v>121.39999999999999</v>
      </c>
      <c r="AN23" s="285">
        <v>105.07309869729696</v>
      </c>
      <c r="AO23" s="285">
        <v>105.82676261020895</v>
      </c>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3"/>
      <c r="DV23" s="233"/>
      <c r="DW23" s="233"/>
      <c r="DX23" s="233"/>
      <c r="DY23" s="233"/>
      <c r="DZ23" s="233"/>
      <c r="EA23" s="233"/>
      <c r="EB23" s="233"/>
      <c r="EC23" s="233"/>
      <c r="ED23" s="233"/>
      <c r="EE23" s="233"/>
      <c r="EF23" s="233"/>
      <c r="EG23" s="233"/>
      <c r="EH23" s="233"/>
      <c r="EI23" s="233"/>
      <c r="EJ23" s="233"/>
      <c r="EK23" s="233"/>
      <c r="EL23" s="233"/>
      <c r="EM23" s="233"/>
      <c r="EN23" s="233"/>
      <c r="EO23" s="233"/>
      <c r="EP23" s="233"/>
      <c r="EQ23" s="233"/>
      <c r="ER23" s="233"/>
      <c r="ES23" s="233"/>
      <c r="ET23" s="233"/>
      <c r="EU23" s="233"/>
      <c r="EV23" s="233"/>
      <c r="EW23" s="233"/>
      <c r="EX23" s="233"/>
      <c r="EY23" s="233"/>
      <c r="EZ23" s="233"/>
      <c r="FA23" s="233"/>
      <c r="FB23" s="233"/>
      <c r="FC23" s="233"/>
      <c r="FD23" s="233"/>
      <c r="FE23" s="233"/>
      <c r="FF23" s="233"/>
      <c r="FG23" s="233"/>
      <c r="FH23" s="233"/>
      <c r="FI23" s="233"/>
      <c r="FJ23" s="233"/>
      <c r="FK23" s="233"/>
      <c r="FL23" s="233"/>
      <c r="FM23" s="233"/>
      <c r="FN23" s="233"/>
      <c r="FO23" s="233"/>
      <c r="FP23" s="233"/>
      <c r="FQ23" s="233"/>
      <c r="FR23" s="233"/>
      <c r="FS23" s="233"/>
      <c r="FT23" s="233"/>
      <c r="FU23" s="233"/>
      <c r="FV23" s="233"/>
      <c r="FW23" s="233"/>
      <c r="FX23" s="233"/>
      <c r="FY23" s="233"/>
      <c r="FZ23" s="233"/>
      <c r="GA23" s="233"/>
      <c r="GB23" s="233"/>
      <c r="GC23" s="233"/>
      <c r="GD23" s="233"/>
      <c r="GE23" s="233"/>
      <c r="GF23" s="233"/>
      <c r="GG23" s="233"/>
      <c r="GH23" s="233"/>
      <c r="GI23" s="233"/>
      <c r="GJ23" s="233"/>
      <c r="GK23" s="233"/>
      <c r="GL23" s="233"/>
      <c r="GM23" s="233"/>
      <c r="GN23" s="233"/>
      <c r="GO23" s="233"/>
      <c r="GP23" s="233"/>
      <c r="GQ23" s="233"/>
      <c r="GR23" s="233"/>
      <c r="GS23" s="233"/>
      <c r="GT23" s="233"/>
      <c r="GU23" s="233"/>
      <c r="GV23" s="233"/>
      <c r="GW23" s="233"/>
      <c r="GX23" s="233"/>
      <c r="GY23" s="233"/>
      <c r="GZ23" s="233"/>
      <c r="HA23" s="233"/>
      <c r="HB23" s="233"/>
      <c r="HC23" s="233"/>
      <c r="HD23" s="233"/>
      <c r="HE23" s="233"/>
      <c r="HF23" s="233"/>
      <c r="HG23" s="233"/>
      <c r="HH23" s="233"/>
      <c r="HI23" s="233"/>
      <c r="HJ23" s="233"/>
      <c r="HK23" s="233"/>
      <c r="HL23" s="233"/>
      <c r="HM23" s="233"/>
      <c r="HN23" s="233"/>
      <c r="HO23" s="233"/>
      <c r="HP23" s="233"/>
      <c r="HQ23" s="233"/>
      <c r="HR23" s="233"/>
      <c r="HS23" s="233"/>
      <c r="HT23" s="233"/>
      <c r="HU23" s="233"/>
      <c r="HV23" s="233"/>
      <c r="HW23" s="233"/>
      <c r="HX23" s="233"/>
      <c r="HY23" s="233"/>
      <c r="HZ23" s="233"/>
      <c r="IA23" s="233"/>
      <c r="IB23" s="233"/>
      <c r="IC23" s="233"/>
      <c r="ID23" s="233"/>
      <c r="IE23" s="233"/>
      <c r="IF23" s="233"/>
      <c r="IG23" s="233"/>
      <c r="IH23" s="233"/>
      <c r="II23" s="233"/>
      <c r="IJ23" s="233"/>
      <c r="IK23" s="233"/>
      <c r="IL23" s="233"/>
      <c r="IM23" s="233"/>
      <c r="IN23" s="233"/>
      <c r="IO23" s="233"/>
      <c r="IP23" s="233"/>
      <c r="IQ23" s="233"/>
      <c r="IR23" s="233"/>
      <c r="IS23" s="233"/>
      <c r="IT23" s="233"/>
    </row>
    <row r="24" spans="1:254" s="260" customFormat="1" ht="20.25" thickBot="1">
      <c r="A24" s="256" t="s">
        <v>416</v>
      </c>
      <c r="B24" s="257">
        <f t="shared" ref="B24:AI24" si="5">B18+B23</f>
        <v>41.3</v>
      </c>
      <c r="C24" s="257">
        <f t="shared" si="5"/>
        <v>17.2</v>
      </c>
      <c r="D24" s="257">
        <f t="shared" si="5"/>
        <v>28.5</v>
      </c>
      <c r="E24" s="257">
        <f t="shared" si="5"/>
        <v>39.199999999999996</v>
      </c>
      <c r="F24" s="257">
        <f t="shared" si="5"/>
        <v>52.2</v>
      </c>
      <c r="G24" s="257">
        <f t="shared" si="5"/>
        <v>55.5</v>
      </c>
      <c r="H24" s="257">
        <f t="shared" si="5"/>
        <v>65.400000000000006</v>
      </c>
      <c r="I24" s="257">
        <f t="shared" si="5"/>
        <v>80.400000000000006</v>
      </c>
      <c r="J24" s="257">
        <f t="shared" si="5"/>
        <v>68.8</v>
      </c>
      <c r="K24" s="257">
        <f t="shared" si="5"/>
        <v>78.5</v>
      </c>
      <c r="L24" s="257">
        <f t="shared" si="5"/>
        <v>90.5</v>
      </c>
      <c r="M24" s="257">
        <f t="shared" si="5"/>
        <v>95.5</v>
      </c>
      <c r="N24" s="257">
        <f t="shared" si="5"/>
        <v>137.30000000000001</v>
      </c>
      <c r="O24" s="257">
        <f t="shared" si="5"/>
        <v>133.69999999999999</v>
      </c>
      <c r="P24" s="257">
        <f t="shared" si="5"/>
        <v>152.1</v>
      </c>
      <c r="Q24" s="257">
        <f t="shared" si="5"/>
        <v>171.1</v>
      </c>
      <c r="R24" s="257">
        <f t="shared" si="5"/>
        <v>177</v>
      </c>
      <c r="S24" s="257">
        <f t="shared" si="5"/>
        <v>194.4</v>
      </c>
      <c r="T24" s="257">
        <f t="shared" si="5"/>
        <v>215.38</v>
      </c>
      <c r="U24" s="257">
        <f t="shared" si="5"/>
        <v>223.2</v>
      </c>
      <c r="V24" s="257">
        <f t="shared" si="5"/>
        <v>222.10000000000002</v>
      </c>
      <c r="W24" s="257">
        <f t="shared" si="5"/>
        <v>224.7</v>
      </c>
      <c r="X24" s="257">
        <f t="shared" si="5"/>
        <v>273.31</v>
      </c>
      <c r="Y24" s="257">
        <f t="shared" si="5"/>
        <v>280.255</v>
      </c>
      <c r="Z24" s="257">
        <f t="shared" si="5"/>
        <v>288.3</v>
      </c>
      <c r="AA24" s="257">
        <f t="shared" si="5"/>
        <v>283.43</v>
      </c>
      <c r="AB24" s="258">
        <f t="shared" si="5"/>
        <v>286.05</v>
      </c>
      <c r="AC24" s="258">
        <f t="shared" si="5"/>
        <v>312.65700000000004</v>
      </c>
      <c r="AD24" s="258">
        <f t="shared" si="5"/>
        <v>327.31993393999994</v>
      </c>
      <c r="AE24" s="258">
        <f t="shared" si="5"/>
        <v>362.12944282999996</v>
      </c>
      <c r="AF24" s="258">
        <f t="shared" si="5"/>
        <v>392.79931060450963</v>
      </c>
      <c r="AG24" s="258">
        <f t="shared" si="5"/>
        <v>422.49130686466617</v>
      </c>
      <c r="AH24" s="259">
        <f t="shared" si="5"/>
        <v>453.44</v>
      </c>
      <c r="AI24" s="259">
        <f t="shared" si="5"/>
        <v>461.1</v>
      </c>
      <c r="AJ24" s="259">
        <f>AJ18+AJ23</f>
        <v>463.701482</v>
      </c>
      <c r="AK24" s="259">
        <f>AK18+AK23</f>
        <v>493.745298913071</v>
      </c>
      <c r="AL24" s="259">
        <f>AL18+AL23</f>
        <v>494.55773803480281</v>
      </c>
      <c r="AM24" s="259">
        <f>AM18+AM23</f>
        <v>461.29999999999995</v>
      </c>
      <c r="AN24" s="259">
        <v>453.72075550229704</v>
      </c>
      <c r="AO24" s="259">
        <v>436.12224455020896</v>
      </c>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c r="DY24" s="233"/>
      <c r="DZ24" s="233"/>
      <c r="EA24" s="233"/>
      <c r="EB24" s="233"/>
      <c r="EC24" s="233"/>
      <c r="ED24" s="233"/>
      <c r="EE24" s="233"/>
      <c r="EF24" s="233"/>
      <c r="EG24" s="233"/>
      <c r="EH24" s="233"/>
      <c r="EI24" s="233"/>
      <c r="EJ24" s="233"/>
      <c r="EK24" s="233"/>
      <c r="EL24" s="233"/>
      <c r="EM24" s="233"/>
      <c r="EN24" s="233"/>
      <c r="EO24" s="233"/>
      <c r="EP24" s="233"/>
      <c r="EQ24" s="233"/>
      <c r="ER24" s="233"/>
      <c r="ES24" s="233"/>
      <c r="ET24" s="233"/>
      <c r="EU24" s="233"/>
      <c r="EV24" s="233"/>
      <c r="EW24" s="233"/>
      <c r="EX24" s="233"/>
      <c r="EY24" s="233"/>
      <c r="EZ24" s="233"/>
      <c r="FA24" s="233"/>
      <c r="FB24" s="233"/>
      <c r="FC24" s="233"/>
      <c r="FD24" s="233"/>
      <c r="FE24" s="233"/>
      <c r="FF24" s="233"/>
      <c r="FG24" s="233"/>
      <c r="FH24" s="233"/>
      <c r="FI24" s="233"/>
      <c r="FJ24" s="233"/>
      <c r="FK24" s="233"/>
      <c r="FL24" s="233"/>
      <c r="FM24" s="233"/>
      <c r="FN24" s="233"/>
      <c r="FO24" s="233"/>
      <c r="FP24" s="233"/>
      <c r="FQ24" s="233"/>
      <c r="FR24" s="233"/>
      <c r="FS24" s="233"/>
      <c r="FT24" s="233"/>
      <c r="FU24" s="233"/>
      <c r="FV24" s="233"/>
      <c r="FW24" s="233"/>
      <c r="FX24" s="233"/>
      <c r="FY24" s="233"/>
      <c r="FZ24" s="233"/>
      <c r="GA24" s="233"/>
      <c r="GB24" s="233"/>
      <c r="GC24" s="233"/>
      <c r="GD24" s="233"/>
      <c r="GE24" s="233"/>
      <c r="GF24" s="233"/>
      <c r="GG24" s="233"/>
      <c r="GH24" s="233"/>
      <c r="GI24" s="233"/>
      <c r="GJ24" s="233"/>
      <c r="GK24" s="233"/>
      <c r="GL24" s="233"/>
      <c r="GM24" s="233"/>
      <c r="GN24" s="233"/>
      <c r="GO24" s="233"/>
      <c r="GP24" s="233"/>
      <c r="GQ24" s="233"/>
      <c r="GR24" s="233"/>
      <c r="GS24" s="233"/>
      <c r="GT24" s="233"/>
      <c r="GU24" s="233"/>
      <c r="GV24" s="233"/>
      <c r="GW24" s="233"/>
      <c r="GX24" s="233"/>
      <c r="GY24" s="233"/>
      <c r="GZ24" s="233"/>
      <c r="HA24" s="233"/>
      <c r="HB24" s="233"/>
      <c r="HC24" s="233"/>
      <c r="HD24" s="233"/>
      <c r="HE24" s="233"/>
      <c r="HF24" s="233"/>
      <c r="HG24" s="233"/>
      <c r="HH24" s="233"/>
      <c r="HI24" s="233"/>
      <c r="HJ24" s="233"/>
      <c r="HK24" s="233"/>
      <c r="HL24" s="233"/>
      <c r="HM24" s="233"/>
      <c r="HN24" s="233"/>
      <c r="HO24" s="233"/>
      <c r="HP24" s="233"/>
      <c r="HQ24" s="233"/>
      <c r="HR24" s="233"/>
      <c r="HS24" s="233"/>
      <c r="HT24" s="233"/>
      <c r="HU24" s="233"/>
      <c r="HV24" s="233"/>
      <c r="HW24" s="233"/>
      <c r="HX24" s="233"/>
      <c r="HY24" s="233"/>
      <c r="HZ24" s="233"/>
      <c r="IA24" s="233"/>
      <c r="IB24" s="233"/>
      <c r="IC24" s="233"/>
      <c r="ID24" s="233"/>
      <c r="IE24" s="233"/>
      <c r="IF24" s="233"/>
      <c r="IG24" s="233"/>
      <c r="IH24" s="233"/>
      <c r="II24" s="233"/>
      <c r="IJ24" s="233"/>
      <c r="IK24" s="233"/>
      <c r="IL24" s="233"/>
      <c r="IM24" s="233"/>
      <c r="IN24" s="233"/>
      <c r="IO24" s="233"/>
      <c r="IP24" s="233"/>
      <c r="IQ24" s="233"/>
      <c r="IR24" s="233"/>
      <c r="IS24" s="233"/>
      <c r="IT24" s="233"/>
    </row>
    <row r="25" spans="1:254" s="260" customFormat="1">
      <c r="A25" s="235" t="s">
        <v>417</v>
      </c>
      <c r="B25" s="287">
        <v>0</v>
      </c>
      <c r="C25" s="287">
        <v>0</v>
      </c>
      <c r="D25" s="287">
        <v>0</v>
      </c>
      <c r="E25" s="287">
        <v>0</v>
      </c>
      <c r="F25" s="287">
        <v>0</v>
      </c>
      <c r="G25" s="287">
        <v>0</v>
      </c>
      <c r="H25" s="287">
        <v>0</v>
      </c>
      <c r="I25" s="287">
        <v>0</v>
      </c>
      <c r="J25" s="287">
        <v>0</v>
      </c>
      <c r="K25" s="287">
        <v>0</v>
      </c>
      <c r="L25" s="287">
        <v>0</v>
      </c>
      <c r="M25" s="287">
        <v>0</v>
      </c>
      <c r="N25" s="287">
        <v>0</v>
      </c>
      <c r="O25" s="287">
        <v>0</v>
      </c>
      <c r="P25" s="288">
        <v>0</v>
      </c>
      <c r="Q25" s="288"/>
      <c r="R25" s="288"/>
      <c r="S25" s="288"/>
      <c r="T25" s="288"/>
      <c r="U25" s="288"/>
      <c r="V25" s="288"/>
      <c r="W25" s="288"/>
      <c r="X25" s="288"/>
      <c r="Y25" s="288"/>
      <c r="Z25" s="288"/>
      <c r="AA25" s="288"/>
      <c r="AB25" s="289"/>
      <c r="AC25" s="240"/>
      <c r="AD25" s="240"/>
      <c r="AE25" s="240"/>
      <c r="AF25" s="240"/>
      <c r="AG25" s="240"/>
      <c r="AH25" s="267"/>
      <c r="AI25" s="240"/>
      <c r="AJ25" s="240"/>
      <c r="AK25" s="240"/>
      <c r="AL25" s="240"/>
      <c r="AM25" s="240"/>
      <c r="AN25" s="240"/>
      <c r="AO25" s="240"/>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33"/>
      <c r="CC25" s="233"/>
      <c r="CD25" s="233"/>
      <c r="CE25" s="233"/>
      <c r="CF25" s="233"/>
      <c r="CG25" s="233"/>
      <c r="CH25" s="233"/>
      <c r="CI25" s="233"/>
      <c r="CJ25" s="233"/>
      <c r="CK25" s="233"/>
      <c r="CL25" s="233"/>
      <c r="CM25" s="233"/>
      <c r="CN25" s="233"/>
      <c r="CO25" s="233"/>
      <c r="CP25" s="233"/>
      <c r="CQ25" s="233"/>
      <c r="CR25" s="233"/>
      <c r="CS25" s="233"/>
      <c r="CT25" s="233"/>
      <c r="CU25" s="233"/>
      <c r="CV25" s="233"/>
      <c r="CW25" s="233"/>
      <c r="CX25" s="233"/>
      <c r="CY25" s="233"/>
      <c r="CZ25" s="233"/>
      <c r="DA25" s="233"/>
      <c r="DB25" s="233"/>
      <c r="DC25" s="233"/>
      <c r="DD25" s="233"/>
      <c r="DE25" s="233"/>
      <c r="DF25" s="233"/>
      <c r="DG25" s="233"/>
      <c r="DH25" s="233"/>
      <c r="DI25" s="233"/>
      <c r="DJ25" s="233"/>
      <c r="DK25" s="233"/>
      <c r="DL25" s="233"/>
      <c r="DM25" s="233"/>
      <c r="DN25" s="233"/>
      <c r="DO25" s="233"/>
      <c r="DP25" s="233"/>
      <c r="DQ25" s="233"/>
      <c r="DR25" s="233"/>
      <c r="DS25" s="233"/>
      <c r="DT25" s="233"/>
      <c r="DU25" s="233"/>
      <c r="DV25" s="233"/>
      <c r="DW25" s="233"/>
      <c r="DX25" s="233"/>
      <c r="DY25" s="233"/>
      <c r="DZ25" s="233"/>
      <c r="EA25" s="233"/>
      <c r="EB25" s="233"/>
      <c r="EC25" s="233"/>
      <c r="ED25" s="233"/>
      <c r="EE25" s="233"/>
      <c r="EF25" s="233"/>
      <c r="EG25" s="233"/>
      <c r="EH25" s="233"/>
      <c r="EI25" s="233"/>
      <c r="EJ25" s="233"/>
      <c r="EK25" s="233"/>
      <c r="EL25" s="233"/>
      <c r="EM25" s="233"/>
      <c r="EN25" s="233"/>
      <c r="EO25" s="233"/>
      <c r="EP25" s="233"/>
      <c r="EQ25" s="233"/>
      <c r="ER25" s="233"/>
      <c r="ES25" s="233"/>
      <c r="ET25" s="233"/>
      <c r="EU25" s="233"/>
      <c r="EV25" s="233"/>
      <c r="EW25" s="233"/>
      <c r="EX25" s="233"/>
      <c r="EY25" s="233"/>
      <c r="EZ25" s="233"/>
      <c r="FA25" s="233"/>
      <c r="FB25" s="233"/>
      <c r="FC25" s="233"/>
      <c r="FD25" s="233"/>
      <c r="FE25" s="233"/>
      <c r="FF25" s="233"/>
      <c r="FG25" s="233"/>
      <c r="FH25" s="233"/>
      <c r="FI25" s="233"/>
      <c r="FJ25" s="233"/>
      <c r="FK25" s="233"/>
      <c r="FL25" s="233"/>
      <c r="FM25" s="233"/>
      <c r="FN25" s="233"/>
      <c r="FO25" s="233"/>
      <c r="FP25" s="233"/>
      <c r="FQ25" s="233"/>
      <c r="FR25" s="233"/>
      <c r="FS25" s="233"/>
      <c r="FT25" s="233"/>
      <c r="FU25" s="233"/>
      <c r="FV25" s="233"/>
      <c r="FW25" s="233"/>
      <c r="FX25" s="233"/>
      <c r="FY25" s="233"/>
      <c r="FZ25" s="233"/>
      <c r="GA25" s="233"/>
      <c r="GB25" s="233"/>
      <c r="GC25" s="233"/>
      <c r="GD25" s="233"/>
      <c r="GE25" s="233"/>
      <c r="GF25" s="233"/>
      <c r="GG25" s="233"/>
      <c r="GH25" s="233"/>
      <c r="GI25" s="233"/>
      <c r="GJ25" s="233"/>
      <c r="GK25" s="233"/>
      <c r="GL25" s="233"/>
      <c r="GM25" s="233"/>
      <c r="GN25" s="233"/>
      <c r="GO25" s="233"/>
      <c r="GP25" s="233"/>
      <c r="GQ25" s="233"/>
      <c r="GR25" s="233"/>
      <c r="GS25" s="233"/>
      <c r="GT25" s="233"/>
      <c r="GU25" s="233"/>
      <c r="GV25" s="233"/>
      <c r="GW25" s="233"/>
      <c r="GX25" s="233"/>
      <c r="GY25" s="233"/>
      <c r="GZ25" s="233"/>
      <c r="HA25" s="233"/>
      <c r="HB25" s="233"/>
      <c r="HC25" s="233"/>
      <c r="HD25" s="233"/>
      <c r="HE25" s="233"/>
      <c r="HF25" s="233"/>
      <c r="HG25" s="233"/>
      <c r="HH25" s="233"/>
      <c r="HI25" s="233"/>
      <c r="HJ25" s="233"/>
      <c r="HK25" s="233"/>
      <c r="HL25" s="233"/>
      <c r="HM25" s="233"/>
      <c r="HN25" s="233"/>
      <c r="HO25" s="233"/>
      <c r="HP25" s="233"/>
      <c r="HQ25" s="233"/>
      <c r="HR25" s="233"/>
      <c r="HS25" s="233"/>
      <c r="HT25" s="233"/>
      <c r="HU25" s="233"/>
      <c r="HV25" s="233"/>
      <c r="HW25" s="233"/>
      <c r="HX25" s="233"/>
      <c r="HY25" s="233"/>
      <c r="HZ25" s="233"/>
      <c r="IA25" s="233"/>
      <c r="IB25" s="233"/>
      <c r="IC25" s="233"/>
      <c r="ID25" s="233"/>
      <c r="IE25" s="233"/>
      <c r="IF25" s="233"/>
      <c r="IG25" s="233"/>
      <c r="IH25" s="233"/>
      <c r="II25" s="233"/>
      <c r="IJ25" s="233"/>
      <c r="IK25" s="233"/>
      <c r="IL25" s="233"/>
      <c r="IM25" s="233"/>
      <c r="IN25" s="233"/>
      <c r="IO25" s="233"/>
      <c r="IP25" s="233"/>
      <c r="IQ25" s="233"/>
      <c r="IR25" s="233"/>
      <c r="IS25" s="233"/>
      <c r="IT25" s="233"/>
    </row>
    <row r="26" spans="1:254" s="260" customFormat="1">
      <c r="A26" s="266" t="s">
        <v>418</v>
      </c>
      <c r="B26" s="242">
        <v>0</v>
      </c>
      <c r="C26" s="242">
        <v>3</v>
      </c>
      <c r="D26" s="242">
        <v>14</v>
      </c>
      <c r="E26" s="242">
        <v>1</v>
      </c>
      <c r="F26" s="242">
        <v>8</v>
      </c>
      <c r="G26" s="242">
        <v>27</v>
      </c>
      <c r="H26" s="242">
        <v>19</v>
      </c>
      <c r="I26" s="242">
        <v>9</v>
      </c>
      <c r="J26" s="242">
        <v>10</v>
      </c>
      <c r="K26" s="242">
        <v>15</v>
      </c>
      <c r="L26" s="242">
        <v>15</v>
      </c>
      <c r="M26" s="242">
        <v>15</v>
      </c>
      <c r="N26" s="242">
        <v>23</v>
      </c>
      <c r="O26" s="242">
        <v>45</v>
      </c>
      <c r="P26" s="244">
        <v>62</v>
      </c>
      <c r="Q26" s="244">
        <v>7.1</v>
      </c>
      <c r="R26" s="244">
        <v>81.7</v>
      </c>
      <c r="S26" s="244">
        <v>107.8</v>
      </c>
      <c r="T26" s="244">
        <v>116.5</v>
      </c>
      <c r="U26" s="244">
        <v>197.8</v>
      </c>
      <c r="V26" s="244">
        <v>193.1</v>
      </c>
      <c r="W26" s="244">
        <v>115.9</v>
      </c>
      <c r="X26" s="244">
        <v>12.6</v>
      </c>
      <c r="Y26" s="244">
        <v>79.2</v>
      </c>
      <c r="Z26" s="244">
        <v>21.7</v>
      </c>
      <c r="AA26" s="244">
        <v>182.1</v>
      </c>
      <c r="AB26" s="245">
        <v>397.43809968000011</v>
      </c>
      <c r="AC26" s="246">
        <v>282.625</v>
      </c>
      <c r="AD26" s="246">
        <v>273.51942685714278</v>
      </c>
      <c r="AE26" s="246">
        <v>142.81399999999999</v>
      </c>
      <c r="AF26" s="246">
        <v>99.430963576774104</v>
      </c>
      <c r="AG26" s="246">
        <v>156.68200350000001</v>
      </c>
      <c r="AH26" s="247">
        <v>152.19999999999999</v>
      </c>
      <c r="AI26" s="248">
        <v>135.50800000000001</v>
      </c>
      <c r="AJ26" s="248">
        <v>122.74434447903229</v>
      </c>
      <c r="AK26" s="248">
        <v>195.79544710838707</v>
      </c>
      <c r="AL26" s="248">
        <v>76.641885441290313</v>
      </c>
      <c r="AM26" s="248">
        <v>9.6</v>
      </c>
      <c r="AN26" s="248">
        <v>2.9</v>
      </c>
      <c r="AO26" s="248">
        <v>174.36280763741945</v>
      </c>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33"/>
      <c r="CC26" s="233"/>
      <c r="CD26" s="233"/>
      <c r="CE26" s="233"/>
      <c r="CF26" s="233"/>
      <c r="CG26" s="233"/>
      <c r="CH26" s="233"/>
      <c r="CI26" s="233"/>
      <c r="CJ26" s="233"/>
      <c r="CK26" s="233"/>
      <c r="CL26" s="233"/>
      <c r="CM26" s="233"/>
      <c r="CN26" s="233"/>
      <c r="CO26" s="233"/>
      <c r="CP26" s="233"/>
      <c r="CQ26" s="233"/>
      <c r="CR26" s="233"/>
      <c r="CS26" s="233"/>
      <c r="CT26" s="233"/>
      <c r="CU26" s="233"/>
      <c r="CV26" s="233"/>
      <c r="CW26" s="233"/>
      <c r="CX26" s="233"/>
      <c r="CY26" s="233"/>
      <c r="CZ26" s="233"/>
      <c r="DA26" s="233"/>
      <c r="DB26" s="233"/>
      <c r="DC26" s="233"/>
      <c r="DD26" s="233"/>
      <c r="DE26" s="233"/>
      <c r="DF26" s="233"/>
      <c r="DG26" s="233"/>
      <c r="DH26" s="233"/>
      <c r="DI26" s="233"/>
      <c r="DJ26" s="233"/>
      <c r="DK26" s="233"/>
      <c r="DL26" s="233"/>
      <c r="DM26" s="233"/>
      <c r="DN26" s="233"/>
      <c r="DO26" s="233"/>
      <c r="DP26" s="233"/>
      <c r="DQ26" s="233"/>
      <c r="DR26" s="233"/>
      <c r="DS26" s="233"/>
      <c r="DT26" s="233"/>
      <c r="DU26" s="233"/>
      <c r="DV26" s="233"/>
      <c r="DW26" s="233"/>
      <c r="DX26" s="233"/>
      <c r="DY26" s="233"/>
      <c r="DZ26" s="233"/>
      <c r="EA26" s="233"/>
      <c r="EB26" s="233"/>
      <c r="EC26" s="233"/>
      <c r="ED26" s="233"/>
      <c r="EE26" s="233"/>
      <c r="EF26" s="233"/>
      <c r="EG26" s="233"/>
      <c r="EH26" s="233"/>
      <c r="EI26" s="233"/>
      <c r="EJ26" s="233"/>
      <c r="EK26" s="233"/>
      <c r="EL26" s="233"/>
      <c r="EM26" s="233"/>
      <c r="EN26" s="233"/>
      <c r="EO26" s="233"/>
      <c r="EP26" s="233"/>
      <c r="EQ26" s="233"/>
      <c r="ER26" s="233"/>
      <c r="ES26" s="233"/>
      <c r="ET26" s="233"/>
      <c r="EU26" s="233"/>
      <c r="EV26" s="233"/>
      <c r="EW26" s="233"/>
      <c r="EX26" s="233"/>
      <c r="EY26" s="233"/>
      <c r="EZ26" s="233"/>
      <c r="FA26" s="233"/>
      <c r="FB26" s="233"/>
      <c r="FC26" s="233"/>
      <c r="FD26" s="233"/>
      <c r="FE26" s="233"/>
      <c r="FF26" s="233"/>
      <c r="FG26" s="233"/>
      <c r="FH26" s="233"/>
      <c r="FI26" s="233"/>
      <c r="FJ26" s="233"/>
      <c r="FK26" s="233"/>
      <c r="FL26" s="233"/>
      <c r="FM26" s="233"/>
      <c r="FN26" s="233"/>
      <c r="FO26" s="233"/>
      <c r="FP26" s="233"/>
      <c r="FQ26" s="233"/>
      <c r="FR26" s="233"/>
      <c r="FS26" s="233"/>
      <c r="FT26" s="233"/>
      <c r="FU26" s="233"/>
      <c r="FV26" s="233"/>
      <c r="FW26" s="233"/>
      <c r="FX26" s="233"/>
      <c r="FY26" s="233"/>
      <c r="FZ26" s="233"/>
      <c r="GA26" s="233"/>
      <c r="GB26" s="233"/>
      <c r="GC26" s="233"/>
      <c r="GD26" s="233"/>
      <c r="GE26" s="233"/>
      <c r="GF26" s="233"/>
      <c r="GG26" s="233"/>
      <c r="GH26" s="233"/>
      <c r="GI26" s="233"/>
      <c r="GJ26" s="233"/>
      <c r="GK26" s="233"/>
      <c r="GL26" s="233"/>
      <c r="GM26" s="233"/>
      <c r="GN26" s="233"/>
      <c r="GO26" s="233"/>
      <c r="GP26" s="233"/>
      <c r="GQ26" s="233"/>
      <c r="GR26" s="233"/>
      <c r="GS26" s="233"/>
      <c r="GT26" s="233"/>
      <c r="GU26" s="233"/>
      <c r="GV26" s="233"/>
      <c r="GW26" s="233"/>
      <c r="GX26" s="233"/>
      <c r="GY26" s="233"/>
      <c r="GZ26" s="233"/>
      <c r="HA26" s="233"/>
      <c r="HB26" s="233"/>
      <c r="HC26" s="233"/>
      <c r="HD26" s="233"/>
      <c r="HE26" s="233"/>
      <c r="HF26" s="233"/>
      <c r="HG26" s="233"/>
      <c r="HH26" s="233"/>
      <c r="HI26" s="233"/>
      <c r="HJ26" s="233"/>
      <c r="HK26" s="233"/>
      <c r="HL26" s="233"/>
      <c r="HM26" s="233"/>
      <c r="HN26" s="233"/>
      <c r="HO26" s="233"/>
      <c r="HP26" s="233"/>
      <c r="HQ26" s="233"/>
      <c r="HR26" s="233"/>
      <c r="HS26" s="233"/>
      <c r="HT26" s="233"/>
      <c r="HU26" s="233"/>
      <c r="HV26" s="233"/>
      <c r="HW26" s="233"/>
      <c r="HX26" s="233"/>
      <c r="HY26" s="233"/>
      <c r="HZ26" s="233"/>
      <c r="IA26" s="233"/>
      <c r="IB26" s="233"/>
      <c r="IC26" s="233"/>
      <c r="ID26" s="233"/>
      <c r="IE26" s="233"/>
      <c r="IF26" s="233"/>
      <c r="IG26" s="233"/>
      <c r="IH26" s="233"/>
      <c r="II26" s="233"/>
      <c r="IJ26" s="233"/>
      <c r="IK26" s="233"/>
      <c r="IL26" s="233"/>
      <c r="IM26" s="233"/>
      <c r="IN26" s="233"/>
      <c r="IO26" s="233"/>
      <c r="IP26" s="233"/>
      <c r="IQ26" s="233"/>
      <c r="IR26" s="233"/>
      <c r="IS26" s="233"/>
      <c r="IT26" s="233"/>
    </row>
    <row r="27" spans="1:254" ht="20.25" thickBot="1">
      <c r="A27" s="266" t="s">
        <v>419</v>
      </c>
      <c r="B27" s="251">
        <v>0</v>
      </c>
      <c r="C27" s="251">
        <v>0</v>
      </c>
      <c r="D27" s="251">
        <v>0</v>
      </c>
      <c r="E27" s="251">
        <v>0</v>
      </c>
      <c r="F27" s="251">
        <v>12</v>
      </c>
      <c r="G27" s="251">
        <v>17</v>
      </c>
      <c r="H27" s="251">
        <v>74</v>
      </c>
      <c r="I27" s="251">
        <v>11</v>
      </c>
      <c r="J27" s="251">
        <v>40</v>
      </c>
      <c r="K27" s="251">
        <v>40</v>
      </c>
      <c r="L27" s="251">
        <v>40</v>
      </c>
      <c r="M27" s="251">
        <v>40</v>
      </c>
      <c r="N27" s="251">
        <v>59</v>
      </c>
      <c r="O27" s="251">
        <v>104</v>
      </c>
      <c r="P27" s="290">
        <v>111.7</v>
      </c>
      <c r="Q27" s="290">
        <v>63.5</v>
      </c>
      <c r="R27" s="290">
        <v>0</v>
      </c>
      <c r="S27" s="290">
        <v>0</v>
      </c>
      <c r="T27" s="290">
        <v>5.4</v>
      </c>
      <c r="U27" s="290">
        <v>47.6</v>
      </c>
      <c r="V27" s="290">
        <v>64.8</v>
      </c>
      <c r="W27" s="290">
        <v>1389.6</v>
      </c>
      <c r="X27" s="290">
        <v>147.80000000000001</v>
      </c>
      <c r="Y27" s="290">
        <v>171.1</v>
      </c>
      <c r="Z27" s="290">
        <v>191</v>
      </c>
      <c r="AA27" s="290">
        <v>110.8</v>
      </c>
      <c r="AB27" s="252">
        <v>168.17764031279995</v>
      </c>
      <c r="AC27" s="269">
        <v>120.69</v>
      </c>
      <c r="AD27" s="269">
        <v>274.94753118857147</v>
      </c>
      <c r="AE27" s="269">
        <v>240.31142110419358</v>
      </c>
      <c r="AF27" s="269">
        <v>310.06640616322585</v>
      </c>
      <c r="AG27" s="269">
        <v>70.690476160000003</v>
      </c>
      <c r="AH27" s="270">
        <v>38.450000000000003</v>
      </c>
      <c r="AI27" s="291">
        <v>85.804000000000002</v>
      </c>
      <c r="AJ27" s="291">
        <v>196.15177862000002</v>
      </c>
      <c r="AK27" s="291">
        <v>67.48132308645161</v>
      </c>
      <c r="AL27" s="291">
        <v>50.291036205161291</v>
      </c>
      <c r="AM27" s="291">
        <v>-20.536000000000001</v>
      </c>
      <c r="AN27" s="291">
        <v>24.260660996129033</v>
      </c>
      <c r="AO27" s="291">
        <v>177.62201441999997</v>
      </c>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233"/>
      <c r="CN27" s="233"/>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233"/>
      <c r="DX27" s="233"/>
      <c r="DY27" s="233"/>
      <c r="DZ27" s="233"/>
      <c r="EA27" s="233"/>
      <c r="EB27" s="233"/>
      <c r="EC27" s="233"/>
      <c r="ED27" s="233"/>
      <c r="EE27" s="233"/>
      <c r="EF27" s="233"/>
      <c r="EG27" s="233"/>
      <c r="EH27" s="233"/>
      <c r="EI27" s="233"/>
      <c r="EJ27" s="233"/>
      <c r="EK27" s="233"/>
      <c r="EL27" s="233"/>
      <c r="EM27" s="233"/>
      <c r="EN27" s="233"/>
      <c r="EO27" s="233"/>
      <c r="EP27" s="233"/>
      <c r="EQ27" s="233"/>
      <c r="ER27" s="233"/>
      <c r="ES27" s="233"/>
      <c r="ET27" s="233"/>
      <c r="EU27" s="233"/>
      <c r="EV27" s="233"/>
      <c r="EW27" s="233"/>
      <c r="EX27" s="233"/>
      <c r="EY27" s="233"/>
      <c r="EZ27" s="233"/>
      <c r="FA27" s="233"/>
      <c r="FB27" s="233"/>
      <c r="FC27" s="233"/>
      <c r="FD27" s="233"/>
      <c r="FE27" s="233"/>
      <c r="FF27" s="233"/>
      <c r="FG27" s="233"/>
      <c r="FH27" s="233"/>
      <c r="FI27" s="233"/>
      <c r="FJ27" s="233"/>
      <c r="FK27" s="233"/>
      <c r="FL27" s="233"/>
      <c r="FM27" s="233"/>
      <c r="FN27" s="233"/>
      <c r="FO27" s="233"/>
      <c r="FP27" s="233"/>
      <c r="FQ27" s="233"/>
      <c r="FR27" s="233"/>
      <c r="FS27" s="233"/>
      <c r="FT27" s="233"/>
      <c r="FU27" s="233"/>
      <c r="FV27" s="233"/>
      <c r="FW27" s="233"/>
      <c r="FX27" s="233"/>
      <c r="FY27" s="233"/>
      <c r="FZ27" s="233"/>
      <c r="GA27" s="233"/>
      <c r="GB27" s="233"/>
      <c r="GC27" s="233"/>
      <c r="GD27" s="233"/>
      <c r="GE27" s="233"/>
      <c r="GF27" s="233"/>
      <c r="GG27" s="233"/>
      <c r="GH27" s="233"/>
      <c r="GI27" s="233"/>
      <c r="GJ27" s="233"/>
      <c r="GK27" s="233"/>
      <c r="GL27" s="233"/>
      <c r="GM27" s="233"/>
      <c r="GN27" s="233"/>
      <c r="GO27" s="233"/>
      <c r="GP27" s="233"/>
      <c r="GQ27" s="233"/>
      <c r="GR27" s="233"/>
      <c r="GS27" s="233"/>
      <c r="GT27" s="233"/>
      <c r="GU27" s="233"/>
      <c r="GV27" s="233"/>
      <c r="GW27" s="233"/>
      <c r="GX27" s="233"/>
      <c r="GY27" s="233"/>
      <c r="GZ27" s="233"/>
      <c r="HA27" s="233"/>
      <c r="HB27" s="233"/>
      <c r="HC27" s="233"/>
      <c r="HD27" s="233"/>
      <c r="HE27" s="233"/>
      <c r="HF27" s="233"/>
      <c r="HG27" s="233"/>
      <c r="HH27" s="233"/>
      <c r="HI27" s="233"/>
      <c r="HJ27" s="233"/>
      <c r="HK27" s="233"/>
      <c r="HL27" s="233"/>
      <c r="HM27" s="233"/>
      <c r="HN27" s="233"/>
      <c r="HO27" s="233"/>
      <c r="HP27" s="233"/>
      <c r="HQ27" s="233"/>
      <c r="HR27" s="233"/>
      <c r="HS27" s="233"/>
      <c r="HT27" s="233"/>
      <c r="HU27" s="233"/>
      <c r="HV27" s="233"/>
      <c r="HW27" s="233"/>
      <c r="HX27" s="233"/>
      <c r="HY27" s="233"/>
      <c r="HZ27" s="233"/>
      <c r="IA27" s="233"/>
      <c r="IB27" s="233"/>
      <c r="IC27" s="233"/>
      <c r="ID27" s="233"/>
      <c r="IE27" s="233"/>
      <c r="IF27" s="233"/>
      <c r="IG27" s="233"/>
      <c r="IH27" s="233"/>
      <c r="II27" s="233"/>
      <c r="IJ27" s="233"/>
      <c r="IK27" s="233"/>
      <c r="IL27" s="233"/>
      <c r="IM27" s="233"/>
      <c r="IN27" s="233"/>
      <c r="IO27" s="233"/>
      <c r="IP27" s="233"/>
      <c r="IQ27" s="233"/>
      <c r="IR27" s="233"/>
      <c r="IS27" s="233"/>
      <c r="IT27" s="233"/>
    </row>
    <row r="28" spans="1:254" s="260" customFormat="1" ht="21" thickTop="1" thickBot="1">
      <c r="A28" s="292" t="s">
        <v>420</v>
      </c>
      <c r="B28" s="293">
        <f t="shared" ref="B28:AL28" si="6">B26+B27</f>
        <v>0</v>
      </c>
      <c r="C28" s="293">
        <f t="shared" si="6"/>
        <v>3</v>
      </c>
      <c r="D28" s="293">
        <f t="shared" si="6"/>
        <v>14</v>
      </c>
      <c r="E28" s="293">
        <f t="shared" si="6"/>
        <v>1</v>
      </c>
      <c r="F28" s="293">
        <f t="shared" si="6"/>
        <v>20</v>
      </c>
      <c r="G28" s="293">
        <f t="shared" si="6"/>
        <v>44</v>
      </c>
      <c r="H28" s="293">
        <f t="shared" si="6"/>
        <v>93</v>
      </c>
      <c r="I28" s="293">
        <f t="shared" si="6"/>
        <v>20</v>
      </c>
      <c r="J28" s="293">
        <f t="shared" si="6"/>
        <v>50</v>
      </c>
      <c r="K28" s="293">
        <f t="shared" si="6"/>
        <v>55</v>
      </c>
      <c r="L28" s="293">
        <f t="shared" si="6"/>
        <v>55</v>
      </c>
      <c r="M28" s="293">
        <f t="shared" si="6"/>
        <v>55</v>
      </c>
      <c r="N28" s="293">
        <f t="shared" si="6"/>
        <v>82</v>
      </c>
      <c r="O28" s="293">
        <f t="shared" si="6"/>
        <v>149</v>
      </c>
      <c r="P28" s="293">
        <f t="shared" si="6"/>
        <v>173.7</v>
      </c>
      <c r="Q28" s="293">
        <f t="shared" si="6"/>
        <v>70.599999999999994</v>
      </c>
      <c r="R28" s="293">
        <f t="shared" si="6"/>
        <v>81.7</v>
      </c>
      <c r="S28" s="293">
        <f t="shared" si="6"/>
        <v>107.8</v>
      </c>
      <c r="T28" s="293">
        <f t="shared" si="6"/>
        <v>121.9</v>
      </c>
      <c r="U28" s="293">
        <f t="shared" si="6"/>
        <v>245.4</v>
      </c>
      <c r="V28" s="293">
        <f t="shared" si="6"/>
        <v>257.89999999999998</v>
      </c>
      <c r="W28" s="293">
        <f t="shared" si="6"/>
        <v>1505.5</v>
      </c>
      <c r="X28" s="293">
        <f t="shared" si="6"/>
        <v>160.4</v>
      </c>
      <c r="Y28" s="293">
        <f t="shared" si="6"/>
        <v>250.3</v>
      </c>
      <c r="Z28" s="293">
        <f t="shared" si="6"/>
        <v>212.7</v>
      </c>
      <c r="AA28" s="293">
        <f t="shared" si="6"/>
        <v>292.89999999999998</v>
      </c>
      <c r="AB28" s="294">
        <f t="shared" si="6"/>
        <v>565.61573999280006</v>
      </c>
      <c r="AC28" s="294">
        <f t="shared" si="6"/>
        <v>403.315</v>
      </c>
      <c r="AD28" s="294">
        <f t="shared" si="6"/>
        <v>548.46695804571425</v>
      </c>
      <c r="AE28" s="294">
        <f t="shared" si="6"/>
        <v>383.12542110419361</v>
      </c>
      <c r="AF28" s="294">
        <f t="shared" si="6"/>
        <v>409.49736973999995</v>
      </c>
      <c r="AG28" s="294">
        <f t="shared" si="6"/>
        <v>227.37247966000001</v>
      </c>
      <c r="AH28" s="295">
        <f t="shared" si="6"/>
        <v>190.64999999999998</v>
      </c>
      <c r="AI28" s="295">
        <f t="shared" si="6"/>
        <v>221.31200000000001</v>
      </c>
      <c r="AJ28" s="295">
        <f t="shared" si="6"/>
        <v>318.89612309903231</v>
      </c>
      <c r="AK28" s="295">
        <f t="shared" si="6"/>
        <v>263.27677019483866</v>
      </c>
      <c r="AL28" s="295">
        <f t="shared" si="6"/>
        <v>126.9329216464516</v>
      </c>
      <c r="AM28" s="295">
        <f>AM26+AM27</f>
        <v>-10.936000000000002</v>
      </c>
      <c r="AN28" s="295">
        <v>27.160660996129032</v>
      </c>
      <c r="AO28" s="295">
        <v>351.98482205741942</v>
      </c>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33"/>
      <c r="CC28" s="233"/>
      <c r="CD28" s="233"/>
      <c r="CE28" s="233"/>
      <c r="CF28" s="233"/>
      <c r="CG28" s="233"/>
      <c r="CH28" s="233"/>
      <c r="CI28" s="233"/>
      <c r="CJ28" s="233"/>
      <c r="CK28" s="233"/>
      <c r="CL28" s="233"/>
      <c r="CM28" s="233"/>
      <c r="CN28" s="233"/>
      <c r="CO28" s="233"/>
      <c r="CP28" s="233"/>
      <c r="CQ28" s="233"/>
      <c r="CR28" s="233"/>
      <c r="CS28" s="233"/>
      <c r="CT28" s="233"/>
      <c r="CU28" s="233"/>
      <c r="CV28" s="233"/>
      <c r="CW28" s="233"/>
      <c r="CX28" s="233"/>
      <c r="CY28" s="233"/>
      <c r="CZ28" s="233"/>
      <c r="DA28" s="233"/>
      <c r="DB28" s="233"/>
      <c r="DC28" s="233"/>
      <c r="DD28" s="233"/>
      <c r="DE28" s="233"/>
      <c r="DF28" s="233"/>
      <c r="DG28" s="233"/>
      <c r="DH28" s="233"/>
      <c r="DI28" s="233"/>
      <c r="DJ28" s="233"/>
      <c r="DK28" s="233"/>
      <c r="DL28" s="233"/>
      <c r="DM28" s="233"/>
      <c r="DN28" s="233"/>
      <c r="DO28" s="233"/>
      <c r="DP28" s="233"/>
      <c r="DQ28" s="233"/>
      <c r="DR28" s="233"/>
      <c r="DS28" s="233"/>
      <c r="DT28" s="233"/>
      <c r="DU28" s="233"/>
      <c r="DV28" s="233"/>
      <c r="DW28" s="233"/>
      <c r="DX28" s="233"/>
      <c r="DY28" s="233"/>
      <c r="DZ28" s="233"/>
      <c r="EA28" s="233"/>
      <c r="EB28" s="233"/>
      <c r="EC28" s="233"/>
      <c r="ED28" s="233"/>
      <c r="EE28" s="233"/>
      <c r="EF28" s="233"/>
      <c r="EG28" s="233"/>
      <c r="EH28" s="233"/>
      <c r="EI28" s="233"/>
      <c r="EJ28" s="233"/>
      <c r="EK28" s="233"/>
      <c r="EL28" s="233"/>
      <c r="EM28" s="233"/>
      <c r="EN28" s="233"/>
      <c r="EO28" s="233"/>
      <c r="EP28" s="233"/>
      <c r="EQ28" s="233"/>
      <c r="ER28" s="233"/>
      <c r="ES28" s="233"/>
      <c r="ET28" s="233"/>
      <c r="EU28" s="233"/>
      <c r="EV28" s="233"/>
      <c r="EW28" s="233"/>
      <c r="EX28" s="233"/>
      <c r="EY28" s="233"/>
      <c r="EZ28" s="233"/>
      <c r="FA28" s="233"/>
      <c r="FB28" s="233"/>
      <c r="FC28" s="233"/>
      <c r="FD28" s="233"/>
      <c r="FE28" s="233"/>
      <c r="FF28" s="233"/>
      <c r="FG28" s="233"/>
      <c r="FH28" s="233"/>
      <c r="FI28" s="233"/>
      <c r="FJ28" s="233"/>
      <c r="FK28" s="233"/>
      <c r="FL28" s="233"/>
      <c r="FM28" s="233"/>
      <c r="FN28" s="233"/>
      <c r="FO28" s="233"/>
      <c r="FP28" s="233"/>
      <c r="FQ28" s="233"/>
      <c r="FR28" s="233"/>
      <c r="FS28" s="233"/>
      <c r="FT28" s="233"/>
      <c r="FU28" s="233"/>
      <c r="FV28" s="233"/>
      <c r="FW28" s="233"/>
      <c r="FX28" s="233"/>
      <c r="FY28" s="233"/>
      <c r="FZ28" s="233"/>
      <c r="GA28" s="233"/>
      <c r="GB28" s="233"/>
      <c r="GC28" s="233"/>
      <c r="GD28" s="233"/>
      <c r="GE28" s="233"/>
      <c r="GF28" s="233"/>
      <c r="GG28" s="233"/>
      <c r="GH28" s="233"/>
      <c r="GI28" s="233"/>
      <c r="GJ28" s="233"/>
      <c r="GK28" s="233"/>
      <c r="GL28" s="233"/>
      <c r="GM28" s="233"/>
      <c r="GN28" s="233"/>
      <c r="GO28" s="233"/>
      <c r="GP28" s="233"/>
      <c r="GQ28" s="233"/>
      <c r="GR28" s="233"/>
      <c r="GS28" s="233"/>
      <c r="GT28" s="233"/>
      <c r="GU28" s="233"/>
      <c r="GV28" s="233"/>
      <c r="GW28" s="233"/>
      <c r="GX28" s="233"/>
      <c r="GY28" s="233"/>
      <c r="GZ28" s="233"/>
      <c r="HA28" s="233"/>
      <c r="HB28" s="233"/>
      <c r="HC28" s="233"/>
      <c r="HD28" s="233"/>
      <c r="HE28" s="233"/>
      <c r="HF28" s="233"/>
      <c r="HG28" s="233"/>
      <c r="HH28" s="233"/>
      <c r="HI28" s="233"/>
      <c r="HJ28" s="233"/>
      <c r="HK28" s="233"/>
      <c r="HL28" s="233"/>
      <c r="HM28" s="233"/>
      <c r="HN28" s="233"/>
      <c r="HO28" s="233"/>
      <c r="HP28" s="233"/>
      <c r="HQ28" s="233"/>
      <c r="HR28" s="233"/>
      <c r="HS28" s="233"/>
      <c r="HT28" s="233"/>
      <c r="HU28" s="233"/>
      <c r="HV28" s="233"/>
      <c r="HW28" s="233"/>
      <c r="HX28" s="233"/>
      <c r="HY28" s="233"/>
      <c r="HZ28" s="233"/>
      <c r="IA28" s="233"/>
      <c r="IB28" s="233"/>
      <c r="IC28" s="233"/>
      <c r="ID28" s="233"/>
      <c r="IE28" s="233"/>
      <c r="IF28" s="233"/>
      <c r="IG28" s="233"/>
      <c r="IH28" s="233"/>
      <c r="II28" s="233"/>
      <c r="IJ28" s="233"/>
      <c r="IK28" s="233"/>
      <c r="IL28" s="233"/>
      <c r="IM28" s="233"/>
      <c r="IN28" s="233"/>
      <c r="IO28" s="233"/>
      <c r="IP28" s="233"/>
      <c r="IQ28" s="233"/>
      <c r="IR28" s="233"/>
      <c r="IS28" s="233"/>
      <c r="IT28" s="233"/>
    </row>
    <row r="29" spans="1:254" s="260" customFormat="1" ht="20.25" thickBot="1">
      <c r="A29" s="296" t="s">
        <v>421</v>
      </c>
      <c r="B29" s="297">
        <f t="shared" ref="B29:AI29" si="7">B24+B28</f>
        <v>41.3</v>
      </c>
      <c r="C29" s="297">
        <f t="shared" si="7"/>
        <v>20.2</v>
      </c>
      <c r="D29" s="297">
        <f t="shared" si="7"/>
        <v>42.5</v>
      </c>
      <c r="E29" s="297">
        <f t="shared" si="7"/>
        <v>40.199999999999996</v>
      </c>
      <c r="F29" s="297">
        <f t="shared" si="7"/>
        <v>72.2</v>
      </c>
      <c r="G29" s="297">
        <f t="shared" si="7"/>
        <v>99.5</v>
      </c>
      <c r="H29" s="297">
        <f t="shared" si="7"/>
        <v>158.4</v>
      </c>
      <c r="I29" s="297">
        <f t="shared" si="7"/>
        <v>100.4</v>
      </c>
      <c r="J29" s="297">
        <f t="shared" si="7"/>
        <v>118.8</v>
      </c>
      <c r="K29" s="297">
        <f t="shared" si="7"/>
        <v>133.5</v>
      </c>
      <c r="L29" s="297">
        <f t="shared" si="7"/>
        <v>145.5</v>
      </c>
      <c r="M29" s="297">
        <f t="shared" si="7"/>
        <v>150.5</v>
      </c>
      <c r="N29" s="297">
        <f t="shared" si="7"/>
        <v>219.3</v>
      </c>
      <c r="O29" s="297">
        <f t="shared" si="7"/>
        <v>282.7</v>
      </c>
      <c r="P29" s="297">
        <f t="shared" si="7"/>
        <v>325.79999999999995</v>
      </c>
      <c r="Q29" s="297">
        <f t="shared" si="7"/>
        <v>241.7</v>
      </c>
      <c r="R29" s="297">
        <f t="shared" si="7"/>
        <v>258.7</v>
      </c>
      <c r="S29" s="297">
        <f t="shared" si="7"/>
        <v>302.2</v>
      </c>
      <c r="T29" s="297">
        <f t="shared" si="7"/>
        <v>337.28</v>
      </c>
      <c r="U29" s="297">
        <f t="shared" si="7"/>
        <v>468.6</v>
      </c>
      <c r="V29" s="297">
        <f t="shared" si="7"/>
        <v>480</v>
      </c>
      <c r="W29" s="297">
        <f t="shared" si="7"/>
        <v>1730.2</v>
      </c>
      <c r="X29" s="297">
        <f t="shared" si="7"/>
        <v>433.71000000000004</v>
      </c>
      <c r="Y29" s="297">
        <f t="shared" si="7"/>
        <v>530.55500000000006</v>
      </c>
      <c r="Z29" s="297">
        <f t="shared" si="7"/>
        <v>501</v>
      </c>
      <c r="AA29" s="297">
        <f t="shared" si="7"/>
        <v>576.32999999999993</v>
      </c>
      <c r="AB29" s="298">
        <f t="shared" si="7"/>
        <v>851.66573999280013</v>
      </c>
      <c r="AC29" s="299">
        <f t="shared" si="7"/>
        <v>715.97199999999998</v>
      </c>
      <c r="AD29" s="299">
        <f t="shared" si="7"/>
        <v>875.78689198571419</v>
      </c>
      <c r="AE29" s="299">
        <f t="shared" si="7"/>
        <v>745.25486393419351</v>
      </c>
      <c r="AF29" s="299">
        <f t="shared" si="7"/>
        <v>802.29668034450958</v>
      </c>
      <c r="AG29" s="299">
        <f t="shared" si="7"/>
        <v>649.86378652466624</v>
      </c>
      <c r="AH29" s="300">
        <f t="shared" si="7"/>
        <v>644.08999999999992</v>
      </c>
      <c r="AI29" s="301">
        <f t="shared" si="7"/>
        <v>682.41200000000003</v>
      </c>
      <c r="AJ29" s="301">
        <f>AJ24+AJ28</f>
        <v>782.59760509903231</v>
      </c>
      <c r="AK29" s="301">
        <f>AK24+AK28</f>
        <v>757.0220691079096</v>
      </c>
      <c r="AL29" s="301">
        <f>AL24+AL28</f>
        <v>621.49065968125444</v>
      </c>
      <c r="AM29" s="301">
        <f>AM24+AM28</f>
        <v>450.36399999999998</v>
      </c>
      <c r="AN29" s="301">
        <v>480.88141649842606</v>
      </c>
      <c r="AO29" s="301">
        <v>788.10706660762844</v>
      </c>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33"/>
      <c r="CC29" s="233"/>
      <c r="CD29" s="233"/>
      <c r="CE29" s="233"/>
      <c r="CF29" s="233"/>
      <c r="CG29" s="233"/>
      <c r="CH29" s="233"/>
      <c r="CI29" s="233"/>
      <c r="CJ29" s="233"/>
      <c r="CK29" s="233"/>
      <c r="CL29" s="233"/>
      <c r="CM29" s="233"/>
      <c r="CN29" s="233"/>
      <c r="CO29" s="233"/>
      <c r="CP29" s="233"/>
      <c r="CQ29" s="233"/>
      <c r="CR29" s="233"/>
      <c r="CS29" s="233"/>
      <c r="CT29" s="233"/>
      <c r="CU29" s="233"/>
      <c r="CV29" s="233"/>
      <c r="CW29" s="233"/>
      <c r="CX29" s="233"/>
      <c r="CY29" s="233"/>
      <c r="CZ29" s="233"/>
      <c r="DA29" s="233"/>
      <c r="DB29" s="233"/>
      <c r="DC29" s="233"/>
      <c r="DD29" s="233"/>
      <c r="DE29" s="233"/>
      <c r="DF29" s="233"/>
      <c r="DG29" s="233"/>
      <c r="DH29" s="233"/>
      <c r="DI29" s="233"/>
      <c r="DJ29" s="233"/>
      <c r="DK29" s="233"/>
      <c r="DL29" s="233"/>
      <c r="DM29" s="233"/>
      <c r="DN29" s="233"/>
      <c r="DO29" s="233"/>
      <c r="DP29" s="233"/>
      <c r="DQ29" s="233"/>
      <c r="DR29" s="233"/>
      <c r="DS29" s="233"/>
      <c r="DT29" s="233"/>
      <c r="DU29" s="233"/>
      <c r="DV29" s="233"/>
      <c r="DW29" s="233"/>
      <c r="DX29" s="233"/>
      <c r="DY29" s="233"/>
      <c r="DZ29" s="233"/>
      <c r="EA29" s="233"/>
      <c r="EB29" s="233"/>
      <c r="EC29" s="233"/>
      <c r="ED29" s="233"/>
      <c r="EE29" s="233"/>
      <c r="EF29" s="233"/>
      <c r="EG29" s="233"/>
      <c r="EH29" s="233"/>
      <c r="EI29" s="233"/>
      <c r="EJ29" s="233"/>
      <c r="EK29" s="233"/>
      <c r="EL29" s="233"/>
      <c r="EM29" s="233"/>
      <c r="EN29" s="233"/>
      <c r="EO29" s="233"/>
      <c r="EP29" s="233"/>
      <c r="EQ29" s="233"/>
      <c r="ER29" s="233"/>
      <c r="ES29" s="233"/>
      <c r="ET29" s="233"/>
      <c r="EU29" s="233"/>
      <c r="EV29" s="233"/>
      <c r="EW29" s="233"/>
      <c r="EX29" s="233"/>
      <c r="EY29" s="233"/>
      <c r="EZ29" s="233"/>
      <c r="FA29" s="233"/>
      <c r="FB29" s="233"/>
      <c r="FC29" s="233"/>
      <c r="FD29" s="233"/>
      <c r="FE29" s="233"/>
      <c r="FF29" s="233"/>
      <c r="FG29" s="233"/>
      <c r="FH29" s="233"/>
      <c r="FI29" s="233"/>
      <c r="FJ29" s="233"/>
      <c r="FK29" s="233"/>
      <c r="FL29" s="233"/>
      <c r="FM29" s="233"/>
      <c r="FN29" s="233"/>
      <c r="FO29" s="233"/>
      <c r="FP29" s="233"/>
      <c r="FQ29" s="233"/>
      <c r="FR29" s="233"/>
      <c r="FS29" s="233"/>
      <c r="FT29" s="233"/>
      <c r="FU29" s="233"/>
      <c r="FV29" s="233"/>
      <c r="FW29" s="233"/>
      <c r="FX29" s="233"/>
      <c r="FY29" s="233"/>
      <c r="FZ29" s="233"/>
      <c r="GA29" s="233"/>
      <c r="GB29" s="233"/>
      <c r="GC29" s="233"/>
      <c r="GD29" s="233"/>
      <c r="GE29" s="233"/>
      <c r="GF29" s="233"/>
      <c r="GG29" s="233"/>
      <c r="GH29" s="233"/>
      <c r="GI29" s="233"/>
      <c r="GJ29" s="233"/>
      <c r="GK29" s="233"/>
      <c r="GL29" s="233"/>
      <c r="GM29" s="233"/>
      <c r="GN29" s="233"/>
      <c r="GO29" s="233"/>
      <c r="GP29" s="233"/>
      <c r="GQ29" s="233"/>
      <c r="GR29" s="233"/>
      <c r="GS29" s="233"/>
      <c r="GT29" s="233"/>
      <c r="GU29" s="233"/>
      <c r="GV29" s="233"/>
      <c r="GW29" s="233"/>
      <c r="GX29" s="233"/>
      <c r="GY29" s="233"/>
      <c r="GZ29" s="233"/>
      <c r="HA29" s="233"/>
      <c r="HB29" s="233"/>
      <c r="HC29" s="233"/>
      <c r="HD29" s="233"/>
      <c r="HE29" s="233"/>
      <c r="HF29" s="233"/>
      <c r="HG29" s="233"/>
      <c r="HH29" s="233"/>
      <c r="HI29" s="233"/>
      <c r="HJ29" s="233"/>
      <c r="HK29" s="233"/>
      <c r="HL29" s="233"/>
      <c r="HM29" s="233"/>
      <c r="HN29" s="233"/>
      <c r="HO29" s="233"/>
      <c r="HP29" s="233"/>
      <c r="HQ29" s="233"/>
      <c r="HR29" s="233"/>
      <c r="HS29" s="233"/>
      <c r="HT29" s="233"/>
      <c r="HU29" s="233"/>
      <c r="HV29" s="233"/>
      <c r="HW29" s="233"/>
      <c r="HX29" s="233"/>
      <c r="HY29" s="233"/>
      <c r="HZ29" s="233"/>
      <c r="IA29" s="233"/>
      <c r="IB29" s="233"/>
      <c r="IC29" s="233"/>
      <c r="ID29" s="233"/>
      <c r="IE29" s="233"/>
      <c r="IF29" s="233"/>
      <c r="IG29" s="233"/>
      <c r="IH29" s="233"/>
      <c r="II29" s="233"/>
      <c r="IJ29" s="233"/>
      <c r="IK29" s="233"/>
      <c r="IL29" s="233"/>
      <c r="IM29" s="233"/>
      <c r="IN29" s="233"/>
      <c r="IO29" s="233"/>
      <c r="IP29" s="233"/>
      <c r="IQ29" s="233"/>
      <c r="IR29" s="233"/>
      <c r="IS29" s="233"/>
      <c r="IT29" s="233"/>
    </row>
    <row r="30" spans="1:254" s="260" customFormat="1">
      <c r="A30" s="302" t="s">
        <v>422</v>
      </c>
      <c r="B30" s="303">
        <v>0</v>
      </c>
      <c r="C30" s="303">
        <v>0</v>
      </c>
      <c r="D30" s="303">
        <v>0</v>
      </c>
      <c r="E30" s="303">
        <v>0</v>
      </c>
      <c r="F30" s="303">
        <v>0</v>
      </c>
      <c r="G30" s="303">
        <v>0</v>
      </c>
      <c r="H30" s="303">
        <v>0</v>
      </c>
      <c r="I30" s="303">
        <v>0</v>
      </c>
      <c r="J30" s="303">
        <v>0</v>
      </c>
      <c r="K30" s="303">
        <v>0</v>
      </c>
      <c r="L30" s="303">
        <v>0</v>
      </c>
      <c r="M30" s="303">
        <v>0</v>
      </c>
      <c r="N30" s="303">
        <v>0</v>
      </c>
      <c r="O30" s="303">
        <v>0</v>
      </c>
      <c r="P30" s="304">
        <v>0</v>
      </c>
      <c r="Q30" s="304"/>
      <c r="R30" s="304"/>
      <c r="S30" s="304"/>
      <c r="T30" s="304"/>
      <c r="U30" s="304"/>
      <c r="V30" s="304"/>
      <c r="W30" s="304"/>
      <c r="X30" s="304"/>
      <c r="Y30" s="304"/>
      <c r="Z30" s="304"/>
      <c r="AA30" s="304"/>
      <c r="AB30" s="289"/>
      <c r="AC30" s="305"/>
      <c r="AD30" s="305"/>
      <c r="AE30" s="305"/>
      <c r="AF30" s="305"/>
      <c r="AG30" s="305"/>
      <c r="AH30" s="306"/>
      <c r="AI30" s="305"/>
      <c r="AJ30" s="305"/>
      <c r="AK30" s="305"/>
      <c r="AL30" s="305"/>
      <c r="AM30" s="305"/>
      <c r="AN30" s="305"/>
      <c r="AO30" s="305"/>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233"/>
      <c r="FE30" s="233"/>
      <c r="FF30" s="233"/>
      <c r="FG30" s="233"/>
      <c r="FH30" s="233"/>
      <c r="FI30" s="233"/>
      <c r="FJ30" s="233"/>
      <c r="FK30" s="233"/>
      <c r="FL30" s="233"/>
      <c r="FM30" s="233"/>
      <c r="FN30" s="233"/>
      <c r="FO30" s="233"/>
      <c r="FP30" s="233"/>
      <c r="FQ30" s="233"/>
      <c r="FR30" s="233"/>
      <c r="FS30" s="233"/>
      <c r="FT30" s="233"/>
      <c r="FU30" s="233"/>
      <c r="FV30" s="233"/>
      <c r="FW30" s="233"/>
      <c r="FX30" s="233"/>
      <c r="FY30" s="233"/>
      <c r="FZ30" s="233"/>
      <c r="GA30" s="233"/>
      <c r="GB30" s="233"/>
      <c r="GC30" s="233"/>
      <c r="GD30" s="233"/>
      <c r="GE30" s="233"/>
      <c r="GF30" s="233"/>
      <c r="GG30" s="233"/>
      <c r="GH30" s="233"/>
      <c r="GI30" s="233"/>
      <c r="GJ30" s="233"/>
      <c r="GK30" s="233"/>
      <c r="GL30" s="233"/>
      <c r="GM30" s="233"/>
      <c r="GN30" s="233"/>
      <c r="GO30" s="233"/>
      <c r="GP30" s="233"/>
      <c r="GQ30" s="233"/>
      <c r="GR30" s="233"/>
      <c r="GS30" s="233"/>
      <c r="GT30" s="233"/>
      <c r="GU30" s="233"/>
      <c r="GV30" s="233"/>
      <c r="GW30" s="233"/>
      <c r="GX30" s="233"/>
      <c r="GY30" s="233"/>
      <c r="GZ30" s="233"/>
      <c r="HA30" s="233"/>
      <c r="HB30" s="233"/>
      <c r="HC30" s="233"/>
      <c r="HD30" s="233"/>
      <c r="HE30" s="233"/>
      <c r="HF30" s="233"/>
      <c r="HG30" s="233"/>
      <c r="HH30" s="233"/>
      <c r="HI30" s="233"/>
      <c r="HJ30" s="233"/>
      <c r="HK30" s="233"/>
      <c r="HL30" s="233"/>
      <c r="HM30" s="233"/>
      <c r="HN30" s="233"/>
      <c r="HO30" s="233"/>
      <c r="HP30" s="233"/>
      <c r="HQ30" s="233"/>
      <c r="HR30" s="233"/>
      <c r="HS30" s="233"/>
      <c r="HT30" s="233"/>
      <c r="HU30" s="233"/>
      <c r="HV30" s="233"/>
      <c r="HW30" s="233"/>
      <c r="HX30" s="233"/>
      <c r="HY30" s="233"/>
      <c r="HZ30" s="233"/>
      <c r="IA30" s="233"/>
      <c r="IB30" s="233"/>
      <c r="IC30" s="233"/>
      <c r="ID30" s="233"/>
      <c r="IE30" s="233"/>
      <c r="IF30" s="233"/>
      <c r="IG30" s="233"/>
      <c r="IH30" s="233"/>
      <c r="II30" s="233"/>
      <c r="IJ30" s="233"/>
      <c r="IK30" s="233"/>
      <c r="IL30" s="233"/>
      <c r="IM30" s="233"/>
      <c r="IN30" s="233"/>
      <c r="IO30" s="233"/>
      <c r="IP30" s="233"/>
      <c r="IQ30" s="233"/>
      <c r="IR30" s="233"/>
      <c r="IS30" s="233"/>
      <c r="IT30" s="233"/>
    </row>
    <row r="31" spans="1:254">
      <c r="A31" s="241" t="s">
        <v>423</v>
      </c>
      <c r="B31" s="242">
        <v>0</v>
      </c>
      <c r="C31" s="242">
        <v>0</v>
      </c>
      <c r="D31" s="242">
        <v>0</v>
      </c>
      <c r="E31" s="242">
        <v>0</v>
      </c>
      <c r="F31" s="242">
        <v>0</v>
      </c>
      <c r="G31" s="242">
        <v>0</v>
      </c>
      <c r="H31" s="242">
        <v>0</v>
      </c>
      <c r="I31" s="242">
        <v>0</v>
      </c>
      <c r="J31" s="242">
        <v>0</v>
      </c>
      <c r="K31" s="242">
        <v>0</v>
      </c>
      <c r="L31" s="242">
        <v>0</v>
      </c>
      <c r="M31" s="242">
        <v>0</v>
      </c>
      <c r="N31" s="242">
        <v>0</v>
      </c>
      <c r="O31" s="242">
        <v>0</v>
      </c>
      <c r="P31" s="244">
        <v>0</v>
      </c>
      <c r="Q31" s="244">
        <v>-45.2</v>
      </c>
      <c r="R31" s="244">
        <v>-25.5</v>
      </c>
      <c r="S31" s="244">
        <v>-29.7</v>
      </c>
      <c r="T31" s="244">
        <v>-35.700000000000003</v>
      </c>
      <c r="U31" s="244">
        <v>-46</v>
      </c>
      <c r="V31" s="244">
        <v>-50.4</v>
      </c>
      <c r="W31" s="244">
        <v>-336.6</v>
      </c>
      <c r="X31" s="244">
        <v>-66.400000000000006</v>
      </c>
      <c r="Y31" s="244">
        <v>-73.599999999999994</v>
      </c>
      <c r="Z31" s="244">
        <v>-77</v>
      </c>
      <c r="AA31" s="244">
        <v>-57.7</v>
      </c>
      <c r="AB31" s="245">
        <v>-76.352833301624401</v>
      </c>
      <c r="AC31" s="246">
        <v>-66.099999999999994</v>
      </c>
      <c r="AD31" s="246">
        <v>-100.50973003828143</v>
      </c>
      <c r="AE31" s="246">
        <v>-99.498658511615204</v>
      </c>
      <c r="AF31" s="246">
        <v>-122.842830841389</v>
      </c>
      <c r="AG31" s="246">
        <v>-85.34922832657</v>
      </c>
      <c r="AH31" s="307">
        <f>-(AH4+AH5+AH9+AH27)*0.223</f>
        <v>-76.981896231000007</v>
      </c>
      <c r="AI31" s="246">
        <f>-(AI4+AI5+AI9+AI10+AI27)*0.223</f>
        <v>-84.094192000000007</v>
      </c>
      <c r="AJ31" s="246">
        <f>-(AJ4+AJ5+AJ9+AJ10+AJ27)*0.223</f>
        <v>-103.85257379362</v>
      </c>
      <c r="AK31" s="246">
        <f>-(AK4+AK5+AK9+AK10+AK27)*0.223</f>
        <v>-77.718258299588697</v>
      </c>
      <c r="AL31" s="246">
        <f>-(AL4+AL5+AL9+AL10+AL27)*0.223</f>
        <v>-72.627647443790963</v>
      </c>
      <c r="AM31" s="246">
        <f>-(AM4+AM5+AM9+AM10+AM27)*0.223</f>
        <v>-53.734971999999999</v>
      </c>
      <c r="AN31" s="246">
        <v>-70.129514034696797</v>
      </c>
      <c r="AO31" s="246">
        <v>-98.195331043509995</v>
      </c>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33"/>
      <c r="CC31" s="233"/>
      <c r="CD31" s="233"/>
      <c r="CE31" s="233"/>
      <c r="CF31" s="233"/>
      <c r="CG31" s="233"/>
      <c r="CH31" s="233"/>
      <c r="CI31" s="233"/>
      <c r="CJ31" s="233"/>
      <c r="CK31" s="233"/>
      <c r="CL31" s="233"/>
      <c r="CM31" s="233"/>
      <c r="CN31" s="233"/>
      <c r="CO31" s="233"/>
      <c r="CP31" s="233"/>
      <c r="CQ31" s="233"/>
      <c r="CR31" s="233"/>
      <c r="CS31" s="233"/>
      <c r="CT31" s="233"/>
      <c r="CU31" s="233"/>
      <c r="CV31" s="233"/>
      <c r="CW31" s="233"/>
      <c r="CX31" s="233"/>
      <c r="CY31" s="233"/>
      <c r="CZ31" s="233"/>
      <c r="DA31" s="233"/>
      <c r="DB31" s="233"/>
      <c r="DC31" s="233"/>
      <c r="DD31" s="233"/>
      <c r="DE31" s="233"/>
      <c r="DF31" s="233"/>
      <c r="DG31" s="233"/>
      <c r="DH31" s="233"/>
      <c r="DI31" s="233"/>
      <c r="DJ31" s="233"/>
      <c r="DK31" s="233"/>
      <c r="DL31" s="233"/>
      <c r="DM31" s="233"/>
      <c r="DN31" s="233"/>
      <c r="DO31" s="233"/>
      <c r="DP31" s="233"/>
      <c r="DQ31" s="233"/>
      <c r="DR31" s="233"/>
      <c r="DS31" s="233"/>
      <c r="DT31" s="233"/>
      <c r="DU31" s="233"/>
      <c r="DV31" s="233"/>
      <c r="DW31" s="233"/>
      <c r="DX31" s="233"/>
      <c r="DY31" s="233"/>
      <c r="DZ31" s="233"/>
      <c r="EA31" s="233"/>
      <c r="EB31" s="233"/>
      <c r="EC31" s="233"/>
      <c r="ED31" s="233"/>
      <c r="EE31" s="233"/>
      <c r="EF31" s="233"/>
      <c r="EG31" s="233"/>
      <c r="EH31" s="233"/>
      <c r="EI31" s="233"/>
      <c r="EJ31" s="233"/>
      <c r="EK31" s="233"/>
      <c r="EL31" s="233"/>
      <c r="EM31" s="233"/>
      <c r="EN31" s="233"/>
      <c r="EO31" s="233"/>
      <c r="EP31" s="233"/>
      <c r="EQ31" s="233"/>
      <c r="ER31" s="233"/>
      <c r="ES31" s="233"/>
      <c r="ET31" s="233"/>
      <c r="EU31" s="233"/>
      <c r="EV31" s="233"/>
      <c r="EW31" s="233"/>
      <c r="EX31" s="233"/>
      <c r="EY31" s="233"/>
      <c r="EZ31" s="233"/>
      <c r="FA31" s="233"/>
      <c r="FB31" s="233"/>
      <c r="FC31" s="233"/>
      <c r="FD31" s="233"/>
      <c r="FE31" s="233"/>
      <c r="FF31" s="233"/>
      <c r="FG31" s="233"/>
      <c r="FH31" s="233"/>
      <c r="FI31" s="233"/>
      <c r="FJ31" s="233"/>
      <c r="FK31" s="233"/>
      <c r="FL31" s="233"/>
      <c r="FM31" s="233"/>
      <c r="FN31" s="233"/>
      <c r="FO31" s="233"/>
      <c r="FP31" s="233"/>
      <c r="FQ31" s="233"/>
      <c r="FR31" s="233"/>
      <c r="FS31" s="233"/>
      <c r="FT31" s="233"/>
      <c r="FU31" s="233"/>
      <c r="FV31" s="233"/>
      <c r="FW31" s="233"/>
      <c r="FX31" s="233"/>
      <c r="FY31" s="233"/>
      <c r="FZ31" s="233"/>
      <c r="GA31" s="233"/>
      <c r="GB31" s="233"/>
      <c r="GC31" s="233"/>
      <c r="GD31" s="233"/>
      <c r="GE31" s="233"/>
      <c r="GF31" s="233"/>
      <c r="GG31" s="233"/>
      <c r="GH31" s="233"/>
      <c r="GI31" s="233"/>
      <c r="GJ31" s="233"/>
      <c r="GK31" s="233"/>
      <c r="GL31" s="233"/>
      <c r="GM31" s="233"/>
      <c r="GN31" s="233"/>
      <c r="GO31" s="233"/>
      <c r="GP31" s="233"/>
      <c r="GQ31" s="233"/>
      <c r="GR31" s="233"/>
      <c r="GS31" s="233"/>
      <c r="GT31" s="233"/>
      <c r="GU31" s="233"/>
      <c r="GV31" s="233"/>
      <c r="GW31" s="233"/>
      <c r="GX31" s="233"/>
      <c r="GY31" s="233"/>
      <c r="GZ31" s="233"/>
      <c r="HA31" s="233"/>
      <c r="HB31" s="233"/>
      <c r="HC31" s="233"/>
      <c r="HD31" s="233"/>
      <c r="HE31" s="233"/>
      <c r="HF31" s="233"/>
      <c r="HG31" s="233"/>
      <c r="HH31" s="233"/>
      <c r="HI31" s="233"/>
      <c r="HJ31" s="233"/>
      <c r="HK31" s="233"/>
      <c r="HL31" s="233"/>
      <c r="HM31" s="233"/>
      <c r="HN31" s="233"/>
      <c r="HO31" s="233"/>
      <c r="HP31" s="233"/>
      <c r="HQ31" s="233"/>
      <c r="HR31" s="233"/>
      <c r="HS31" s="233"/>
      <c r="HT31" s="233"/>
      <c r="HU31" s="233"/>
      <c r="HV31" s="233"/>
      <c r="HW31" s="233"/>
      <c r="HX31" s="233"/>
      <c r="HY31" s="233"/>
      <c r="HZ31" s="233"/>
      <c r="IA31" s="233"/>
      <c r="IB31" s="233"/>
      <c r="IC31" s="233"/>
      <c r="ID31" s="233"/>
      <c r="IE31" s="233"/>
      <c r="IF31" s="233"/>
      <c r="IG31" s="233"/>
      <c r="IH31" s="233"/>
      <c r="II31" s="233"/>
      <c r="IJ31" s="233"/>
      <c r="IK31" s="233"/>
      <c r="IL31" s="233"/>
      <c r="IM31" s="233"/>
      <c r="IN31" s="233"/>
      <c r="IO31" s="233"/>
      <c r="IP31" s="233"/>
      <c r="IQ31" s="233"/>
      <c r="IR31" s="233"/>
      <c r="IS31" s="233"/>
      <c r="IT31" s="233"/>
    </row>
    <row r="32" spans="1:254" ht="20.25" thickBot="1">
      <c r="A32" s="249" t="s">
        <v>424</v>
      </c>
      <c r="B32" s="251">
        <v>0</v>
      </c>
      <c r="C32" s="251">
        <v>0</v>
      </c>
      <c r="D32" s="251">
        <v>0</v>
      </c>
      <c r="E32" s="251">
        <v>0</v>
      </c>
      <c r="F32" s="251">
        <v>0</v>
      </c>
      <c r="G32" s="251">
        <v>0</v>
      </c>
      <c r="H32" s="251">
        <v>0</v>
      </c>
      <c r="I32" s="251">
        <v>0</v>
      </c>
      <c r="J32" s="251">
        <v>0</v>
      </c>
      <c r="K32" s="251">
        <v>0</v>
      </c>
      <c r="L32" s="251">
        <v>0</v>
      </c>
      <c r="M32" s="251">
        <v>0</v>
      </c>
      <c r="N32" s="251">
        <v>0</v>
      </c>
      <c r="O32" s="251">
        <v>0</v>
      </c>
      <c r="P32" s="250">
        <v>0</v>
      </c>
      <c r="Q32" s="250">
        <v>0</v>
      </c>
      <c r="R32" s="250">
        <v>0</v>
      </c>
      <c r="S32" s="250">
        <v>0</v>
      </c>
      <c r="T32" s="250">
        <v>0</v>
      </c>
      <c r="U32" s="250">
        <v>0</v>
      </c>
      <c r="V32" s="250">
        <v>0</v>
      </c>
      <c r="W32" s="250">
        <v>-246.5</v>
      </c>
      <c r="X32" s="250">
        <v>0</v>
      </c>
      <c r="Y32" s="250">
        <v>-78.7</v>
      </c>
      <c r="Z32" s="250">
        <v>0</v>
      </c>
      <c r="AA32" s="250">
        <v>0</v>
      </c>
      <c r="AB32" s="308">
        <v>0</v>
      </c>
      <c r="AC32" s="308">
        <v>0</v>
      </c>
      <c r="AD32" s="308">
        <v>0</v>
      </c>
      <c r="AE32" s="308">
        <v>0</v>
      </c>
      <c r="AF32" s="308">
        <v>0</v>
      </c>
      <c r="AG32" s="308">
        <v>0</v>
      </c>
      <c r="AH32" s="309">
        <v>0</v>
      </c>
      <c r="AI32" s="308">
        <v>0</v>
      </c>
      <c r="AJ32" s="308">
        <v>0</v>
      </c>
      <c r="AK32" s="308">
        <v>0</v>
      </c>
      <c r="AL32" s="308">
        <v>0</v>
      </c>
      <c r="AM32" s="308">
        <v>0</v>
      </c>
      <c r="AN32" s="308">
        <v>0</v>
      </c>
      <c r="AO32" s="308">
        <v>0</v>
      </c>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c r="CP32" s="233"/>
      <c r="CQ32" s="233"/>
      <c r="CR32" s="233"/>
      <c r="CS32" s="233"/>
      <c r="CT32" s="233"/>
      <c r="CU32" s="233"/>
      <c r="CV32" s="233"/>
      <c r="CW32" s="233"/>
      <c r="CX32" s="233"/>
      <c r="CY32" s="233"/>
      <c r="CZ32" s="233"/>
      <c r="DA32" s="233"/>
      <c r="DB32" s="233"/>
      <c r="DC32" s="233"/>
      <c r="DD32" s="233"/>
      <c r="DE32" s="233"/>
      <c r="DF32" s="233"/>
      <c r="DG32" s="233"/>
      <c r="DH32" s="233"/>
      <c r="DI32" s="233"/>
      <c r="DJ32" s="233"/>
      <c r="DK32" s="233"/>
      <c r="DL32" s="233"/>
      <c r="DM32" s="233"/>
      <c r="DN32" s="233"/>
      <c r="DO32" s="233"/>
      <c r="DP32" s="233"/>
      <c r="DQ32" s="233"/>
      <c r="DR32" s="233"/>
      <c r="DS32" s="233"/>
      <c r="DT32" s="233"/>
      <c r="DU32" s="233"/>
      <c r="DV32" s="233"/>
      <c r="DW32" s="233"/>
      <c r="DX32" s="233"/>
      <c r="DY32" s="233"/>
      <c r="DZ32" s="233"/>
      <c r="EA32" s="233"/>
      <c r="EB32" s="233"/>
      <c r="EC32" s="233"/>
      <c r="ED32" s="233"/>
      <c r="EE32" s="233"/>
      <c r="EF32" s="233"/>
      <c r="EG32" s="233"/>
      <c r="EH32" s="233"/>
      <c r="EI32" s="233"/>
      <c r="EJ32" s="233"/>
      <c r="EK32" s="233"/>
      <c r="EL32" s="233"/>
      <c r="EM32" s="233"/>
      <c r="EN32" s="233"/>
      <c r="EO32" s="233"/>
      <c r="EP32" s="233"/>
      <c r="EQ32" s="233"/>
      <c r="ER32" s="233"/>
      <c r="ES32" s="233"/>
      <c r="ET32" s="233"/>
      <c r="EU32" s="233"/>
      <c r="EV32" s="233"/>
      <c r="EW32" s="233"/>
      <c r="EX32" s="233"/>
      <c r="EY32" s="233"/>
      <c r="EZ32" s="233"/>
      <c r="FA32" s="233"/>
      <c r="FB32" s="233"/>
      <c r="FC32" s="233"/>
      <c r="FD32" s="233"/>
      <c r="FE32" s="233"/>
      <c r="FF32" s="233"/>
      <c r="FG32" s="233"/>
      <c r="FH32" s="233"/>
      <c r="FI32" s="233"/>
      <c r="FJ32" s="233"/>
      <c r="FK32" s="233"/>
      <c r="FL32" s="233"/>
      <c r="FM32" s="233"/>
      <c r="FN32" s="233"/>
      <c r="FO32" s="233"/>
      <c r="FP32" s="233"/>
      <c r="FQ32" s="233"/>
      <c r="FR32" s="233"/>
      <c r="FS32" s="233"/>
      <c r="FT32" s="233"/>
      <c r="FU32" s="233"/>
      <c r="FV32" s="233"/>
      <c r="FW32" s="233"/>
      <c r="FX32" s="233"/>
      <c r="FY32" s="233"/>
      <c r="FZ32" s="233"/>
      <c r="GA32" s="233"/>
      <c r="GB32" s="233"/>
      <c r="GC32" s="233"/>
      <c r="GD32" s="233"/>
      <c r="GE32" s="233"/>
      <c r="GF32" s="233"/>
      <c r="GG32" s="233"/>
      <c r="GH32" s="233"/>
      <c r="GI32" s="233"/>
      <c r="GJ32" s="233"/>
      <c r="GK32" s="233"/>
      <c r="GL32" s="233"/>
      <c r="GM32" s="233"/>
      <c r="GN32" s="233"/>
      <c r="GO32" s="233"/>
      <c r="GP32" s="233"/>
      <c r="GQ32" s="233"/>
      <c r="GR32" s="233"/>
      <c r="GS32" s="233"/>
      <c r="GT32" s="233"/>
      <c r="GU32" s="233"/>
      <c r="GV32" s="233"/>
      <c r="GW32" s="233"/>
      <c r="GX32" s="233"/>
      <c r="GY32" s="233"/>
      <c r="GZ32" s="233"/>
      <c r="HA32" s="233"/>
      <c r="HB32" s="233"/>
      <c r="HC32" s="233"/>
      <c r="HD32" s="233"/>
      <c r="HE32" s="233"/>
      <c r="HF32" s="233"/>
      <c r="HG32" s="233"/>
      <c r="HH32" s="233"/>
      <c r="HI32" s="233"/>
      <c r="HJ32" s="233"/>
      <c r="HK32" s="233"/>
      <c r="HL32" s="233"/>
      <c r="HM32" s="233"/>
      <c r="HN32" s="233"/>
      <c r="HO32" s="233"/>
      <c r="HP32" s="233"/>
      <c r="HQ32" s="233"/>
      <c r="HR32" s="233"/>
      <c r="HS32" s="233"/>
      <c r="HT32" s="233"/>
      <c r="HU32" s="233"/>
      <c r="HV32" s="233"/>
      <c r="HW32" s="233"/>
      <c r="HX32" s="233"/>
      <c r="HY32" s="233"/>
      <c r="HZ32" s="233"/>
      <c r="IA32" s="233"/>
      <c r="IB32" s="233"/>
      <c r="IC32" s="233"/>
      <c r="ID32" s="233"/>
      <c r="IE32" s="233"/>
      <c r="IF32" s="233"/>
      <c r="IG32" s="233"/>
      <c r="IH32" s="233"/>
      <c r="II32" s="233"/>
      <c r="IJ32" s="233"/>
      <c r="IK32" s="233"/>
      <c r="IL32" s="233"/>
      <c r="IM32" s="233"/>
      <c r="IN32" s="233"/>
      <c r="IO32" s="233"/>
      <c r="IP32" s="233"/>
      <c r="IQ32" s="233"/>
      <c r="IR32" s="233"/>
      <c r="IS32" s="233"/>
      <c r="IT32" s="233"/>
    </row>
    <row r="33" spans="1:254" s="260" customFormat="1" ht="20.25" thickBot="1">
      <c r="A33" s="310" t="s">
        <v>425</v>
      </c>
      <c r="B33" s="257">
        <f t="shared" ref="B33:AH33" si="8">SUM(B31:B32)</f>
        <v>0</v>
      </c>
      <c r="C33" s="257">
        <f t="shared" si="8"/>
        <v>0</v>
      </c>
      <c r="D33" s="257">
        <f t="shared" si="8"/>
        <v>0</v>
      </c>
      <c r="E33" s="257">
        <f t="shared" si="8"/>
        <v>0</v>
      </c>
      <c r="F33" s="257">
        <f t="shared" si="8"/>
        <v>0</v>
      </c>
      <c r="G33" s="257">
        <f t="shared" si="8"/>
        <v>0</v>
      </c>
      <c r="H33" s="257">
        <f t="shared" si="8"/>
        <v>0</v>
      </c>
      <c r="I33" s="257">
        <f t="shared" si="8"/>
        <v>0</v>
      </c>
      <c r="J33" s="257">
        <f t="shared" si="8"/>
        <v>0</v>
      </c>
      <c r="K33" s="257">
        <f t="shared" si="8"/>
        <v>0</v>
      </c>
      <c r="L33" s="257">
        <f t="shared" si="8"/>
        <v>0</v>
      </c>
      <c r="M33" s="257">
        <f t="shared" si="8"/>
        <v>0</v>
      </c>
      <c r="N33" s="257">
        <f t="shared" si="8"/>
        <v>0</v>
      </c>
      <c r="O33" s="257">
        <f t="shared" si="8"/>
        <v>0</v>
      </c>
      <c r="P33" s="257">
        <f t="shared" si="8"/>
        <v>0</v>
      </c>
      <c r="Q33" s="257">
        <f t="shared" si="8"/>
        <v>-45.2</v>
      </c>
      <c r="R33" s="257">
        <f t="shared" si="8"/>
        <v>-25.5</v>
      </c>
      <c r="S33" s="257">
        <f t="shared" si="8"/>
        <v>-29.7</v>
      </c>
      <c r="T33" s="257">
        <f t="shared" si="8"/>
        <v>-35.700000000000003</v>
      </c>
      <c r="U33" s="257">
        <f t="shared" si="8"/>
        <v>-46</v>
      </c>
      <c r="V33" s="257">
        <f t="shared" si="8"/>
        <v>-50.4</v>
      </c>
      <c r="W33" s="257">
        <f t="shared" si="8"/>
        <v>-583.1</v>
      </c>
      <c r="X33" s="257">
        <f t="shared" si="8"/>
        <v>-66.400000000000006</v>
      </c>
      <c r="Y33" s="257">
        <f t="shared" si="8"/>
        <v>-152.30000000000001</v>
      </c>
      <c r="Z33" s="257">
        <f t="shared" si="8"/>
        <v>-77</v>
      </c>
      <c r="AA33" s="257">
        <f t="shared" si="8"/>
        <v>-57.7</v>
      </c>
      <c r="AB33" s="311">
        <f t="shared" si="8"/>
        <v>-76.352833301624401</v>
      </c>
      <c r="AC33" s="312">
        <f t="shared" si="8"/>
        <v>-66.099999999999994</v>
      </c>
      <c r="AD33" s="312">
        <f t="shared" si="8"/>
        <v>-100.50973003828143</v>
      </c>
      <c r="AE33" s="312">
        <f t="shared" si="8"/>
        <v>-99.498658511615204</v>
      </c>
      <c r="AF33" s="312">
        <f t="shared" si="8"/>
        <v>-122.842830841389</v>
      </c>
      <c r="AG33" s="258">
        <f>SUM(AG31:AG32)</f>
        <v>-85.34922832657</v>
      </c>
      <c r="AH33" s="259">
        <f t="shared" si="8"/>
        <v>-76.981896231000007</v>
      </c>
      <c r="AI33" s="258">
        <f>SUM(AI31:AI32)</f>
        <v>-84.094192000000007</v>
      </c>
      <c r="AJ33" s="258">
        <f>SUM(AJ31:AJ32)</f>
        <v>-103.85257379362</v>
      </c>
      <c r="AK33" s="258">
        <f>SUM(AK31:AK32)</f>
        <v>-77.718258299588697</v>
      </c>
      <c r="AL33" s="258">
        <f>SUM(AL31:AL32)</f>
        <v>-72.627647443790963</v>
      </c>
      <c r="AM33" s="258">
        <f>SUM(AM31:AM32)</f>
        <v>-53.734971999999999</v>
      </c>
      <c r="AN33" s="258">
        <v>-70.129514034696797</v>
      </c>
      <c r="AO33" s="258">
        <v>-98.195331043509995</v>
      </c>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233"/>
      <c r="DA33" s="233"/>
      <c r="DB33" s="233"/>
      <c r="DC33" s="233"/>
      <c r="DD33" s="233"/>
      <c r="DE33" s="233"/>
      <c r="DF33" s="233"/>
      <c r="DG33" s="233"/>
      <c r="DH33" s="233"/>
      <c r="DI33" s="233"/>
      <c r="DJ33" s="233"/>
      <c r="DK33" s="233"/>
      <c r="DL33" s="233"/>
      <c r="DM33" s="233"/>
      <c r="DN33" s="233"/>
      <c r="DO33" s="233"/>
      <c r="DP33" s="233"/>
      <c r="DQ33" s="233"/>
      <c r="DR33" s="233"/>
      <c r="DS33" s="233"/>
      <c r="DT33" s="233"/>
      <c r="DU33" s="233"/>
      <c r="DV33" s="233"/>
      <c r="DW33" s="233"/>
      <c r="DX33" s="233"/>
      <c r="DY33" s="233"/>
      <c r="DZ33" s="233"/>
      <c r="EA33" s="233"/>
      <c r="EB33" s="233"/>
      <c r="EC33" s="233"/>
      <c r="ED33" s="233"/>
      <c r="EE33" s="233"/>
      <c r="EF33" s="233"/>
      <c r="EG33" s="233"/>
      <c r="EH33" s="233"/>
      <c r="EI33" s="233"/>
      <c r="EJ33" s="233"/>
      <c r="EK33" s="233"/>
      <c r="EL33" s="233"/>
      <c r="EM33" s="233"/>
      <c r="EN33" s="233"/>
      <c r="EO33" s="233"/>
      <c r="EP33" s="233"/>
      <c r="EQ33" s="233"/>
      <c r="ER33" s="233"/>
      <c r="ES33" s="233"/>
      <c r="ET33" s="233"/>
      <c r="EU33" s="233"/>
      <c r="EV33" s="233"/>
      <c r="EW33" s="233"/>
      <c r="EX33" s="233"/>
      <c r="EY33" s="233"/>
      <c r="EZ33" s="233"/>
      <c r="FA33" s="233"/>
      <c r="FB33" s="233"/>
      <c r="FC33" s="233"/>
      <c r="FD33" s="233"/>
      <c r="FE33" s="233"/>
      <c r="FF33" s="233"/>
      <c r="FG33" s="233"/>
      <c r="FH33" s="233"/>
      <c r="FI33" s="233"/>
      <c r="FJ33" s="233"/>
      <c r="FK33" s="233"/>
      <c r="FL33" s="233"/>
      <c r="FM33" s="233"/>
      <c r="FN33" s="233"/>
      <c r="FO33" s="233"/>
      <c r="FP33" s="233"/>
      <c r="FQ33" s="233"/>
      <c r="FR33" s="233"/>
      <c r="FS33" s="233"/>
      <c r="FT33" s="233"/>
      <c r="FU33" s="233"/>
      <c r="FV33" s="233"/>
      <c r="FW33" s="233"/>
      <c r="FX33" s="233"/>
      <c r="FY33" s="233"/>
      <c r="FZ33" s="233"/>
      <c r="GA33" s="233"/>
      <c r="GB33" s="233"/>
      <c r="GC33" s="233"/>
      <c r="GD33" s="233"/>
      <c r="GE33" s="233"/>
      <c r="GF33" s="233"/>
      <c r="GG33" s="233"/>
      <c r="GH33" s="233"/>
      <c r="GI33" s="233"/>
      <c r="GJ33" s="233"/>
      <c r="GK33" s="233"/>
      <c r="GL33" s="233"/>
      <c r="GM33" s="233"/>
      <c r="GN33" s="233"/>
      <c r="GO33" s="233"/>
      <c r="GP33" s="233"/>
      <c r="GQ33" s="233"/>
      <c r="GR33" s="233"/>
      <c r="GS33" s="233"/>
      <c r="GT33" s="233"/>
      <c r="GU33" s="233"/>
      <c r="GV33" s="233"/>
      <c r="GW33" s="233"/>
      <c r="GX33" s="233"/>
      <c r="GY33" s="233"/>
      <c r="GZ33" s="233"/>
      <c r="HA33" s="233"/>
      <c r="HB33" s="233"/>
      <c r="HC33" s="233"/>
      <c r="HD33" s="233"/>
      <c r="HE33" s="233"/>
      <c r="HF33" s="233"/>
      <c r="HG33" s="233"/>
      <c r="HH33" s="233"/>
      <c r="HI33" s="233"/>
      <c r="HJ33" s="233"/>
      <c r="HK33" s="233"/>
      <c r="HL33" s="233"/>
      <c r="HM33" s="233"/>
      <c r="HN33" s="233"/>
      <c r="HO33" s="233"/>
      <c r="HP33" s="233"/>
      <c r="HQ33" s="233"/>
      <c r="HR33" s="233"/>
      <c r="HS33" s="233"/>
      <c r="HT33" s="233"/>
      <c r="HU33" s="233"/>
      <c r="HV33" s="233"/>
      <c r="HW33" s="233"/>
      <c r="HX33" s="233"/>
      <c r="HY33" s="233"/>
      <c r="HZ33" s="233"/>
      <c r="IA33" s="233"/>
      <c r="IB33" s="233"/>
      <c r="IC33" s="233"/>
      <c r="ID33" s="233"/>
      <c r="IE33" s="233"/>
      <c r="IF33" s="233"/>
      <c r="IG33" s="233"/>
      <c r="IH33" s="233"/>
      <c r="II33" s="233"/>
      <c r="IJ33" s="233"/>
      <c r="IK33" s="233"/>
      <c r="IL33" s="233"/>
      <c r="IM33" s="233"/>
      <c r="IN33" s="233"/>
      <c r="IO33" s="233"/>
      <c r="IP33" s="233"/>
      <c r="IQ33" s="233"/>
      <c r="IR33" s="233"/>
      <c r="IS33" s="233"/>
      <c r="IT33" s="233"/>
    </row>
    <row r="34" spans="1:254" ht="37.5" customHeight="1">
      <c r="A34" s="376" t="s">
        <v>426</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c r="CC34" s="233"/>
      <c r="CD34" s="233"/>
      <c r="CE34" s="233"/>
      <c r="CF34" s="233"/>
      <c r="CG34" s="233"/>
      <c r="CH34" s="233"/>
      <c r="CI34" s="233"/>
      <c r="CJ34" s="233"/>
      <c r="CK34" s="233"/>
      <c r="CL34" s="233"/>
      <c r="CM34" s="233"/>
      <c r="CN34" s="233"/>
      <c r="CO34" s="233"/>
      <c r="CP34" s="233"/>
      <c r="CQ34" s="233"/>
      <c r="CR34" s="233"/>
      <c r="CS34" s="233"/>
      <c r="CT34" s="233"/>
      <c r="CU34" s="233"/>
      <c r="CV34" s="233"/>
      <c r="CW34" s="233"/>
      <c r="CX34" s="233"/>
      <c r="CY34" s="233"/>
      <c r="CZ34" s="233"/>
      <c r="DA34" s="233"/>
      <c r="DB34" s="233"/>
      <c r="DC34" s="233"/>
      <c r="DD34" s="233"/>
      <c r="DE34" s="233"/>
      <c r="DF34" s="233"/>
      <c r="DG34" s="233"/>
      <c r="DH34" s="233"/>
      <c r="DI34" s="233"/>
      <c r="DJ34" s="233"/>
      <c r="DK34" s="233"/>
      <c r="DL34" s="233"/>
      <c r="DM34" s="233"/>
      <c r="DN34" s="233"/>
      <c r="DO34" s="233"/>
      <c r="DP34" s="233"/>
      <c r="DQ34" s="233"/>
      <c r="DR34" s="233"/>
      <c r="DS34" s="233"/>
      <c r="DT34" s="233"/>
      <c r="DU34" s="233"/>
      <c r="DV34" s="233"/>
      <c r="DW34" s="233"/>
      <c r="DX34" s="233"/>
      <c r="DY34" s="233"/>
      <c r="DZ34" s="233"/>
      <c r="EA34" s="233"/>
      <c r="EB34" s="233"/>
      <c r="EC34" s="233"/>
      <c r="ED34" s="233"/>
      <c r="EE34" s="233"/>
      <c r="EF34" s="233"/>
      <c r="EG34" s="233"/>
      <c r="EH34" s="233"/>
      <c r="EI34" s="233"/>
      <c r="EJ34" s="233"/>
      <c r="EK34" s="233"/>
      <c r="EL34" s="233"/>
      <c r="EM34" s="233"/>
      <c r="EN34" s="233"/>
      <c r="EO34" s="233"/>
      <c r="EP34" s="233"/>
      <c r="EQ34" s="233"/>
      <c r="ER34" s="233"/>
      <c r="ES34" s="233"/>
      <c r="ET34" s="233"/>
      <c r="EU34" s="233"/>
      <c r="EV34" s="233"/>
      <c r="EW34" s="233"/>
      <c r="EX34" s="233"/>
      <c r="EY34" s="233"/>
      <c r="EZ34" s="233"/>
      <c r="FA34" s="233"/>
      <c r="FB34" s="233"/>
      <c r="FC34" s="233"/>
      <c r="FD34" s="233"/>
      <c r="FE34" s="233"/>
      <c r="FF34" s="233"/>
      <c r="FG34" s="233"/>
      <c r="FH34" s="233"/>
      <c r="FI34" s="233"/>
      <c r="FJ34" s="233"/>
      <c r="FK34" s="233"/>
      <c r="FL34" s="233"/>
      <c r="FM34" s="233"/>
      <c r="FN34" s="233"/>
      <c r="FO34" s="233"/>
      <c r="FP34" s="233"/>
      <c r="FQ34" s="233"/>
      <c r="FR34" s="233"/>
      <c r="FS34" s="233"/>
      <c r="FT34" s="233"/>
      <c r="FU34" s="233"/>
      <c r="FV34" s="233"/>
      <c r="FW34" s="233"/>
      <c r="FX34" s="233"/>
      <c r="FY34" s="233"/>
      <c r="FZ34" s="233"/>
      <c r="GA34" s="233"/>
      <c r="GB34" s="233"/>
      <c r="GC34" s="233"/>
      <c r="GD34" s="233"/>
      <c r="GE34" s="233"/>
      <c r="GF34" s="233"/>
      <c r="GG34" s="233"/>
      <c r="GH34" s="233"/>
      <c r="GI34" s="233"/>
      <c r="GJ34" s="233"/>
      <c r="GK34" s="233"/>
      <c r="GL34" s="233"/>
      <c r="GM34" s="233"/>
      <c r="GN34" s="233"/>
      <c r="GO34" s="233"/>
      <c r="GP34" s="233"/>
      <c r="GQ34" s="233"/>
      <c r="GR34" s="233"/>
      <c r="GS34" s="233"/>
      <c r="GT34" s="233"/>
      <c r="GU34" s="233"/>
      <c r="GV34" s="233"/>
      <c r="GW34" s="233"/>
      <c r="GX34" s="233"/>
      <c r="GY34" s="233"/>
      <c r="GZ34" s="233"/>
      <c r="HA34" s="233"/>
      <c r="HB34" s="233"/>
      <c r="HC34" s="233"/>
      <c r="HD34" s="233"/>
      <c r="HE34" s="233"/>
      <c r="HF34" s="233"/>
      <c r="HG34" s="233"/>
      <c r="HH34" s="233"/>
      <c r="HI34" s="233"/>
      <c r="HJ34" s="233"/>
      <c r="HK34" s="233"/>
      <c r="HL34" s="233"/>
      <c r="HM34" s="233"/>
      <c r="HN34" s="233"/>
      <c r="HO34" s="233"/>
      <c r="HP34" s="233"/>
      <c r="HQ34" s="233"/>
      <c r="HR34" s="233"/>
      <c r="HS34" s="233"/>
      <c r="HT34" s="233"/>
      <c r="HU34" s="233"/>
      <c r="HV34" s="233"/>
      <c r="HW34" s="233"/>
      <c r="HX34" s="233"/>
      <c r="HY34" s="233"/>
      <c r="HZ34" s="233"/>
      <c r="IA34" s="233"/>
      <c r="IB34" s="233"/>
      <c r="IC34" s="233"/>
      <c r="ID34" s="233"/>
      <c r="IE34" s="233"/>
      <c r="IF34" s="233"/>
      <c r="IG34" s="233"/>
      <c r="IH34" s="233"/>
      <c r="II34" s="233"/>
      <c r="IJ34" s="233"/>
      <c r="IK34" s="233"/>
      <c r="IL34" s="233"/>
      <c r="IM34" s="233"/>
      <c r="IN34" s="233"/>
      <c r="IO34" s="233"/>
      <c r="IP34" s="233"/>
      <c r="IQ34" s="233"/>
      <c r="IR34" s="233"/>
      <c r="IS34" s="233"/>
      <c r="IT34" s="233"/>
    </row>
    <row r="35" spans="1:254" ht="50.25" customHeight="1">
      <c r="A35" s="372" t="s">
        <v>254</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row>
    <row r="36" spans="1:254" ht="19.5" customHeight="1">
      <c r="A36" s="377" t="s">
        <v>255</v>
      </c>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row>
    <row r="37" spans="1:254" ht="27" customHeight="1">
      <c r="A37" s="372" t="s">
        <v>256</v>
      </c>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row>
    <row r="38" spans="1:254" ht="19.5" customHeight="1">
      <c r="A38" s="372" t="s">
        <v>257</v>
      </c>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row>
    <row r="39" spans="1:254" ht="15" customHeight="1">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row>
    <row r="40" spans="1:254" ht="15" customHeight="1">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row>
    <row r="41" spans="1:254" ht="15" customHeight="1">
      <c r="A41" s="313"/>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row>
    <row r="42" spans="1:254" ht="15" customHeight="1">
      <c r="A42" s="313"/>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row>
    <row r="43" spans="1:254" ht="15" customHeight="1">
      <c r="A43" s="313"/>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row>
    <row r="44" spans="1:254" ht="15" customHeight="1">
      <c r="A44" s="313"/>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row>
    <row r="45" spans="1:254" ht="15" customHeight="1">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row>
    <row r="46" spans="1:254" ht="15" customHeight="1">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row>
    <row r="47" spans="1:254" ht="15" customHeight="1">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row>
    <row r="48" spans="1:254" ht="15" customHeight="1">
      <c r="A48" s="313"/>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row>
    <row r="49" spans="1:30" ht="15" customHeight="1">
      <c r="A49" s="313"/>
      <c r="B49" s="314">
        <v>3</v>
      </c>
      <c r="C49" s="314">
        <v>4</v>
      </c>
      <c r="D49" s="314">
        <v>5</v>
      </c>
      <c r="E49" s="314">
        <v>6</v>
      </c>
      <c r="F49" s="314">
        <v>7</v>
      </c>
      <c r="G49" s="314">
        <v>8</v>
      </c>
      <c r="H49" s="314">
        <v>9</v>
      </c>
      <c r="I49" s="314">
        <v>10</v>
      </c>
      <c r="J49" s="314">
        <v>11</v>
      </c>
      <c r="K49" s="314">
        <v>12</v>
      </c>
      <c r="L49" s="314">
        <v>13</v>
      </c>
      <c r="M49" s="314">
        <v>14</v>
      </c>
      <c r="N49" s="314">
        <v>15</v>
      </c>
      <c r="O49" s="314">
        <v>16</v>
      </c>
      <c r="P49" s="314">
        <v>17</v>
      </c>
      <c r="Q49" s="314">
        <v>18</v>
      </c>
      <c r="R49" s="314">
        <v>19</v>
      </c>
      <c r="S49" s="314">
        <v>20</v>
      </c>
      <c r="T49" s="314">
        <v>21</v>
      </c>
      <c r="U49" s="314">
        <v>22</v>
      </c>
      <c r="V49" s="314">
        <v>23</v>
      </c>
      <c r="W49" s="314">
        <v>24</v>
      </c>
      <c r="X49" s="314">
        <v>25</v>
      </c>
      <c r="Y49" s="314">
        <v>26</v>
      </c>
      <c r="Z49" s="314">
        <v>27</v>
      </c>
      <c r="AA49" s="314">
        <v>28</v>
      </c>
      <c r="AB49" s="314">
        <v>29</v>
      </c>
      <c r="AC49" s="314">
        <v>30</v>
      </c>
    </row>
    <row r="50" spans="1:30" ht="15" customHeight="1">
      <c r="A50" s="313"/>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row>
    <row r="51" spans="1:30" ht="15" customHeight="1">
      <c r="A51" s="313"/>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row>
    <row r="52" spans="1:30" ht="21.75">
      <c r="B52" s="227"/>
      <c r="C52" s="227"/>
      <c r="D52" s="227"/>
      <c r="E52" s="316" t="s">
        <v>427</v>
      </c>
      <c r="F52" s="227"/>
      <c r="G52" s="227"/>
      <c r="H52" s="227"/>
      <c r="I52" s="227"/>
      <c r="J52" s="227"/>
      <c r="K52" s="227"/>
      <c r="L52" s="227"/>
      <c r="M52" s="227"/>
      <c r="N52" s="227"/>
      <c r="O52" s="316" t="s">
        <v>427</v>
      </c>
      <c r="Q52" s="227"/>
      <c r="R52" s="227"/>
      <c r="S52" s="227"/>
      <c r="T52" s="227"/>
      <c r="U52" s="227"/>
      <c r="V52" s="227"/>
      <c r="W52" s="227"/>
      <c r="X52" s="227"/>
      <c r="Y52" s="316" t="s">
        <v>427</v>
      </c>
      <c r="Z52" s="227"/>
      <c r="AA52" s="227"/>
      <c r="AB52" s="227"/>
      <c r="AC52" s="227"/>
    </row>
    <row r="53" spans="1:30" ht="21.75">
      <c r="A53" s="317"/>
      <c r="B53" s="318" t="str">
        <f>'BPA Costs Table'!B2</f>
        <v xml:space="preserve"> 1978-1980</v>
      </c>
      <c r="C53" s="318" t="str">
        <f>'BPA Costs Table'!C2</f>
        <v xml:space="preserve"> 1981</v>
      </c>
      <c r="D53" s="318" t="str">
        <f>'BPA Costs Table'!D2</f>
        <v xml:space="preserve"> 1982</v>
      </c>
      <c r="E53" s="318" t="str">
        <f>'BPA Costs Table'!E2</f>
        <v xml:space="preserve"> 1983</v>
      </c>
      <c r="F53" s="318" t="str">
        <f>'BPA Costs Table'!F2</f>
        <v xml:space="preserve"> 1984</v>
      </c>
      <c r="G53" s="318" t="str">
        <f>'BPA Costs Table'!G2</f>
        <v xml:space="preserve"> 1985</v>
      </c>
      <c r="H53" s="318" t="str">
        <f>'BPA Costs Table'!H2</f>
        <v xml:space="preserve"> 1986</v>
      </c>
      <c r="I53" s="318" t="str">
        <f>'BPA Costs Table'!I2</f>
        <v xml:space="preserve"> 1987</v>
      </c>
      <c r="J53" s="318" t="str">
        <f>'BPA Costs Table'!J2</f>
        <v xml:space="preserve"> 1988</v>
      </c>
      <c r="K53" s="318" t="str">
        <f>'BPA Costs Table'!K2</f>
        <v xml:space="preserve"> 1989</v>
      </c>
      <c r="L53" s="318" t="str">
        <f>'BPA Costs Table'!L2</f>
        <v xml:space="preserve"> 1990</v>
      </c>
      <c r="M53" s="318" t="str">
        <f>'BPA Costs Table'!M2</f>
        <v xml:space="preserve"> 1991</v>
      </c>
      <c r="N53" s="318">
        <f>'BPA Costs Table'!N2</f>
        <v>1992</v>
      </c>
      <c r="O53" s="318">
        <f>'BPA Costs Table'!O2</f>
        <v>1993</v>
      </c>
      <c r="P53" s="318">
        <f>'BPA Costs Table'!P2</f>
        <v>1994</v>
      </c>
      <c r="Q53" s="318">
        <f>'BPA Costs Table'!Q2</f>
        <v>1995</v>
      </c>
      <c r="R53" s="318">
        <f>'BPA Costs Table'!R2</f>
        <v>1996</v>
      </c>
      <c r="S53" s="318">
        <f>'BPA Costs Table'!S2</f>
        <v>1997</v>
      </c>
      <c r="T53" s="318">
        <f>'BPA Costs Table'!T2</f>
        <v>1998</v>
      </c>
      <c r="U53" s="318">
        <f>'BPA Costs Table'!U2</f>
        <v>1999</v>
      </c>
      <c r="V53" s="318">
        <f>'BPA Costs Table'!V2</f>
        <v>2000</v>
      </c>
      <c r="W53" s="318">
        <f>'BPA Costs Table'!W2</f>
        <v>2001</v>
      </c>
      <c r="X53" s="318">
        <f>'BPA Costs Table'!X2</f>
        <v>2002</v>
      </c>
      <c r="Y53" s="318">
        <f>'BPA Costs Table'!Y2</f>
        <v>2003</v>
      </c>
      <c r="Z53" s="318">
        <f>'BPA Costs Table'!Z2</f>
        <v>2004</v>
      </c>
      <c r="AA53" s="318">
        <f>'BPA Costs Table'!AA2</f>
        <v>2005</v>
      </c>
      <c r="AB53" s="318">
        <f>'BPA Costs Table'!AB2</f>
        <v>2006</v>
      </c>
      <c r="AC53" s="318">
        <f>'BPA Costs Table'!AC2</f>
        <v>2007</v>
      </c>
    </row>
    <row r="54" spans="1:30" ht="23.25" customHeight="1">
      <c r="A54" s="319" t="s">
        <v>428</v>
      </c>
      <c r="B54" s="320">
        <f>'BPA Costs Table'!B29+'BPA Costs Table'!B33</f>
        <v>41.3</v>
      </c>
      <c r="C54" s="320">
        <f>'BPA Costs Table'!C29+'BPA Costs Table'!C33</f>
        <v>20.2</v>
      </c>
      <c r="D54" s="320">
        <f>'BPA Costs Table'!D29+'BPA Costs Table'!D33</f>
        <v>42.5</v>
      </c>
      <c r="E54" s="320">
        <f>'BPA Costs Table'!E29+'BPA Costs Table'!E33</f>
        <v>40.199999999999996</v>
      </c>
      <c r="F54" s="320">
        <f>'BPA Costs Table'!F29+'BPA Costs Table'!F33</f>
        <v>72.2</v>
      </c>
      <c r="G54" s="320">
        <f>'BPA Costs Table'!G29+'BPA Costs Table'!G33</f>
        <v>99.5</v>
      </c>
      <c r="H54" s="320">
        <f>'BPA Costs Table'!H29+'BPA Costs Table'!H33</f>
        <v>158.4</v>
      </c>
      <c r="I54" s="320">
        <f>'BPA Costs Table'!I29+'BPA Costs Table'!I33</f>
        <v>100.4</v>
      </c>
      <c r="J54" s="320">
        <f>'BPA Costs Table'!J29+'BPA Costs Table'!J33</f>
        <v>118.8</v>
      </c>
      <c r="K54" s="320">
        <f>'BPA Costs Table'!K29+'BPA Costs Table'!K33</f>
        <v>133.5</v>
      </c>
      <c r="L54" s="320">
        <f>'BPA Costs Table'!L29+'BPA Costs Table'!L33</f>
        <v>145.5</v>
      </c>
      <c r="M54" s="320">
        <f>'BPA Costs Table'!M29+'BPA Costs Table'!M33</f>
        <v>150.5</v>
      </c>
      <c r="N54" s="320">
        <f>'BPA Costs Table'!N29+'BPA Costs Table'!N33</f>
        <v>219.3</v>
      </c>
      <c r="O54" s="320">
        <f>'BPA Costs Table'!O29+'BPA Costs Table'!O33</f>
        <v>282.7</v>
      </c>
      <c r="P54" s="320">
        <f>'BPA Costs Table'!P29+'BPA Costs Table'!P33</f>
        <v>325.79999999999995</v>
      </c>
      <c r="Q54" s="320">
        <f>'BPA Costs Table'!Q29+'BPA Costs Table'!Q33</f>
        <v>196.5</v>
      </c>
      <c r="R54" s="320">
        <f>'BPA Costs Table'!R29+'BPA Costs Table'!R33</f>
        <v>233.2</v>
      </c>
      <c r="S54" s="320">
        <f>'BPA Costs Table'!S29+'BPA Costs Table'!S33</f>
        <v>272.5</v>
      </c>
      <c r="T54" s="320">
        <f>'BPA Costs Table'!T29+'BPA Costs Table'!T33</f>
        <v>301.58</v>
      </c>
      <c r="U54" s="320">
        <f>'BPA Costs Table'!U29+'BPA Costs Table'!U33</f>
        <v>422.6</v>
      </c>
      <c r="V54" s="320">
        <f>'BPA Costs Table'!V29+'BPA Costs Table'!V33</f>
        <v>429.6</v>
      </c>
      <c r="W54" s="320">
        <f>'BPA Costs Table'!W29+'BPA Costs Table'!W33</f>
        <v>1147.0999999999999</v>
      </c>
      <c r="X54" s="320">
        <f>'BPA Costs Table'!X29+'BPA Costs Table'!X33</f>
        <v>367.31000000000006</v>
      </c>
      <c r="Y54" s="320">
        <f>'BPA Costs Table'!Y29+'BPA Costs Table'!Y33</f>
        <v>378.25500000000005</v>
      </c>
      <c r="Z54" s="320">
        <f>'BPA Costs Table'!Z29+'BPA Costs Table'!Z33</f>
        <v>424</v>
      </c>
      <c r="AA54" s="320">
        <f>'BPA Costs Table'!AA29+'BPA Costs Table'!AA33</f>
        <v>518.62999999999988</v>
      </c>
      <c r="AB54" s="320">
        <f>'BPA Costs Table'!AB29+'BPA Costs Table'!AB33</f>
        <v>775.31290669117573</v>
      </c>
      <c r="AC54" s="320">
        <f>'BPA Costs Table'!AC29+'BPA Costs Table'!AC33</f>
        <v>649.87199999999996</v>
      </c>
    </row>
    <row r="55" spans="1:30" ht="23.25" customHeight="1">
      <c r="A55" s="321" t="s">
        <v>429</v>
      </c>
      <c r="B55" s="320">
        <f>B54</f>
        <v>41.3</v>
      </c>
      <c r="C55" s="320">
        <f t="shared" ref="C55:AC55" si="9">B55+C54</f>
        <v>61.5</v>
      </c>
      <c r="D55" s="320">
        <f t="shared" si="9"/>
        <v>104</v>
      </c>
      <c r="E55" s="320">
        <f t="shared" si="9"/>
        <v>144.19999999999999</v>
      </c>
      <c r="F55" s="320">
        <f t="shared" si="9"/>
        <v>216.39999999999998</v>
      </c>
      <c r="G55" s="320">
        <f t="shared" si="9"/>
        <v>315.89999999999998</v>
      </c>
      <c r="H55" s="320">
        <f t="shared" si="9"/>
        <v>474.29999999999995</v>
      </c>
      <c r="I55" s="320">
        <f t="shared" si="9"/>
        <v>574.69999999999993</v>
      </c>
      <c r="J55" s="320">
        <f t="shared" si="9"/>
        <v>693.49999999999989</v>
      </c>
      <c r="K55" s="320">
        <f t="shared" si="9"/>
        <v>826.99999999999989</v>
      </c>
      <c r="L55" s="320">
        <f t="shared" si="9"/>
        <v>972.49999999999989</v>
      </c>
      <c r="M55" s="320">
        <f t="shared" si="9"/>
        <v>1123</v>
      </c>
      <c r="N55" s="320">
        <f t="shared" si="9"/>
        <v>1342.3</v>
      </c>
      <c r="O55" s="320">
        <f t="shared" si="9"/>
        <v>1625</v>
      </c>
      <c r="P55" s="320">
        <f t="shared" si="9"/>
        <v>1950.8</v>
      </c>
      <c r="Q55" s="320">
        <f t="shared" si="9"/>
        <v>2147.3000000000002</v>
      </c>
      <c r="R55" s="320">
        <f t="shared" si="9"/>
        <v>2380.5</v>
      </c>
      <c r="S55" s="320">
        <f t="shared" si="9"/>
        <v>2653</v>
      </c>
      <c r="T55" s="320">
        <f t="shared" si="9"/>
        <v>2954.58</v>
      </c>
      <c r="U55" s="320">
        <f t="shared" si="9"/>
        <v>3377.18</v>
      </c>
      <c r="V55" s="320">
        <f t="shared" si="9"/>
        <v>3806.7799999999997</v>
      </c>
      <c r="W55" s="320">
        <f t="shared" si="9"/>
        <v>4953.8799999999992</v>
      </c>
      <c r="X55" s="320">
        <f t="shared" si="9"/>
        <v>5321.19</v>
      </c>
      <c r="Y55" s="320">
        <f t="shared" si="9"/>
        <v>5699.4449999999997</v>
      </c>
      <c r="Z55" s="320">
        <f t="shared" si="9"/>
        <v>6123.4449999999997</v>
      </c>
      <c r="AA55" s="320">
        <f t="shared" si="9"/>
        <v>6642.0749999999998</v>
      </c>
      <c r="AB55" s="320">
        <f t="shared" si="9"/>
        <v>7417.3879066911759</v>
      </c>
      <c r="AC55" s="320">
        <f t="shared" si="9"/>
        <v>8067.2599066911762</v>
      </c>
    </row>
    <row r="56" spans="1:30" ht="23.25" customHeight="1">
      <c r="A56" s="322" t="s">
        <v>430</v>
      </c>
      <c r="B56" s="323">
        <f>B29</f>
        <v>41.3</v>
      </c>
      <c r="C56" s="323">
        <f t="shared" ref="C56:AC56" si="10">C29</f>
        <v>20.2</v>
      </c>
      <c r="D56" s="323">
        <f t="shared" si="10"/>
        <v>42.5</v>
      </c>
      <c r="E56" s="323">
        <f t="shared" si="10"/>
        <v>40.199999999999996</v>
      </c>
      <c r="F56" s="323">
        <f t="shared" si="10"/>
        <v>72.2</v>
      </c>
      <c r="G56" s="323">
        <f t="shared" si="10"/>
        <v>99.5</v>
      </c>
      <c r="H56" s="323">
        <f t="shared" si="10"/>
        <v>158.4</v>
      </c>
      <c r="I56" s="323">
        <f t="shared" si="10"/>
        <v>100.4</v>
      </c>
      <c r="J56" s="323">
        <f t="shared" si="10"/>
        <v>118.8</v>
      </c>
      <c r="K56" s="323">
        <f t="shared" si="10"/>
        <v>133.5</v>
      </c>
      <c r="L56" s="323">
        <f t="shared" si="10"/>
        <v>145.5</v>
      </c>
      <c r="M56" s="323">
        <f t="shared" si="10"/>
        <v>150.5</v>
      </c>
      <c r="N56" s="323">
        <f t="shared" si="10"/>
        <v>219.3</v>
      </c>
      <c r="O56" s="323">
        <f t="shared" si="10"/>
        <v>282.7</v>
      </c>
      <c r="P56" s="323">
        <f t="shared" si="10"/>
        <v>325.79999999999995</v>
      </c>
      <c r="Q56" s="323">
        <f t="shared" si="10"/>
        <v>241.7</v>
      </c>
      <c r="R56" s="323">
        <f t="shared" si="10"/>
        <v>258.7</v>
      </c>
      <c r="S56" s="323">
        <f t="shared" si="10"/>
        <v>302.2</v>
      </c>
      <c r="T56" s="323">
        <f t="shared" si="10"/>
        <v>337.28</v>
      </c>
      <c r="U56" s="323">
        <f t="shared" si="10"/>
        <v>468.6</v>
      </c>
      <c r="V56" s="323">
        <f t="shared" si="10"/>
        <v>480</v>
      </c>
      <c r="W56" s="323">
        <f t="shared" si="10"/>
        <v>1730.2</v>
      </c>
      <c r="X56" s="323">
        <f t="shared" si="10"/>
        <v>433.71000000000004</v>
      </c>
      <c r="Y56" s="323">
        <f t="shared" si="10"/>
        <v>530.55500000000006</v>
      </c>
      <c r="Z56" s="323">
        <f t="shared" si="10"/>
        <v>501</v>
      </c>
      <c r="AA56" s="323">
        <f t="shared" si="10"/>
        <v>576.32999999999993</v>
      </c>
      <c r="AB56" s="323">
        <f t="shared" si="10"/>
        <v>851.66573999280013</v>
      </c>
      <c r="AC56" s="323">
        <f t="shared" si="10"/>
        <v>715.97199999999998</v>
      </c>
      <c r="AD56" s="227"/>
    </row>
    <row r="57" spans="1:30" ht="23.25" customHeight="1">
      <c r="A57" s="324" t="s">
        <v>429</v>
      </c>
      <c r="B57" s="325">
        <f>B56</f>
        <v>41.3</v>
      </c>
      <c r="C57" s="325">
        <f t="shared" ref="C57:AC57" si="11">B57+C29</f>
        <v>61.5</v>
      </c>
      <c r="D57" s="325">
        <f t="shared" si="11"/>
        <v>104</v>
      </c>
      <c r="E57" s="325">
        <f t="shared" si="11"/>
        <v>144.19999999999999</v>
      </c>
      <c r="F57" s="325">
        <f t="shared" si="11"/>
        <v>216.39999999999998</v>
      </c>
      <c r="G57" s="325">
        <f t="shared" si="11"/>
        <v>315.89999999999998</v>
      </c>
      <c r="H57" s="325">
        <f t="shared" si="11"/>
        <v>474.29999999999995</v>
      </c>
      <c r="I57" s="325">
        <f t="shared" si="11"/>
        <v>574.69999999999993</v>
      </c>
      <c r="J57" s="325">
        <f t="shared" si="11"/>
        <v>693.49999999999989</v>
      </c>
      <c r="K57" s="325">
        <f t="shared" si="11"/>
        <v>826.99999999999989</v>
      </c>
      <c r="L57" s="325">
        <f t="shared" si="11"/>
        <v>972.49999999999989</v>
      </c>
      <c r="M57" s="325">
        <f t="shared" si="11"/>
        <v>1123</v>
      </c>
      <c r="N57" s="325">
        <f t="shared" si="11"/>
        <v>1342.3</v>
      </c>
      <c r="O57" s="325">
        <f t="shared" si="11"/>
        <v>1625</v>
      </c>
      <c r="P57" s="325">
        <f t="shared" si="11"/>
        <v>1950.8</v>
      </c>
      <c r="Q57" s="325">
        <f t="shared" si="11"/>
        <v>2192.5</v>
      </c>
      <c r="R57" s="325">
        <f t="shared" si="11"/>
        <v>2451.1999999999998</v>
      </c>
      <c r="S57" s="325">
        <f t="shared" si="11"/>
        <v>2753.3999999999996</v>
      </c>
      <c r="T57" s="325">
        <f t="shared" si="11"/>
        <v>3090.6799999999994</v>
      </c>
      <c r="U57" s="325">
        <f t="shared" si="11"/>
        <v>3559.2799999999993</v>
      </c>
      <c r="V57" s="325">
        <f t="shared" si="11"/>
        <v>4039.2799999999993</v>
      </c>
      <c r="W57" s="325">
        <f t="shared" si="11"/>
        <v>5769.48</v>
      </c>
      <c r="X57" s="325">
        <f t="shared" si="11"/>
        <v>6203.19</v>
      </c>
      <c r="Y57" s="325">
        <f t="shared" si="11"/>
        <v>6733.7449999999999</v>
      </c>
      <c r="Z57" s="325">
        <f t="shared" si="11"/>
        <v>7234.7449999999999</v>
      </c>
      <c r="AA57" s="325">
        <f t="shared" si="11"/>
        <v>7811.0749999999998</v>
      </c>
      <c r="AB57" s="325">
        <f t="shared" si="11"/>
        <v>8662.7407399927997</v>
      </c>
      <c r="AC57" s="325">
        <f t="shared" si="11"/>
        <v>9378.7127399927995</v>
      </c>
      <c r="AD57" s="227"/>
    </row>
    <row r="58" spans="1:30" ht="21.75">
      <c r="A58" s="326" t="s">
        <v>431</v>
      </c>
      <c r="B58" s="327">
        <f>B28</f>
        <v>0</v>
      </c>
      <c r="C58" s="327">
        <f t="shared" ref="C58:AC58" si="12">C28</f>
        <v>3</v>
      </c>
      <c r="D58" s="327">
        <f t="shared" si="12"/>
        <v>14</v>
      </c>
      <c r="E58" s="327">
        <f t="shared" si="12"/>
        <v>1</v>
      </c>
      <c r="F58" s="327">
        <f t="shared" si="12"/>
        <v>20</v>
      </c>
      <c r="G58" s="327">
        <f t="shared" si="12"/>
        <v>44</v>
      </c>
      <c r="H58" s="327">
        <f t="shared" si="12"/>
        <v>93</v>
      </c>
      <c r="I58" s="327">
        <f t="shared" si="12"/>
        <v>20</v>
      </c>
      <c r="J58" s="327">
        <f t="shared" si="12"/>
        <v>50</v>
      </c>
      <c r="K58" s="327">
        <f t="shared" si="12"/>
        <v>55</v>
      </c>
      <c r="L58" s="327">
        <f t="shared" si="12"/>
        <v>55</v>
      </c>
      <c r="M58" s="327">
        <f t="shared" si="12"/>
        <v>55</v>
      </c>
      <c r="N58" s="327">
        <f t="shared" si="12"/>
        <v>82</v>
      </c>
      <c r="O58" s="327">
        <f t="shared" si="12"/>
        <v>149</v>
      </c>
      <c r="P58" s="327">
        <f t="shared" si="12"/>
        <v>173.7</v>
      </c>
      <c r="Q58" s="327">
        <f t="shared" si="12"/>
        <v>70.599999999999994</v>
      </c>
      <c r="R58" s="327">
        <f t="shared" si="12"/>
        <v>81.7</v>
      </c>
      <c r="S58" s="327">
        <f t="shared" si="12"/>
        <v>107.8</v>
      </c>
      <c r="T58" s="327">
        <f t="shared" si="12"/>
        <v>121.9</v>
      </c>
      <c r="U58" s="327">
        <f t="shared" si="12"/>
        <v>245.4</v>
      </c>
      <c r="V58" s="327">
        <f t="shared" si="12"/>
        <v>257.89999999999998</v>
      </c>
      <c r="W58" s="327">
        <f t="shared" si="12"/>
        <v>1505.5</v>
      </c>
      <c r="X58" s="327">
        <f t="shared" si="12"/>
        <v>160.4</v>
      </c>
      <c r="Y58" s="327">
        <f t="shared" si="12"/>
        <v>250.3</v>
      </c>
      <c r="Z58" s="327">
        <f t="shared" si="12"/>
        <v>212.7</v>
      </c>
      <c r="AA58" s="327">
        <f t="shared" si="12"/>
        <v>292.89999999999998</v>
      </c>
      <c r="AB58" s="327">
        <f t="shared" si="12"/>
        <v>565.61573999280006</v>
      </c>
      <c r="AC58" s="327">
        <f t="shared" si="12"/>
        <v>403.315</v>
      </c>
      <c r="AD58" s="227"/>
    </row>
    <row r="59" spans="1:30" ht="20.25">
      <c r="A59" s="328" t="s">
        <v>429</v>
      </c>
      <c r="B59" s="327">
        <f>B58</f>
        <v>0</v>
      </c>
      <c r="C59" s="327">
        <f>B59+C58</f>
        <v>3</v>
      </c>
      <c r="D59" s="327">
        <f t="shared" ref="D59:AC59" si="13">C59+D58</f>
        <v>17</v>
      </c>
      <c r="E59" s="327">
        <f t="shared" si="13"/>
        <v>18</v>
      </c>
      <c r="F59" s="327">
        <f t="shared" si="13"/>
        <v>38</v>
      </c>
      <c r="G59" s="327">
        <f t="shared" si="13"/>
        <v>82</v>
      </c>
      <c r="H59" s="327">
        <f t="shared" si="13"/>
        <v>175</v>
      </c>
      <c r="I59" s="327">
        <f t="shared" si="13"/>
        <v>195</v>
      </c>
      <c r="J59" s="327">
        <f t="shared" si="13"/>
        <v>245</v>
      </c>
      <c r="K59" s="327">
        <f t="shared" si="13"/>
        <v>300</v>
      </c>
      <c r="L59" s="327">
        <f t="shared" si="13"/>
        <v>355</v>
      </c>
      <c r="M59" s="327">
        <f t="shared" si="13"/>
        <v>410</v>
      </c>
      <c r="N59" s="327">
        <f t="shared" si="13"/>
        <v>492</v>
      </c>
      <c r="O59" s="327">
        <f t="shared" si="13"/>
        <v>641</v>
      </c>
      <c r="P59" s="327">
        <f t="shared" si="13"/>
        <v>814.7</v>
      </c>
      <c r="Q59" s="327">
        <f t="shared" si="13"/>
        <v>885.30000000000007</v>
      </c>
      <c r="R59" s="327">
        <f t="shared" si="13"/>
        <v>967.00000000000011</v>
      </c>
      <c r="S59" s="327">
        <f t="shared" si="13"/>
        <v>1074.8000000000002</v>
      </c>
      <c r="T59" s="327">
        <f t="shared" si="13"/>
        <v>1196.7000000000003</v>
      </c>
      <c r="U59" s="327">
        <f t="shared" si="13"/>
        <v>1442.1000000000004</v>
      </c>
      <c r="V59" s="327">
        <f t="shared" si="13"/>
        <v>1700.0000000000005</v>
      </c>
      <c r="W59" s="327">
        <f t="shared" si="13"/>
        <v>3205.5000000000005</v>
      </c>
      <c r="X59" s="327">
        <f t="shared" si="13"/>
        <v>3365.9000000000005</v>
      </c>
      <c r="Y59" s="327">
        <f t="shared" si="13"/>
        <v>3616.2000000000007</v>
      </c>
      <c r="Z59" s="327">
        <f t="shared" si="13"/>
        <v>3828.9000000000005</v>
      </c>
      <c r="AA59" s="327">
        <f t="shared" si="13"/>
        <v>4121.8</v>
      </c>
      <c r="AB59" s="327">
        <f t="shared" si="13"/>
        <v>4687.4157399927999</v>
      </c>
      <c r="AC59" s="327">
        <f t="shared" si="13"/>
        <v>5090.7307399927995</v>
      </c>
      <c r="AD59" s="227"/>
    </row>
    <row r="60" spans="1:30" ht="21.75">
      <c r="A60" s="329" t="s">
        <v>432</v>
      </c>
      <c r="B60" s="330">
        <f>-B33</f>
        <v>0</v>
      </c>
      <c r="C60" s="330">
        <f t="shared" ref="C60:AC60" si="14">-C33</f>
        <v>0</v>
      </c>
      <c r="D60" s="330">
        <f t="shared" si="14"/>
        <v>0</v>
      </c>
      <c r="E60" s="330">
        <f t="shared" si="14"/>
        <v>0</v>
      </c>
      <c r="F60" s="330">
        <f t="shared" si="14"/>
        <v>0</v>
      </c>
      <c r="G60" s="330">
        <f t="shared" si="14"/>
        <v>0</v>
      </c>
      <c r="H60" s="330">
        <f t="shared" si="14"/>
        <v>0</v>
      </c>
      <c r="I60" s="330">
        <f t="shared" si="14"/>
        <v>0</v>
      </c>
      <c r="J60" s="330">
        <f t="shared" si="14"/>
        <v>0</v>
      </c>
      <c r="K60" s="330">
        <f t="shared" si="14"/>
        <v>0</v>
      </c>
      <c r="L60" s="330">
        <f t="shared" si="14"/>
        <v>0</v>
      </c>
      <c r="M60" s="330">
        <f t="shared" si="14"/>
        <v>0</v>
      </c>
      <c r="N60" s="330">
        <f t="shared" si="14"/>
        <v>0</v>
      </c>
      <c r="O60" s="330">
        <f t="shared" si="14"/>
        <v>0</v>
      </c>
      <c r="P60" s="330">
        <f t="shared" si="14"/>
        <v>0</v>
      </c>
      <c r="Q60" s="330">
        <f t="shared" si="14"/>
        <v>45.2</v>
      </c>
      <c r="R60" s="330">
        <f t="shared" si="14"/>
        <v>25.5</v>
      </c>
      <c r="S60" s="330">
        <f t="shared" si="14"/>
        <v>29.7</v>
      </c>
      <c r="T60" s="330">
        <f t="shared" si="14"/>
        <v>35.700000000000003</v>
      </c>
      <c r="U60" s="330">
        <f t="shared" si="14"/>
        <v>46</v>
      </c>
      <c r="V60" s="330">
        <f t="shared" si="14"/>
        <v>50.4</v>
      </c>
      <c r="W60" s="330">
        <f t="shared" si="14"/>
        <v>583.1</v>
      </c>
      <c r="X60" s="330">
        <f t="shared" si="14"/>
        <v>66.400000000000006</v>
      </c>
      <c r="Y60" s="330">
        <f t="shared" si="14"/>
        <v>152.30000000000001</v>
      </c>
      <c r="Z60" s="330">
        <f t="shared" si="14"/>
        <v>77</v>
      </c>
      <c r="AA60" s="330">
        <f t="shared" si="14"/>
        <v>57.7</v>
      </c>
      <c r="AB60" s="330">
        <f t="shared" si="14"/>
        <v>76.352833301624401</v>
      </c>
      <c r="AC60" s="330">
        <f t="shared" si="14"/>
        <v>66.099999999999994</v>
      </c>
      <c r="AD60" s="227"/>
    </row>
    <row r="61" spans="1:30" ht="20.25">
      <c r="A61" s="331" t="s">
        <v>429</v>
      </c>
      <c r="B61" s="330">
        <f>B60</f>
        <v>0</v>
      </c>
      <c r="C61" s="330">
        <f>B61+C60</f>
        <v>0</v>
      </c>
      <c r="D61" s="330">
        <f t="shared" ref="D61:AC61" si="15">C61+D60</f>
        <v>0</v>
      </c>
      <c r="E61" s="330">
        <f t="shared" si="15"/>
        <v>0</v>
      </c>
      <c r="F61" s="330">
        <f t="shared" si="15"/>
        <v>0</v>
      </c>
      <c r="G61" s="330">
        <f t="shared" si="15"/>
        <v>0</v>
      </c>
      <c r="H61" s="330">
        <f t="shared" si="15"/>
        <v>0</v>
      </c>
      <c r="I61" s="330">
        <f t="shared" si="15"/>
        <v>0</v>
      </c>
      <c r="J61" s="330">
        <f t="shared" si="15"/>
        <v>0</v>
      </c>
      <c r="K61" s="330">
        <f t="shared" si="15"/>
        <v>0</v>
      </c>
      <c r="L61" s="330">
        <f t="shared" si="15"/>
        <v>0</v>
      </c>
      <c r="M61" s="330">
        <f t="shared" si="15"/>
        <v>0</v>
      </c>
      <c r="N61" s="330">
        <f t="shared" si="15"/>
        <v>0</v>
      </c>
      <c r="O61" s="330">
        <f t="shared" si="15"/>
        <v>0</v>
      </c>
      <c r="P61" s="330">
        <f t="shared" si="15"/>
        <v>0</v>
      </c>
      <c r="Q61" s="330">
        <f t="shared" si="15"/>
        <v>45.2</v>
      </c>
      <c r="R61" s="330">
        <f t="shared" si="15"/>
        <v>70.7</v>
      </c>
      <c r="S61" s="330">
        <f t="shared" si="15"/>
        <v>100.4</v>
      </c>
      <c r="T61" s="330">
        <f t="shared" si="15"/>
        <v>136.10000000000002</v>
      </c>
      <c r="U61" s="330">
        <f t="shared" si="15"/>
        <v>182.10000000000002</v>
      </c>
      <c r="V61" s="330">
        <f t="shared" si="15"/>
        <v>232.50000000000003</v>
      </c>
      <c r="W61" s="330">
        <f t="shared" si="15"/>
        <v>815.6</v>
      </c>
      <c r="X61" s="330">
        <f t="shared" si="15"/>
        <v>882</v>
      </c>
      <c r="Y61" s="330">
        <f t="shared" si="15"/>
        <v>1034.3</v>
      </c>
      <c r="Z61" s="330">
        <f t="shared" si="15"/>
        <v>1111.3</v>
      </c>
      <c r="AA61" s="330">
        <f t="shared" si="15"/>
        <v>1169</v>
      </c>
      <c r="AB61" s="330">
        <f t="shared" si="15"/>
        <v>1245.3528333016243</v>
      </c>
      <c r="AC61" s="330">
        <f t="shared" si="15"/>
        <v>1311.4528333016242</v>
      </c>
      <c r="AD61" s="227"/>
    </row>
    <row r="62" spans="1:30">
      <c r="AD62" s="227"/>
    </row>
    <row r="63" spans="1:30">
      <c r="AD63" s="227"/>
    </row>
    <row r="64" spans="1:30">
      <c r="AD64" s="227"/>
    </row>
    <row r="65" spans="30:30">
      <c r="AD65" s="227"/>
    </row>
    <row r="66" spans="30:30">
      <c r="AD66" s="227"/>
    </row>
    <row r="67" spans="30:30">
      <c r="AD67" s="227"/>
    </row>
    <row r="68" spans="30:30">
      <c r="AD68" s="227"/>
    </row>
    <row r="69" spans="30:30">
      <c r="AD69" s="227"/>
    </row>
    <row r="70" spans="30:30">
      <c r="AD70" s="227"/>
    </row>
    <row r="71" spans="30:30">
      <c r="AD71" s="227"/>
    </row>
    <row r="72" spans="30:30">
      <c r="AD72" s="227"/>
    </row>
    <row r="73" spans="30:30">
      <c r="AD73" s="227"/>
    </row>
    <row r="74" spans="30:30">
      <c r="AD74" s="227"/>
    </row>
    <row r="75" spans="30:30">
      <c r="AD75" s="227"/>
    </row>
    <row r="76" spans="30:30">
      <c r="AD76" s="227"/>
    </row>
    <row r="77" spans="30:30">
      <c r="AD77" s="227"/>
    </row>
    <row r="78" spans="30:30">
      <c r="AD78" s="227"/>
    </row>
    <row r="79" spans="30:30">
      <c r="AD79" s="227"/>
    </row>
    <row r="80" spans="30:30">
      <c r="AD80" s="227"/>
    </row>
    <row r="81" spans="1:30">
      <c r="AD81" s="227"/>
    </row>
    <row r="82" spans="1:30">
      <c r="AD82" s="227"/>
    </row>
    <row r="83" spans="1:30">
      <c r="AD83" s="227"/>
    </row>
    <row r="84" spans="1:30">
      <c r="AD84" s="227"/>
    </row>
    <row r="85" spans="1:30">
      <c r="AD85" s="227"/>
    </row>
    <row r="86" spans="1:30">
      <c r="A86" s="226"/>
      <c r="B86" s="227"/>
      <c r="C86" s="227"/>
      <c r="D86" s="227"/>
      <c r="E86" s="227"/>
      <c r="F86" s="227"/>
      <c r="G86" s="227"/>
      <c r="H86" s="227"/>
      <c r="I86" s="227"/>
      <c r="J86" s="227"/>
      <c r="K86" s="227"/>
      <c r="L86" s="227"/>
      <c r="M86" s="227"/>
      <c r="N86" s="227"/>
      <c r="O86" s="227"/>
      <c r="Q86" s="227"/>
      <c r="R86" s="227"/>
      <c r="S86" s="227"/>
      <c r="T86" s="227"/>
      <c r="U86" s="227"/>
      <c r="V86" s="227"/>
      <c r="W86" s="227"/>
      <c r="X86" s="227"/>
      <c r="Y86" s="227"/>
      <c r="Z86" s="227"/>
      <c r="AA86" s="227"/>
      <c r="AB86" s="227"/>
      <c r="AC86" s="227"/>
      <c r="AD86" s="227"/>
    </row>
    <row r="87" spans="1:30">
      <c r="A87" s="226"/>
      <c r="B87" s="227"/>
      <c r="C87" s="227"/>
      <c r="D87" s="227"/>
      <c r="E87" s="227"/>
      <c r="F87" s="227"/>
      <c r="G87" s="227"/>
      <c r="H87" s="227"/>
      <c r="I87" s="227"/>
      <c r="J87" s="227"/>
      <c r="K87" s="227"/>
      <c r="L87" s="227"/>
      <c r="M87" s="227"/>
      <c r="N87" s="227"/>
      <c r="O87" s="227"/>
      <c r="Q87" s="227"/>
      <c r="R87" s="227"/>
      <c r="S87" s="227"/>
      <c r="T87" s="227"/>
      <c r="U87" s="227"/>
      <c r="V87" s="227"/>
      <c r="W87" s="227"/>
      <c r="X87" s="227"/>
      <c r="Y87" s="227"/>
      <c r="Z87" s="227"/>
      <c r="AA87" s="227"/>
      <c r="AB87" s="227"/>
      <c r="AC87" s="227"/>
      <c r="AD87" s="227"/>
    </row>
    <row r="88" spans="1:30">
      <c r="A88" s="226"/>
      <c r="B88" s="227"/>
      <c r="C88" s="227"/>
      <c r="D88" s="227"/>
      <c r="E88" s="227"/>
      <c r="F88" s="227"/>
      <c r="G88" s="227"/>
      <c r="H88" s="227"/>
      <c r="I88" s="227"/>
      <c r="J88" s="227"/>
      <c r="K88" s="227"/>
      <c r="L88" s="227"/>
      <c r="M88" s="227"/>
      <c r="N88" s="227"/>
      <c r="O88" s="227"/>
      <c r="Q88" s="227"/>
      <c r="R88" s="227"/>
      <c r="S88" s="227"/>
      <c r="T88" s="227"/>
      <c r="U88" s="227"/>
      <c r="V88" s="227"/>
      <c r="W88" s="227"/>
      <c r="X88" s="227"/>
      <c r="Y88" s="227"/>
      <c r="Z88" s="227"/>
      <c r="AA88" s="227"/>
      <c r="AB88" s="227"/>
      <c r="AC88" s="227"/>
      <c r="AD88" s="227"/>
    </row>
    <row r="89" spans="1:30">
      <c r="A89" s="226"/>
      <c r="B89" s="227"/>
      <c r="C89" s="227"/>
      <c r="D89" s="227"/>
      <c r="E89" s="227"/>
      <c r="F89" s="227"/>
      <c r="G89" s="227"/>
      <c r="H89" s="227"/>
      <c r="I89" s="227"/>
      <c r="J89" s="227"/>
      <c r="K89" s="227"/>
      <c r="L89" s="227"/>
      <c r="M89" s="227"/>
      <c r="N89" s="227"/>
      <c r="O89" s="227"/>
      <c r="Q89" s="227"/>
      <c r="R89" s="227"/>
      <c r="S89" s="227"/>
      <c r="T89" s="227"/>
      <c r="U89" s="227"/>
      <c r="V89" s="227"/>
      <c r="W89" s="227"/>
      <c r="X89" s="227"/>
      <c r="Y89" s="227"/>
      <c r="Z89" s="227"/>
      <c r="AA89" s="227"/>
      <c r="AB89" s="227"/>
      <c r="AC89" s="227"/>
      <c r="AD89" s="227"/>
    </row>
    <row r="90" spans="1:30">
      <c r="A90" s="226"/>
      <c r="B90" s="227"/>
      <c r="C90" s="227"/>
      <c r="D90" s="227"/>
      <c r="E90" s="227"/>
      <c r="F90" s="227"/>
      <c r="G90" s="227"/>
      <c r="H90" s="227"/>
      <c r="I90" s="227"/>
      <c r="J90" s="227"/>
      <c r="K90" s="227"/>
      <c r="L90" s="227"/>
      <c r="M90" s="227"/>
      <c r="N90" s="227"/>
      <c r="O90" s="227"/>
      <c r="Q90" s="227"/>
      <c r="R90" s="227"/>
      <c r="S90" s="227"/>
      <c r="T90" s="227"/>
      <c r="U90" s="227"/>
      <c r="V90" s="227"/>
      <c r="W90" s="227"/>
      <c r="X90" s="227"/>
      <c r="Y90" s="227"/>
      <c r="Z90" s="227"/>
      <c r="AA90" s="227"/>
      <c r="AB90" s="227"/>
      <c r="AC90" s="227"/>
      <c r="AD90" s="227"/>
    </row>
    <row r="91" spans="1:30">
      <c r="A91" s="226"/>
      <c r="B91" s="227"/>
      <c r="C91" s="227"/>
      <c r="D91" s="227"/>
      <c r="E91" s="227"/>
      <c r="F91" s="227"/>
      <c r="G91" s="227"/>
      <c r="H91" s="227"/>
      <c r="I91" s="227"/>
      <c r="J91" s="227"/>
      <c r="K91" s="227"/>
      <c r="L91" s="227"/>
      <c r="M91" s="227"/>
      <c r="N91" s="227"/>
      <c r="O91" s="227"/>
      <c r="Q91" s="227"/>
      <c r="R91" s="227"/>
      <c r="S91" s="227"/>
      <c r="T91" s="227"/>
      <c r="U91" s="227"/>
      <c r="V91" s="227"/>
      <c r="W91" s="227"/>
      <c r="X91" s="227"/>
      <c r="Y91" s="227"/>
      <c r="Z91" s="227"/>
      <c r="AA91" s="227"/>
      <c r="AB91" s="227"/>
      <c r="AC91" s="227"/>
      <c r="AD91" s="227"/>
    </row>
    <row r="92" spans="1:30">
      <c r="A92" s="226"/>
      <c r="B92" s="227"/>
      <c r="C92" s="227"/>
      <c r="D92" s="227"/>
      <c r="E92" s="227"/>
      <c r="F92" s="227"/>
      <c r="G92" s="227"/>
      <c r="H92" s="227"/>
      <c r="I92" s="227"/>
      <c r="J92" s="227"/>
      <c r="K92" s="227"/>
      <c r="L92" s="227"/>
      <c r="M92" s="227"/>
      <c r="N92" s="227"/>
      <c r="O92" s="227"/>
      <c r="Q92" s="227"/>
      <c r="R92" s="227"/>
      <c r="S92" s="227"/>
      <c r="T92" s="227"/>
      <c r="U92" s="227"/>
      <c r="V92" s="227"/>
      <c r="W92" s="227"/>
      <c r="X92" s="227"/>
      <c r="Y92" s="227"/>
      <c r="Z92" s="227"/>
      <c r="AA92" s="227"/>
      <c r="AB92" s="227"/>
      <c r="AC92" s="227"/>
      <c r="AD92" s="227"/>
    </row>
    <row r="93" spans="1:30" ht="19.5" customHeight="1">
      <c r="A93" s="226"/>
      <c r="B93" s="227"/>
      <c r="C93" s="227"/>
      <c r="D93" s="227"/>
      <c r="E93" s="227"/>
      <c r="F93" s="227"/>
      <c r="G93" s="227"/>
      <c r="H93" s="227"/>
      <c r="I93" s="227"/>
      <c r="J93" s="227"/>
      <c r="K93" s="227"/>
      <c r="L93" s="227"/>
      <c r="M93" s="227"/>
      <c r="N93" s="227"/>
      <c r="O93" s="227"/>
      <c r="Q93" s="227"/>
      <c r="R93" s="227"/>
      <c r="S93" s="227"/>
      <c r="T93" s="227"/>
      <c r="U93" s="227"/>
      <c r="V93" s="227"/>
      <c r="W93" s="227"/>
      <c r="X93" s="227"/>
      <c r="Y93" s="227"/>
      <c r="Z93" s="227"/>
      <c r="AA93" s="227"/>
      <c r="AB93" s="227"/>
      <c r="AC93" s="227"/>
      <c r="AD93" s="227"/>
    </row>
    <row r="94" spans="1:30">
      <c r="A94" s="226"/>
      <c r="B94" s="227"/>
      <c r="C94" s="227"/>
      <c r="D94" s="227"/>
      <c r="E94" s="227"/>
      <c r="F94" s="227"/>
      <c r="G94" s="227"/>
      <c r="H94" s="227"/>
      <c r="I94" s="227"/>
      <c r="J94" s="227"/>
      <c r="K94" s="227"/>
      <c r="L94" s="227"/>
      <c r="M94" s="227"/>
      <c r="N94" s="227"/>
      <c r="O94" s="227"/>
      <c r="Q94" s="227"/>
      <c r="R94" s="227"/>
      <c r="S94" s="227"/>
      <c r="T94" s="227"/>
      <c r="U94" s="227"/>
      <c r="V94" s="227"/>
      <c r="W94" s="227"/>
      <c r="X94" s="227"/>
      <c r="Y94" s="227"/>
      <c r="Z94" s="227"/>
      <c r="AA94" s="227"/>
      <c r="AB94" s="227"/>
      <c r="AC94" s="227"/>
      <c r="AD94" s="227"/>
    </row>
    <row r="95" spans="1:30" ht="19.5" customHeight="1">
      <c r="A95" s="226"/>
      <c r="B95" s="227"/>
      <c r="C95" s="227"/>
      <c r="D95" s="227"/>
      <c r="E95" s="227"/>
      <c r="F95" s="227"/>
      <c r="G95" s="227"/>
      <c r="H95" s="227"/>
      <c r="I95" s="227"/>
      <c r="J95" s="227"/>
      <c r="K95" s="227"/>
      <c r="L95" s="227"/>
      <c r="M95" s="227"/>
      <c r="N95" s="227"/>
      <c r="O95" s="227"/>
      <c r="Q95" s="227"/>
      <c r="R95" s="227"/>
      <c r="S95" s="227"/>
      <c r="T95" s="227"/>
      <c r="U95" s="227"/>
      <c r="V95" s="227"/>
      <c r="W95" s="227"/>
      <c r="X95" s="227"/>
      <c r="Y95" s="227"/>
      <c r="Z95" s="227"/>
      <c r="AA95" s="227"/>
      <c r="AB95" s="227"/>
      <c r="AC95" s="227"/>
      <c r="AD95" s="227"/>
    </row>
    <row r="96" spans="1:30" ht="19.5" customHeight="1">
      <c r="A96" s="226"/>
      <c r="B96" s="227"/>
      <c r="C96" s="227"/>
      <c r="D96" s="227"/>
      <c r="E96" s="227"/>
      <c r="F96" s="227"/>
      <c r="G96" s="227"/>
      <c r="H96" s="227"/>
      <c r="I96" s="227"/>
      <c r="J96" s="227"/>
      <c r="K96" s="227"/>
      <c r="L96" s="227"/>
      <c r="M96" s="227"/>
      <c r="N96" s="227"/>
      <c r="O96" s="227"/>
      <c r="Q96" s="227"/>
      <c r="R96" s="227"/>
      <c r="S96" s="227"/>
      <c r="T96" s="227"/>
      <c r="U96" s="227"/>
      <c r="V96" s="227"/>
      <c r="W96" s="227"/>
      <c r="X96" s="227"/>
      <c r="Y96" s="227"/>
      <c r="Z96" s="227"/>
      <c r="AA96" s="227"/>
      <c r="AB96" s="227"/>
      <c r="AC96" s="227"/>
      <c r="AD96" s="227"/>
    </row>
    <row r="97" spans="1:30" ht="19.5" customHeight="1">
      <c r="A97" s="226"/>
      <c r="B97" s="227"/>
      <c r="C97" s="227"/>
      <c r="D97" s="227"/>
      <c r="E97" s="227"/>
      <c r="F97" s="227"/>
      <c r="G97" s="227"/>
      <c r="H97" s="227"/>
      <c r="I97" s="227"/>
      <c r="J97" s="227"/>
      <c r="K97" s="227"/>
      <c r="L97" s="227"/>
      <c r="M97" s="227"/>
      <c r="N97" s="227"/>
      <c r="O97" s="227"/>
      <c r="Q97" s="227"/>
      <c r="R97" s="227"/>
      <c r="S97" s="227"/>
      <c r="T97" s="227"/>
      <c r="U97" s="227"/>
      <c r="V97" s="227"/>
      <c r="W97" s="227"/>
      <c r="X97" s="227"/>
      <c r="Y97" s="227"/>
      <c r="Z97" s="227"/>
      <c r="AA97" s="227"/>
      <c r="AB97" s="227"/>
      <c r="AC97" s="227"/>
      <c r="AD97" s="227"/>
    </row>
    <row r="98" spans="1:30" ht="19.5" customHeight="1">
      <c r="A98" s="226"/>
      <c r="B98" s="227"/>
      <c r="C98" s="227"/>
      <c r="D98" s="227"/>
      <c r="E98" s="227"/>
      <c r="F98" s="227"/>
      <c r="G98" s="227"/>
      <c r="H98" s="227"/>
      <c r="I98" s="227"/>
      <c r="J98" s="227"/>
      <c r="K98" s="227"/>
      <c r="L98" s="227"/>
      <c r="M98" s="227"/>
      <c r="N98" s="227"/>
      <c r="O98" s="227"/>
      <c r="Q98" s="227"/>
      <c r="R98" s="227"/>
      <c r="S98" s="227"/>
      <c r="T98" s="227"/>
      <c r="U98" s="227"/>
      <c r="V98" s="227"/>
      <c r="W98" s="227"/>
      <c r="X98" s="227"/>
      <c r="Y98" s="227"/>
      <c r="Z98" s="227"/>
      <c r="AA98" s="227"/>
      <c r="AB98" s="227"/>
      <c r="AC98" s="227"/>
      <c r="AD98" s="227"/>
    </row>
    <row r="99" spans="1:30" ht="19.5" customHeight="1">
      <c r="A99" s="226"/>
      <c r="B99" s="227"/>
      <c r="C99" s="227"/>
      <c r="D99" s="227"/>
      <c r="E99" s="227"/>
      <c r="F99" s="227"/>
      <c r="G99" s="227"/>
      <c r="H99" s="227"/>
      <c r="I99" s="227"/>
      <c r="J99" s="227"/>
      <c r="K99" s="227"/>
      <c r="L99" s="227"/>
      <c r="M99" s="227"/>
      <c r="N99" s="227"/>
      <c r="O99" s="227"/>
      <c r="Q99" s="227"/>
      <c r="R99" s="227"/>
      <c r="S99" s="227"/>
      <c r="T99" s="227"/>
      <c r="U99" s="227"/>
      <c r="V99" s="227"/>
      <c r="W99" s="227"/>
      <c r="X99" s="227"/>
      <c r="Y99" s="227"/>
      <c r="Z99" s="227"/>
      <c r="AA99" s="227"/>
      <c r="AB99" s="227"/>
      <c r="AC99" s="227"/>
      <c r="AD99" s="227"/>
    </row>
    <row r="100" spans="1:30">
      <c r="A100" s="226"/>
      <c r="B100" s="227"/>
      <c r="C100" s="227"/>
      <c r="D100" s="227"/>
      <c r="E100" s="227"/>
      <c r="F100" s="227"/>
      <c r="G100" s="227"/>
      <c r="H100" s="227"/>
      <c r="I100" s="227"/>
      <c r="J100" s="227"/>
      <c r="K100" s="227"/>
      <c r="L100" s="227"/>
      <c r="M100" s="227"/>
      <c r="N100" s="227"/>
      <c r="O100" s="227"/>
      <c r="Q100" s="227"/>
      <c r="R100" s="227"/>
      <c r="S100" s="227"/>
      <c r="T100" s="227"/>
      <c r="U100" s="227"/>
      <c r="V100" s="227"/>
      <c r="W100" s="227"/>
      <c r="X100" s="227"/>
      <c r="Y100" s="227"/>
      <c r="Z100" s="227"/>
      <c r="AA100" s="227"/>
      <c r="AB100" s="227"/>
      <c r="AC100" s="227"/>
      <c r="AD100" s="227"/>
    </row>
    <row r="101" spans="1:30">
      <c r="A101" s="226"/>
      <c r="B101" s="227"/>
      <c r="C101" s="227"/>
      <c r="D101" s="227"/>
      <c r="E101" s="227"/>
      <c r="F101" s="227"/>
      <c r="G101" s="227"/>
      <c r="H101" s="227"/>
      <c r="I101" s="227"/>
      <c r="J101" s="227"/>
      <c r="K101" s="227"/>
      <c r="L101" s="227"/>
      <c r="M101" s="227"/>
      <c r="N101" s="227"/>
      <c r="O101" s="227"/>
      <c r="Q101" s="227"/>
      <c r="R101" s="227"/>
      <c r="S101" s="227"/>
      <c r="T101" s="227"/>
      <c r="U101" s="227"/>
      <c r="V101" s="227"/>
      <c r="W101" s="227"/>
      <c r="X101" s="227"/>
      <c r="Y101" s="227"/>
      <c r="Z101" s="227"/>
      <c r="AA101" s="227"/>
      <c r="AB101" s="227"/>
      <c r="AC101" s="227"/>
      <c r="AD101" s="227"/>
    </row>
    <row r="102" spans="1:30">
      <c r="A102" s="226"/>
      <c r="B102" s="227"/>
      <c r="C102" s="227"/>
      <c r="D102" s="227"/>
      <c r="E102" s="227"/>
      <c r="F102" s="227"/>
      <c r="G102" s="227"/>
      <c r="H102" s="227"/>
      <c r="I102" s="227"/>
      <c r="J102" s="227"/>
      <c r="K102" s="227"/>
      <c r="L102" s="227"/>
      <c r="M102" s="227"/>
      <c r="N102" s="227"/>
      <c r="O102" s="227"/>
      <c r="Q102" s="227"/>
      <c r="R102" s="227"/>
      <c r="S102" s="227"/>
      <c r="T102" s="227"/>
      <c r="U102" s="227"/>
      <c r="V102" s="227"/>
      <c r="W102" s="227"/>
      <c r="X102" s="227"/>
      <c r="Y102" s="227"/>
      <c r="Z102" s="227"/>
      <c r="AA102" s="227"/>
      <c r="AB102" s="227"/>
      <c r="AC102" s="227"/>
      <c r="AD102" s="227"/>
    </row>
    <row r="103" spans="1:30">
      <c r="A103" s="226"/>
      <c r="B103" s="227"/>
      <c r="C103" s="227"/>
      <c r="D103" s="227"/>
      <c r="E103" s="227"/>
      <c r="F103" s="227"/>
      <c r="G103" s="227"/>
      <c r="H103" s="227"/>
      <c r="I103" s="227"/>
      <c r="J103" s="227"/>
      <c r="K103" s="227"/>
      <c r="L103" s="227"/>
      <c r="M103" s="227"/>
      <c r="N103" s="227"/>
      <c r="O103" s="227"/>
      <c r="Q103" s="227"/>
      <c r="R103" s="227"/>
      <c r="S103" s="227"/>
      <c r="T103" s="227"/>
      <c r="U103" s="227"/>
      <c r="V103" s="227"/>
      <c r="W103" s="227"/>
      <c r="X103" s="227"/>
      <c r="Y103" s="227"/>
      <c r="Z103" s="227"/>
      <c r="AA103" s="227"/>
      <c r="AB103" s="227"/>
      <c r="AC103" s="227"/>
      <c r="AD103" s="227"/>
    </row>
    <row r="104" spans="1:30">
      <c r="A104" s="226"/>
      <c r="B104" s="227"/>
      <c r="C104" s="227"/>
      <c r="D104" s="227"/>
      <c r="E104" s="227"/>
      <c r="F104" s="227"/>
      <c r="G104" s="227"/>
      <c r="H104" s="227"/>
      <c r="I104" s="227"/>
      <c r="J104" s="227"/>
      <c r="K104" s="227"/>
      <c r="L104" s="227"/>
      <c r="M104" s="227"/>
      <c r="N104" s="227"/>
      <c r="O104" s="227"/>
      <c r="Q104" s="227"/>
      <c r="R104" s="227"/>
      <c r="S104" s="227"/>
      <c r="T104" s="227"/>
      <c r="U104" s="227"/>
      <c r="V104" s="227"/>
      <c r="W104" s="227"/>
      <c r="X104" s="227"/>
      <c r="Y104" s="227"/>
      <c r="Z104" s="227"/>
      <c r="AA104" s="227"/>
      <c r="AB104" s="227"/>
      <c r="AC104" s="227"/>
      <c r="AD104" s="227"/>
    </row>
    <row r="105" spans="1:30">
      <c r="A105" s="226"/>
      <c r="B105" s="227"/>
      <c r="C105" s="227"/>
      <c r="D105" s="227"/>
      <c r="E105" s="227"/>
      <c r="F105" s="227"/>
      <c r="G105" s="227"/>
      <c r="H105" s="227"/>
      <c r="I105" s="227"/>
      <c r="J105" s="227"/>
      <c r="K105" s="227"/>
      <c r="L105" s="227"/>
      <c r="M105" s="227"/>
      <c r="N105" s="227"/>
      <c r="O105" s="227"/>
      <c r="Q105" s="227"/>
      <c r="R105" s="227"/>
      <c r="S105" s="227"/>
      <c r="T105" s="227"/>
      <c r="U105" s="227"/>
      <c r="V105" s="227"/>
      <c r="W105" s="227"/>
      <c r="X105" s="227"/>
      <c r="Y105" s="227"/>
      <c r="Z105" s="227"/>
      <c r="AA105" s="227"/>
      <c r="AB105" s="227"/>
      <c r="AC105" s="227"/>
      <c r="AD105" s="227"/>
    </row>
    <row r="106" spans="1:30">
      <c r="A106" s="226"/>
      <c r="B106" s="227"/>
      <c r="C106" s="227"/>
      <c r="D106" s="227"/>
      <c r="E106" s="227"/>
      <c r="F106" s="227"/>
      <c r="G106" s="227"/>
      <c r="H106" s="227"/>
      <c r="I106" s="227"/>
      <c r="J106" s="227"/>
      <c r="K106" s="227"/>
      <c r="L106" s="227"/>
      <c r="M106" s="227"/>
      <c r="N106" s="227"/>
      <c r="O106" s="227"/>
      <c r="Q106" s="227"/>
      <c r="R106" s="227"/>
      <c r="S106" s="227"/>
      <c r="T106" s="227"/>
      <c r="U106" s="227"/>
      <c r="V106" s="227"/>
      <c r="W106" s="227"/>
      <c r="X106" s="227"/>
      <c r="Y106" s="227"/>
      <c r="Z106" s="227"/>
      <c r="AA106" s="227"/>
      <c r="AB106" s="227"/>
      <c r="AC106" s="227"/>
      <c r="AD106" s="227"/>
    </row>
    <row r="107" spans="1:30">
      <c r="A107" s="226"/>
      <c r="B107" s="227"/>
      <c r="C107" s="227"/>
      <c r="D107" s="227"/>
      <c r="E107" s="227"/>
      <c r="F107" s="227"/>
      <c r="G107" s="227"/>
      <c r="H107" s="227"/>
      <c r="I107" s="227"/>
      <c r="J107" s="227"/>
      <c r="K107" s="227"/>
      <c r="L107" s="227"/>
      <c r="M107" s="227"/>
      <c r="N107" s="227"/>
      <c r="O107" s="227"/>
      <c r="Q107" s="227"/>
      <c r="R107" s="227"/>
      <c r="S107" s="227"/>
      <c r="T107" s="227"/>
      <c r="U107" s="227"/>
      <c r="V107" s="227"/>
      <c r="W107" s="227"/>
      <c r="X107" s="227"/>
      <c r="Y107" s="227"/>
      <c r="Z107" s="227"/>
      <c r="AA107" s="227"/>
      <c r="AB107" s="227"/>
      <c r="AC107" s="227"/>
      <c r="AD107" s="227"/>
    </row>
  </sheetData>
  <mergeCells count="6">
    <mergeCell ref="A38:AO38"/>
    <mergeCell ref="A1:Z1"/>
    <mergeCell ref="A34:AO34"/>
    <mergeCell ref="A35:AO35"/>
    <mergeCell ref="A36:AO36"/>
    <mergeCell ref="A37:AO37"/>
  </mergeCells>
  <pageMargins left="0.25" right="0.25" top="0.75" bottom="0.75" header="0.3" footer="0.3"/>
  <pageSetup scale="4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C7F42-210F-4DF1-8581-84AEBE62EE4E}">
  <dimension ref="A1"/>
  <sheetViews>
    <sheetView workbookViewId="0">
      <selection activeCell="B2" sqref="B2"/>
    </sheetView>
  </sheetViews>
  <sheetFormatPr defaultRowHeight="12.75"/>
  <sheetData>
    <row r="1" spans="1:1" ht="15">
      <c r="A1" s="202" t="str">
        <f>"Figure 1B: Combined Direct Program and Capital Borrowing Costs, FY"&amp;'BPA Costs Table'!AC2&amp;"-"&amp;'BPA Costs Table'!AO2</f>
        <v>Figure 1B: Combined Direct Program and Capital Borrowing Costs, FY2007-2019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zoomScaleNormal="100" workbookViewId="0">
      <selection activeCell="A24" sqref="A24"/>
    </sheetView>
  </sheetViews>
  <sheetFormatPr defaultRowHeight="11.25"/>
  <cols>
    <col min="1" max="1" width="22.140625" style="2" customWidth="1"/>
    <col min="2" max="10" width="15.42578125" style="1" customWidth="1"/>
    <col min="11" max="11" width="15.85546875" style="1" customWidth="1"/>
    <col min="12" max="12" width="11.5703125" style="1" bestFit="1" customWidth="1"/>
    <col min="13" max="16384" width="9.140625" style="1"/>
  </cols>
  <sheetData>
    <row r="1" spans="1:14" ht="33" customHeight="1">
      <c r="A1" s="201" t="str">
        <f>"Figure 2: Costs by Types of Species, FY"&amp;J3</f>
        <v>Figure 2: Costs by Types of Species, FY2019</v>
      </c>
      <c r="B1" s="201"/>
      <c r="C1" s="201"/>
      <c r="D1" s="201"/>
      <c r="E1" s="201"/>
      <c r="F1" s="201"/>
      <c r="G1" s="201"/>
      <c r="H1" s="201"/>
      <c r="I1" s="201"/>
      <c r="J1" s="201"/>
      <c r="K1" s="201"/>
    </row>
    <row r="2" spans="1:14" ht="20.25" customHeight="1">
      <c r="A2" s="156"/>
      <c r="B2" s="142"/>
      <c r="C2" s="142"/>
      <c r="D2" s="142"/>
      <c r="E2" s="142"/>
      <c r="F2" s="142"/>
      <c r="G2" s="142"/>
      <c r="H2" s="142"/>
      <c r="I2" s="175"/>
      <c r="J2" s="142"/>
      <c r="K2" s="142"/>
    </row>
    <row r="3" spans="1:14" ht="24" customHeight="1">
      <c r="A3" s="222" t="s">
        <v>10</v>
      </c>
      <c r="B3" s="223">
        <v>2011</v>
      </c>
      <c r="C3" s="223">
        <v>2012</v>
      </c>
      <c r="D3" s="223">
        <v>2013</v>
      </c>
      <c r="E3" s="223">
        <v>2014</v>
      </c>
      <c r="F3" s="223">
        <v>2015</v>
      </c>
      <c r="G3" s="223" t="s">
        <v>245</v>
      </c>
      <c r="H3" s="223">
        <v>2017</v>
      </c>
      <c r="I3" s="223">
        <v>2018</v>
      </c>
      <c r="J3" s="223">
        <v>2019</v>
      </c>
      <c r="K3" s="154"/>
      <c r="L3" s="12"/>
      <c r="M3" s="12"/>
      <c r="N3" s="11"/>
    </row>
    <row r="4" spans="1:14" ht="17.25">
      <c r="A4" s="9" t="s">
        <v>9</v>
      </c>
      <c r="B4" s="40"/>
      <c r="C4" s="40"/>
      <c r="D4" s="40"/>
      <c r="E4" s="40"/>
      <c r="F4" s="40"/>
      <c r="G4" s="40"/>
      <c r="H4" s="40"/>
      <c r="I4" s="40"/>
      <c r="J4" s="40"/>
      <c r="K4" s="6"/>
      <c r="L4" s="6"/>
      <c r="M4" s="6"/>
    </row>
    <row r="5" spans="1:14" ht="17.25">
      <c r="A5" s="10" t="s">
        <v>7</v>
      </c>
      <c r="B5" s="105">
        <v>152268151.75</v>
      </c>
      <c r="C5" s="105">
        <v>172625716.75</v>
      </c>
      <c r="D5" s="105">
        <v>162598812.96000001</v>
      </c>
      <c r="E5" s="106">
        <v>160287940</v>
      </c>
      <c r="F5" s="105">
        <v>181979402</v>
      </c>
      <c r="G5" s="177">
        <v>187926100.50999999</v>
      </c>
      <c r="H5" s="177">
        <v>174955973</v>
      </c>
      <c r="I5" s="177">
        <v>181907429</v>
      </c>
      <c r="J5" s="177">
        <v>168490894</v>
      </c>
      <c r="K5" s="6"/>
      <c r="L5" s="6"/>
      <c r="M5" s="6"/>
    </row>
    <row r="6" spans="1:14" ht="17.25">
      <c r="A6" s="10" t="s">
        <v>6</v>
      </c>
      <c r="B6" s="105">
        <v>38469679.740000002</v>
      </c>
      <c r="C6" s="105">
        <v>41986003.759999998</v>
      </c>
      <c r="D6" s="105">
        <v>39747604.240000002</v>
      </c>
      <c r="E6" s="106">
        <v>34671529</v>
      </c>
      <c r="F6" s="105">
        <v>36131999</v>
      </c>
      <c r="G6" s="177">
        <v>42949758.75</v>
      </c>
      <c r="H6" s="177">
        <v>41626757</v>
      </c>
      <c r="I6" s="177">
        <v>41544634</v>
      </c>
      <c r="J6" s="177">
        <v>34601360</v>
      </c>
      <c r="K6" s="6"/>
      <c r="L6" s="6"/>
      <c r="M6" s="6"/>
    </row>
    <row r="7" spans="1:14" ht="17.25">
      <c r="A7" s="10" t="s">
        <v>5</v>
      </c>
      <c r="B7" s="105">
        <v>12032226</v>
      </c>
      <c r="C7" s="105">
        <v>13214569.75</v>
      </c>
      <c r="D7" s="105">
        <v>11401470.98</v>
      </c>
      <c r="E7" s="106">
        <v>11970486</v>
      </c>
      <c r="F7" s="105">
        <v>16630031</v>
      </c>
      <c r="G7" s="177">
        <v>14091922</v>
      </c>
      <c r="H7" s="177">
        <v>12514234</v>
      </c>
      <c r="I7" s="177">
        <v>12569629</v>
      </c>
      <c r="J7" s="177">
        <v>13576360</v>
      </c>
      <c r="K7" s="6"/>
      <c r="L7" s="6"/>
      <c r="M7" s="6"/>
    </row>
    <row r="8" spans="1:14" ht="17.25">
      <c r="A8" s="10" t="s">
        <v>4</v>
      </c>
      <c r="B8" s="105">
        <v>18278218</v>
      </c>
      <c r="C8" s="105">
        <v>21130595.140000001</v>
      </c>
      <c r="D8" s="105">
        <v>25235638.289999999</v>
      </c>
      <c r="E8" s="106">
        <v>24850807</v>
      </c>
      <c r="F8" s="105">
        <v>23435779.190000001</v>
      </c>
      <c r="G8" s="177">
        <v>13174408.65</v>
      </c>
      <c r="H8" s="177">
        <v>25458652</v>
      </c>
      <c r="I8" s="177">
        <v>12009661</v>
      </c>
      <c r="J8" s="177">
        <v>11871288</v>
      </c>
      <c r="K8" s="6"/>
      <c r="L8" s="6"/>
      <c r="M8" s="6"/>
    </row>
    <row r="9" spans="1:14" ht="17.25">
      <c r="A9" s="10" t="s">
        <v>269</v>
      </c>
      <c r="B9" s="105"/>
      <c r="C9" s="105"/>
      <c r="D9" s="105"/>
      <c r="E9" s="106"/>
      <c r="F9" s="105"/>
      <c r="G9" s="106"/>
      <c r="H9" s="106"/>
      <c r="I9" s="106">
        <v>10367580</v>
      </c>
      <c r="J9" s="177">
        <v>11607301</v>
      </c>
      <c r="K9" s="6"/>
      <c r="L9" s="6"/>
      <c r="M9" s="6"/>
    </row>
    <row r="10" spans="1:14" ht="17.25">
      <c r="A10" s="10" t="s">
        <v>270</v>
      </c>
      <c r="B10" s="105"/>
      <c r="C10" s="105"/>
      <c r="D10" s="105"/>
      <c r="E10" s="106"/>
      <c r="F10" s="105"/>
      <c r="G10" s="106"/>
      <c r="H10" s="106"/>
      <c r="I10" s="106">
        <v>304457</v>
      </c>
      <c r="J10" s="177">
        <v>254957</v>
      </c>
      <c r="K10" s="6"/>
      <c r="L10" s="6"/>
      <c r="M10" s="6"/>
    </row>
    <row r="11" spans="1:14" ht="17.25">
      <c r="A11" s="9" t="s">
        <v>8</v>
      </c>
      <c r="B11" s="40"/>
      <c r="C11" s="40"/>
      <c r="D11" s="40"/>
      <c r="E11" s="40"/>
      <c r="F11" s="40"/>
      <c r="G11" s="40"/>
      <c r="H11" s="40"/>
      <c r="I11" s="40"/>
      <c r="J11" s="178"/>
      <c r="K11" s="6"/>
      <c r="L11" s="6"/>
      <c r="M11" s="6"/>
    </row>
    <row r="12" spans="1:14" ht="17.25">
      <c r="A12" s="8" t="s">
        <v>7</v>
      </c>
      <c r="B12" s="105">
        <v>56777878.75</v>
      </c>
      <c r="C12" s="105">
        <v>33006552</v>
      </c>
      <c r="D12" s="105">
        <v>32488550.530000001</v>
      </c>
      <c r="E12" s="106">
        <v>6079913</v>
      </c>
      <c r="F12" s="105">
        <v>10173686</v>
      </c>
      <c r="G12" s="106">
        <v>4896855</v>
      </c>
      <c r="H12" s="106">
        <v>122159</v>
      </c>
      <c r="I12" s="106">
        <v>5368928</v>
      </c>
      <c r="J12" s="177">
        <v>12711401</v>
      </c>
      <c r="K12" s="6"/>
      <c r="L12" s="6"/>
      <c r="M12" s="6"/>
    </row>
    <row r="13" spans="1:14" ht="17.25">
      <c r="A13" s="8" t="s">
        <v>6</v>
      </c>
      <c r="B13" s="105">
        <v>20472137.739999998</v>
      </c>
      <c r="C13" s="105">
        <v>11692569</v>
      </c>
      <c r="D13" s="105">
        <v>8440507.1400000006</v>
      </c>
      <c r="E13" s="106">
        <v>16958535</v>
      </c>
      <c r="F13" s="105">
        <v>2603188</v>
      </c>
      <c r="G13" s="106">
        <v>2164485</v>
      </c>
      <c r="H13" s="106">
        <v>241080</v>
      </c>
      <c r="I13" s="106">
        <v>13564447</v>
      </c>
      <c r="J13" s="177">
        <v>455850</v>
      </c>
      <c r="K13" s="6"/>
      <c r="L13" s="6"/>
      <c r="M13" s="6"/>
    </row>
    <row r="14" spans="1:14" ht="17.25">
      <c r="A14" s="8" t="s">
        <v>5</v>
      </c>
      <c r="B14" s="105">
        <v>18676436.75</v>
      </c>
      <c r="C14" s="105">
        <v>15853187</v>
      </c>
      <c r="D14" s="105">
        <v>10813833.08</v>
      </c>
      <c r="E14" s="106">
        <v>14438818</v>
      </c>
      <c r="F14" s="105">
        <v>9789350</v>
      </c>
      <c r="G14" s="106">
        <v>8973342</v>
      </c>
      <c r="H14" s="106">
        <v>5038680</v>
      </c>
      <c r="I14" s="106">
        <v>11735362</v>
      </c>
      <c r="J14" s="177">
        <v>9795748</v>
      </c>
      <c r="L14" s="6"/>
      <c r="M14" s="6"/>
    </row>
    <row r="15" spans="1:14" ht="17.25" customHeight="1">
      <c r="A15" s="8" t="s">
        <v>208</v>
      </c>
      <c r="B15" s="105">
        <v>-101012.25</v>
      </c>
      <c r="C15" s="105">
        <v>42215.48</v>
      </c>
      <c r="D15" s="105">
        <v>375475.23</v>
      </c>
      <c r="E15" s="106">
        <v>-123917.97</v>
      </c>
      <c r="F15" s="106">
        <v>-1192886.3999999999</v>
      </c>
      <c r="G15" s="106">
        <v>-4698.03</v>
      </c>
      <c r="H15" s="106">
        <v>0</v>
      </c>
      <c r="I15" s="106">
        <v>0</v>
      </c>
      <c r="J15" s="177">
        <v>-650000</v>
      </c>
      <c r="K15" s="161"/>
      <c r="L15" s="6"/>
      <c r="M15" s="6"/>
    </row>
    <row r="16" spans="1:14" ht="17.25">
      <c r="A16" s="8" t="s">
        <v>3</v>
      </c>
      <c r="B16" s="105">
        <v>-5658821</v>
      </c>
      <c r="C16" s="105">
        <v>-3141637</v>
      </c>
      <c r="D16" s="105"/>
      <c r="E16" s="105"/>
      <c r="F16" s="106"/>
      <c r="G16" s="105"/>
      <c r="H16" s="105"/>
      <c r="I16" s="105"/>
      <c r="J16" s="105"/>
      <c r="K16" s="198">
        <f>SUM(J12:J16)</f>
        <v>22312999</v>
      </c>
      <c r="L16" s="6"/>
      <c r="M16" s="6"/>
    </row>
    <row r="17" spans="1:15" ht="15">
      <c r="A17" s="5" t="s">
        <v>2</v>
      </c>
      <c r="B17" s="42">
        <f t="shared" ref="B17:J17" si="0">SUM(B4:B16)</f>
        <v>311214895.48000002</v>
      </c>
      <c r="C17" s="42">
        <f t="shared" si="0"/>
        <v>306409771.88</v>
      </c>
      <c r="D17" s="42">
        <f t="shared" si="0"/>
        <v>291101892.44999999</v>
      </c>
      <c r="E17" s="42">
        <f t="shared" si="0"/>
        <v>269134110.02999997</v>
      </c>
      <c r="F17" s="42">
        <f t="shared" si="0"/>
        <v>279550548.79000002</v>
      </c>
      <c r="G17" s="42">
        <f t="shared" si="0"/>
        <v>274172173.88</v>
      </c>
      <c r="H17" s="42">
        <f t="shared" si="0"/>
        <v>259957535</v>
      </c>
      <c r="I17" s="42">
        <f t="shared" ref="I17" si="1">SUM(I4:I16)</f>
        <v>289372127</v>
      </c>
      <c r="J17" s="42">
        <f t="shared" si="0"/>
        <v>262715159</v>
      </c>
      <c r="K17" s="6"/>
      <c r="L17" s="6"/>
      <c r="M17" s="6"/>
    </row>
    <row r="18" spans="1:15" ht="17.25">
      <c r="A18" s="4"/>
      <c r="B18" s="3"/>
      <c r="C18" s="3"/>
      <c r="D18" s="3"/>
      <c r="E18" s="3"/>
      <c r="F18" s="3"/>
      <c r="G18" s="3"/>
    </row>
    <row r="19" spans="1:15" ht="17.25">
      <c r="A19" s="155" t="s">
        <v>369</v>
      </c>
      <c r="B19" s="3"/>
      <c r="C19" s="3"/>
      <c r="D19" s="3"/>
      <c r="E19" s="3"/>
      <c r="F19" s="3"/>
      <c r="G19" s="3"/>
    </row>
    <row r="20" spans="1:15" ht="15">
      <c r="A20" s="222" t="s">
        <v>10</v>
      </c>
      <c r="B20" s="223">
        <f t="shared" ref="B20:J20" si="2">B3</f>
        <v>2011</v>
      </c>
      <c r="C20" s="223">
        <f t="shared" si="2"/>
        <v>2012</v>
      </c>
      <c r="D20" s="223">
        <f t="shared" si="2"/>
        <v>2013</v>
      </c>
      <c r="E20" s="223">
        <f t="shared" si="2"/>
        <v>2014</v>
      </c>
      <c r="F20" s="223">
        <f t="shared" si="2"/>
        <v>2015</v>
      </c>
      <c r="G20" s="223" t="str">
        <f t="shared" si="2"/>
        <v>2016 3</v>
      </c>
      <c r="H20" s="223">
        <f t="shared" si="2"/>
        <v>2017</v>
      </c>
      <c r="I20" s="223">
        <f t="shared" ref="I20" si="3">I3</f>
        <v>2018</v>
      </c>
      <c r="J20" s="223">
        <f t="shared" si="2"/>
        <v>2019</v>
      </c>
    </row>
    <row r="21" spans="1:15" ht="17.25">
      <c r="A21" s="8" t="s">
        <v>7</v>
      </c>
      <c r="B21" s="7">
        <f t="shared" ref="B21:J22" si="4">B5+B12</f>
        <v>209046030.5</v>
      </c>
      <c r="C21" s="7">
        <f t="shared" si="4"/>
        <v>205632268.75</v>
      </c>
      <c r="D21" s="7">
        <f t="shared" si="4"/>
        <v>195087363.49000001</v>
      </c>
      <c r="E21" s="7">
        <f t="shared" si="4"/>
        <v>166367853</v>
      </c>
      <c r="F21" s="7">
        <f t="shared" si="4"/>
        <v>192153088</v>
      </c>
      <c r="G21" s="7">
        <f t="shared" si="4"/>
        <v>192822955.50999999</v>
      </c>
      <c r="H21" s="7">
        <f t="shared" si="4"/>
        <v>175078132</v>
      </c>
      <c r="I21" s="7">
        <f t="shared" ref="I21" si="5">I5+I12</f>
        <v>187276357</v>
      </c>
      <c r="J21" s="7">
        <f t="shared" si="4"/>
        <v>181202295</v>
      </c>
    </row>
    <row r="22" spans="1:15" ht="17.25">
      <c r="A22" s="8" t="s">
        <v>6</v>
      </c>
      <c r="B22" s="7">
        <f t="shared" si="4"/>
        <v>58941817.480000004</v>
      </c>
      <c r="C22" s="7">
        <f t="shared" si="4"/>
        <v>53678572.759999998</v>
      </c>
      <c r="D22" s="7">
        <f t="shared" si="4"/>
        <v>48188111.380000003</v>
      </c>
      <c r="E22" s="7">
        <f t="shared" si="4"/>
        <v>51630064</v>
      </c>
      <c r="F22" s="7">
        <f t="shared" si="4"/>
        <v>38735187</v>
      </c>
      <c r="G22" s="7">
        <f t="shared" si="4"/>
        <v>45114243.75</v>
      </c>
      <c r="H22" s="7">
        <f t="shared" si="4"/>
        <v>41867837</v>
      </c>
      <c r="I22" s="7">
        <f t="shared" ref="I22" si="6">I6+I13</f>
        <v>55109081</v>
      </c>
      <c r="J22" s="7">
        <f t="shared" si="4"/>
        <v>35057210</v>
      </c>
    </row>
    <row r="23" spans="1:15" ht="17.25">
      <c r="A23" s="8" t="s">
        <v>5</v>
      </c>
      <c r="B23" s="7">
        <f t="shared" ref="B23:J23" si="7">B7+B14</f>
        <v>30708662.75</v>
      </c>
      <c r="C23" s="7">
        <f t="shared" si="7"/>
        <v>29067756.75</v>
      </c>
      <c r="D23" s="7">
        <f t="shared" si="7"/>
        <v>22215304.060000002</v>
      </c>
      <c r="E23" s="7">
        <f t="shared" si="7"/>
        <v>26409304</v>
      </c>
      <c r="F23" s="7">
        <f t="shared" si="7"/>
        <v>26419381</v>
      </c>
      <c r="G23" s="7">
        <f t="shared" si="7"/>
        <v>23065264</v>
      </c>
      <c r="H23" s="7">
        <f t="shared" ref="H23:I23" si="8">H7+H14</f>
        <v>17552914</v>
      </c>
      <c r="I23" s="7">
        <f t="shared" si="8"/>
        <v>24304991</v>
      </c>
      <c r="J23" s="7">
        <f t="shared" si="7"/>
        <v>23372108</v>
      </c>
    </row>
    <row r="24" spans="1:15" ht="19.5">
      <c r="A24" s="8" t="s">
        <v>80</v>
      </c>
      <c r="B24" s="7">
        <f t="shared" ref="B24:J24" si="9">B8+B15</f>
        <v>18177205.75</v>
      </c>
      <c r="C24" s="7">
        <f t="shared" si="9"/>
        <v>21172810.620000001</v>
      </c>
      <c r="D24" s="7">
        <f t="shared" si="9"/>
        <v>25611113.52</v>
      </c>
      <c r="E24" s="7">
        <f t="shared" si="9"/>
        <v>24726889.030000001</v>
      </c>
      <c r="F24" s="7">
        <f t="shared" si="9"/>
        <v>22242892.790000003</v>
      </c>
      <c r="G24" s="7">
        <f t="shared" si="9"/>
        <v>13169710.620000001</v>
      </c>
      <c r="H24" s="7">
        <f t="shared" ref="H24:I24" si="10">H8+H15</f>
        <v>25458652</v>
      </c>
      <c r="I24" s="7">
        <f t="shared" si="10"/>
        <v>12009661</v>
      </c>
      <c r="J24" s="7">
        <f t="shared" si="9"/>
        <v>11221288</v>
      </c>
    </row>
    <row r="25" spans="1:15" ht="17.25">
      <c r="A25" s="8" t="s">
        <v>3</v>
      </c>
      <c r="B25" s="7">
        <f t="shared" ref="B25:J25" si="11">B16</f>
        <v>-5658821</v>
      </c>
      <c r="C25" s="7">
        <f t="shared" si="11"/>
        <v>-3141637</v>
      </c>
      <c r="D25" s="7">
        <f t="shared" si="11"/>
        <v>0</v>
      </c>
      <c r="E25" s="7">
        <f t="shared" si="11"/>
        <v>0</v>
      </c>
      <c r="F25" s="7">
        <f t="shared" si="11"/>
        <v>0</v>
      </c>
      <c r="G25" s="7">
        <f t="shared" si="11"/>
        <v>0</v>
      </c>
      <c r="H25" s="7">
        <f t="shared" ref="H25:I25" si="12">H16</f>
        <v>0</v>
      </c>
      <c r="I25" s="7">
        <f t="shared" si="12"/>
        <v>0</v>
      </c>
      <c r="J25" s="7">
        <f t="shared" si="11"/>
        <v>0</v>
      </c>
    </row>
    <row r="26" spans="1:15" ht="17.25">
      <c r="A26" s="8" t="s">
        <v>281</v>
      </c>
      <c r="B26" s="7"/>
      <c r="C26" s="7"/>
      <c r="D26" s="7"/>
      <c r="E26" s="7"/>
      <c r="F26" s="7"/>
      <c r="G26" s="7"/>
      <c r="H26" s="7"/>
      <c r="I26" s="7">
        <f>I9+I10</f>
        <v>10672037</v>
      </c>
      <c r="J26" s="7">
        <f>J9+J10</f>
        <v>11862258</v>
      </c>
    </row>
    <row r="27" spans="1:15" ht="15">
      <c r="A27" s="5" t="s">
        <v>2</v>
      </c>
      <c r="B27" s="42">
        <f t="shared" ref="B27:J27" si="13">B17</f>
        <v>311214895.48000002</v>
      </c>
      <c r="C27" s="42">
        <f t="shared" si="13"/>
        <v>306409771.88</v>
      </c>
      <c r="D27" s="42">
        <f t="shared" si="13"/>
        <v>291101892.44999999</v>
      </c>
      <c r="E27" s="42">
        <f t="shared" si="13"/>
        <v>269134110.02999997</v>
      </c>
      <c r="F27" s="42">
        <f t="shared" si="13"/>
        <v>279550548.79000002</v>
      </c>
      <c r="G27" s="42">
        <f t="shared" si="13"/>
        <v>274172173.88</v>
      </c>
      <c r="H27" s="42">
        <f t="shared" ref="H27:I27" si="14">H17</f>
        <v>259957535</v>
      </c>
      <c r="I27" s="42">
        <f t="shared" si="14"/>
        <v>289372127</v>
      </c>
      <c r="J27" s="42">
        <f t="shared" si="13"/>
        <v>262715159</v>
      </c>
    </row>
    <row r="28" spans="1:15" ht="17.25">
      <c r="A28" s="4"/>
      <c r="B28" s="3"/>
      <c r="C28" s="3"/>
      <c r="D28" s="3"/>
      <c r="E28" s="3"/>
      <c r="F28" s="3"/>
      <c r="G28" s="3"/>
      <c r="H28" s="3"/>
      <c r="I28" s="3"/>
      <c r="J28" s="3"/>
    </row>
    <row r="29" spans="1:15" ht="17.25">
      <c r="A29" s="199" t="s">
        <v>1</v>
      </c>
      <c r="B29" s="43"/>
      <c r="C29" s="43"/>
      <c r="D29" s="43"/>
      <c r="E29" s="43"/>
      <c r="F29" s="43"/>
      <c r="G29" s="43"/>
      <c r="H29" s="43"/>
      <c r="I29" s="43"/>
      <c r="J29" s="43"/>
      <c r="K29" s="44"/>
      <c r="L29" s="44"/>
    </row>
    <row r="30" spans="1:15" ht="19.5" customHeight="1">
      <c r="A30" s="349" t="s">
        <v>0</v>
      </c>
      <c r="B30" s="349"/>
      <c r="C30" s="349"/>
      <c r="D30" s="349"/>
      <c r="E30" s="349"/>
      <c r="F30" s="349"/>
      <c r="G30" s="349"/>
      <c r="H30" s="349"/>
      <c r="I30" s="349"/>
      <c r="J30" s="349"/>
      <c r="K30" s="349"/>
      <c r="L30" s="349"/>
      <c r="M30" s="349"/>
      <c r="N30" s="349"/>
      <c r="O30" s="349"/>
    </row>
    <row r="31" spans="1:15" ht="19.5" customHeight="1">
      <c r="A31" s="349" t="s">
        <v>353</v>
      </c>
      <c r="B31" s="349"/>
      <c r="C31" s="349"/>
      <c r="D31" s="349"/>
      <c r="E31" s="349"/>
      <c r="F31" s="349"/>
      <c r="G31" s="349"/>
      <c r="H31" s="349"/>
      <c r="I31" s="349"/>
      <c r="J31" s="349"/>
      <c r="K31" s="349"/>
      <c r="L31" s="349"/>
      <c r="M31" s="349"/>
      <c r="N31" s="349"/>
      <c r="O31" s="349"/>
    </row>
    <row r="32" spans="1:15" ht="19.5" customHeight="1">
      <c r="A32" s="349" t="s">
        <v>354</v>
      </c>
      <c r="B32" s="349"/>
      <c r="C32" s="349"/>
      <c r="D32" s="349"/>
      <c r="E32" s="349"/>
      <c r="F32" s="349"/>
      <c r="G32" s="349"/>
      <c r="H32" s="349"/>
      <c r="I32" s="349"/>
      <c r="J32" s="349"/>
      <c r="K32" s="349"/>
      <c r="L32" s="349"/>
      <c r="M32" s="179"/>
      <c r="N32" s="178"/>
      <c r="O32" s="178"/>
    </row>
    <row r="33" spans="1:15" ht="19.5" customHeight="1">
      <c r="A33" s="350" t="s">
        <v>355</v>
      </c>
      <c r="B33" s="350"/>
      <c r="C33" s="350"/>
      <c r="D33" s="350"/>
      <c r="E33" s="350"/>
      <c r="F33" s="350"/>
      <c r="G33" s="350"/>
      <c r="H33" s="350"/>
      <c r="I33" s="350"/>
      <c r="J33" s="350"/>
      <c r="K33" s="350"/>
      <c r="L33" s="350"/>
      <c r="M33" s="350"/>
      <c r="N33" s="350"/>
      <c r="O33" s="350"/>
    </row>
    <row r="34" spans="1:15">
      <c r="B34" s="157"/>
      <c r="C34" s="157"/>
      <c r="D34" s="157"/>
      <c r="E34" s="157"/>
      <c r="F34" s="157"/>
      <c r="G34" s="157"/>
      <c r="H34" s="157"/>
      <c r="I34" s="157"/>
      <c r="J34" s="157"/>
      <c r="K34" s="157"/>
      <c r="L34" s="157"/>
      <c r="M34" s="157"/>
      <c r="N34" s="157"/>
    </row>
    <row r="35" spans="1:15" ht="17.25">
      <c r="A35" s="347"/>
      <c r="B35" s="348"/>
      <c r="C35" s="348"/>
      <c r="D35" s="348"/>
      <c r="E35" s="348"/>
      <c r="F35" s="348"/>
      <c r="G35" s="348"/>
      <c r="H35" s="348"/>
      <c r="I35" s="348"/>
      <c r="J35" s="348"/>
    </row>
    <row r="36" spans="1:15" ht="17.25">
      <c r="A36" s="45"/>
      <c r="B36" s="46" t="str">
        <f>TEXT(J20,0)&amp;" exp+capital"</f>
        <v>2019 exp+capital</v>
      </c>
      <c r="D36" s="160" t="s">
        <v>90</v>
      </c>
    </row>
    <row r="37" spans="1:15" ht="17.25" customHeight="1">
      <c r="A37" s="45" t="s">
        <v>7</v>
      </c>
      <c r="B37" s="47">
        <f>J21</f>
        <v>181202295</v>
      </c>
      <c r="D37" s="347" t="str">
        <f>"Total: $" &amp; TEXT(J27,"#0.0,,") &amp; " million includes $" &amp; TEXT(K16,"#0.0,,") &amp; " million in obligations to capital projects, plus General and Administrative (G&amp;A) costs ($"&amp;TEXT(J9,"#0.0,,")&amp;" million), and Columbia River System Operations Review/Environmental Impact Statement costs ($"&amp;TEXT(ROUND(J10,-2),"#0,000")&amp;")"</f>
        <v>Total: $262.7 million includes $22.3 million in obligations to capital projects, plus General and Administrative (G&amp;A) costs ($11.6 million), and Columbia River System Operations Review/Environmental Impact Statement costs ($255,000)</v>
      </c>
      <c r="E37" s="347"/>
      <c r="F37" s="347"/>
      <c r="G37" s="347"/>
      <c r="H37" s="347"/>
      <c r="I37" s="347"/>
      <c r="J37" s="347"/>
      <c r="K37" s="347"/>
      <c r="L37" s="347"/>
      <c r="M37" s="347"/>
    </row>
    <row r="38" spans="1:15" ht="17.25">
      <c r="A38" s="45" t="s">
        <v>6</v>
      </c>
      <c r="B38" s="47">
        <f t="shared" ref="B38:B40" si="15">J22</f>
        <v>35057210</v>
      </c>
      <c r="D38" s="347"/>
      <c r="E38" s="347"/>
      <c r="F38" s="347"/>
      <c r="G38" s="347"/>
      <c r="H38" s="347"/>
      <c r="I38" s="347"/>
      <c r="J38" s="347"/>
      <c r="K38" s="347"/>
      <c r="L38" s="347"/>
      <c r="M38" s="347"/>
    </row>
    <row r="39" spans="1:15" ht="17.25">
      <c r="A39" s="45" t="s">
        <v>5</v>
      </c>
      <c r="B39" s="47">
        <f t="shared" si="15"/>
        <v>23372108</v>
      </c>
    </row>
    <row r="40" spans="1:15" ht="17.25">
      <c r="A40" s="45" t="s">
        <v>4</v>
      </c>
      <c r="B40" s="47">
        <f t="shared" si="15"/>
        <v>11221288</v>
      </c>
    </row>
    <row r="41" spans="1:15" ht="17.25">
      <c r="A41" s="45"/>
      <c r="B41" s="47"/>
    </row>
    <row r="42" spans="1:15" ht="17.25">
      <c r="A42" s="45"/>
      <c r="B42" s="45"/>
    </row>
    <row r="43" spans="1:15" ht="17.25">
      <c r="A43" s="45"/>
      <c r="B43" s="45"/>
    </row>
    <row r="44" spans="1:15" ht="17.25">
      <c r="A44" s="45"/>
      <c r="B44" s="45"/>
    </row>
    <row r="45" spans="1:15" ht="17.25">
      <c r="A45" s="45"/>
      <c r="B45" s="45"/>
    </row>
    <row r="46" spans="1:15" ht="17.25">
      <c r="A46" s="1"/>
      <c r="B46" s="45"/>
    </row>
  </sheetData>
  <mergeCells count="6">
    <mergeCell ref="D37:M38"/>
    <mergeCell ref="A35:J35"/>
    <mergeCell ref="A30:O30"/>
    <mergeCell ref="A31:O31"/>
    <mergeCell ref="A32:L32"/>
    <mergeCell ref="A33:O33"/>
  </mergeCells>
  <pageMargins left="0.36" right="0.35" top="0.82" bottom="0.28000000000000003" header="0.21" footer="0.16"/>
  <pageSetup scale="4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4"/>
  <sheetViews>
    <sheetView zoomScaleNormal="100" workbookViewId="0"/>
  </sheetViews>
  <sheetFormatPr defaultRowHeight="17.25"/>
  <cols>
    <col min="1" max="5" width="16.28515625" style="14" customWidth="1"/>
    <col min="6" max="10" width="15.42578125" style="14" bestFit="1" customWidth="1"/>
    <col min="11" max="14" width="15.42578125" style="13" customWidth="1"/>
    <col min="15" max="15" width="15.5703125" style="13" customWidth="1"/>
    <col min="16" max="16384" width="9.140625" style="13"/>
  </cols>
  <sheetData>
    <row r="1" spans="1:17" ht="30.75" customHeight="1">
      <c r="A1" s="202" t="str">
        <f>"Figure 3: Costs of FCRPS BiOp Projects, FY"&amp;B2&amp;"-"&amp;O2</f>
        <v>Figure 3: Costs of FCRPS BiOp Projects, FY2006-2019</v>
      </c>
      <c r="B1" s="20"/>
      <c r="C1" s="20"/>
      <c r="D1" s="20"/>
      <c r="E1" s="20"/>
    </row>
    <row r="2" spans="1:17" ht="21.75" customHeight="1">
      <c r="A2" s="221" t="s">
        <v>13</v>
      </c>
      <c r="B2" s="216">
        <v>2006</v>
      </c>
      <c r="C2" s="216">
        <v>2007</v>
      </c>
      <c r="D2" s="216">
        <v>2008</v>
      </c>
      <c r="E2" s="216">
        <v>2009</v>
      </c>
      <c r="F2" s="216">
        <v>2010</v>
      </c>
      <c r="G2" s="216">
        <v>2011</v>
      </c>
      <c r="H2" s="216">
        <v>2012</v>
      </c>
      <c r="I2" s="216">
        <v>2013</v>
      </c>
      <c r="J2" s="216">
        <v>2014</v>
      </c>
      <c r="K2" s="216">
        <v>2015</v>
      </c>
      <c r="L2" s="216" t="s">
        <v>379</v>
      </c>
      <c r="M2" s="216">
        <v>2017</v>
      </c>
      <c r="N2" s="216">
        <v>2018</v>
      </c>
      <c r="O2" s="216">
        <v>2019</v>
      </c>
    </row>
    <row r="3" spans="1:17">
      <c r="A3" s="48" t="s">
        <v>12</v>
      </c>
      <c r="B3" s="41">
        <v>74024959.329999998</v>
      </c>
      <c r="C3" s="41">
        <v>78219265.00000003</v>
      </c>
      <c r="D3" s="41">
        <v>91806508</v>
      </c>
      <c r="E3" s="41">
        <v>113900603</v>
      </c>
      <c r="F3" s="41">
        <v>129758323</v>
      </c>
      <c r="G3" s="41">
        <v>143477289</v>
      </c>
      <c r="H3" s="41">
        <v>162060445</v>
      </c>
      <c r="I3" s="41">
        <v>151177409</v>
      </c>
      <c r="J3" s="41">
        <v>143128947.90000001</v>
      </c>
      <c r="K3" s="41">
        <v>165362220.78999999</v>
      </c>
      <c r="L3" s="107">
        <v>159987743.56999999</v>
      </c>
      <c r="M3" s="107">
        <v>156828472.72999999</v>
      </c>
      <c r="N3" s="107">
        <v>153679667</v>
      </c>
      <c r="O3" s="108">
        <v>137887504</v>
      </c>
    </row>
    <row r="4" spans="1:17">
      <c r="A4" s="48" t="s">
        <v>11</v>
      </c>
      <c r="B4" s="41">
        <v>5086155.01</v>
      </c>
      <c r="C4" s="41">
        <v>8839587.0300000012</v>
      </c>
      <c r="D4" s="41">
        <v>9869097</v>
      </c>
      <c r="E4" s="41">
        <v>11668863</v>
      </c>
      <c r="F4" s="41">
        <v>21761323</v>
      </c>
      <c r="G4" s="41">
        <v>31297548</v>
      </c>
      <c r="H4" s="41">
        <v>29240867</v>
      </c>
      <c r="I4" s="41">
        <v>29683425</v>
      </c>
      <c r="J4" s="41">
        <v>5925196.1100000003</v>
      </c>
      <c r="K4" s="41">
        <v>7703153.2699999996</v>
      </c>
      <c r="L4" s="107">
        <v>1249955.1399999999</v>
      </c>
      <c r="M4" s="107">
        <v>-396792.47</v>
      </c>
      <c r="N4" s="107">
        <v>25343</v>
      </c>
      <c r="O4" s="108">
        <v>1470148</v>
      </c>
    </row>
    <row r="5" spans="1:17" s="16" customFormat="1" ht="15">
      <c r="A5" s="19" t="s">
        <v>2</v>
      </c>
      <c r="B5" s="18">
        <f t="shared" ref="B5:E5" si="0">SUM(B3:B4)</f>
        <v>79111114.340000004</v>
      </c>
      <c r="C5" s="18">
        <f t="shared" si="0"/>
        <v>87058852.030000031</v>
      </c>
      <c r="D5" s="18">
        <f t="shared" si="0"/>
        <v>101675605</v>
      </c>
      <c r="E5" s="18">
        <f t="shared" si="0"/>
        <v>125569466</v>
      </c>
      <c r="F5" s="18">
        <f t="shared" ref="F5:O5" si="1">SUM(F3:F4)</f>
        <v>151519646</v>
      </c>
      <c r="G5" s="18">
        <f t="shared" si="1"/>
        <v>174774837</v>
      </c>
      <c r="H5" s="18">
        <f t="shared" si="1"/>
        <v>191301312</v>
      </c>
      <c r="I5" s="18">
        <f t="shared" si="1"/>
        <v>180860834</v>
      </c>
      <c r="J5" s="17">
        <f t="shared" si="1"/>
        <v>149054144.01000002</v>
      </c>
      <c r="K5" s="17">
        <f t="shared" si="1"/>
        <v>173065374.06</v>
      </c>
      <c r="L5" s="17">
        <f t="shared" si="1"/>
        <v>161237698.70999998</v>
      </c>
      <c r="M5" s="17">
        <f t="shared" ref="M5:N5" si="2">SUM(M3:M4)</f>
        <v>156431680.25999999</v>
      </c>
      <c r="N5" s="17">
        <f t="shared" si="2"/>
        <v>153705010</v>
      </c>
      <c r="O5" s="17">
        <f t="shared" si="1"/>
        <v>139357652</v>
      </c>
    </row>
    <row r="6" spans="1:17" s="16" customFormat="1" ht="15">
      <c r="A6" s="15"/>
      <c r="B6" s="15"/>
      <c r="C6" s="15"/>
      <c r="D6" s="15"/>
      <c r="E6" s="15"/>
      <c r="F6" s="49"/>
      <c r="G6" s="49"/>
      <c r="H6" s="49"/>
      <c r="I6" s="49"/>
      <c r="J6" s="49"/>
      <c r="K6" s="49"/>
      <c r="L6" s="49"/>
      <c r="M6" s="49"/>
      <c r="N6" s="49"/>
      <c r="O6" s="49"/>
    </row>
    <row r="7" spans="1:17" s="16" customFormat="1" ht="15">
      <c r="A7" s="15" t="s">
        <v>370</v>
      </c>
      <c r="B7" s="15"/>
      <c r="C7" s="15"/>
      <c r="D7" s="15"/>
      <c r="E7" s="15"/>
      <c r="F7" s="49"/>
      <c r="G7" s="49"/>
      <c r="H7" s="49"/>
      <c r="I7" s="49"/>
      <c r="J7" s="49"/>
      <c r="K7" s="49"/>
      <c r="L7" s="49"/>
      <c r="M7" s="49"/>
      <c r="N7" s="49"/>
      <c r="O7" s="49"/>
    </row>
    <row r="8" spans="1:17">
      <c r="B8" s="14" t="str">
        <f t="shared" ref="B8:E8" si="3">LEFT(B2,4)</f>
        <v>2006</v>
      </c>
      <c r="C8" s="14" t="str">
        <f t="shared" si="3"/>
        <v>2007</v>
      </c>
      <c r="D8" s="14" t="str">
        <f t="shared" si="3"/>
        <v>2008</v>
      </c>
      <c r="E8" s="14" t="str">
        <f t="shared" si="3"/>
        <v>2009</v>
      </c>
      <c r="F8" s="14" t="str">
        <f>LEFT(F2,4)</f>
        <v>2010</v>
      </c>
      <c r="G8" s="14" t="str">
        <f t="shared" ref="G8:O8" si="4">LEFT(G2,4)</f>
        <v>2011</v>
      </c>
      <c r="H8" s="14" t="str">
        <f t="shared" si="4"/>
        <v>2012</v>
      </c>
      <c r="I8" s="14" t="str">
        <f t="shared" si="4"/>
        <v>2013</v>
      </c>
      <c r="J8" s="14" t="str">
        <f t="shared" si="4"/>
        <v>2014</v>
      </c>
      <c r="K8" s="14" t="str">
        <f t="shared" si="4"/>
        <v>2015</v>
      </c>
      <c r="L8" s="14" t="str">
        <f t="shared" si="4"/>
        <v>2016</v>
      </c>
      <c r="M8" s="14" t="str">
        <f t="shared" ref="M8:N8" si="5">LEFT(M2,4)</f>
        <v>2017</v>
      </c>
      <c r="N8" s="14" t="str">
        <f t="shared" si="5"/>
        <v>2018</v>
      </c>
      <c r="O8" s="14" t="str">
        <f t="shared" si="4"/>
        <v>2019</v>
      </c>
    </row>
    <row r="9" spans="1:17">
      <c r="A9" s="15" t="s">
        <v>1</v>
      </c>
      <c r="B9" s="15"/>
      <c r="C9" s="15"/>
      <c r="D9" s="15"/>
      <c r="E9" s="15"/>
    </row>
    <row r="10" spans="1:17" ht="20.25" customHeight="1">
      <c r="A10" s="195" t="s">
        <v>209</v>
      </c>
      <c r="B10" s="195"/>
      <c r="C10" s="195"/>
      <c r="D10" s="195"/>
      <c r="E10" s="195"/>
      <c r="F10" s="195"/>
      <c r="G10" s="195"/>
      <c r="H10" s="195"/>
      <c r="I10" s="195"/>
      <c r="J10" s="195"/>
      <c r="K10" s="195"/>
      <c r="L10" s="195"/>
      <c r="M10" s="195"/>
      <c r="N10" s="195"/>
      <c r="O10" s="195"/>
      <c r="P10" s="195"/>
      <c r="Q10" s="195"/>
    </row>
    <row r="11" spans="1:17" ht="18" customHeight="1">
      <c r="A11" s="195" t="s">
        <v>243</v>
      </c>
      <c r="B11" s="195"/>
      <c r="C11" s="195"/>
      <c r="D11" s="195"/>
      <c r="E11" s="195"/>
      <c r="F11" s="195"/>
      <c r="G11" s="195"/>
      <c r="H11" s="195"/>
      <c r="I11" s="195"/>
      <c r="J11" s="195"/>
      <c r="K11" s="195"/>
      <c r="L11" s="195"/>
      <c r="M11" s="195"/>
      <c r="N11" s="195"/>
      <c r="O11" s="195"/>
      <c r="P11" s="195"/>
      <c r="Q11" s="195"/>
    </row>
    <row r="12" spans="1:17">
      <c r="A12" s="158"/>
      <c r="B12" s="158"/>
      <c r="C12" s="158"/>
      <c r="D12" s="158"/>
      <c r="E12" s="158"/>
      <c r="F12" s="158"/>
      <c r="G12" s="158"/>
      <c r="H12" s="158"/>
      <c r="I12" s="158"/>
      <c r="J12" s="158"/>
      <c r="K12" s="159"/>
      <c r="L12" s="159"/>
      <c r="M12" s="159"/>
      <c r="N12" s="159"/>
      <c r="O12" s="159"/>
      <c r="P12" s="159"/>
    </row>
    <row r="13" spans="1:17">
      <c r="A13" s="158"/>
      <c r="B13" s="158"/>
      <c r="C13" s="158"/>
      <c r="D13" s="158"/>
      <c r="E13" s="158"/>
      <c r="F13" s="158"/>
      <c r="G13" s="158"/>
      <c r="H13" s="158"/>
      <c r="I13" s="158"/>
      <c r="J13" s="158"/>
      <c r="K13" s="159"/>
      <c r="L13" s="159"/>
      <c r="M13" s="159"/>
      <c r="N13" s="159"/>
      <c r="O13" s="159"/>
      <c r="P13" s="159"/>
    </row>
    <row r="14" spans="1:17">
      <c r="A14" s="131"/>
      <c r="B14" s="134"/>
      <c r="C14" s="134"/>
      <c r="D14" s="133"/>
      <c r="E14" s="133"/>
      <c r="F14" s="131"/>
      <c r="G14" s="131"/>
      <c r="H14" s="131"/>
      <c r="I14" s="131"/>
      <c r="J14" s="131"/>
      <c r="K14"/>
      <c r="L14"/>
      <c r="M14"/>
      <c r="N14"/>
      <c r="O14"/>
      <c r="P14"/>
    </row>
  </sheetData>
  <pageMargins left="0.56000000000000005" right="0.5" top="1.03" bottom="1.08" header="0.16" footer="0.2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8"/>
  <sheetViews>
    <sheetView zoomScaleNormal="100" workbookViewId="0"/>
  </sheetViews>
  <sheetFormatPr defaultRowHeight="16.5"/>
  <cols>
    <col min="1" max="1" width="62.85546875" style="21" bestFit="1" customWidth="1"/>
    <col min="2" max="2" width="14.5703125" style="24" bestFit="1" customWidth="1"/>
    <col min="3" max="3" width="16.7109375" style="24" bestFit="1" customWidth="1"/>
    <col min="4" max="4" width="16.42578125" style="23" bestFit="1" customWidth="1"/>
    <col min="5" max="5" width="17.42578125" style="24" customWidth="1"/>
    <col min="6" max="6" width="16.7109375" style="24" bestFit="1" customWidth="1"/>
    <col min="7" max="7" width="15.42578125" style="23" bestFit="1" customWidth="1"/>
    <col min="8" max="8" width="14.5703125" style="22" bestFit="1" customWidth="1"/>
    <col min="9" max="16384" width="9.140625" style="21"/>
  </cols>
  <sheetData>
    <row r="1" spans="1:8" ht="26.25" customHeight="1">
      <c r="A1" s="332" t="s">
        <v>377</v>
      </c>
      <c r="B1" s="203"/>
      <c r="C1" s="203"/>
      <c r="D1" s="203"/>
      <c r="E1" s="203"/>
      <c r="F1" s="203"/>
      <c r="G1" s="203"/>
      <c r="H1" s="203"/>
    </row>
    <row r="2" spans="1:8" s="27" customFormat="1" ht="58.5">
      <c r="A2" s="218" t="s">
        <v>37</v>
      </c>
      <c r="B2" s="219" t="s">
        <v>36</v>
      </c>
      <c r="C2" s="219" t="s">
        <v>35</v>
      </c>
      <c r="D2" s="220" t="s">
        <v>34</v>
      </c>
      <c r="E2" s="219" t="s">
        <v>33</v>
      </c>
      <c r="F2" s="219" t="s">
        <v>32</v>
      </c>
      <c r="G2" s="220" t="s">
        <v>31</v>
      </c>
      <c r="H2" s="219" t="s">
        <v>30</v>
      </c>
    </row>
    <row r="3" spans="1:8">
      <c r="A3" s="180" t="s">
        <v>29</v>
      </c>
      <c r="B3" s="181">
        <v>4985784</v>
      </c>
      <c r="C3" s="181">
        <v>1224110</v>
      </c>
      <c r="D3" s="182">
        <f>B3+C3</f>
        <v>6209894</v>
      </c>
      <c r="E3" s="181">
        <v>233825</v>
      </c>
      <c r="F3" s="181">
        <v>3602</v>
      </c>
      <c r="G3" s="182">
        <f>E3+F3</f>
        <v>237427</v>
      </c>
      <c r="H3" s="183">
        <f>D3+G3</f>
        <v>6447321</v>
      </c>
    </row>
    <row r="4" spans="1:8">
      <c r="A4" s="180" t="s">
        <v>28</v>
      </c>
      <c r="B4" s="181">
        <v>7837957</v>
      </c>
      <c r="C4" s="181">
        <v>2780130</v>
      </c>
      <c r="D4" s="182">
        <f t="shared" ref="D4:D18" si="0">B4+C4</f>
        <v>10618087</v>
      </c>
      <c r="E4" s="181">
        <v>963</v>
      </c>
      <c r="F4" s="181">
        <v>0</v>
      </c>
      <c r="G4" s="182">
        <f t="shared" ref="G4:G18" si="1">E4+F4</f>
        <v>963</v>
      </c>
      <c r="H4" s="183">
        <f t="shared" ref="H4:H18" si="2">D4+G4</f>
        <v>10619050</v>
      </c>
    </row>
    <row r="5" spans="1:8">
      <c r="A5" s="180" t="s">
        <v>27</v>
      </c>
      <c r="B5" s="181">
        <v>17348841</v>
      </c>
      <c r="C5" s="181">
        <v>4609030</v>
      </c>
      <c r="D5" s="182">
        <f t="shared" si="0"/>
        <v>21957871</v>
      </c>
      <c r="E5" s="181">
        <v>963</v>
      </c>
      <c r="F5" s="181">
        <v>0</v>
      </c>
      <c r="G5" s="182">
        <f t="shared" si="1"/>
        <v>963</v>
      </c>
      <c r="H5" s="183">
        <f t="shared" si="2"/>
        <v>21958834</v>
      </c>
    </row>
    <row r="6" spans="1:8">
      <c r="A6" s="180" t="s">
        <v>26</v>
      </c>
      <c r="B6" s="181">
        <v>8526998</v>
      </c>
      <c r="C6" s="181">
        <v>4242861</v>
      </c>
      <c r="D6" s="182">
        <f t="shared" si="0"/>
        <v>12769859</v>
      </c>
      <c r="E6" s="181">
        <v>279565</v>
      </c>
      <c r="F6" s="181">
        <v>800144</v>
      </c>
      <c r="G6" s="182">
        <f t="shared" si="1"/>
        <v>1079709</v>
      </c>
      <c r="H6" s="183">
        <f t="shared" si="2"/>
        <v>13849568</v>
      </c>
    </row>
    <row r="7" spans="1:8">
      <c r="A7" s="180" t="s">
        <v>25</v>
      </c>
      <c r="B7" s="181">
        <v>3805506</v>
      </c>
      <c r="C7" s="181">
        <v>1255350</v>
      </c>
      <c r="D7" s="182">
        <f t="shared" si="0"/>
        <v>5060856</v>
      </c>
      <c r="E7" s="181">
        <v>963</v>
      </c>
      <c r="F7" s="181">
        <v>0</v>
      </c>
      <c r="G7" s="182">
        <f t="shared" si="1"/>
        <v>963</v>
      </c>
      <c r="H7" s="183">
        <f t="shared" si="2"/>
        <v>5061819</v>
      </c>
    </row>
    <row r="8" spans="1:8">
      <c r="A8" s="180" t="s">
        <v>24</v>
      </c>
      <c r="B8" s="181">
        <v>3392982</v>
      </c>
      <c r="C8" s="181">
        <v>328534</v>
      </c>
      <c r="D8" s="182">
        <f t="shared" si="0"/>
        <v>3721516</v>
      </c>
      <c r="E8" s="181">
        <v>0</v>
      </c>
      <c r="F8" s="181">
        <v>0</v>
      </c>
      <c r="G8" s="182">
        <f t="shared" si="1"/>
        <v>0</v>
      </c>
      <c r="H8" s="183">
        <f t="shared" si="2"/>
        <v>3721516</v>
      </c>
    </row>
    <row r="9" spans="1:8">
      <c r="A9" s="180" t="s">
        <v>23</v>
      </c>
      <c r="B9" s="181">
        <v>3828840</v>
      </c>
      <c r="C9" s="181">
        <v>563464</v>
      </c>
      <c r="D9" s="182">
        <f t="shared" si="0"/>
        <v>4392304</v>
      </c>
      <c r="E9" s="181">
        <v>21161</v>
      </c>
      <c r="F9" s="181">
        <v>4825</v>
      </c>
      <c r="G9" s="182">
        <f t="shared" si="1"/>
        <v>25986</v>
      </c>
      <c r="H9" s="183">
        <f t="shared" si="2"/>
        <v>4418290</v>
      </c>
    </row>
    <row r="10" spans="1:8">
      <c r="A10" s="180" t="s">
        <v>22</v>
      </c>
      <c r="B10" s="181">
        <v>6868890</v>
      </c>
      <c r="C10" s="181">
        <v>1147492</v>
      </c>
      <c r="D10" s="182">
        <f t="shared" si="0"/>
        <v>8016382</v>
      </c>
      <c r="E10" s="181">
        <v>0</v>
      </c>
      <c r="F10" s="181">
        <v>0</v>
      </c>
      <c r="G10" s="182">
        <f t="shared" si="1"/>
        <v>0</v>
      </c>
      <c r="H10" s="183">
        <f t="shared" si="2"/>
        <v>8016382</v>
      </c>
    </row>
    <row r="11" spans="1:8">
      <c r="A11" s="180" t="s">
        <v>21</v>
      </c>
      <c r="B11" s="181">
        <v>4588672</v>
      </c>
      <c r="C11" s="181">
        <v>1043924</v>
      </c>
      <c r="D11" s="182">
        <f t="shared" si="0"/>
        <v>5632596</v>
      </c>
      <c r="E11" s="181">
        <v>56439</v>
      </c>
      <c r="F11" s="181">
        <v>4825</v>
      </c>
      <c r="G11" s="182">
        <f t="shared" si="1"/>
        <v>61264</v>
      </c>
      <c r="H11" s="183">
        <f t="shared" si="2"/>
        <v>5693860</v>
      </c>
    </row>
    <row r="12" spans="1:8">
      <c r="A12" s="180" t="s">
        <v>20</v>
      </c>
      <c r="B12" s="181">
        <v>26492623</v>
      </c>
      <c r="C12" s="181">
        <v>12914087</v>
      </c>
      <c r="D12" s="182">
        <f t="shared" si="0"/>
        <v>39406710</v>
      </c>
      <c r="E12" s="181">
        <v>963</v>
      </c>
      <c r="F12" s="181">
        <v>0</v>
      </c>
      <c r="G12" s="182">
        <f t="shared" si="1"/>
        <v>963</v>
      </c>
      <c r="H12" s="183">
        <f t="shared" si="2"/>
        <v>39407673</v>
      </c>
    </row>
    <row r="13" spans="1:8">
      <c r="A13" s="180" t="s">
        <v>19</v>
      </c>
      <c r="B13" s="181">
        <v>20099816</v>
      </c>
      <c r="C13" s="181">
        <v>4905834</v>
      </c>
      <c r="D13" s="182">
        <f t="shared" si="0"/>
        <v>25005650</v>
      </c>
      <c r="E13" s="181">
        <v>963</v>
      </c>
      <c r="F13" s="181">
        <v>0</v>
      </c>
      <c r="G13" s="182">
        <f t="shared" si="1"/>
        <v>963</v>
      </c>
      <c r="H13" s="183">
        <f t="shared" si="2"/>
        <v>25006613</v>
      </c>
    </row>
    <row r="14" spans="1:8">
      <c r="A14" s="180" t="s">
        <v>246</v>
      </c>
      <c r="B14" s="181">
        <v>9203583</v>
      </c>
      <c r="C14" s="181">
        <v>3418440</v>
      </c>
      <c r="D14" s="182">
        <f t="shared" si="0"/>
        <v>12622023</v>
      </c>
      <c r="E14" s="181">
        <v>35061</v>
      </c>
      <c r="F14" s="181">
        <v>24925</v>
      </c>
      <c r="G14" s="182">
        <f t="shared" si="1"/>
        <v>59986</v>
      </c>
      <c r="H14" s="183">
        <f t="shared" si="2"/>
        <v>12682009</v>
      </c>
    </row>
    <row r="15" spans="1:8">
      <c r="A15" s="180" t="s">
        <v>18</v>
      </c>
      <c r="B15" s="181">
        <v>3064211</v>
      </c>
      <c r="C15" s="181">
        <v>1044166</v>
      </c>
      <c r="D15" s="182">
        <f t="shared" si="0"/>
        <v>4108377</v>
      </c>
      <c r="E15" s="181">
        <v>963</v>
      </c>
      <c r="F15" s="181">
        <v>0</v>
      </c>
      <c r="G15" s="182">
        <f t="shared" si="1"/>
        <v>963</v>
      </c>
      <c r="H15" s="183">
        <f t="shared" si="2"/>
        <v>4109340</v>
      </c>
    </row>
    <row r="16" spans="1:8">
      <c r="A16" s="180" t="s">
        <v>17</v>
      </c>
      <c r="B16" s="181">
        <v>856271</v>
      </c>
      <c r="C16" s="181">
        <v>792841</v>
      </c>
      <c r="D16" s="182">
        <f t="shared" si="0"/>
        <v>1649112</v>
      </c>
      <c r="E16" s="181">
        <v>0</v>
      </c>
      <c r="F16" s="181">
        <v>0</v>
      </c>
      <c r="G16" s="182">
        <f t="shared" si="1"/>
        <v>0</v>
      </c>
      <c r="H16" s="183">
        <f t="shared" si="2"/>
        <v>1649112</v>
      </c>
    </row>
    <row r="17" spans="1:8">
      <c r="A17" s="180" t="s">
        <v>16</v>
      </c>
      <c r="B17" s="181">
        <v>6806597</v>
      </c>
      <c r="C17" s="181">
        <v>3005939</v>
      </c>
      <c r="D17" s="182">
        <f t="shared" si="0"/>
        <v>9812536</v>
      </c>
      <c r="E17" s="181">
        <v>0</v>
      </c>
      <c r="F17" s="181">
        <v>0</v>
      </c>
      <c r="G17" s="182">
        <f t="shared" si="1"/>
        <v>0</v>
      </c>
      <c r="H17" s="183">
        <f t="shared" si="2"/>
        <v>9812536</v>
      </c>
    </row>
    <row r="18" spans="1:8">
      <c r="A18" s="180" t="s">
        <v>15</v>
      </c>
      <c r="B18" s="184">
        <v>7333015</v>
      </c>
      <c r="C18" s="184">
        <v>4448344</v>
      </c>
      <c r="D18" s="182">
        <f t="shared" si="0"/>
        <v>11781359</v>
      </c>
      <c r="E18" s="184">
        <v>440083</v>
      </c>
      <c r="F18" s="184">
        <v>0</v>
      </c>
      <c r="G18" s="182">
        <f t="shared" si="1"/>
        <v>440083</v>
      </c>
      <c r="H18" s="185">
        <f t="shared" si="2"/>
        <v>12221442</v>
      </c>
    </row>
    <row r="19" spans="1:8" s="25" customFormat="1" ht="14.25">
      <c r="A19" s="25" t="s">
        <v>2</v>
      </c>
      <c r="B19" s="26">
        <f t="shared" ref="B19:G19" si="3">SUM(B3:B18)</f>
        <v>135040586</v>
      </c>
      <c r="C19" s="26">
        <f t="shared" si="3"/>
        <v>47724546</v>
      </c>
      <c r="D19" s="26">
        <f t="shared" si="3"/>
        <v>182765132</v>
      </c>
      <c r="E19" s="26">
        <f t="shared" si="3"/>
        <v>1071912</v>
      </c>
      <c r="F19" s="26">
        <f t="shared" si="3"/>
        <v>838321</v>
      </c>
      <c r="G19" s="26">
        <f t="shared" si="3"/>
        <v>1910233</v>
      </c>
      <c r="H19" s="26">
        <f t="shared" ref="H19" si="4">D19+G19</f>
        <v>184675365</v>
      </c>
    </row>
    <row r="21" spans="1:8">
      <c r="A21" s="25" t="s">
        <v>1</v>
      </c>
    </row>
    <row r="22" spans="1:8" ht="16.5" customHeight="1">
      <c r="A22" s="352" t="s">
        <v>247</v>
      </c>
      <c r="B22" s="352"/>
      <c r="C22" s="352"/>
      <c r="D22" s="352"/>
      <c r="E22" s="352"/>
      <c r="F22" s="352"/>
      <c r="G22" s="352"/>
      <c r="H22" s="352"/>
    </row>
    <row r="23" spans="1:8" ht="17.25" customHeight="1">
      <c r="A23" s="352" t="s">
        <v>14</v>
      </c>
      <c r="B23" s="352"/>
      <c r="C23" s="352"/>
      <c r="D23" s="352"/>
      <c r="E23" s="352"/>
      <c r="F23" s="352"/>
      <c r="G23" s="352"/>
      <c r="H23" s="352"/>
    </row>
    <row r="24" spans="1:8" ht="17.25" customHeight="1">
      <c r="A24" s="353" t="s">
        <v>248</v>
      </c>
      <c r="B24" s="353"/>
      <c r="C24" s="353"/>
      <c r="D24" s="353"/>
      <c r="E24" s="353"/>
      <c r="F24" s="353"/>
      <c r="G24" s="353"/>
      <c r="H24" s="353"/>
    </row>
    <row r="25" spans="1:8">
      <c r="A25" s="353" t="s">
        <v>265</v>
      </c>
      <c r="B25" s="353"/>
      <c r="C25" s="353"/>
      <c r="D25" s="353"/>
      <c r="E25" s="353"/>
      <c r="F25" s="353"/>
      <c r="G25" s="353"/>
      <c r="H25" s="353"/>
    </row>
    <row r="26" spans="1:8">
      <c r="A26" s="96"/>
      <c r="B26" s="96"/>
      <c r="C26" s="96"/>
      <c r="D26" s="96"/>
      <c r="E26" s="96"/>
      <c r="F26" s="96"/>
      <c r="G26" s="96"/>
      <c r="H26" s="96"/>
    </row>
    <row r="27" spans="1:8">
      <c r="A27" s="25" t="s">
        <v>90</v>
      </c>
    </row>
    <row r="28" spans="1:8" ht="23.25" customHeight="1">
      <c r="A28" s="351" t="str">
        <f>"Total: $" &amp; TEXT(H19,"#.0,,") &amp; " million (Expense: $" &amp; TEXT(D19,"#.0,,") &amp; " million, Capital: $" &amp; TEXT(G19,"#.0,,") &amp; " million)"</f>
        <v>Total: $184.7 million (Expense: $182.8 million, Capital: $1.9 million)</v>
      </c>
      <c r="B28" s="351"/>
      <c r="C28" s="351"/>
      <c r="D28" s="351"/>
    </row>
  </sheetData>
  <mergeCells count="5">
    <mergeCell ref="A28:D28"/>
    <mergeCell ref="A22:H22"/>
    <mergeCell ref="A23:H23"/>
    <mergeCell ref="A24:H24"/>
    <mergeCell ref="A25:H25"/>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zoomScaleNormal="100" workbookViewId="0">
      <selection activeCell="A3" sqref="A3:XFD3"/>
    </sheetView>
  </sheetViews>
  <sheetFormatPr defaultRowHeight="17.25"/>
  <cols>
    <col min="1" max="1" width="32.85546875" style="50" customWidth="1"/>
    <col min="2" max="2" width="17.140625" style="50" customWidth="1"/>
    <col min="3" max="6" width="17.140625" style="50" bestFit="1" customWidth="1"/>
    <col min="7" max="10" width="17.7109375" style="50" customWidth="1"/>
    <col min="11" max="16384" width="9.140625" style="50"/>
  </cols>
  <sheetData>
    <row r="1" spans="1:12">
      <c r="A1" s="355" t="str">
        <f>"Figure 5: Costs by Fund, FY"&amp;J3</f>
        <v>Figure 5: Costs by Fund, FY2019</v>
      </c>
      <c r="B1" s="355"/>
      <c r="C1" s="355"/>
      <c r="D1" s="355"/>
      <c r="E1" s="355"/>
      <c r="F1" s="355"/>
      <c r="G1" s="355"/>
      <c r="H1" s="355"/>
      <c r="I1" s="355"/>
      <c r="J1" s="355"/>
    </row>
    <row r="2" spans="1:12">
      <c r="A2" s="52"/>
      <c r="B2" s="51"/>
      <c r="C2" s="51"/>
      <c r="D2" s="51"/>
      <c r="E2" s="51"/>
      <c r="F2" s="51"/>
    </row>
    <row r="3" spans="1:12" ht="19.5">
      <c r="A3" s="217" t="s">
        <v>380</v>
      </c>
      <c r="B3" s="216">
        <v>2011</v>
      </c>
      <c r="C3" s="216">
        <v>2012</v>
      </c>
      <c r="D3" s="216">
        <v>2013</v>
      </c>
      <c r="E3" s="216">
        <v>2014</v>
      </c>
      <c r="F3" s="216">
        <v>2015</v>
      </c>
      <c r="G3" s="216" t="s">
        <v>244</v>
      </c>
      <c r="H3" s="216">
        <v>2017</v>
      </c>
      <c r="I3" s="216">
        <v>2018</v>
      </c>
      <c r="J3" s="216">
        <v>2019</v>
      </c>
    </row>
    <row r="4" spans="1:12">
      <c r="A4" s="3" t="s">
        <v>210</v>
      </c>
      <c r="B4" s="193">
        <v>105257648</v>
      </c>
      <c r="C4" s="193">
        <v>109818406</v>
      </c>
      <c r="D4" s="194">
        <v>102742463.01000001</v>
      </c>
      <c r="E4" s="194">
        <v>93422644</v>
      </c>
      <c r="F4" s="194">
        <v>102350719.14</v>
      </c>
      <c r="G4" s="194">
        <v>103824064</v>
      </c>
      <c r="H4" s="194">
        <v>98720366</v>
      </c>
      <c r="I4" s="194">
        <v>96641476</v>
      </c>
      <c r="J4" s="194">
        <v>84178235</v>
      </c>
    </row>
    <row r="5" spans="1:12" ht="19.5">
      <c r="A5" s="3" t="s">
        <v>86</v>
      </c>
      <c r="B5" s="193"/>
      <c r="C5" s="193"/>
      <c r="D5" s="194"/>
      <c r="E5" s="194"/>
      <c r="F5" s="194"/>
      <c r="G5" s="194"/>
      <c r="H5" s="194"/>
      <c r="I5" s="194"/>
      <c r="J5" s="194"/>
      <c r="L5" s="56"/>
    </row>
    <row r="6" spans="1:12">
      <c r="A6" s="55" t="s">
        <v>85</v>
      </c>
      <c r="B6" s="193">
        <v>79829739</v>
      </c>
      <c r="C6" s="193">
        <v>76351240</v>
      </c>
      <c r="D6" s="194">
        <v>75238564.810000002</v>
      </c>
      <c r="E6" s="194">
        <v>53057116.689999998</v>
      </c>
      <c r="F6" s="194">
        <v>78332688.890000001</v>
      </c>
      <c r="G6" s="194">
        <v>56932653</v>
      </c>
      <c r="H6" s="194">
        <v>57033262</v>
      </c>
      <c r="I6" s="194">
        <v>57573752</v>
      </c>
      <c r="J6" s="194">
        <v>57509278</v>
      </c>
    </row>
    <row r="7" spans="1:12">
      <c r="A7" s="55" t="s">
        <v>211</v>
      </c>
      <c r="B7" s="193">
        <v>37606835</v>
      </c>
      <c r="C7" s="193">
        <v>45782424</v>
      </c>
      <c r="D7" s="194">
        <v>48583014.189999998</v>
      </c>
      <c r="E7" s="194">
        <v>50913614.200000003</v>
      </c>
      <c r="F7" s="194">
        <v>36986093.710000001</v>
      </c>
      <c r="G7" s="194">
        <v>48793368</v>
      </c>
      <c r="H7" s="194">
        <v>46988392</v>
      </c>
      <c r="I7" s="194">
        <v>66808002</v>
      </c>
      <c r="J7" s="194">
        <v>70365137</v>
      </c>
    </row>
    <row r="8" spans="1:12">
      <c r="A8" s="3" t="s">
        <v>84</v>
      </c>
      <c r="B8" s="193">
        <v>73608793</v>
      </c>
      <c r="C8" s="193">
        <v>58956587</v>
      </c>
      <c r="D8" s="194">
        <v>48813940.990000002</v>
      </c>
      <c r="E8" s="194">
        <v>54828830</v>
      </c>
      <c r="F8" s="194">
        <v>44748863.060000002</v>
      </c>
      <c r="G8" s="194">
        <v>47558238</v>
      </c>
      <c r="H8" s="194">
        <v>40649455</v>
      </c>
      <c r="I8" s="194">
        <v>45108946</v>
      </c>
      <c r="J8" s="194">
        <v>23354937</v>
      </c>
    </row>
    <row r="9" spans="1:12">
      <c r="A9" s="3" t="s">
        <v>83</v>
      </c>
      <c r="B9" s="193">
        <v>14911880</v>
      </c>
      <c r="C9" s="193">
        <v>15501115</v>
      </c>
      <c r="D9" s="194">
        <v>15723909</v>
      </c>
      <c r="E9" s="194">
        <v>16911905</v>
      </c>
      <c r="F9" s="194">
        <v>17132184</v>
      </c>
      <c r="G9" s="194">
        <v>17063851</v>
      </c>
      <c r="H9" s="194">
        <v>16566061</v>
      </c>
      <c r="I9" s="194">
        <v>12567914</v>
      </c>
      <c r="J9" s="194">
        <v>15445314</v>
      </c>
    </row>
    <row r="10" spans="1:12">
      <c r="A10" s="3" t="s">
        <v>269</v>
      </c>
      <c r="B10" s="193"/>
      <c r="C10" s="193"/>
      <c r="D10" s="194"/>
      <c r="E10" s="194"/>
      <c r="F10" s="194"/>
      <c r="G10" s="194"/>
      <c r="H10" s="194"/>
      <c r="I10" s="194">
        <v>10367580</v>
      </c>
      <c r="J10" s="194">
        <v>11607301</v>
      </c>
    </row>
    <row r="11" spans="1:12">
      <c r="A11" s="54" t="s">
        <v>82</v>
      </c>
      <c r="B11" s="53">
        <f t="shared" ref="B11:J11" si="0">SUM(B4:B10)</f>
        <v>311214895</v>
      </c>
      <c r="C11" s="53">
        <f t="shared" si="0"/>
        <v>306409772</v>
      </c>
      <c r="D11" s="53">
        <f t="shared" si="0"/>
        <v>291101892</v>
      </c>
      <c r="E11" s="53">
        <f t="shared" si="0"/>
        <v>269134109.88999999</v>
      </c>
      <c r="F11" s="53">
        <f t="shared" si="0"/>
        <v>279550548.80000001</v>
      </c>
      <c r="G11" s="53">
        <f t="shared" si="0"/>
        <v>274172174</v>
      </c>
      <c r="H11" s="53">
        <f t="shared" si="0"/>
        <v>259957536</v>
      </c>
      <c r="I11" s="53">
        <f t="shared" ref="I11" si="1">SUM(I4:I10)</f>
        <v>289067670</v>
      </c>
      <c r="J11" s="53">
        <f t="shared" si="0"/>
        <v>262460202</v>
      </c>
    </row>
    <row r="12" spans="1:12">
      <c r="A12" s="51"/>
      <c r="B12" s="51"/>
      <c r="C12" s="51"/>
      <c r="D12" s="51"/>
      <c r="E12" s="51"/>
      <c r="F12" s="51"/>
    </row>
    <row r="13" spans="1:12">
      <c r="A13" s="51"/>
      <c r="B13" s="51"/>
      <c r="C13" s="51"/>
      <c r="D13" s="51"/>
      <c r="E13" s="51"/>
      <c r="F13" s="51"/>
    </row>
    <row r="14" spans="1:12">
      <c r="A14" s="52" t="s">
        <v>1</v>
      </c>
      <c r="B14" s="51"/>
      <c r="C14" s="51"/>
      <c r="D14" s="51"/>
      <c r="E14" s="51"/>
      <c r="F14" s="51"/>
    </row>
    <row r="15" spans="1:12" ht="17.25" customHeight="1">
      <c r="A15" s="354" t="s">
        <v>266</v>
      </c>
      <c r="B15" s="354"/>
      <c r="C15" s="354"/>
      <c r="D15" s="354"/>
      <c r="E15" s="354"/>
      <c r="F15" s="354"/>
      <c r="G15" s="354"/>
      <c r="H15" s="354"/>
      <c r="I15" s="354"/>
      <c r="J15" s="354"/>
      <c r="K15" s="354"/>
      <c r="L15" s="354"/>
    </row>
    <row r="16" spans="1:12" ht="38.25" customHeight="1">
      <c r="A16" s="356" t="s">
        <v>81</v>
      </c>
      <c r="B16" s="356"/>
      <c r="C16" s="356"/>
      <c r="D16" s="356"/>
      <c r="E16" s="356"/>
      <c r="F16" s="356"/>
      <c r="G16" s="356"/>
      <c r="H16" s="356"/>
      <c r="I16" s="356"/>
      <c r="J16" s="356"/>
      <c r="K16" s="356"/>
      <c r="L16" s="356"/>
    </row>
    <row r="17" spans="1:13" ht="17.25" customHeight="1">
      <c r="A17" s="354" t="s">
        <v>267</v>
      </c>
      <c r="B17" s="354"/>
      <c r="C17" s="354"/>
      <c r="D17" s="354"/>
      <c r="E17" s="354"/>
      <c r="F17" s="354"/>
      <c r="G17" s="354"/>
      <c r="H17" s="354"/>
      <c r="I17" s="354"/>
      <c r="J17" s="354"/>
      <c r="K17" s="354"/>
      <c r="L17" s="354"/>
    </row>
    <row r="18" spans="1:13" ht="37.5" customHeight="1">
      <c r="A18" s="357" t="s">
        <v>356</v>
      </c>
      <c r="B18" s="357"/>
      <c r="C18" s="357"/>
      <c r="D18" s="357"/>
      <c r="E18" s="357"/>
      <c r="F18" s="357"/>
      <c r="G18" s="357"/>
      <c r="H18" s="357"/>
      <c r="I18" s="357"/>
      <c r="J18" s="357"/>
      <c r="K18" s="357"/>
      <c r="L18" s="357"/>
      <c r="M18" s="176"/>
    </row>
    <row r="19" spans="1:13" ht="17.25" customHeight="1">
      <c r="A19" s="354" t="s">
        <v>357</v>
      </c>
      <c r="B19" s="354"/>
      <c r="C19" s="354"/>
      <c r="D19" s="354"/>
      <c r="E19" s="354"/>
      <c r="F19" s="354"/>
      <c r="G19" s="354"/>
      <c r="H19" s="354"/>
      <c r="I19" s="354"/>
      <c r="J19" s="354"/>
      <c r="K19" s="354"/>
      <c r="L19" s="354"/>
      <c r="M19" s="176"/>
    </row>
    <row r="21" spans="1:13">
      <c r="A21" s="102" t="s">
        <v>371</v>
      </c>
    </row>
    <row r="22" spans="1:13">
      <c r="A22" s="3" t="s">
        <v>87</v>
      </c>
      <c r="B22" s="57">
        <f>J4</f>
        <v>84178235</v>
      </c>
    </row>
    <row r="23" spans="1:13">
      <c r="A23" s="3" t="s">
        <v>88</v>
      </c>
      <c r="B23" s="57">
        <f>J6</f>
        <v>57509278</v>
      </c>
    </row>
    <row r="24" spans="1:13">
      <c r="A24" s="3" t="s">
        <v>89</v>
      </c>
      <c r="B24" s="57">
        <f>J7</f>
        <v>70365137</v>
      </c>
    </row>
    <row r="25" spans="1:13">
      <c r="A25" s="3" t="s">
        <v>84</v>
      </c>
      <c r="B25" s="57">
        <f>J8</f>
        <v>23354937</v>
      </c>
    </row>
    <row r="26" spans="1:13">
      <c r="A26" s="3" t="s">
        <v>83</v>
      </c>
      <c r="B26" s="57">
        <f t="shared" ref="B26" si="2">J9</f>
        <v>15445314</v>
      </c>
    </row>
    <row r="27" spans="1:13">
      <c r="A27" s="3" t="s">
        <v>269</v>
      </c>
      <c r="B27" s="57">
        <f t="shared" ref="B27" si="3">J10</f>
        <v>11607301</v>
      </c>
    </row>
    <row r="29" spans="1:13">
      <c r="A29" s="102" t="s">
        <v>90</v>
      </c>
    </row>
    <row r="30" spans="1:13">
      <c r="A30" s="50" t="str">
        <f>subtitle</f>
        <v>Total: $262.7 million includes $22.3 million in obligations to capital projects, plus General and Administrative (G&amp;A) costs ($11.6 million), and Columbia River System Operations Review/Environmental Impact Statement costs ($255,000)</v>
      </c>
    </row>
    <row r="50" ht="30" customHeight="1"/>
  </sheetData>
  <mergeCells count="6">
    <mergeCell ref="A19:L19"/>
    <mergeCell ref="A1:J1"/>
    <mergeCell ref="A15:L15"/>
    <mergeCell ref="A16:L16"/>
    <mergeCell ref="A17:L17"/>
    <mergeCell ref="A18:L18"/>
  </mergeCells>
  <pageMargins left="0.34" right="0.37" top="1" bottom="1" header="0.5" footer="0.5"/>
  <pageSetup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3"/>
  <sheetViews>
    <sheetView zoomScaleNormal="100" workbookViewId="0">
      <selection activeCell="A24" sqref="A24"/>
    </sheetView>
  </sheetViews>
  <sheetFormatPr defaultRowHeight="12.75"/>
  <cols>
    <col min="1" max="1" width="41.85546875" style="1" customWidth="1"/>
    <col min="2" max="2" width="15.42578125" style="60" customWidth="1"/>
    <col min="3" max="3" width="15.42578125" style="1" bestFit="1" customWidth="1"/>
    <col min="4" max="4" width="15.42578125" style="59" bestFit="1" customWidth="1"/>
    <col min="5" max="6" width="15.42578125" style="1" bestFit="1" customWidth="1"/>
    <col min="7" max="10" width="15.42578125" style="1" customWidth="1"/>
    <col min="11" max="11" width="17.7109375" style="1" customWidth="1"/>
    <col min="12" max="12" width="11.85546875" style="1" customWidth="1"/>
    <col min="13" max="16384" width="9.140625" style="1"/>
  </cols>
  <sheetData>
    <row r="1" spans="1:12" s="62" customFormat="1" ht="30.75" customHeight="1">
      <c r="A1" s="358" t="str">
        <f>"Figure 6A: Costs by Category, FY"&amp;J2</f>
        <v>Figure 6A: Costs by Category, FY2019</v>
      </c>
      <c r="B1" s="358"/>
      <c r="C1" s="358"/>
      <c r="D1" s="358"/>
      <c r="E1" s="358"/>
      <c r="F1" s="358"/>
      <c r="G1" s="358"/>
      <c r="H1" s="358"/>
      <c r="I1" s="358"/>
      <c r="J1" s="358"/>
    </row>
    <row r="2" spans="1:12" s="71" customFormat="1" ht="19.5">
      <c r="A2" s="214" t="s">
        <v>13</v>
      </c>
      <c r="B2" s="214">
        <v>2011</v>
      </c>
      <c r="C2" s="214">
        <v>2012</v>
      </c>
      <c r="D2" s="214">
        <v>2013</v>
      </c>
      <c r="E2" s="214">
        <v>2014</v>
      </c>
      <c r="F2" s="214">
        <v>2015</v>
      </c>
      <c r="G2" s="214" t="s">
        <v>250</v>
      </c>
      <c r="H2" s="214">
        <v>2017</v>
      </c>
      <c r="I2" s="214">
        <v>2018</v>
      </c>
      <c r="J2" s="214">
        <v>2019</v>
      </c>
      <c r="K2" s="74" t="s">
        <v>94</v>
      </c>
      <c r="L2" s="74" t="s">
        <v>233</v>
      </c>
    </row>
    <row r="3" spans="1:12" s="62" customFormat="1" ht="17.25">
      <c r="A3" s="70" t="s">
        <v>212</v>
      </c>
      <c r="B3" s="108">
        <v>25185796</v>
      </c>
      <c r="C3" s="108">
        <v>28135259</v>
      </c>
      <c r="D3" s="108">
        <v>30074159.880000003</v>
      </c>
      <c r="E3" s="108">
        <v>13294304.619999999</v>
      </c>
      <c r="F3" s="109">
        <v>13500244.51</v>
      </c>
      <c r="G3" s="108">
        <v>13778450</v>
      </c>
      <c r="H3" s="109">
        <v>13866904.550000001</v>
      </c>
      <c r="I3" s="109">
        <v>12490178</v>
      </c>
      <c r="J3" s="186">
        <v>11396071</v>
      </c>
      <c r="K3" s="117">
        <f>J3</f>
        <v>11396071</v>
      </c>
      <c r="L3" s="70" t="s">
        <v>212</v>
      </c>
    </row>
    <row r="4" spans="1:12" s="62" customFormat="1" ht="19.5">
      <c r="A4" s="70" t="s">
        <v>249</v>
      </c>
      <c r="B4" s="108"/>
      <c r="C4" s="108"/>
      <c r="D4" s="108"/>
      <c r="E4" s="108">
        <v>14616141.960000001</v>
      </c>
      <c r="F4" s="109">
        <v>14404354.34</v>
      </c>
      <c r="G4" s="108">
        <v>15213335</v>
      </c>
      <c r="H4" s="109">
        <v>14542930.67</v>
      </c>
      <c r="I4" s="109">
        <v>11036776</v>
      </c>
      <c r="J4" s="186">
        <v>11677755</v>
      </c>
      <c r="K4" s="117">
        <f>J4</f>
        <v>11677755</v>
      </c>
      <c r="L4" s="70" t="s">
        <v>234</v>
      </c>
    </row>
    <row r="5" spans="1:12" s="62" customFormat="1" ht="17.25">
      <c r="A5" s="70" t="s">
        <v>42</v>
      </c>
      <c r="B5" s="64">
        <v>4319007</v>
      </c>
      <c r="C5" s="64">
        <v>4130748</v>
      </c>
      <c r="D5" s="64">
        <v>3980350.71</v>
      </c>
      <c r="E5" s="64">
        <v>4244806.68</v>
      </c>
      <c r="F5" s="64">
        <v>4077673.9</v>
      </c>
      <c r="G5" s="64">
        <v>7152515</v>
      </c>
      <c r="H5" s="64">
        <v>6798515.7999999998</v>
      </c>
      <c r="I5" s="64">
        <v>5980713</v>
      </c>
      <c r="J5" s="186">
        <v>4792926</v>
      </c>
      <c r="K5" s="117">
        <f t="shared" ref="K5:K11" si="0">J5</f>
        <v>4792926</v>
      </c>
      <c r="L5" s="70" t="s">
        <v>42</v>
      </c>
    </row>
    <row r="6" spans="1:12" s="62" customFormat="1" ht="17.25">
      <c r="A6" s="70" t="s">
        <v>213</v>
      </c>
      <c r="B6" s="64">
        <v>123373947</v>
      </c>
      <c r="C6" s="64">
        <v>122609228</v>
      </c>
      <c r="D6" s="64">
        <v>118831308.82000001</v>
      </c>
      <c r="E6" s="64">
        <v>102422790.40000001</v>
      </c>
      <c r="F6" s="64">
        <v>124435134.92</v>
      </c>
      <c r="G6" s="64">
        <v>117933009</v>
      </c>
      <c r="H6" s="64">
        <v>98185616.640000001</v>
      </c>
      <c r="I6" s="64">
        <v>123250425</v>
      </c>
      <c r="J6" s="186">
        <v>95407540</v>
      </c>
      <c r="K6" s="117">
        <f t="shared" si="0"/>
        <v>95407540</v>
      </c>
      <c r="L6" s="70" t="s">
        <v>213</v>
      </c>
    </row>
    <row r="7" spans="1:12" s="62" customFormat="1" ht="36.75" customHeight="1">
      <c r="A7" s="70" t="s">
        <v>41</v>
      </c>
      <c r="B7" s="64">
        <v>3599302</v>
      </c>
      <c r="C7" s="64">
        <v>4429624</v>
      </c>
      <c r="D7" s="64">
        <v>4077995.11</v>
      </c>
      <c r="E7" s="64">
        <v>4062872.09</v>
      </c>
      <c r="F7" s="64">
        <v>4248774.49</v>
      </c>
      <c r="G7" s="64">
        <v>4206148</v>
      </c>
      <c r="H7" s="64">
        <v>4321384.6500000004</v>
      </c>
      <c r="I7" s="64">
        <v>6599734</v>
      </c>
      <c r="J7" s="186">
        <v>4345080</v>
      </c>
      <c r="K7" s="117">
        <f t="shared" si="0"/>
        <v>4345080</v>
      </c>
      <c r="L7" s="70" t="s">
        <v>41</v>
      </c>
    </row>
    <row r="8" spans="1:12" s="62" customFormat="1" ht="37.5" customHeight="1">
      <c r="A8" s="70" t="s">
        <v>93</v>
      </c>
      <c r="B8" s="64">
        <v>61846889</v>
      </c>
      <c r="C8" s="64">
        <v>53165835</v>
      </c>
      <c r="D8" s="64">
        <v>50024766.200000003</v>
      </c>
      <c r="E8" s="64">
        <v>45146278.850000001</v>
      </c>
      <c r="F8" s="110">
        <v>32202008.149999999</v>
      </c>
      <c r="G8" s="64">
        <v>31490426</v>
      </c>
      <c r="H8" s="110">
        <v>34872455.259999998</v>
      </c>
      <c r="I8" s="110">
        <v>36978108</v>
      </c>
      <c r="J8" s="186">
        <v>41775457</v>
      </c>
      <c r="K8" s="117">
        <f t="shared" si="0"/>
        <v>41775457</v>
      </c>
      <c r="L8" s="70" t="s">
        <v>93</v>
      </c>
    </row>
    <row r="9" spans="1:12" s="62" customFormat="1" ht="17.25">
      <c r="A9" s="70" t="s">
        <v>40</v>
      </c>
      <c r="B9" s="64">
        <v>805250</v>
      </c>
      <c r="C9" s="64">
        <v>853122</v>
      </c>
      <c r="D9" s="64">
        <v>750779.54</v>
      </c>
      <c r="E9" s="64">
        <v>883679.1</v>
      </c>
      <c r="F9" s="64">
        <v>865989.83</v>
      </c>
      <c r="G9" s="64">
        <v>800717</v>
      </c>
      <c r="H9" s="64">
        <v>1007595</v>
      </c>
      <c r="I9" s="64">
        <v>939310</v>
      </c>
      <c r="J9" s="186">
        <v>921482</v>
      </c>
      <c r="K9" s="117">
        <f t="shared" si="0"/>
        <v>921482</v>
      </c>
      <c r="L9" s="70" t="s">
        <v>40</v>
      </c>
    </row>
    <row r="10" spans="1:12" s="62" customFormat="1" ht="17.25">
      <c r="A10" s="70" t="s">
        <v>39</v>
      </c>
      <c r="B10" s="64">
        <v>2983190</v>
      </c>
      <c r="C10" s="64">
        <v>3558732</v>
      </c>
      <c r="D10" s="64">
        <v>3309063.57</v>
      </c>
      <c r="E10" s="64">
        <v>3879435.13</v>
      </c>
      <c r="F10" s="64">
        <v>3614166.46</v>
      </c>
      <c r="G10" s="64">
        <v>4251762</v>
      </c>
      <c r="H10" s="64">
        <v>4211395.18</v>
      </c>
      <c r="I10" s="64">
        <v>3392431</v>
      </c>
      <c r="J10" s="186">
        <v>5301185</v>
      </c>
      <c r="K10" s="117">
        <f t="shared" si="0"/>
        <v>5301185</v>
      </c>
      <c r="L10" s="70" t="s">
        <v>39</v>
      </c>
    </row>
    <row r="11" spans="1:12" s="62" customFormat="1" ht="17.25">
      <c r="A11" s="70" t="s">
        <v>92</v>
      </c>
      <c r="B11" s="162">
        <v>89101514</v>
      </c>
      <c r="C11" s="162">
        <v>89527224</v>
      </c>
      <c r="D11" s="162">
        <v>80053468.640000001</v>
      </c>
      <c r="E11" s="162">
        <v>80583800.829999998</v>
      </c>
      <c r="F11" s="162">
        <v>82202202.650000006</v>
      </c>
      <c r="G11" s="162">
        <v>79345812</v>
      </c>
      <c r="H11" s="162">
        <v>82150738.269999996</v>
      </c>
      <c r="I11" s="162">
        <v>78032415</v>
      </c>
      <c r="J11" s="186">
        <v>75235405</v>
      </c>
      <c r="K11" s="163">
        <f t="shared" si="0"/>
        <v>75235405</v>
      </c>
      <c r="L11" s="70" t="s">
        <v>92</v>
      </c>
    </row>
    <row r="12" spans="1:12" s="62" customFormat="1" ht="17.25">
      <c r="A12" s="70" t="s">
        <v>269</v>
      </c>
      <c r="B12" s="162"/>
      <c r="C12" s="162"/>
      <c r="D12" s="162"/>
      <c r="E12" s="162"/>
      <c r="F12" s="162"/>
      <c r="G12" s="162"/>
      <c r="H12" s="162"/>
      <c r="I12" s="162">
        <v>10367580</v>
      </c>
      <c r="J12" s="186">
        <v>11607301</v>
      </c>
      <c r="K12" s="163">
        <f t="shared" ref="K12:K13" si="1">J12</f>
        <v>11607301</v>
      </c>
      <c r="L12" s="70" t="s">
        <v>269</v>
      </c>
    </row>
    <row r="13" spans="1:12" s="62" customFormat="1" ht="17.25">
      <c r="A13" s="69" t="s">
        <v>270</v>
      </c>
      <c r="B13" s="64"/>
      <c r="C13" s="64"/>
      <c r="D13" s="64"/>
      <c r="E13" s="64"/>
      <c r="F13" s="64"/>
      <c r="G13" s="64"/>
      <c r="H13" s="64"/>
      <c r="I13" s="64">
        <v>304457</v>
      </c>
      <c r="J13" s="186">
        <v>254958</v>
      </c>
      <c r="K13" s="117">
        <f t="shared" si="1"/>
        <v>254958</v>
      </c>
      <c r="L13" s="70" t="s">
        <v>270</v>
      </c>
    </row>
    <row r="14" spans="1:12" s="65" customFormat="1" ht="15">
      <c r="A14" s="68" t="s">
        <v>38</v>
      </c>
      <c r="B14" s="67">
        <f>SUM(B3:B13)</f>
        <v>311214895</v>
      </c>
      <c r="C14" s="67">
        <f t="shared" ref="C14:J14" si="2">SUM(C3:C13)</f>
        <v>306409772</v>
      </c>
      <c r="D14" s="67">
        <f t="shared" si="2"/>
        <v>291101892.47000003</v>
      </c>
      <c r="E14" s="67">
        <f t="shared" si="2"/>
        <v>269134109.65999997</v>
      </c>
      <c r="F14" s="67">
        <f t="shared" si="2"/>
        <v>279550549.25000006</v>
      </c>
      <c r="G14" s="67">
        <f t="shared" si="2"/>
        <v>274172174</v>
      </c>
      <c r="H14" s="67">
        <f t="shared" si="2"/>
        <v>259957536.01999998</v>
      </c>
      <c r="I14" s="67">
        <f t="shared" ref="I14" si="3">SUM(I3:I13)</f>
        <v>289372127</v>
      </c>
      <c r="J14" s="67">
        <f t="shared" si="2"/>
        <v>262715160</v>
      </c>
    </row>
    <row r="15" spans="1:12" s="62" customFormat="1" ht="17.25">
      <c r="A15" s="63"/>
      <c r="B15" s="64"/>
      <c r="C15" s="63"/>
      <c r="D15" s="64"/>
      <c r="E15" s="63"/>
      <c r="F15" s="63"/>
    </row>
    <row r="16" spans="1:12" ht="17.25">
      <c r="A16" s="160" t="s">
        <v>1</v>
      </c>
      <c r="B16" s="47"/>
      <c r="C16" s="45"/>
      <c r="D16" s="47"/>
      <c r="E16" s="45"/>
      <c r="F16" s="45"/>
    </row>
    <row r="17" spans="1:14" ht="71.25" customHeight="1">
      <c r="A17" s="359" t="s">
        <v>268</v>
      </c>
      <c r="B17" s="359"/>
      <c r="C17" s="359"/>
      <c r="D17" s="359"/>
      <c r="E17" s="359"/>
      <c r="F17" s="359"/>
      <c r="G17" s="359"/>
      <c r="H17" s="359"/>
      <c r="I17" s="359"/>
      <c r="J17" s="359"/>
      <c r="K17" s="359"/>
      <c r="L17" s="359"/>
      <c r="M17" s="359"/>
      <c r="N17" s="359"/>
    </row>
    <row r="18" spans="1:14" ht="35.25" customHeight="1">
      <c r="A18" s="357" t="s">
        <v>91</v>
      </c>
      <c r="B18" s="357"/>
      <c r="C18" s="357"/>
      <c r="D18" s="357"/>
      <c r="E18" s="357"/>
      <c r="F18" s="357"/>
      <c r="G18" s="357"/>
      <c r="H18" s="357"/>
      <c r="I18" s="357"/>
      <c r="J18" s="357"/>
      <c r="K18" s="357"/>
      <c r="L18" s="357"/>
      <c r="M18" s="357"/>
      <c r="N18" s="357"/>
    </row>
    <row r="19" spans="1:14" ht="17.25" customHeight="1">
      <c r="A19" s="357" t="s">
        <v>358</v>
      </c>
      <c r="B19" s="357"/>
      <c r="C19" s="357"/>
      <c r="D19" s="357"/>
      <c r="E19" s="357"/>
      <c r="F19" s="357"/>
      <c r="G19" s="357"/>
      <c r="H19" s="357"/>
      <c r="I19" s="357"/>
      <c r="J19" s="357"/>
      <c r="K19" s="357"/>
      <c r="L19" s="357"/>
      <c r="M19" s="357"/>
      <c r="N19" s="357"/>
    </row>
    <row r="20" spans="1:14" ht="17.25" customHeight="1">
      <c r="A20" s="357" t="s">
        <v>359</v>
      </c>
      <c r="B20" s="357"/>
      <c r="C20" s="357"/>
      <c r="D20" s="357"/>
      <c r="E20" s="357"/>
      <c r="F20" s="357"/>
      <c r="G20" s="357"/>
      <c r="H20" s="357"/>
      <c r="I20" s="357"/>
      <c r="J20" s="357"/>
      <c r="K20" s="357"/>
      <c r="L20" s="357"/>
      <c r="M20" s="357"/>
      <c r="N20" s="357"/>
    </row>
    <row r="21" spans="1:14" ht="17.25">
      <c r="A21" s="97"/>
      <c r="B21" s="97"/>
      <c r="C21" s="97"/>
      <c r="D21" s="97"/>
      <c r="E21" s="97"/>
      <c r="F21" s="97"/>
      <c r="G21" s="97"/>
      <c r="H21" s="143"/>
      <c r="I21" s="176"/>
      <c r="J21" s="97"/>
      <c r="K21" s="97"/>
      <c r="L21" s="97"/>
    </row>
    <row r="22" spans="1:14" ht="17.25">
      <c r="A22" s="204" t="s">
        <v>90</v>
      </c>
      <c r="B22" s="73" t="str">
        <f>subtitle</f>
        <v>Total: $262.7 million includes $22.3 million in obligations to capital projects, plus General and Administrative (G&amp;A) costs ($11.6 million), and Columbia River System Operations Review/Environmental Impact Statement costs ($255,000)</v>
      </c>
      <c r="C22" s="72"/>
      <c r="D22" s="72"/>
      <c r="E22" s="72"/>
      <c r="F22" s="72"/>
      <c r="G22" s="72"/>
      <c r="H22" s="72"/>
      <c r="I22" s="72"/>
      <c r="J22" s="72"/>
    </row>
    <row r="23" spans="1:14">
      <c r="A23" s="61"/>
    </row>
  </sheetData>
  <mergeCells count="5">
    <mergeCell ref="A1:J1"/>
    <mergeCell ref="A17:N17"/>
    <mergeCell ref="A18:N18"/>
    <mergeCell ref="A19:N19"/>
    <mergeCell ref="A20:N20"/>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3"/>
  <sheetViews>
    <sheetView zoomScaleNormal="100" workbookViewId="0">
      <selection activeCell="A24" sqref="A24"/>
    </sheetView>
  </sheetViews>
  <sheetFormatPr defaultRowHeight="12.75"/>
  <cols>
    <col min="1" max="1" width="41.85546875" style="1" customWidth="1"/>
    <col min="2" max="2" width="15.42578125" style="60" customWidth="1"/>
    <col min="3" max="3" width="15.42578125" style="1" bestFit="1" customWidth="1"/>
    <col min="4" max="4" width="15.42578125" style="59" bestFit="1" customWidth="1"/>
    <col min="5" max="6" width="15.42578125" style="1" bestFit="1" customWidth="1"/>
    <col min="7" max="10" width="15.42578125" style="1" customWidth="1"/>
    <col min="11" max="11" width="17.7109375" style="1" customWidth="1"/>
    <col min="12" max="16384" width="9.140625" style="1"/>
  </cols>
  <sheetData>
    <row r="1" spans="1:14" s="62" customFormat="1" ht="30.75" customHeight="1">
      <c r="A1" s="116" t="str">
        <f>"Figure 6B: Costs of Artificial Production by Category, FY"&amp;J2</f>
        <v>Figure 6B: Costs of Artificial Production by Category, FY2019</v>
      </c>
      <c r="B1" s="116"/>
      <c r="C1" s="116"/>
      <c r="D1" s="116"/>
      <c r="E1" s="116"/>
      <c r="F1" s="116"/>
      <c r="G1" s="116"/>
      <c r="H1" s="116"/>
      <c r="I1" s="116"/>
      <c r="J1" s="116"/>
      <c r="K1" s="116"/>
      <c r="L1" s="116"/>
    </row>
    <row r="2" spans="1:14" s="71" customFormat="1" ht="19.5">
      <c r="A2" s="214" t="s">
        <v>13</v>
      </c>
      <c r="B2" s="216">
        <v>2011</v>
      </c>
      <c r="C2" s="216">
        <v>2012</v>
      </c>
      <c r="D2" s="216">
        <v>2013</v>
      </c>
      <c r="E2" s="216">
        <v>2014</v>
      </c>
      <c r="F2" s="216">
        <v>2015</v>
      </c>
      <c r="G2" s="216" t="s">
        <v>253</v>
      </c>
      <c r="H2" s="216">
        <v>2017</v>
      </c>
      <c r="I2" s="216">
        <v>2018</v>
      </c>
      <c r="J2" s="216">
        <v>2019</v>
      </c>
      <c r="K2" s="74" t="s">
        <v>94</v>
      </c>
    </row>
    <row r="3" spans="1:14" s="62" customFormat="1" ht="17.25">
      <c r="A3" s="70" t="s">
        <v>212</v>
      </c>
      <c r="B3" s="41">
        <v>684891</v>
      </c>
      <c r="C3" s="41">
        <v>664088</v>
      </c>
      <c r="D3" s="41">
        <v>785308.52</v>
      </c>
      <c r="E3" s="41">
        <v>633508.71</v>
      </c>
      <c r="F3" s="41">
        <v>618853.43999999994</v>
      </c>
      <c r="G3" s="107">
        <v>703885.61</v>
      </c>
      <c r="H3" s="107">
        <v>690901</v>
      </c>
      <c r="I3" s="107">
        <v>598768</v>
      </c>
      <c r="J3" s="107">
        <v>636882</v>
      </c>
      <c r="K3" s="117">
        <f>J3</f>
        <v>636882</v>
      </c>
    </row>
    <row r="4" spans="1:14" s="62" customFormat="1" ht="17.25">
      <c r="A4" s="103" t="s">
        <v>41</v>
      </c>
      <c r="B4" s="41">
        <v>3599302</v>
      </c>
      <c r="C4" s="41">
        <v>4429624</v>
      </c>
      <c r="D4" s="41">
        <v>4077995.11</v>
      </c>
      <c r="E4" s="41">
        <v>4062872.09</v>
      </c>
      <c r="F4" s="41">
        <v>4248774.49</v>
      </c>
      <c r="G4" s="107">
        <v>4206148.1500000004</v>
      </c>
      <c r="H4" s="107">
        <v>4321385</v>
      </c>
      <c r="I4" s="107">
        <v>6599734</v>
      </c>
      <c r="J4" s="107">
        <v>4345080</v>
      </c>
      <c r="K4" s="117">
        <f>J4</f>
        <v>4345080</v>
      </c>
    </row>
    <row r="5" spans="1:14" s="62" customFormat="1" ht="17.25">
      <c r="A5" s="103" t="s">
        <v>240</v>
      </c>
      <c r="B5" s="41">
        <v>22583163</v>
      </c>
      <c r="C5" s="41">
        <v>25176585</v>
      </c>
      <c r="D5" s="41">
        <v>23588530.18</v>
      </c>
      <c r="E5" s="41">
        <v>24046105.84</v>
      </c>
      <c r="F5" s="41">
        <v>24079654.359999999</v>
      </c>
      <c r="G5" s="107">
        <v>24391057.350000001</v>
      </c>
      <c r="H5" s="107">
        <v>24937524</v>
      </c>
      <c r="I5" s="107">
        <v>24832549</v>
      </c>
      <c r="J5" s="107">
        <v>25205995</v>
      </c>
      <c r="K5" s="117">
        <f t="shared" ref="K5:K6" si="0">J5</f>
        <v>25205995</v>
      </c>
    </row>
    <row r="6" spans="1:14" s="62" customFormat="1" ht="17.25">
      <c r="A6" s="103" t="s">
        <v>241</v>
      </c>
      <c r="B6" s="41">
        <v>61846889</v>
      </c>
      <c r="C6" s="41">
        <v>53165835</v>
      </c>
      <c r="D6" s="41">
        <f>21326284.81+28698481.39</f>
        <v>50024766.200000003</v>
      </c>
      <c r="E6" s="41">
        <f>14595131.65+30551147.2</f>
        <v>45146278.850000001</v>
      </c>
      <c r="F6" s="41">
        <v>32202008.149999999</v>
      </c>
      <c r="G6" s="107">
        <v>31490426.289999999</v>
      </c>
      <c r="H6" s="107">
        <v>34872455</v>
      </c>
      <c r="I6" s="107">
        <v>36978108</v>
      </c>
      <c r="J6" s="107">
        <v>41775457</v>
      </c>
      <c r="K6" s="117">
        <f t="shared" si="0"/>
        <v>41775457</v>
      </c>
    </row>
    <row r="7" spans="1:14" s="65" customFormat="1" ht="15">
      <c r="A7" s="68" t="s">
        <v>38</v>
      </c>
      <c r="B7" s="67">
        <f t="shared" ref="B7:J7" si="1">SUM(B3:B6)</f>
        <v>88714245</v>
      </c>
      <c r="C7" s="67">
        <f t="shared" si="1"/>
        <v>83436132</v>
      </c>
      <c r="D7" s="67">
        <f t="shared" si="1"/>
        <v>78476600.010000005</v>
      </c>
      <c r="E7" s="67">
        <f t="shared" si="1"/>
        <v>73888765.49000001</v>
      </c>
      <c r="F7" s="67">
        <f t="shared" si="1"/>
        <v>61149290.439999998</v>
      </c>
      <c r="G7" s="67">
        <f t="shared" si="1"/>
        <v>60791517.400000006</v>
      </c>
      <c r="H7" s="67">
        <f t="shared" ref="H7" si="2">SUM(H3:H6)</f>
        <v>64822265</v>
      </c>
      <c r="I7" s="66">
        <f t="shared" ref="I7" si="3">SUM(I3:I6)</f>
        <v>69009159</v>
      </c>
      <c r="J7" s="66">
        <f t="shared" si="1"/>
        <v>71963414</v>
      </c>
    </row>
    <row r="8" spans="1:14" s="62" customFormat="1" ht="17.25">
      <c r="A8" s="63"/>
      <c r="B8" s="64"/>
      <c r="C8" s="63"/>
      <c r="D8" s="64"/>
      <c r="E8" s="63"/>
      <c r="F8" s="63"/>
    </row>
    <row r="9" spans="1:14" ht="17.25">
      <c r="A9" s="160" t="s">
        <v>1</v>
      </c>
      <c r="B9" s="47"/>
      <c r="C9" s="45"/>
      <c r="D9" s="47"/>
      <c r="E9" s="45"/>
      <c r="F9" s="45"/>
    </row>
    <row r="10" spans="1:14" ht="42" customHeight="1">
      <c r="A10" s="357" t="s">
        <v>360</v>
      </c>
      <c r="B10" s="357"/>
      <c r="C10" s="357"/>
      <c r="D10" s="357"/>
      <c r="E10" s="357"/>
      <c r="F10" s="357"/>
      <c r="G10" s="357"/>
      <c r="H10" s="357"/>
      <c r="I10" s="357"/>
      <c r="J10" s="357"/>
      <c r="K10" s="357"/>
      <c r="L10" s="357"/>
      <c r="M10" s="357"/>
      <c r="N10" s="357"/>
    </row>
    <row r="11" spans="1:14" ht="17.25">
      <c r="A11" s="104"/>
      <c r="B11" s="104"/>
      <c r="C11" s="104"/>
      <c r="D11" s="104"/>
      <c r="E11" s="104"/>
      <c r="F11" s="104"/>
      <c r="G11" s="104"/>
      <c r="H11" s="143"/>
      <c r="I11" s="176"/>
      <c r="J11" s="104"/>
      <c r="K11" s="104"/>
    </row>
    <row r="12" spans="1:14" ht="17.25">
      <c r="A12" s="204" t="s">
        <v>90</v>
      </c>
      <c r="B12" s="73" t="str">
        <f>"Total: $" &amp; TEXT(J7,"#0.0,,") &amp; " million does not include obligations to capital projects"</f>
        <v>Total: $72.0 million does not include obligations to capital projects</v>
      </c>
      <c r="C12" s="72"/>
      <c r="D12" s="72"/>
      <c r="E12" s="72"/>
      <c r="F12" s="72"/>
      <c r="G12" s="72"/>
      <c r="H12" s="72"/>
      <c r="I12" s="72"/>
      <c r="J12" s="72"/>
    </row>
    <row r="13" spans="1:14">
      <c r="A13" s="61"/>
    </row>
  </sheetData>
  <mergeCells count="1">
    <mergeCell ref="A10:N10"/>
  </mergeCells>
  <pageMargins left="0.41" right="0.39" top="0.55000000000000004" bottom="0.27" header="0.16" footer="0.16"/>
  <pageSetup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
  <sheetViews>
    <sheetView zoomScaleNormal="100" workbookViewId="0">
      <selection activeCell="A24" sqref="A24"/>
    </sheetView>
  </sheetViews>
  <sheetFormatPr defaultRowHeight="16.5"/>
  <cols>
    <col min="1" max="1" width="31.7109375" style="98" customWidth="1"/>
    <col min="2" max="2" width="16.140625" style="99" bestFit="1" customWidth="1"/>
    <col min="3" max="3" width="14.5703125" style="99" customWidth="1"/>
    <col min="4" max="4" width="14.140625" style="99" customWidth="1"/>
    <col min="5" max="5" width="14.42578125" style="99" customWidth="1"/>
    <col min="6" max="6" width="13.7109375" style="98" customWidth="1"/>
    <col min="7" max="17" width="15" style="98" customWidth="1"/>
    <col min="18" max="16384" width="9.140625" style="98"/>
  </cols>
  <sheetData>
    <row r="1" spans="1:11">
      <c r="A1" s="118" t="str">
        <f>"Figure 7: Costs of Research, Monitoring and Evaluation (RM&amp;E), FY"&amp;J3</f>
        <v>Figure 7: Costs of Research, Monitoring and Evaluation (RM&amp;E), FY2019</v>
      </c>
      <c r="B1" s="118"/>
      <c r="C1" s="118"/>
      <c r="D1" s="118"/>
      <c r="E1" s="118"/>
    </row>
    <row r="2" spans="1:11">
      <c r="A2" s="118"/>
      <c r="B2" s="118"/>
      <c r="C2" s="118"/>
      <c r="D2" s="118"/>
      <c r="E2" s="118"/>
    </row>
    <row r="3" spans="1:11" ht="19.5">
      <c r="A3" s="214" t="s">
        <v>13</v>
      </c>
      <c r="B3" s="214">
        <v>2011</v>
      </c>
      <c r="C3" s="214">
        <v>2012</v>
      </c>
      <c r="D3" s="214">
        <v>2013</v>
      </c>
      <c r="E3" s="214">
        <v>2014</v>
      </c>
      <c r="F3" s="214">
        <v>2015</v>
      </c>
      <c r="G3" s="214" t="s">
        <v>264</v>
      </c>
      <c r="H3" s="214">
        <v>2017</v>
      </c>
      <c r="I3" s="214">
        <v>2018</v>
      </c>
      <c r="J3" s="215">
        <v>2019</v>
      </c>
      <c r="K3" s="98" t="s">
        <v>372</v>
      </c>
    </row>
    <row r="4" spans="1:11">
      <c r="A4" s="136" t="s">
        <v>48</v>
      </c>
      <c r="B4" s="135">
        <v>22583162.569999997</v>
      </c>
      <c r="C4" s="135">
        <v>25176585</v>
      </c>
      <c r="D4" s="135">
        <v>23588530</v>
      </c>
      <c r="E4" s="135">
        <v>24046105.84</v>
      </c>
      <c r="F4" s="135">
        <v>24079654.359999999</v>
      </c>
      <c r="G4" s="135">
        <v>24391057</v>
      </c>
      <c r="H4" s="119">
        <v>24937523.870000001</v>
      </c>
      <c r="I4" s="119">
        <v>24832549</v>
      </c>
      <c r="J4" s="187">
        <v>25205995</v>
      </c>
      <c r="K4" s="205">
        <f>J4</f>
        <v>25205995</v>
      </c>
    </row>
    <row r="5" spans="1:11">
      <c r="A5" s="136" t="s">
        <v>47</v>
      </c>
      <c r="B5" s="135">
        <v>15426001.169800008</v>
      </c>
      <c r="C5" s="135">
        <v>13469530</v>
      </c>
      <c r="D5" s="135">
        <v>12969684.76</v>
      </c>
      <c r="E5" s="135">
        <v>13133027.810000001</v>
      </c>
      <c r="F5" s="135">
        <v>13434942.029999999</v>
      </c>
      <c r="G5" s="135">
        <v>13332983</v>
      </c>
      <c r="H5" s="119">
        <v>13236006.130000001</v>
      </c>
      <c r="I5" s="119">
        <v>12924874</v>
      </c>
      <c r="J5" s="187">
        <v>12760509</v>
      </c>
      <c r="K5" s="205">
        <f t="shared" ref="K5:K9" si="0">J5</f>
        <v>12760509</v>
      </c>
    </row>
    <row r="6" spans="1:11">
      <c r="A6" s="136" t="s">
        <v>46</v>
      </c>
      <c r="B6" s="135">
        <v>1763066.9299999997</v>
      </c>
      <c r="C6" s="135">
        <v>1735888</v>
      </c>
      <c r="D6" s="135">
        <v>1053093.99</v>
      </c>
      <c r="E6" s="135">
        <v>1228057.49</v>
      </c>
      <c r="F6" s="135">
        <v>1098002.8799999999</v>
      </c>
      <c r="G6" s="135">
        <v>1216118</v>
      </c>
      <c r="H6" s="119">
        <v>1407032.65</v>
      </c>
      <c r="I6" s="119">
        <v>1129180</v>
      </c>
      <c r="J6" s="187">
        <v>1041615</v>
      </c>
      <c r="K6" s="205">
        <f t="shared" si="0"/>
        <v>1041615</v>
      </c>
    </row>
    <row r="7" spans="1:11">
      <c r="A7" s="136" t="s">
        <v>45</v>
      </c>
      <c r="B7" s="135">
        <v>8489904.4299999997</v>
      </c>
      <c r="C7" s="135">
        <v>7982519</v>
      </c>
      <c r="D7" s="135">
        <v>7218237.5999999996</v>
      </c>
      <c r="E7" s="135">
        <v>6753429.7699999996</v>
      </c>
      <c r="F7" s="135">
        <v>8107150.2199999997</v>
      </c>
      <c r="G7" s="135">
        <v>7908829</v>
      </c>
      <c r="H7" s="119">
        <v>8864829.0299999993</v>
      </c>
      <c r="I7" s="119">
        <v>8297504</v>
      </c>
      <c r="J7" s="187">
        <v>7709131</v>
      </c>
      <c r="K7" s="205">
        <f t="shared" si="0"/>
        <v>7709131</v>
      </c>
    </row>
    <row r="8" spans="1:11">
      <c r="A8" s="136" t="s">
        <v>44</v>
      </c>
      <c r="B8" s="135">
        <v>2826954.2899999996</v>
      </c>
      <c r="C8" s="135">
        <v>2212363</v>
      </c>
      <c r="D8" s="135">
        <v>2062169.76</v>
      </c>
      <c r="E8" s="135">
        <v>1991052.54</v>
      </c>
      <c r="F8" s="135">
        <v>1553864.78</v>
      </c>
      <c r="G8" s="135">
        <v>1264152</v>
      </c>
      <c r="H8" s="119">
        <v>1246514</v>
      </c>
      <c r="I8" s="119">
        <v>1213338</v>
      </c>
      <c r="J8" s="187">
        <v>1157316</v>
      </c>
      <c r="K8" s="205">
        <f t="shared" si="0"/>
        <v>1157316</v>
      </c>
    </row>
    <row r="9" spans="1:11">
      <c r="A9" s="136" t="s">
        <v>43</v>
      </c>
      <c r="B9" s="135">
        <v>38012425.010000005</v>
      </c>
      <c r="C9" s="135">
        <v>38950340</v>
      </c>
      <c r="D9" s="135">
        <v>33161752.350000001</v>
      </c>
      <c r="E9" s="135">
        <v>33432127.379999999</v>
      </c>
      <c r="F9" s="135">
        <v>33928588.380000003</v>
      </c>
      <c r="G9" s="135">
        <v>31232673</v>
      </c>
      <c r="H9" s="119">
        <v>32458832.59</v>
      </c>
      <c r="I9" s="119">
        <v>29634970</v>
      </c>
      <c r="J9" s="187">
        <v>27360839</v>
      </c>
      <c r="K9" s="205">
        <f t="shared" si="0"/>
        <v>27360839</v>
      </c>
    </row>
    <row r="10" spans="1:11" ht="17.25" thickBot="1">
      <c r="A10" s="138"/>
      <c r="B10" s="137">
        <f t="shared" ref="B10:D10" si="1">SUM(B4:B9)</f>
        <v>89101514.399800003</v>
      </c>
      <c r="C10" s="137">
        <f t="shared" si="1"/>
        <v>89527225</v>
      </c>
      <c r="D10" s="137">
        <f t="shared" si="1"/>
        <v>80053468.460000008</v>
      </c>
      <c r="E10" s="137">
        <f>SUM(E4:E9)</f>
        <v>80583800.829999998</v>
      </c>
      <c r="F10" s="137">
        <f t="shared" ref="F10:G10" si="2">SUM(F4:F9)</f>
        <v>82202202.650000006</v>
      </c>
      <c r="G10" s="137">
        <f t="shared" si="2"/>
        <v>79345812</v>
      </c>
      <c r="H10" s="137">
        <f>SUM(H4:H9)</f>
        <v>82150738.269999996</v>
      </c>
      <c r="I10" s="137">
        <f>SUM(I4:I9)</f>
        <v>78032415</v>
      </c>
      <c r="J10" s="188">
        <f>SUM(J4:J9)</f>
        <v>75235405</v>
      </c>
    </row>
    <row r="12" spans="1:11">
      <c r="A12" s="100" t="s">
        <v>1</v>
      </c>
    </row>
    <row r="13" spans="1:11" ht="21.75" customHeight="1">
      <c r="A13" s="164" t="s">
        <v>263</v>
      </c>
      <c r="B13" s="164"/>
      <c r="C13" s="164"/>
      <c r="D13" s="164"/>
      <c r="E13" s="164"/>
    </row>
    <row r="15" spans="1:11">
      <c r="A15" s="100" t="s">
        <v>90</v>
      </c>
      <c r="B15" s="111" t="str">
        <f>"Total: $" &amp; TEXT(J10,"#0.0,,") &amp; " million does not include obligations to capital projects"</f>
        <v>Total: $75.2 million does not include obligations to capital projects</v>
      </c>
    </row>
  </sheetData>
  <pageMargins left="0.7" right="0.7" top="0.75" bottom="0.75" header="0.3" footer="0.3"/>
  <pageSetup scale="9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1A_CostsByArea</vt:lpstr>
      <vt:lpstr>1B_DirectCosts</vt:lpstr>
      <vt:lpstr>2_SpeciesType</vt:lpstr>
      <vt:lpstr>3_FCRPS</vt:lpstr>
      <vt:lpstr>4_ESASpecies</vt:lpstr>
      <vt:lpstr>5_Fund</vt:lpstr>
      <vt:lpstr>6A_Category</vt:lpstr>
      <vt:lpstr>6B_ArtProd</vt:lpstr>
      <vt:lpstr>7_RME</vt:lpstr>
      <vt:lpstr>8A_Province</vt:lpstr>
      <vt:lpstr>8B_Subbasin</vt:lpstr>
      <vt:lpstr>9_Location</vt:lpstr>
      <vt:lpstr>10_Contractor</vt:lpstr>
      <vt:lpstr>11_LandPurchases</vt:lpstr>
      <vt:lpstr>BPA Costs Table</vt:lpstr>
      <vt:lpstr>'10_Contractor'!lkp_10</vt:lpstr>
      <vt:lpstr>'BPA Costs Table'!Print_Area</vt:lpstr>
      <vt:lpstr>'10_Contractor'!Print_Titles</vt:lpstr>
      <vt:lpstr>'BPA Costs Table'!Print_Titles</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2019-02-19T17:43:32Z</cp:lastPrinted>
  <dcterms:created xsi:type="dcterms:W3CDTF">2004-12-27T17:27:22Z</dcterms:created>
  <dcterms:modified xsi:type="dcterms:W3CDTF">2020-03-24T22:06:03Z</dcterms:modified>
</cp:coreProperties>
</file>