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drawings/drawing13.xml" ContentType="application/vnd.openxmlformats-officedocument.drawing+xml"/>
  <Override PartName="/xl/comments3.xml" ContentType="application/vnd.openxmlformats-officedocument.spreadsheetml.comments+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xml"/>
  <Override PartName="/xl/comments4.xml" ContentType="application/vnd.openxmlformats-officedocument.spreadsheetml.comments+xml"/>
  <Override PartName="/xl/charts/chart14.xml" ContentType="application/vnd.openxmlformats-officedocument.drawingml.chart+xml"/>
  <Override PartName="/xl/theme/themeOverride8.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6.xml" ContentType="application/vnd.openxmlformats-officedocument.drawingml.chartshapes+xml"/>
  <Override PartName="/xl/charts/chart16.xml" ContentType="application/vnd.openxmlformats-officedocument.drawingml.chart+xml"/>
  <Override PartName="/xl/charts/style5.xml" ContentType="application/vnd.ms-office.chartstyle+xml"/>
  <Override PartName="/xl/charts/colors5.xml" ContentType="application/vnd.ms-office.chartcolorstyle+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t\2021governorsreport\Links\"/>
    </mc:Choice>
  </mc:AlternateContent>
  <xr:revisionPtr revIDLastSave="0" documentId="13_ncr:1_{6481F0EA-D08E-4DC2-A280-D838ECC8F3F6}" xr6:coauthVersionLast="45" xr6:coauthVersionMax="45" xr10:uidLastSave="{00000000-0000-0000-0000-000000000000}"/>
  <bookViews>
    <workbookView xWindow="-28920" yWindow="-120" windowWidth="29040" windowHeight="15840" tabRatio="712" firstSheet="4" activeTab="13" xr2:uid="{00000000-000D-0000-FFFF-FFFF00000000}"/>
  </bookViews>
  <sheets>
    <sheet name="1A_CostsByArea" sheetId="36" r:id="rId1"/>
    <sheet name="1B_DirectCosts" sheetId="43" r:id="rId2"/>
    <sheet name="2_SpeciesType" sheetId="15" r:id="rId3"/>
    <sheet name="3_FCRPS" sheetId="16" r:id="rId4"/>
    <sheet name="4_ESASpecies" sheetId="17" r:id="rId5"/>
    <sheet name="5_Fund" sheetId="23" r:id="rId6"/>
    <sheet name="6A_Category" sheetId="24" r:id="rId7"/>
    <sheet name="6B_ArtProd" sheetId="34" r:id="rId8"/>
    <sheet name="7_RME" sheetId="41" r:id="rId9"/>
    <sheet name="8A_Province" sheetId="19" r:id="rId10"/>
    <sheet name="8B_Subbasin" sheetId="39" r:id="rId11"/>
    <sheet name="9_Location" sheetId="27" r:id="rId12"/>
    <sheet name="10_Contractor" sheetId="42" r:id="rId13"/>
    <sheet name="11_LandPurchases" sheetId="20" r:id="rId14"/>
    <sheet name="12_Cumulative" sheetId="21" r:id="rId15"/>
    <sheet name="BPA Costs Table" sheetId="44" r:id="rId16"/>
  </sheets>
  <externalReferences>
    <externalReference r:id="rId17"/>
    <externalReference r:id="rId18"/>
    <externalReference r:id="rId19"/>
    <externalReference r:id="rId20"/>
    <externalReference r:id="rId21"/>
  </externalReferences>
  <definedNames>
    <definedName name="_xlnm._FilterDatabase" localSheetId="12" hidden="1">'10_Contractor'!$A$2:$E$2</definedName>
    <definedName name="_xlcn.WorksheetConnection_4_CostsByLocationA3E9" hidden="1">'9_Location'!$A$4:$B$12</definedName>
    <definedName name="ASD">[1]nVision!$E$3</definedName>
    <definedName name="BUN">'[2]FRS IT and Dir Prog Costs Rpt'!$E$6</definedName>
    <definedName name="CreditPercent">[1]nVision!$E$9</definedName>
    <definedName name="dsa" localSheetId="15">[3]IS!#REF!</definedName>
    <definedName name="dsa">[3]IS!#REF!</definedName>
    <definedName name="dsb">[3]IS!#REF!</definedName>
    <definedName name="dsc">[3]IS!#REF!</definedName>
    <definedName name="f" localSheetId="15">#REF!</definedName>
    <definedName name="f">#REF!</definedName>
    <definedName name="FY">[1]nVision!$E$8</definedName>
    <definedName name="g" localSheetId="15">#REF!</definedName>
    <definedName name="g">#REF!</definedName>
    <definedName name="h" localSheetId="15">#REF!</definedName>
    <definedName name="h">#REF!</definedName>
    <definedName name="j">42590.1440162037</definedName>
    <definedName name="layout">[4]Layout!$E$4</definedName>
    <definedName name="lkp_10" localSheetId="12">'10_Contractor'!$B$121:$C$170</definedName>
    <definedName name="lkp_10" localSheetId="15">#REF!</definedName>
    <definedName name="lkp_10">#REF!</definedName>
    <definedName name="NvsASD">"V2014-09-30"</definedName>
    <definedName name="NvsAutoDrillOk">"VN"</definedName>
    <definedName name="NvsElapsedTime">0.000127314815472346</definedName>
    <definedName name="NvsEndTime">41127.4998842593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"VCORPT"</definedName>
    <definedName name="NvsPanelEffdt">"V2013-10-01"</definedName>
    <definedName name="NvsPanelSetid">"VFCRPS"</definedName>
    <definedName name="NvsReqBU">"VCORPT"</definedName>
    <definedName name="NvsReqBUOnly">"VN"</definedName>
    <definedName name="NvsTransLed">"VN"</definedName>
    <definedName name="NvsTreeASD">"V2013-10-01"</definedName>
    <definedName name="NvsValTbl.ACCOUNT">"GL_ACCOUNT_TBL"</definedName>
    <definedName name="NvsValTbl.ANALYSIS_TYPE">"GL_ACCOUNT_TBL"</definedName>
    <definedName name="NvsValTbl.BUSINESS_UNIT">"BUS_UNIT_TBL_GL"</definedName>
    <definedName name="NvsValTbl.PROJECT_ID">"PROJECT_VW"</definedName>
    <definedName name="NvsValTbl.SCENARIO">"BD_SCENARIO_TBL"</definedName>
    <definedName name="PED">#REF!</definedName>
    <definedName name="_xlnm.Print_Area" localSheetId="15">'BPA Costs Table'!$A$1:$AP$38</definedName>
    <definedName name="_xlnm.Print_Titles" localSheetId="15">'BPA Costs Table'!$A:$A</definedName>
    <definedName name="RID">[1]nVision!$E$7</definedName>
    <definedName name="StartOfYear">[1]nVision!$E$10</definedName>
    <definedName name="subtitle" localSheetId="1">'[5]2_SpeciesType'!$D$37</definedName>
    <definedName name="subtitle" localSheetId="15">'[5]2_SpeciesType'!$D$37</definedName>
    <definedName name="subtitle">'2_SpeciesType'!$D$40</definedName>
  </definedNames>
  <calcPr calcId="191029"/>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3" l="1"/>
  <c r="AG33" i="44"/>
  <c r="AF33" i="44"/>
  <c r="AE33" i="44"/>
  <c r="AD33" i="44"/>
  <c r="AC33" i="44"/>
  <c r="AB33" i="44"/>
  <c r="AA33" i="44"/>
  <c r="Z33" i="44"/>
  <c r="Y33" i="44"/>
  <c r="X33" i="44"/>
  <c r="W33" i="44"/>
  <c r="V33" i="44"/>
  <c r="U33" i="44"/>
  <c r="T33" i="44"/>
  <c r="S33" i="44"/>
  <c r="R33" i="44"/>
  <c r="Q33" i="44"/>
  <c r="P33" i="44"/>
  <c r="O33" i="44"/>
  <c r="N33" i="44"/>
  <c r="M33" i="44"/>
  <c r="L33" i="44"/>
  <c r="K33" i="44"/>
  <c r="J33" i="44"/>
  <c r="I33" i="44"/>
  <c r="H33" i="44"/>
  <c r="G33" i="44"/>
  <c r="F33" i="44"/>
  <c r="E33" i="44"/>
  <c r="D33" i="44"/>
  <c r="C33" i="44"/>
  <c r="B33" i="44"/>
  <c r="AM31" i="44"/>
  <c r="AM33" i="44" s="1"/>
  <c r="AL31" i="44"/>
  <c r="AL33" i="44" s="1"/>
  <c r="AK31" i="44"/>
  <c r="AK33" i="44" s="1"/>
  <c r="AJ31" i="44"/>
  <c r="AJ33" i="44" s="1"/>
  <c r="AI31" i="44"/>
  <c r="AI33" i="44" s="1"/>
  <c r="AH31" i="44"/>
  <c r="AH33" i="44" s="1"/>
  <c r="AM28" i="44"/>
  <c r="AL28" i="44"/>
  <c r="AK28" i="44"/>
  <c r="AJ28" i="44"/>
  <c r="AI28" i="44"/>
  <c r="AH28" i="44"/>
  <c r="AG28" i="44"/>
  <c r="AF28" i="44"/>
  <c r="AE28" i="44"/>
  <c r="AD28" i="44"/>
  <c r="AC28" i="44"/>
  <c r="AB28" i="44"/>
  <c r="AA28" i="44"/>
  <c r="Z28" i="44"/>
  <c r="Y28" i="44"/>
  <c r="X28" i="44"/>
  <c r="W28" i="44"/>
  <c r="V28" i="44"/>
  <c r="U28" i="44"/>
  <c r="T28" i="44"/>
  <c r="S28" i="44"/>
  <c r="R28" i="44"/>
  <c r="Q28" i="44"/>
  <c r="P28" i="44"/>
  <c r="O28" i="44"/>
  <c r="N28" i="44"/>
  <c r="M28" i="44"/>
  <c r="L28" i="44"/>
  <c r="K28" i="44"/>
  <c r="J28" i="44"/>
  <c r="I28" i="44"/>
  <c r="H28" i="44"/>
  <c r="G28" i="44"/>
  <c r="F28" i="44"/>
  <c r="E28" i="44"/>
  <c r="D28" i="44"/>
  <c r="C28" i="44"/>
  <c r="B28" i="44"/>
  <c r="AM23" i="44"/>
  <c r="AL23" i="44"/>
  <c r="AK23" i="44"/>
  <c r="AJ23" i="44"/>
  <c r="AI23" i="44"/>
  <c r="AH23" i="44"/>
  <c r="AG23" i="44"/>
  <c r="AF23" i="44"/>
  <c r="AE23" i="44"/>
  <c r="AD23" i="44"/>
  <c r="AC23" i="44"/>
  <c r="AB23" i="44"/>
  <c r="AA23" i="44"/>
  <c r="Z23" i="44"/>
  <c r="Y23" i="44"/>
  <c r="X23" i="44"/>
  <c r="W23" i="44"/>
  <c r="V23" i="44"/>
  <c r="U23" i="44"/>
  <c r="T23" i="44"/>
  <c r="S23" i="44"/>
  <c r="R23" i="44"/>
  <c r="Q23" i="44"/>
  <c r="P23" i="44"/>
  <c r="O23" i="44"/>
  <c r="N23" i="44"/>
  <c r="M23" i="44"/>
  <c r="L23" i="44"/>
  <c r="K23" i="44"/>
  <c r="J23" i="44"/>
  <c r="I23" i="44"/>
  <c r="H23" i="44"/>
  <c r="G23" i="44"/>
  <c r="F23" i="44"/>
  <c r="E23" i="44"/>
  <c r="D23" i="44"/>
  <c r="C23" i="44"/>
  <c r="B23" i="44"/>
  <c r="AC18" i="44"/>
  <c r="AC24" i="44" s="1"/>
  <c r="AC29" i="44" s="1"/>
  <c r="U18" i="44"/>
  <c r="U24" i="44" s="1"/>
  <c r="U29" i="44" s="1"/>
  <c r="P18" i="44"/>
  <c r="P24" i="44" s="1"/>
  <c r="O18" i="44"/>
  <c r="N18" i="44"/>
  <c r="M18" i="44"/>
  <c r="L18" i="44"/>
  <c r="K18" i="44"/>
  <c r="J18" i="44"/>
  <c r="I18" i="44"/>
  <c r="H18" i="44"/>
  <c r="H24" i="44" s="1"/>
  <c r="G18" i="44"/>
  <c r="F18" i="44"/>
  <c r="E18" i="44"/>
  <c r="D18" i="44"/>
  <c r="D24" i="44" s="1"/>
  <c r="D29" i="44" s="1"/>
  <c r="C18" i="44"/>
  <c r="B18" i="44"/>
  <c r="AM17" i="44"/>
  <c r="AM18" i="44" s="1"/>
  <c r="AM24" i="44" s="1"/>
  <c r="AM29" i="44" s="1"/>
  <c r="AL17" i="44"/>
  <c r="AL18" i="44" s="1"/>
  <c r="AK17" i="44"/>
  <c r="AK18" i="44" s="1"/>
  <c r="AK24" i="44" s="1"/>
  <c r="AJ17" i="44"/>
  <c r="AJ18" i="44" s="1"/>
  <c r="AI17" i="44"/>
  <c r="AI18" i="44" s="1"/>
  <c r="AI24" i="44" s="1"/>
  <c r="AH17" i="44"/>
  <c r="AH18" i="44" s="1"/>
  <c r="AG17" i="44"/>
  <c r="AG18" i="44" s="1"/>
  <c r="AF17" i="44"/>
  <c r="AF18" i="44" s="1"/>
  <c r="AF24" i="44" s="1"/>
  <c r="AE17" i="44"/>
  <c r="AE18" i="44" s="1"/>
  <c r="AE24" i="44" s="1"/>
  <c r="AE29" i="44" s="1"/>
  <c r="AC17" i="44"/>
  <c r="AB17" i="44"/>
  <c r="AB18" i="44" s="1"/>
  <c r="AA17" i="44"/>
  <c r="AA18" i="44" s="1"/>
  <c r="AA24" i="44" s="1"/>
  <c r="Z17" i="44"/>
  <c r="Z18" i="44" s="1"/>
  <c r="Y17" i="44"/>
  <c r="Y18" i="44" s="1"/>
  <c r="Y24" i="44" s="1"/>
  <c r="Y29" i="44" s="1"/>
  <c r="X17" i="44"/>
  <c r="X18" i="44" s="1"/>
  <c r="X24" i="44" s="1"/>
  <c r="X29" i="44" s="1"/>
  <c r="W17" i="44"/>
  <c r="W18" i="44" s="1"/>
  <c r="W24" i="44" s="1"/>
  <c r="W29" i="44" s="1"/>
  <c r="V17" i="44"/>
  <c r="V18" i="44" s="1"/>
  <c r="U17" i="44"/>
  <c r="T17" i="44"/>
  <c r="T18" i="44" s="1"/>
  <c r="S17" i="44"/>
  <c r="S18" i="44" s="1"/>
  <c r="S24" i="44" s="1"/>
  <c r="R17" i="44"/>
  <c r="R18" i="44" s="1"/>
  <c r="Q17" i="44"/>
  <c r="Q18" i="44" s="1"/>
  <c r="Q24" i="44" s="1"/>
  <c r="Q29" i="44" s="1"/>
  <c r="AD16" i="44"/>
  <c r="AD17" i="44" s="1"/>
  <c r="AD18" i="44" s="1"/>
  <c r="AM7" i="44"/>
  <c r="AL7" i="44"/>
  <c r="AK7" i="44"/>
  <c r="AJ7" i="44"/>
  <c r="AI7" i="44"/>
  <c r="AH7" i="44"/>
  <c r="AG7" i="44"/>
  <c r="AF7" i="44"/>
  <c r="AE7" i="44"/>
  <c r="AD7" i="44"/>
  <c r="AC7" i="44"/>
  <c r="AB7" i="44"/>
  <c r="AA7" i="44"/>
  <c r="Z7" i="44"/>
  <c r="Y7" i="44"/>
  <c r="X7" i="44"/>
  <c r="W7" i="44"/>
  <c r="V7" i="44"/>
  <c r="U7" i="44"/>
  <c r="T7" i="44"/>
  <c r="S7" i="44"/>
  <c r="R7" i="44"/>
  <c r="Q7" i="44"/>
  <c r="P7" i="44"/>
  <c r="O7" i="44"/>
  <c r="N7" i="44"/>
  <c r="M7" i="44"/>
  <c r="L7" i="44"/>
  <c r="K7" i="44"/>
  <c r="J7" i="44"/>
  <c r="I7" i="44"/>
  <c r="H7" i="44"/>
  <c r="G7" i="44"/>
  <c r="F7" i="44"/>
  <c r="E7" i="44"/>
  <c r="D7" i="44"/>
  <c r="C7" i="44"/>
  <c r="B7" i="44"/>
  <c r="AI29" i="44" l="1"/>
  <c r="S29" i="44"/>
  <c r="AA29" i="44"/>
  <c r="AK29" i="44"/>
  <c r="L24" i="44"/>
  <c r="L29" i="44" s="1"/>
  <c r="AL24" i="44"/>
  <c r="AL29" i="44" s="1"/>
  <c r="I24" i="44"/>
  <c r="I29" i="44" s="1"/>
  <c r="AF29" i="44"/>
  <c r="B24" i="44"/>
  <c r="B29" i="44" s="1"/>
  <c r="J24" i="44"/>
  <c r="J29" i="44" s="1"/>
  <c r="AD24" i="44"/>
  <c r="AD29" i="44" s="1"/>
  <c r="AG24" i="44"/>
  <c r="AG29" i="44" s="1"/>
  <c r="C24" i="44"/>
  <c r="C29" i="44" s="1"/>
  <c r="K24" i="44"/>
  <c r="K29" i="44" s="1"/>
  <c r="Z24" i="44"/>
  <c r="Z29" i="44" s="1"/>
  <c r="E24" i="44"/>
  <c r="E29" i="44" s="1"/>
  <c r="AB24" i="44"/>
  <c r="AB29" i="44" s="1"/>
  <c r="F24" i="44"/>
  <c r="F29" i="44" s="1"/>
  <c r="G24" i="44"/>
  <c r="G29" i="44" s="1"/>
  <c r="O24" i="44"/>
  <c r="O29" i="44" s="1"/>
  <c r="R24" i="44"/>
  <c r="R29" i="44" s="1"/>
  <c r="AH24" i="44"/>
  <c r="AH29" i="44" s="1"/>
  <c r="M24" i="44"/>
  <c r="M29" i="44" s="1"/>
  <c r="T24" i="44"/>
  <c r="T29" i="44" s="1"/>
  <c r="AJ24" i="44"/>
  <c r="AJ29" i="44" s="1"/>
  <c r="N24" i="44"/>
  <c r="N29" i="44" s="1"/>
  <c r="H29" i="44"/>
  <c r="P29" i="44"/>
  <c r="V24" i="44"/>
  <c r="V29" i="44" s="1"/>
  <c r="H78" i="42" l="1"/>
  <c r="L69" i="42"/>
  <c r="L68" i="42"/>
  <c r="J66" i="42"/>
  <c r="I66" i="42"/>
  <c r="H66" i="42"/>
  <c r="G66" i="42"/>
  <c r="F66" i="42"/>
  <c r="E66" i="42"/>
  <c r="D66" i="42"/>
  <c r="C66" i="42"/>
  <c r="L64" i="42"/>
  <c r="L63" i="42"/>
  <c r="L62" i="42"/>
  <c r="L61" i="42"/>
  <c r="L60" i="42"/>
  <c r="L59" i="42"/>
  <c r="L57" i="42"/>
  <c r="L55" i="42"/>
  <c r="J53" i="42"/>
  <c r="I53" i="42"/>
  <c r="H53" i="42"/>
  <c r="G53" i="42"/>
  <c r="F53" i="42"/>
  <c r="E53" i="42"/>
  <c r="D53" i="42"/>
  <c r="C53" i="42"/>
  <c r="L51" i="42"/>
  <c r="L50" i="42"/>
  <c r="L49" i="42"/>
  <c r="L48" i="42"/>
  <c r="L47" i="42"/>
  <c r="L46" i="42"/>
  <c r="L45" i="42"/>
  <c r="L44" i="42"/>
  <c r="L43" i="42"/>
  <c r="L42" i="42"/>
  <c r="L41" i="42"/>
  <c r="L40" i="42"/>
  <c r="L39" i="42"/>
  <c r="L38" i="42"/>
  <c r="L37" i="42"/>
  <c r="L36" i="42"/>
  <c r="L35" i="42"/>
  <c r="L34" i="42"/>
  <c r="L33" i="42"/>
  <c r="J30" i="42"/>
  <c r="I30" i="42"/>
  <c r="H30" i="42"/>
  <c r="G30" i="42"/>
  <c r="G31" i="42" s="1"/>
  <c r="F30" i="42"/>
  <c r="E30" i="42"/>
  <c r="D30" i="42"/>
  <c r="C30" i="42"/>
  <c r="L29" i="42"/>
  <c r="L30" i="42" s="1"/>
  <c r="J27" i="42"/>
  <c r="I27" i="42"/>
  <c r="H27" i="42"/>
  <c r="G27" i="42"/>
  <c r="F27" i="42"/>
  <c r="E27" i="42"/>
  <c r="D27" i="42"/>
  <c r="C27" i="42"/>
  <c r="L25" i="42"/>
  <c r="L27" i="42" s="1"/>
  <c r="J23" i="42"/>
  <c r="J31" i="42" s="1"/>
  <c r="I23" i="42"/>
  <c r="H23" i="42"/>
  <c r="G23" i="42"/>
  <c r="F23" i="42"/>
  <c r="E23" i="42"/>
  <c r="D23" i="42"/>
  <c r="C23" i="42"/>
  <c r="L22" i="42"/>
  <c r="L20" i="42"/>
  <c r="J18" i="42"/>
  <c r="I18" i="42"/>
  <c r="H18" i="42"/>
  <c r="G18" i="42"/>
  <c r="F18" i="42"/>
  <c r="E18" i="42"/>
  <c r="D18" i="42"/>
  <c r="D31" i="42" s="1"/>
  <c r="C18" i="42"/>
  <c r="L17" i="42"/>
  <c r="L16" i="42"/>
  <c r="L15" i="42"/>
  <c r="J13" i="42"/>
  <c r="I13" i="42"/>
  <c r="H13" i="42"/>
  <c r="G13" i="42"/>
  <c r="G71" i="42" s="1"/>
  <c r="F13" i="42"/>
  <c r="E13" i="42"/>
  <c r="D13" i="42"/>
  <c r="C13" i="42"/>
  <c r="L11" i="42"/>
  <c r="L10" i="42"/>
  <c r="L9" i="42"/>
  <c r="L8" i="42"/>
  <c r="L7" i="42"/>
  <c r="L6" i="42"/>
  <c r="L5" i="42"/>
  <c r="L3" i="42"/>
  <c r="A1" i="42"/>
  <c r="D71" i="42" l="1"/>
  <c r="L53" i="42"/>
  <c r="L66" i="42"/>
  <c r="L13" i="42"/>
  <c r="I31" i="42"/>
  <c r="I71" i="42" s="1"/>
  <c r="J71" i="42"/>
  <c r="L18" i="42"/>
  <c r="C31" i="42"/>
  <c r="E31" i="42"/>
  <c r="E71" i="42" s="1"/>
  <c r="F71" i="42"/>
  <c r="L23" i="42"/>
  <c r="L31" i="42" s="1"/>
  <c r="H31" i="42"/>
  <c r="H71" i="42" s="1"/>
  <c r="F31" i="42"/>
  <c r="C71" i="42"/>
  <c r="L71" i="42" l="1"/>
  <c r="J23" i="20"/>
  <c r="K23" i="20" l="1"/>
  <c r="A42" i="20" s="1"/>
  <c r="I23" i="20"/>
  <c r="H23" i="20"/>
  <c r="G23" i="20"/>
  <c r="F23" i="20"/>
  <c r="E23" i="20"/>
  <c r="D23" i="20"/>
  <c r="C23" i="20"/>
  <c r="B23" i="20"/>
  <c r="K18" i="19" l="1"/>
  <c r="J18" i="19"/>
  <c r="J10" i="41" l="1"/>
  <c r="J7" i="34" l="1"/>
  <c r="J14" i="24" l="1"/>
  <c r="K14" i="24"/>
  <c r="K12" i="23" l="1"/>
  <c r="J12" i="23"/>
  <c r="G19" i="17" l="1"/>
  <c r="B19" i="17"/>
  <c r="C19" i="17"/>
  <c r="D19" i="17"/>
  <c r="H19" i="17" s="1"/>
  <c r="E19" i="17"/>
  <c r="F19" i="17"/>
  <c r="O8" i="16" l="1"/>
  <c r="O5" i="16"/>
  <c r="J26" i="15" l="1"/>
  <c r="J25" i="15"/>
  <c r="J24" i="15"/>
  <c r="J23" i="15"/>
  <c r="J22" i="15"/>
  <c r="J21" i="15"/>
  <c r="J20" i="15"/>
  <c r="J17" i="15"/>
  <c r="J27" i="15" s="1"/>
  <c r="A1" i="20" l="1"/>
  <c r="A1" i="27"/>
  <c r="A1" i="39"/>
  <c r="A1" i="19"/>
  <c r="A1" i="41"/>
  <c r="A1" i="34"/>
  <c r="A1" i="24"/>
  <c r="A1" i="23"/>
  <c r="A1" i="16"/>
  <c r="A1" i="15"/>
  <c r="K10" i="41" l="1"/>
  <c r="B15" i="41" s="1"/>
  <c r="I10" i="41"/>
  <c r="H10" i="41"/>
  <c r="G10" i="41"/>
  <c r="F10" i="41"/>
  <c r="E10" i="41"/>
  <c r="D10" i="41"/>
  <c r="C10" i="41"/>
  <c r="B10" i="41"/>
  <c r="L9" i="41"/>
  <c r="L8" i="41"/>
  <c r="L7" i="41"/>
  <c r="L6" i="41"/>
  <c r="L5" i="41"/>
  <c r="L4" i="41"/>
  <c r="B27" i="23" l="1"/>
  <c r="B12" i="23"/>
  <c r="C12" i="23"/>
  <c r="D12" i="23"/>
  <c r="E12" i="23"/>
  <c r="F12" i="23"/>
  <c r="G12" i="23"/>
  <c r="H12" i="23"/>
  <c r="I12" i="23"/>
  <c r="I18" i="19" l="1"/>
  <c r="I7" i="34" l="1"/>
  <c r="I14" i="24" l="1"/>
  <c r="N8" i="16" l="1"/>
  <c r="N5" i="16"/>
  <c r="I26" i="15" l="1"/>
  <c r="I25" i="15"/>
  <c r="I24" i="15"/>
  <c r="I23" i="15"/>
  <c r="I22" i="15"/>
  <c r="I21" i="15"/>
  <c r="I20" i="15"/>
  <c r="I17" i="15"/>
  <c r="I27" i="15" s="1"/>
  <c r="C67" i="39" l="1"/>
  <c r="B14" i="21" l="1"/>
  <c r="C14" i="21" s="1"/>
  <c r="D14" i="21" s="1"/>
  <c r="E14" i="21" s="1"/>
  <c r="F14" i="21" s="1"/>
  <c r="G14" i="21" s="1"/>
  <c r="H14" i="21" s="1"/>
  <c r="I14" i="21" s="1"/>
  <c r="J14" i="21" s="1"/>
  <c r="K14" i="21" s="1"/>
  <c r="L14" i="21" s="1"/>
  <c r="M14" i="21" s="1"/>
  <c r="N14" i="21" s="1"/>
  <c r="O14" i="21" s="1"/>
  <c r="P14" i="21" s="1"/>
  <c r="Q14" i="21" s="1"/>
  <c r="R14" i="21" s="1"/>
  <c r="S14" i="21" s="1"/>
  <c r="T14" i="21" s="1"/>
  <c r="U14" i="21" s="1"/>
  <c r="V14" i="21" s="1"/>
  <c r="W14" i="21" s="1"/>
  <c r="X14" i="21" s="1"/>
  <c r="Y14" i="21" s="1"/>
  <c r="Z14" i="21" s="1"/>
  <c r="AA14" i="21" s="1"/>
  <c r="AB14" i="21" s="1"/>
  <c r="AC14" i="21" s="1"/>
  <c r="AD14" i="21" s="1"/>
  <c r="AE14" i="21" s="1"/>
  <c r="AF14" i="21" s="1"/>
  <c r="AG14" i="21" s="1"/>
  <c r="AH14" i="21" s="1"/>
  <c r="AI14" i="21" s="1"/>
  <c r="AJ14" i="21" s="1"/>
  <c r="AK14" i="21" s="1"/>
  <c r="AL14" i="21" s="1"/>
  <c r="AM14" i="21" s="1"/>
  <c r="AN14" i="21" s="1"/>
  <c r="B15" i="21"/>
  <c r="C15" i="21" s="1"/>
  <c r="D15" i="21" s="1"/>
  <c r="E15" i="21" s="1"/>
  <c r="F15" i="21" s="1"/>
  <c r="G15" i="21" s="1"/>
  <c r="H15" i="21" s="1"/>
  <c r="I15" i="21" s="1"/>
  <c r="J15" i="21" s="1"/>
  <c r="K15" i="21" s="1"/>
  <c r="L15" i="21" s="1"/>
  <c r="M15" i="21" s="1"/>
  <c r="N15" i="21" s="1"/>
  <c r="O15" i="21" s="1"/>
  <c r="P15" i="21" s="1"/>
  <c r="Q15" i="21" s="1"/>
  <c r="R15" i="21" s="1"/>
  <c r="S15" i="21" s="1"/>
  <c r="T15" i="21" s="1"/>
  <c r="U15" i="21" s="1"/>
  <c r="V15" i="21" s="1"/>
  <c r="W15" i="21" s="1"/>
  <c r="X15" i="21" s="1"/>
  <c r="Y15" i="21" s="1"/>
  <c r="Z15" i="21" s="1"/>
  <c r="AA15" i="21" s="1"/>
  <c r="AB15" i="21" s="1"/>
  <c r="AC15" i="21" s="1"/>
  <c r="AD15" i="21" s="1"/>
  <c r="AE15" i="21" s="1"/>
  <c r="AF15" i="21" s="1"/>
  <c r="AG15" i="21" s="1"/>
  <c r="AH15" i="21" s="1"/>
  <c r="AI15" i="21" s="1"/>
  <c r="AJ15" i="21" s="1"/>
  <c r="AK15" i="21" s="1"/>
  <c r="AL15" i="21" s="1"/>
  <c r="AM15" i="21" s="1"/>
  <c r="AN15" i="21" s="1"/>
  <c r="K26" i="15" l="1"/>
  <c r="C10" i="27" l="1"/>
  <c r="H18" i="19" l="1"/>
  <c r="G18" i="19"/>
  <c r="F18" i="19"/>
  <c r="E18" i="19"/>
  <c r="D18" i="19"/>
  <c r="C18" i="19"/>
  <c r="B18" i="19"/>
  <c r="H7" i="34" l="1"/>
  <c r="H14" i="24" l="1"/>
  <c r="G14" i="24"/>
  <c r="F14" i="24"/>
  <c r="E14" i="24"/>
  <c r="D14" i="24"/>
  <c r="C14" i="24"/>
  <c r="B14" i="24"/>
  <c r="L13" i="24"/>
  <c r="L12" i="24"/>
  <c r="M8" i="16" l="1"/>
  <c r="M5" i="16"/>
  <c r="H25" i="15" l="1"/>
  <c r="H24" i="15"/>
  <c r="H23" i="15"/>
  <c r="H22" i="15"/>
  <c r="H21" i="15"/>
  <c r="H20" i="15"/>
  <c r="H17" i="15"/>
  <c r="H27" i="15" s="1"/>
  <c r="B10" i="21" l="1"/>
  <c r="C10" i="21" s="1"/>
  <c r="D10" i="21" s="1"/>
  <c r="E10" i="21" s="1"/>
  <c r="F10" i="21" s="1"/>
  <c r="G10" i="21" s="1"/>
  <c r="H10" i="21" s="1"/>
  <c r="I10" i="21" s="1"/>
  <c r="J10" i="21" s="1"/>
  <c r="K10" i="21" s="1"/>
  <c r="L10" i="21" s="1"/>
  <c r="M10" i="21" s="1"/>
  <c r="N10" i="21" s="1"/>
  <c r="O10" i="21" s="1"/>
  <c r="P10" i="21" s="1"/>
  <c r="Q10" i="21" s="1"/>
  <c r="R10" i="21" s="1"/>
  <c r="S10" i="21" s="1"/>
  <c r="T10" i="21" s="1"/>
  <c r="U10" i="21" s="1"/>
  <c r="V10" i="21" s="1"/>
  <c r="W10" i="21" s="1"/>
  <c r="X10" i="21" s="1"/>
  <c r="Y10" i="21" s="1"/>
  <c r="Z10" i="21" s="1"/>
  <c r="AA10" i="21" s="1"/>
  <c r="AB10" i="21" s="1"/>
  <c r="AC10" i="21" s="1"/>
  <c r="AD10" i="21" s="1"/>
  <c r="AE10" i="21" s="1"/>
  <c r="AF10" i="21" s="1"/>
  <c r="AG10" i="21" s="1"/>
  <c r="AH10" i="21" s="1"/>
  <c r="AI10" i="21" s="1"/>
  <c r="AJ10" i="21" s="1"/>
  <c r="AK10" i="21" s="1"/>
  <c r="AL10" i="21" s="1"/>
  <c r="AM10" i="21" s="1"/>
  <c r="AN10" i="21" s="1"/>
  <c r="B9" i="21"/>
  <c r="C9" i="21" s="1"/>
  <c r="D9" i="21" s="1"/>
  <c r="E9" i="21" s="1"/>
  <c r="F9" i="21" s="1"/>
  <c r="G9" i="21" s="1"/>
  <c r="H9" i="21" s="1"/>
  <c r="I9" i="21" s="1"/>
  <c r="J9" i="21" s="1"/>
  <c r="K9" i="21" s="1"/>
  <c r="L9" i="21" s="1"/>
  <c r="M9" i="21" s="1"/>
  <c r="N9" i="21" s="1"/>
  <c r="O9" i="21" s="1"/>
  <c r="P9" i="21" s="1"/>
  <c r="Q9" i="21" s="1"/>
  <c r="R9" i="21" s="1"/>
  <c r="S9" i="21" s="1"/>
  <c r="T9" i="21" s="1"/>
  <c r="U9" i="21" s="1"/>
  <c r="V9" i="21" s="1"/>
  <c r="W9" i="21" s="1"/>
  <c r="X9" i="21" s="1"/>
  <c r="Y9" i="21" s="1"/>
  <c r="Z9" i="21" s="1"/>
  <c r="AA9" i="21" s="1"/>
  <c r="AB9" i="21" s="1"/>
  <c r="AC9" i="21" s="1"/>
  <c r="AD9" i="21" s="1"/>
  <c r="AE9" i="21" s="1"/>
  <c r="AF9" i="21" s="1"/>
  <c r="AG9" i="21" s="1"/>
  <c r="AH9" i="21" s="1"/>
  <c r="AI9" i="21" s="1"/>
  <c r="AJ9" i="21" s="1"/>
  <c r="AK9" i="21" s="1"/>
  <c r="AL9" i="21" s="1"/>
  <c r="AM9" i="21" s="1"/>
  <c r="AN9" i="21" s="1"/>
  <c r="B8" i="21"/>
  <c r="C8" i="21" s="1"/>
  <c r="D8" i="21" s="1"/>
  <c r="E8" i="21" s="1"/>
  <c r="F8" i="21" s="1"/>
  <c r="G8" i="21" s="1"/>
  <c r="H8" i="21" s="1"/>
  <c r="I8" i="21" s="1"/>
  <c r="J8" i="21" s="1"/>
  <c r="K8" i="21" s="1"/>
  <c r="L8" i="21" s="1"/>
  <c r="M8" i="21" s="1"/>
  <c r="N8" i="21" s="1"/>
  <c r="O8" i="21" s="1"/>
  <c r="P8" i="21" s="1"/>
  <c r="Q8" i="21" s="1"/>
  <c r="R8" i="21" s="1"/>
  <c r="S8" i="21" s="1"/>
  <c r="T8" i="21" s="1"/>
  <c r="U8" i="21" s="1"/>
  <c r="V8" i="21" s="1"/>
  <c r="W8" i="21" s="1"/>
  <c r="X8" i="21" s="1"/>
  <c r="Y8" i="21" s="1"/>
  <c r="Z8" i="21" s="1"/>
  <c r="AA8" i="21" s="1"/>
  <c r="AB8" i="21" s="1"/>
  <c r="AC8" i="21" s="1"/>
  <c r="AD8" i="21" s="1"/>
  <c r="AE8" i="21" s="1"/>
  <c r="AF8" i="21" s="1"/>
  <c r="AG8" i="21" s="1"/>
  <c r="AH8" i="21" s="1"/>
  <c r="AI8" i="21" s="1"/>
  <c r="AJ8" i="21" s="1"/>
  <c r="AK8" i="21" s="1"/>
  <c r="AL8" i="21" s="1"/>
  <c r="AM8" i="21" s="1"/>
  <c r="AN8" i="21" s="1"/>
  <c r="B7" i="21"/>
  <c r="C7" i="21" s="1"/>
  <c r="D7" i="21" s="1"/>
  <c r="E7" i="21" s="1"/>
  <c r="F7" i="21" s="1"/>
  <c r="G7" i="21" s="1"/>
  <c r="H7" i="21" s="1"/>
  <c r="I7" i="21" s="1"/>
  <c r="J7" i="21" s="1"/>
  <c r="K7" i="21" s="1"/>
  <c r="L7" i="21" s="1"/>
  <c r="M7" i="21" s="1"/>
  <c r="N7" i="21" s="1"/>
  <c r="O7" i="21" s="1"/>
  <c r="P7" i="21" s="1"/>
  <c r="Q7" i="21" s="1"/>
  <c r="R7" i="21" s="1"/>
  <c r="S7" i="21" s="1"/>
  <c r="T7" i="21" s="1"/>
  <c r="U7" i="21" s="1"/>
  <c r="V7" i="21" s="1"/>
  <c r="W7" i="21" s="1"/>
  <c r="X7" i="21" s="1"/>
  <c r="Y7" i="21" s="1"/>
  <c r="Z7" i="21" s="1"/>
  <c r="AA7" i="21" s="1"/>
  <c r="AB7" i="21" s="1"/>
  <c r="AC7" i="21" s="1"/>
  <c r="AD7" i="21" s="1"/>
  <c r="AE7" i="21" s="1"/>
  <c r="AF7" i="21" s="1"/>
  <c r="AG7" i="21" s="1"/>
  <c r="AH7" i="21" s="1"/>
  <c r="AI7" i="21" s="1"/>
  <c r="AJ7" i="21" s="1"/>
  <c r="AK7" i="21" s="1"/>
  <c r="AL7" i="21" s="1"/>
  <c r="AM7" i="21" s="1"/>
  <c r="AN7" i="21" s="1"/>
  <c r="B6" i="21"/>
  <c r="C6" i="21" s="1"/>
  <c r="D6" i="21" s="1"/>
  <c r="E6" i="21" s="1"/>
  <c r="F6" i="21" s="1"/>
  <c r="G6" i="21" s="1"/>
  <c r="H6" i="21" s="1"/>
  <c r="I6" i="21" s="1"/>
  <c r="J6" i="21" s="1"/>
  <c r="K6" i="21" s="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AN11" i="21" l="1"/>
  <c r="AG28" i="21" s="1"/>
  <c r="C8" i="16" l="1"/>
  <c r="B8" i="16"/>
  <c r="E5" i="16"/>
  <c r="D5" i="16"/>
  <c r="C5" i="16"/>
  <c r="B5" i="16"/>
  <c r="E8" i="16" l="1"/>
  <c r="D8" i="16"/>
  <c r="AM11" i="21" l="1"/>
  <c r="E13" i="36"/>
  <c r="F13" i="36" s="1"/>
  <c r="E9" i="36"/>
  <c r="F12" i="36" s="1"/>
  <c r="E6" i="34" l="1"/>
  <c r="D6" i="34"/>
  <c r="B16" i="36" l="1"/>
  <c r="A29" i="36" s="1"/>
  <c r="F7" i="34" l="1"/>
  <c r="E7" i="34"/>
  <c r="K7" i="34"/>
  <c r="B12" i="34" s="1"/>
  <c r="G7" i="34"/>
  <c r="D7" i="34"/>
  <c r="C7" i="34"/>
  <c r="B7" i="34"/>
  <c r="L6" i="34"/>
  <c r="L5" i="34"/>
  <c r="L4" i="34"/>
  <c r="L3" i="34"/>
  <c r="AL11" i="21" l="1"/>
  <c r="AK11" i="21"/>
  <c r="L8" i="16" l="1"/>
  <c r="L5" i="16"/>
  <c r="L16" i="15" l="1"/>
  <c r="L4" i="24"/>
  <c r="A22" i="23" l="1"/>
  <c r="E39" i="19" l="1"/>
  <c r="E38" i="19"/>
  <c r="E37" i="19"/>
  <c r="E36" i="19"/>
  <c r="E35" i="19"/>
  <c r="E34" i="19"/>
  <c r="E33" i="19"/>
  <c r="E32" i="19"/>
  <c r="E31" i="19"/>
  <c r="E30" i="19"/>
  <c r="E29" i="19"/>
  <c r="F40" i="19" l="1"/>
  <c r="F29" i="19"/>
  <c r="L3" i="24" l="1"/>
  <c r="L5" i="24"/>
  <c r="L6" i="24"/>
  <c r="L7" i="24"/>
  <c r="L8" i="24"/>
  <c r="L9" i="24"/>
  <c r="L10" i="24"/>
  <c r="L11" i="24"/>
  <c r="K20" i="15" l="1"/>
  <c r="B37" i="15" s="1"/>
  <c r="G20" i="15"/>
  <c r="F20" i="15"/>
  <c r="E20" i="15"/>
  <c r="D20" i="15"/>
  <c r="C20" i="15"/>
  <c r="B20" i="15"/>
  <c r="K17" i="15"/>
  <c r="G17" i="15"/>
  <c r="F17" i="15"/>
  <c r="E17" i="15"/>
  <c r="D17" i="15"/>
  <c r="C17" i="15"/>
  <c r="B17" i="15"/>
  <c r="F41" i="19" l="1"/>
  <c r="F39" i="19"/>
  <c r="F38" i="19"/>
  <c r="F37" i="19"/>
  <c r="F36" i="19"/>
  <c r="F35" i="19"/>
  <c r="F34" i="19"/>
  <c r="F33" i="19"/>
  <c r="F32" i="19"/>
  <c r="F31" i="19"/>
  <c r="F30" i="19"/>
  <c r="AI11" i="21" l="1"/>
  <c r="AJ11" i="21"/>
  <c r="C9" i="27" l="1"/>
  <c r="C8" i="27"/>
  <c r="C7" i="27"/>
  <c r="C6" i="27"/>
  <c r="C5" i="27"/>
  <c r="C4" i="27"/>
  <c r="B14" i="27" l="1"/>
  <c r="B28" i="23" l="1"/>
  <c r="B26" i="23"/>
  <c r="B25" i="23"/>
  <c r="B24" i="23"/>
  <c r="B23" i="23"/>
  <c r="P8" i="16" l="1"/>
  <c r="K8" i="16"/>
  <c r="J8" i="16"/>
  <c r="I8" i="16"/>
  <c r="H8" i="16"/>
  <c r="G8" i="16"/>
  <c r="F8" i="16"/>
  <c r="P5" i="16"/>
  <c r="K27" i="15" l="1"/>
  <c r="D40" i="15" s="1"/>
  <c r="A76" i="39" s="1"/>
  <c r="G27" i="15"/>
  <c r="F27" i="15"/>
  <c r="E27" i="15"/>
  <c r="D27" i="15"/>
  <c r="C27" i="15"/>
  <c r="B27" i="15"/>
  <c r="K25" i="15"/>
  <c r="G25" i="15"/>
  <c r="F25" i="15"/>
  <c r="E25" i="15"/>
  <c r="D25" i="15"/>
  <c r="C25" i="15"/>
  <c r="B25" i="15"/>
  <c r="K24" i="15"/>
  <c r="B41" i="15" s="1"/>
  <c r="G24" i="15"/>
  <c r="F24" i="15"/>
  <c r="E24" i="15"/>
  <c r="D24" i="15"/>
  <c r="C24" i="15"/>
  <c r="B24" i="15"/>
  <c r="K23" i="15"/>
  <c r="B40" i="15" s="1"/>
  <c r="G23" i="15"/>
  <c r="F23" i="15"/>
  <c r="E23" i="15"/>
  <c r="D23" i="15"/>
  <c r="C23" i="15"/>
  <c r="B23" i="15"/>
  <c r="K22" i="15"/>
  <c r="B39" i="15" s="1"/>
  <c r="G22" i="15"/>
  <c r="F22" i="15"/>
  <c r="E22" i="15"/>
  <c r="D22" i="15"/>
  <c r="C22" i="15"/>
  <c r="B22" i="15"/>
  <c r="K21" i="15"/>
  <c r="B38" i="15" s="1"/>
  <c r="G21" i="15"/>
  <c r="F21" i="15"/>
  <c r="E21" i="15"/>
  <c r="D21" i="15"/>
  <c r="C21" i="15"/>
  <c r="B21" i="15"/>
  <c r="A23" i="27" l="1"/>
  <c r="A31" i="23"/>
  <c r="A27" i="19"/>
  <c r="B22" i="24"/>
  <c r="B11" i="21"/>
  <c r="AH11" i="21"/>
  <c r="K5" i="16" l="1"/>
  <c r="F5" i="16"/>
  <c r="G5" i="16"/>
  <c r="H5" i="16"/>
  <c r="I5" i="16"/>
  <c r="J5" i="16"/>
  <c r="A2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D1" authorId="0" shapeId="0" xr:uid="{5D286E24-09D6-4F8F-B48C-D895E75D2840}">
      <text>
        <r>
          <rPr>
            <b/>
            <sz val="9"/>
            <color indexed="81"/>
            <rFont val="Tahoma"/>
            <charset val="1"/>
          </rPr>
          <t>Eric Schrepel:</t>
        </r>
        <r>
          <rPr>
            <sz val="9"/>
            <color indexed="81"/>
            <rFont val="Tahoma"/>
            <charset val="1"/>
          </rPr>
          <t xml:space="preserve">
1) Sort by subbasin
2) Paste from new sheet
3) Ascending sort on FY column, exclude last 3 non-subbasin rows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C3" authorId="0" shapeId="0" xr:uid="{BFB5DA7F-58FE-44E2-99EC-ED217EF2C723}">
      <text>
        <r>
          <rPr>
            <b/>
            <sz val="9"/>
            <color indexed="81"/>
            <rFont val="Tahoma"/>
            <charset val="1"/>
          </rPr>
          <t>Eric Schrepel:</t>
        </r>
        <r>
          <rPr>
            <sz val="9"/>
            <color indexed="81"/>
            <rFont val="Tahoma"/>
            <charset val="1"/>
          </rPr>
          <t xml:space="preserve">
Paste values from B &amp; C into InDesign text boxes on map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A79" authorId="0" shapeId="0" xr:uid="{EF7BD57D-6E69-4B61-AEDE-BF7083C170F1}">
      <text>
        <r>
          <rPr>
            <b/>
            <sz val="9"/>
            <color indexed="81"/>
            <rFont val="Tahoma"/>
            <charset val="1"/>
          </rPr>
          <t>Eric Schrepel:</t>
        </r>
        <r>
          <rPr>
            <sz val="9"/>
            <color indexed="81"/>
            <rFont val="Tahoma"/>
            <charset val="1"/>
          </rPr>
          <t xml:space="preserve">
1) Insert column before last FY
2) Copy *values* from last FY to inserted column
3) Update new FY column heading
4) Copy column B and new FY values from BPA table to 2nd table below
5) Sort that table on column A, ensure lkp_10 range name gets whole table
6) New FY column above should get values, resolve any #N/As
7) Sort each section on new FY (desc), copy column B and values to first table below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A31" authorId="0" shapeId="0" xr:uid="{521BC8E6-130B-4061-8034-46730C10012C}">
      <text>
        <r>
          <rPr>
            <b/>
            <sz val="9"/>
            <color indexed="81"/>
            <rFont val="Tahoma"/>
            <charset val="1"/>
          </rPr>
          <t>Eric Schrepel:</t>
        </r>
        <r>
          <rPr>
            <sz val="9"/>
            <color indexed="81"/>
            <rFont val="Tahoma"/>
            <charset val="1"/>
          </rPr>
          <t xml:space="preserve">
1) Insert column before last FY
2) Copy last FY to inserted column
3) Update FY heading in new FY
4) Paste column A from BPA table to right of new FY, add test to see if it matches column A of this sheet
5) Ins/del rows from either as needed
6) Paste new FY values from BPA
7) Sort by new FY (desc), copy top 10-ish rows to table below (skip values that are too small to show in chart)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 Schrepel</author>
    <author>A satisfied Microsoft Office user</author>
    <author>dbt0117</author>
  </authors>
  <commentList>
    <comment ref="AC1" authorId="0" shapeId="0" xr:uid="{CD331B35-8CC8-4D83-8015-F60412A56A54}">
      <text>
        <r>
          <rPr>
            <b/>
            <sz val="9"/>
            <color indexed="81"/>
            <rFont val="Tahoma"/>
            <family val="2"/>
          </rPr>
          <t>Eric Schrepel:</t>
        </r>
        <r>
          <rPr>
            <sz val="9"/>
            <color indexed="81"/>
            <rFont val="Tahoma"/>
            <family val="2"/>
          </rPr>
          <t xml:space="preserve">
1) Insert column before last FY
2) Copy last FY to newly inserted column
3) Update column heading for new FY
4) Copy from BPA sheet to new FY
5) Use this to support sheets 1A, 1B (ensure 1B includes newly added column)</t>
        </r>
      </text>
    </comment>
    <comment ref="O2" authorId="1" shapeId="0" xr:uid="{682ED8F1-248D-4163-A083-003A15EFFD1E}">
      <text>
        <r>
          <rPr>
            <sz val="8"/>
            <color indexed="81"/>
            <rFont val="Tahoma"/>
            <family val="2"/>
          </rPr>
          <t>updated to FY 95 Congressional actual to the budget document. 3/23/94</t>
        </r>
      </text>
    </comment>
    <comment ref="P2" authorId="1" shapeId="0" xr:uid="{FE2AD897-7F1B-46C3-9456-F4ECAFE0D697}">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2" shapeId="0" xr:uid="{732B9A89-016A-4FAA-AE9C-4A912830B645}">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
        </x15:connection>
      </ext>
    </extLst>
  </connection>
</connections>
</file>

<file path=xl/sharedStrings.xml><?xml version="1.0" encoding="utf-8"?>
<sst xmlns="http://schemas.openxmlformats.org/spreadsheetml/2006/main" count="683" uniqueCount="458">
  <si>
    <t xml:space="preserve">1) Starting in 2008, Spending can be tracked back to a work element where the contractor explicitly identified the "Primary Focal Species" benefiting from the work.  </t>
  </si>
  <si>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</si>
  <si>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</si>
  <si>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</si>
  <si>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</si>
  <si>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</si>
  <si>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</si>
  <si>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</si>
  <si>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</si>
  <si>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</si>
  <si>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</si>
  <si>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</si>
  <si>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</si>
  <si>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</si>
  <si>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</si>
  <si>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</si>
  <si>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</si>
  <si>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</si>
  <si>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</si>
  <si>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</si>
  <si>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</si>
  <si>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</si>
  <si>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</si>
  <si>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</si>
  <si>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</si>
  <si>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</si>
  <si>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</si>
  <si>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</si>
  <si>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</si>
  <si>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</si>
  <si>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</si>
  <si>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</si>
  <si>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</si>
  <si>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</si>
  <si>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</si>
  <si>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</si>
  <si>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</si>
  <si>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</si>
  <si>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</si>
  <si>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</si>
  <si>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</si>
  <si>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</si>
  <si>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</si>
  <si>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</si>
  <si>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</si>
  <si>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</si>
  <si>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</si>
  <si>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</si>
  <si>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</si>
  <si>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</si>
  <si>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</si>
  <si>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</si>
  <si>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</si>
  <si>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</si>
  <si>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Columbia Land Trust</t>
  </si>
  <si>
    <t>Colville Confederated Tribes</t>
  </si>
  <si>
    <t>Idaho Department of Fish and Game (IDFG)</t>
  </si>
  <si>
    <t>Idaho Office of Species Conservation</t>
  </si>
  <si>
    <t>Nature Conservancy</t>
  </si>
  <si>
    <t>Nez Perce Tribe</t>
  </si>
  <si>
    <t>Oregon Watershed Enhancement Board</t>
  </si>
  <si>
    <t>Salish and Kootenai Confederated Tribes</t>
  </si>
  <si>
    <t>Shoshone-Bannock Tribes</t>
  </si>
  <si>
    <t>Shoshone-Paiute Tribes</t>
  </si>
  <si>
    <t>Umatilla Confederated Tribes (CTUIR)</t>
  </si>
  <si>
    <t>Yakama Confederated Tribes</t>
  </si>
  <si>
    <t>Fixed Expenses</t>
  </si>
  <si>
    <t>Direct Program</t>
  </si>
  <si>
    <t>Reimbursable Expenses</t>
  </si>
  <si>
    <t>Forgone Revenues</t>
  </si>
  <si>
    <t>Power Purchases</t>
  </si>
  <si>
    <t>1978-80</t>
  </si>
  <si>
    <r>
      <t>Program Support</t>
    </r>
    <r>
      <rPr>
        <vertAlign val="superscript"/>
        <sz val="12"/>
        <rFont val="Century Gothic"/>
        <family val="2"/>
      </rPr>
      <t xml:space="preserve"> 2</t>
    </r>
  </si>
  <si>
    <t>(remove footnote marks from graph X-axis labels)</t>
  </si>
  <si>
    <t>TOTAL PROGRAM</t>
  </si>
  <si>
    <t>Total BPA Overhead</t>
  </si>
  <si>
    <t>Total General</t>
  </si>
  <si>
    <t>Total Accords - BiOp</t>
  </si>
  <si>
    <r>
      <t>Total Accords</t>
    </r>
    <r>
      <rPr>
        <vertAlign val="superscript"/>
        <sz val="12"/>
        <rFont val="Century Gothic"/>
        <family val="2"/>
      </rPr>
      <t>1</t>
    </r>
  </si>
  <si>
    <t>Total BiOp (non Accord)</t>
  </si>
  <si>
    <t>Accords - BiOp</t>
  </si>
  <si>
    <t>Accords - non-BiOp</t>
  </si>
  <si>
    <t>Figure subtitle (range named "subtitle" because it's used on many figures)</t>
  </si>
  <si>
    <t>Figure subtitle:</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</si>
  <si>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</si>
  <si>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</si>
  <si>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</si>
  <si>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</si>
  <si>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</si>
  <si>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Ocean</t>
  </si>
  <si>
    <t>1) Starting in 2008, spending by state is tracked in Pisces based on where the contractor explicitly identified work location.</t>
  </si>
  <si>
    <t>Nevada</t>
  </si>
  <si>
    <t>British Columbia</t>
  </si>
  <si>
    <t>Montana</t>
  </si>
  <si>
    <t>Oregon</t>
  </si>
  <si>
    <t>Idaho</t>
  </si>
  <si>
    <t>Washington</t>
  </si>
  <si>
    <t>STATE</t>
  </si>
  <si>
    <t>Format for pie, and remove Systemwide</t>
  </si>
  <si>
    <t>GRAND TOTAL</t>
  </si>
  <si>
    <t>OTHER TOTAL</t>
  </si>
  <si>
    <t>NATIONAL FISH &amp; WILDLIFE FOUNDATION</t>
  </si>
  <si>
    <t>UTILITY</t>
  </si>
  <si>
    <r>
      <t>LAND ACQUISITIONS</t>
    </r>
    <r>
      <rPr>
        <vertAlign val="superscript"/>
        <sz val="11"/>
        <rFont val="Century Gothic"/>
        <family val="2"/>
      </rPr>
      <t>2</t>
    </r>
  </si>
  <si>
    <t>COLUMBIA BASIN FISH &amp; WILDLIFE AUTHORITY</t>
  </si>
  <si>
    <t>LOCAL/SEMI GOVERNMENT</t>
  </si>
  <si>
    <t>PRIVATE/NON-PROFIT/OTHER</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</si>
  <si>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</si>
  <si>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</si>
  <si>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</si>
  <si>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</si>
  <si>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</si>
  <si>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</si>
  <si>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</si>
  <si>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</si>
  <si>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</si>
  <si>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</si>
  <si>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</si>
  <si>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</si>
  <si>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</si>
  <si>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</si>
  <si>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</si>
  <si>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</si>
  <si>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</si>
  <si>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</si>
  <si>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</si>
  <si>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</si>
  <si>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</si>
  <si>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</si>
  <si>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</si>
  <si>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</si>
  <si>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</si>
  <si>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</si>
  <si>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</si>
  <si>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</si>
  <si>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</si>
  <si>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</si>
  <si>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</si>
  <si>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</si>
  <si>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</si>
  <si>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</si>
  <si>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</si>
  <si>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</si>
  <si>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</si>
  <si>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</si>
  <si>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</si>
  <si>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</si>
  <si>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</si>
  <si>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</si>
  <si>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</si>
  <si>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</si>
  <si>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BPA OVERHEAD (&amp; NON-CONTRACTED PROJECT COSTS)</t>
  </si>
  <si>
    <t>NATIONAL MARINE FISHERIES (NOAA)</t>
  </si>
  <si>
    <t>FEDERAL</t>
  </si>
  <si>
    <t>Prime Contractor</t>
  </si>
  <si>
    <t>Contractor Type</t>
  </si>
  <si>
    <t>Federal</t>
  </si>
  <si>
    <t>State</t>
  </si>
  <si>
    <t>Tribe</t>
  </si>
  <si>
    <t>Interstate</t>
  </si>
  <si>
    <t>University</t>
  </si>
  <si>
    <t>Federal: BPA Overhead (&amp; Non-Contracted Project Costs)</t>
  </si>
  <si>
    <t>Federal: National Marine Fisheries</t>
  </si>
  <si>
    <t>Federal: US Fish &amp; Wildlife Service</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</si>
  <si>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</si>
  <si>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</si>
  <si>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</si>
  <si>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</si>
  <si>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</si>
  <si>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</si>
  <si>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</si>
  <si>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</si>
  <si>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</si>
  <si>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</si>
  <si>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</si>
  <si>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</si>
  <si>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</si>
  <si>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</si>
  <si>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</si>
  <si>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</si>
  <si>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</si>
  <si>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</si>
  <si>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</si>
  <si>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</si>
  <si>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</si>
  <si>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</si>
  <si>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</si>
  <si>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</si>
  <si>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</si>
  <si>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</si>
  <si>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</si>
  <si>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</si>
  <si>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Notes</t>
  </si>
  <si>
    <t>Direct F&amp;W Program</t>
  </si>
  <si>
    <t>Lower Snake Comp Plan</t>
  </si>
  <si>
    <t>Corps of Engineers O&amp;M (est.)</t>
  </si>
  <si>
    <t>Bureau of Reclamation O&amp;M (est.)</t>
  </si>
  <si>
    <t>NW Power &amp; Conservation Council</t>
  </si>
  <si>
    <t>Interest Expense (est.)</t>
  </si>
  <si>
    <t>Amoritization/Depreciation (est.)</t>
  </si>
  <si>
    <t>Power Purchases for Fish Enhancement (est.)</t>
  </si>
  <si>
    <t>Program Support 2</t>
  </si>
  <si>
    <t>1) Estimated spending is based at the project level.  Therefore, if a project partially supports the FCRPS BiOp, all expenditures for the project are included.</t>
  </si>
  <si>
    <t xml:space="preserve">FIGURE 2. </t>
  </si>
  <si>
    <t>Total BiOp (non-Accord)</t>
  </si>
  <si>
    <t>Total Accords - Non-BiOp</t>
  </si>
  <si>
    <t>Coordination (Local/Regional)</t>
  </si>
  <si>
    <t>Habitat (Restoration/Protection)</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</si>
  <si>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</si>
  <si>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</si>
  <si>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</si>
  <si>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</si>
  <si>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</si>
  <si>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</si>
  <si>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</si>
  <si>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</si>
  <si>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</si>
  <si>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</si>
  <si>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</si>
  <si>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</si>
  <si>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</si>
  <si>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t>2) Program Support/Admin/Other includes spending that cannot be traced back to a contract that has at least one work element requiring location; contracts without any work elements; program level spending not mapped to a specific project or NPCC province; and BPA Overhead.</t>
  </si>
  <si>
    <t>Confederated Tribes of the Warm Springs</t>
  </si>
  <si>
    <t>Totals</t>
  </si>
  <si>
    <t>Tribe: Shoshone-Paiute Tribes</t>
  </si>
  <si>
    <t>Tribe: Burns-Paiute</t>
  </si>
  <si>
    <t>for graph (footnote marks removed)</t>
  </si>
  <si>
    <t>Coordination (BPA Overhead)</t>
  </si>
  <si>
    <t>PACIFIC NW NATIONAL LABORATORY/DEPT. OF ENERGY</t>
  </si>
  <si>
    <t>FORT McDERMITT TRIBE</t>
  </si>
  <si>
    <t>UNIVERSITIES</t>
  </si>
  <si>
    <t>Federal: US Forest Service</t>
  </si>
  <si>
    <t>Other: Utility</t>
  </si>
  <si>
    <t>RM and E</t>
  </si>
  <si>
    <t>Supplementation</t>
  </si>
  <si>
    <t>Forgone Revenue</t>
  </si>
  <si>
    <t>2) Passage projects were moved from Capital to Expense funding starting with FY16 contracts.</t>
  </si>
  <si>
    <r>
      <t>2016</t>
    </r>
    <r>
      <rPr>
        <b/>
        <vertAlign val="superscript"/>
        <sz val="12"/>
        <rFont val="Century Gothic"/>
        <family val="2"/>
      </rPr>
      <t xml:space="preserve"> 3 </t>
    </r>
  </si>
  <si>
    <r>
      <t>2016</t>
    </r>
    <r>
      <rPr>
        <b/>
        <vertAlign val="superscript"/>
        <sz val="12"/>
        <rFont val="Century Gothic"/>
        <family val="2"/>
      </rPr>
      <t xml:space="preserve"> 3</t>
    </r>
  </si>
  <si>
    <t>Steelhead - Upper Columbia River DPS (endangered)</t>
  </si>
  <si>
    <t>1) Direct spending can be tracked back to a work element where the contractor explicitly identified the "Primary Focal Species" benefiting from the work.</t>
  </si>
  <si>
    <t>3) Negative values for Capital Spending are a result of over-accruing costs in the previous year.</t>
  </si>
  <si>
    <r>
      <t>Coordination (BPA Overhead)</t>
    </r>
    <r>
      <rPr>
        <vertAlign val="superscript"/>
        <sz val="12"/>
        <rFont val="Century Gothic"/>
        <family val="2"/>
      </rPr>
      <t xml:space="preserve"> 3</t>
    </r>
  </si>
  <si>
    <r>
      <t>2016</t>
    </r>
    <r>
      <rPr>
        <b/>
        <vertAlign val="superscript"/>
        <sz val="12"/>
        <rFont val="Century Gothic"/>
        <family val="2"/>
      </rPr>
      <t xml:space="preserve"> 4</t>
    </r>
  </si>
  <si>
    <t>3) Program Support/Admin includes spending that cannot be traced back to a contract that has at least one work element requiring location; contracts without any work elements at all; program level spending not mapped to a specific project; and BPA Overhead.</t>
  </si>
  <si>
    <t>2) Starting in FY2013, land acquisition values may include stewardship costs for long-term operations and maintenance (O&amp;M).</t>
  </si>
  <si>
    <r>
      <t>2016</t>
    </r>
    <r>
      <rPr>
        <b/>
        <vertAlign val="superscript"/>
        <sz val="12"/>
        <rFont val="Century Gothic"/>
        <family val="2"/>
      </rPr>
      <t xml:space="preserve"> 2</t>
    </r>
  </si>
  <si>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</si>
  <si>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</si>
  <si>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3/ "Reimbursable/Direct-Funded Projects" includes the portion of costs BPA pays to or on behalf of other entities that is determined to be for fish and wildlife purposes.</t>
  </si>
  <si>
    <t xml:space="preserve">4/  "Fixed Expenses" include depreciation, amortization and interest on investments on the Corps of Engineers' projects, and amortization and interest on the investments associated with BPA's direct Fish and Wildlife Program.                         
</t>
  </si>
  <si>
    <t>Total fixed costs</t>
  </si>
  <si>
    <t>Total reimburseable costs</t>
  </si>
  <si>
    <t>◄</t>
  </si>
  <si>
    <t>Capital investments</t>
  </si>
  <si>
    <t>Federal credits from U.S. Treasury 4(h)(10)(C)</t>
  </si>
  <si>
    <t>1) Estimated spending is based at the project level.  Therefore if a project is labeled Artificial Production, but also supports Habitat, the expenditures are counted as Artificial Production.</t>
  </si>
  <si>
    <r>
      <t xml:space="preserve">2016 </t>
    </r>
    <r>
      <rPr>
        <b/>
        <vertAlign val="superscript"/>
        <sz val="12"/>
        <rFont val="Century Gothic"/>
        <family val="2"/>
      </rPr>
      <t>2</t>
    </r>
  </si>
  <si>
    <t>Note: Create legend for this chart in InDesign so that the top-to-bottom order matches (Excel reverses it)</t>
  </si>
  <si>
    <t>Power Purchases (row 27)</t>
  </si>
  <si>
    <t>Forgone Revenues (row 26)</t>
  </si>
  <si>
    <t>Reimbursable Expenses (row 17</t>
  </si>
  <si>
    <t>Direct Program (row 9)</t>
  </si>
  <si>
    <t>Fixed Expenses (row 23)</t>
  </si>
  <si>
    <t>Direct Program chart</t>
  </si>
  <si>
    <t>Subtitle (change this to point to current FY)</t>
  </si>
  <si>
    <t>axis titles with</t>
  </si>
  <si>
    <t>current FY data</t>
  </si>
  <si>
    <t>◄ also edit 2nd</t>
  </si>
  <si>
    <t>◄ update FY each year</t>
  </si>
  <si>
    <t>▼ Update these from John/BPA notes each year</t>
  </si>
  <si>
    <t>Non-cumulative (paste current FY values from John/BPA sheet here)</t>
  </si>
  <si>
    <t>(graph uses these formulas)</t>
  </si>
  <si>
    <t>▼ Paste values here</t>
  </si>
  <si>
    <t>▼ Paste notes here (and use in InDesign)</t>
  </si>
  <si>
    <t>▼ Use this in InDesign footnote, total capital expense for current FY</t>
  </si>
  <si>
    <t>◄ 1) Insert current year *before* last column, 2) copy values from last column to inserted column, 3) update FY in last column to point to current FY</t>
  </si>
  <si>
    <t>Table/Figure 12: Cumulative Costs 1978-2018, by Major Spending Area</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</si>
  <si>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</si>
  <si>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G&amp;A</t>
  </si>
  <si>
    <t>CRSO EIS</t>
  </si>
  <si>
    <t>Program Support/Admin/Overhead/Other</t>
  </si>
  <si>
    <t>Kalispel Tribe</t>
  </si>
  <si>
    <t>Kootenai Tribe</t>
  </si>
  <si>
    <t>OREGON DEPARTMENT OF ENVIRONMENTAL QUALITY</t>
  </si>
  <si>
    <t>BPA G&amp;A</t>
  </si>
  <si>
    <t>Federal: Pacific NW National Laboratory</t>
  </si>
  <si>
    <t>G&amp;A + CRSO EIS</t>
  </si>
  <si>
    <t>y</t>
  </si>
  <si>
    <t>match?</t>
  </si>
  <si>
    <t>(For subtitle calculations only:)</t>
  </si>
  <si>
    <t>Total Capital Investments (row 7)</t>
  </si>
  <si>
    <t>Total Credits (row 33)</t>
  </si>
  <si>
    <r>
      <t xml:space="preserve">PROGRAM SUPPORT/ADMIN/ OVERHEAD </t>
    </r>
    <r>
      <rPr>
        <vertAlign val="superscript"/>
        <sz val="11"/>
        <rFont val="Century Gothic"/>
        <family val="2"/>
      </rPr>
      <t>3</t>
    </r>
  </si>
  <si>
    <t>Snake Upper Closed Basin</t>
  </si>
  <si>
    <t>Upper Snake</t>
  </si>
  <si>
    <t>Snake Upper</t>
  </si>
  <si>
    <t>Snake Headwaters</t>
  </si>
  <si>
    <t>Salmon</t>
  </si>
  <si>
    <t>Mountain Snake</t>
  </si>
  <si>
    <t>Clearwater</t>
  </si>
  <si>
    <t>Kootenai</t>
  </si>
  <si>
    <t>Mountain Columbia</t>
  </si>
  <si>
    <t>Flathead</t>
  </si>
  <si>
    <t>Clark Fork</t>
  </si>
  <si>
    <t>Blackfoot</t>
  </si>
  <si>
    <t>Bitterroot</t>
  </si>
  <si>
    <t>Snake Lower Middle</t>
  </si>
  <si>
    <t>Middle Snake</t>
  </si>
  <si>
    <t>Powder</t>
  </si>
  <si>
    <t>Payette</t>
  </si>
  <si>
    <t>Owyhee</t>
  </si>
  <si>
    <t>Malheur</t>
  </si>
  <si>
    <t>Bruneau</t>
  </si>
  <si>
    <t>Boise</t>
  </si>
  <si>
    <t>Willamette</t>
  </si>
  <si>
    <t>Lower Columbia</t>
  </si>
  <si>
    <t>Washougal</t>
  </si>
  <si>
    <t>Sandy</t>
  </si>
  <si>
    <t>Lewis</t>
  </si>
  <si>
    <t>Kalama</t>
  </si>
  <si>
    <t>Columbia Lower</t>
  </si>
  <si>
    <t>Spokane</t>
  </si>
  <si>
    <t>Intermountain</t>
  </si>
  <si>
    <t>Sanpoil</t>
  </si>
  <si>
    <t>Pend Oreille</t>
  </si>
  <si>
    <t>Columbia Upper</t>
  </si>
  <si>
    <t>Coeur D'Alene</t>
  </si>
  <si>
    <t>Grays</t>
  </si>
  <si>
    <t>Columbia River Estuary</t>
  </si>
  <si>
    <t>Elochoman</t>
  </si>
  <si>
    <t>Cowlitz</t>
  </si>
  <si>
    <t>Columbia Estuary</t>
  </si>
  <si>
    <t>Yakima</t>
  </si>
  <si>
    <t>Columbia Plateau</t>
  </si>
  <si>
    <t>Walla Walla</t>
  </si>
  <si>
    <t>Umatilla</t>
  </si>
  <si>
    <t>Tucannon</t>
  </si>
  <si>
    <t>Snake Lower</t>
  </si>
  <si>
    <t>Palouse</t>
  </si>
  <si>
    <t>John Day</t>
  </si>
  <si>
    <t>Deschutes</t>
  </si>
  <si>
    <t>Crab</t>
  </si>
  <si>
    <t>Columbia Lower Middle</t>
  </si>
  <si>
    <t>Wind</t>
  </si>
  <si>
    <t>Columbia Gorge</t>
  </si>
  <si>
    <t>Little White Salmon</t>
  </si>
  <si>
    <t>Klickitat</t>
  </si>
  <si>
    <t>Hood</t>
  </si>
  <si>
    <t>Fifteenmile</t>
  </si>
  <si>
    <t>Big White Salmon</t>
  </si>
  <si>
    <t>Wenatchee</t>
  </si>
  <si>
    <t>Columbia Cascade</t>
  </si>
  <si>
    <t>Okanogan</t>
  </si>
  <si>
    <t>Methow</t>
  </si>
  <si>
    <t>Lake Chelan</t>
  </si>
  <si>
    <t>Entiat</t>
  </si>
  <si>
    <t>Columbia Upper Middle</t>
  </si>
  <si>
    <t>Snake Hells Canyon</t>
  </si>
  <si>
    <t>Blue Mountain</t>
  </si>
  <si>
    <t>Imnaha</t>
  </si>
  <si>
    <t>Grande Ronde</t>
  </si>
  <si>
    <t>Asotin</t>
  </si>
  <si>
    <t>2) Program Support includes includes contracts that contain only administrative work elements or program level spending that could not be mapped to a specific project.</t>
  </si>
  <si>
    <t>4) In prior years,  a portion of BPA agency G&amp;A was allocated to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</si>
  <si>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3) Starting in Fiscal Year 2015 (and revised for FY2014), Costs by Category will now separate Coordination costs between Regional/Local Coordination and BPA Overhead (project 2003-048-00 only).</t>
  </si>
  <si>
    <t>1) Estimated spending is based at the project level.  Therefore if a project is assigned an purpose of Habitat, but also does Harvest, all expenditures for the project are included under Habitat.</t>
  </si>
  <si>
    <t>3) Program Support/Admin includes spending that cannot be traced back to a contract that has at least one work element requiring location; contracts without any work elements at all; program level spending not mapped to a specific project.</t>
  </si>
  <si>
    <t>4) FY18 revised as of January, 2020.</t>
  </si>
  <si>
    <t>3) FY2018 revised as of January, 2020.</t>
  </si>
  <si>
    <t>CHIEF JOSEPH HATCHERY PUD COST SHARE</t>
  </si>
  <si>
    <t>LAND ACQUISITIONS2</t>
  </si>
  <si>
    <t>As of FY 2019 report (Feb 2020), this chart is no longer included</t>
  </si>
  <si>
    <t>Source: "1978-20xx Total Cost of BPA Fish &amp; Wildlife Actions" sheet usually provided by BPA</t>
  </si>
  <si>
    <t>◄ BPA row 26</t>
  </si>
  <si>
    <t>◄ BPA row 20</t>
  </si>
  <si>
    <t>◄ BPA rows 21+22</t>
  </si>
  <si>
    <t>◄ BPA row 27</t>
  </si>
  <si>
    <t>◄ BPA row 14</t>
  </si>
  <si>
    <t>◄ BPA row 13</t>
  </si>
  <si>
    <t>◄ BPA row 15</t>
  </si>
  <si>
    <t>◄ BPA row 16</t>
  </si>
  <si>
    <t>◄ BPA row 9</t>
  </si>
  <si>
    <t>◄ BPA row 31</t>
  </si>
  <si>
    <t>Add'l chart labels:</t>
  </si>
  <si>
    <t>All graphs and tables are in support of the FY2019 Columbia River Basin F&amp;W Program Costs Report</t>
  </si>
  <si>
    <t>Formatted for chart:</t>
  </si>
  <si>
    <t>Fund</t>
  </si>
  <si>
    <r>
      <t>2016</t>
    </r>
    <r>
      <rPr>
        <b/>
        <vertAlign val="superscript"/>
        <sz val="12"/>
        <rFont val="Century Gothic"/>
        <family val="2"/>
      </rPr>
      <t xml:space="preserve"> 2, 3</t>
    </r>
  </si>
  <si>
    <t>3) FY2019 revised as of December 21, 2020</t>
  </si>
  <si>
    <t>4) Oregon Chub has been delisted (not shown on chart).</t>
  </si>
  <si>
    <t>Figure 4: Costs Associated with ESA-Listed Fish, 2020</t>
  </si>
  <si>
    <t>4) BPA overhead includes all BPA costs for staff, travel/training, NEPA, Cultural Resources, as well as Technical Service contracts.</t>
  </si>
  <si>
    <t>1) BiOp tracking at fund level began in 2009; Accords began in 2008.</t>
  </si>
  <si>
    <t>2) Spending is estimated based on the % of funding towards a project.  For example, if a project budget is 70% BiOp and 30% General, the project expenditures will be prorated 70% towards BiOp and 30% General.</t>
  </si>
  <si>
    <t>Subbasin</t>
  </si>
  <si>
    <t>See note to update chart</t>
  </si>
  <si>
    <t>Steps to update chart (see note)</t>
  </si>
  <si>
    <t>1) Values above include accruals.</t>
  </si>
  <si>
    <t>2) Starting in FY13, land acquisition values may include stewardship costs for long-term operations and maintenance (O&amp;M).</t>
  </si>
  <si>
    <t>(Paste from BPA sheet to table below)</t>
  </si>
  <si>
    <t>DEPARTMENT OF THE INTERIOR</t>
  </si>
  <si>
    <t>Figure 1: Costs by Major Area, FY2020</t>
  </si>
  <si>
    <t>This information has been made publicly available by BPA in January 2021. The figures shown are consistent with audited actuals that contain Agency approved financial information, except for forgone revenues and power purchases which are estimates and do not contain Agency approved financial information</t>
  </si>
  <si>
    <t>◄ BPA row 7</t>
  </si>
  <si>
    <t>COST ELEMENT</t>
  </si>
  <si>
    <t xml:space="preserve"> 1978-1980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</si>
  <si>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</si>
  <si>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</si>
  <si>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</si>
  <si>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</si>
  <si>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</si>
  <si>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</si>
  <si>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</si>
  <si>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</si>
  <si>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</si>
  <si>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</si>
  <si>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</si>
  <si>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t xml:space="preserve">         BPA  FISH AND WILDLIFE  </t>
  </si>
  <si>
    <t xml:space="preserve">         BPA  SOFTWARE DEVELOPMENT COSTS </t>
  </si>
  <si>
    <t xml:space="preserve">         ASSOCIATED PROJECTS (FEDERAL HYDRO) </t>
  </si>
  <si>
    <t xml:space="preserve">     TOTAL  CAPITAL  INVESTMENTS</t>
  </si>
  <si>
    <t>PROGRAM EXPENSES</t>
  </si>
  <si>
    <t xml:space="preserve">BPA  DIRECT FISH AND WILDLIFE PROGRAM  </t>
  </si>
  <si>
    <t>FISH &amp; WILDLIFE SOFTWARE EXPENSE COSTS</t>
  </si>
  <si>
    <t xml:space="preserve">        O &amp; M CORPS OF ENGINEERS</t>
  </si>
  <si>
    <t xml:space="preserve">        O &amp; M BUREAU OF RECLAMATION</t>
  </si>
  <si>
    <t xml:space="preserve">        NW POWER AND CONSERVATION COUNCIL ALLOCATED @ 50%</t>
  </si>
  <si>
    <t>SUBTOTAL (REIMB/DIRECT-FUNDED)</t>
  </si>
  <si>
    <t xml:space="preserve">      TOTAL OPERATING EXPENSES</t>
  </si>
  <si>
    <t xml:space="preserve">         INTEREST EXPENSE  </t>
  </si>
  <si>
    <t xml:space="preserve">        AMORTIZATION EXPENSE  </t>
  </si>
  <si>
    <t xml:space="preserve">        DEPRECIATION EXPENSE  </t>
  </si>
  <si>
    <t xml:space="preserve">    TOTAL FIXED EXPENSES</t>
  </si>
  <si>
    <t xml:space="preserve"> GRAND TOTAL PROGRAM  EXPENSES</t>
  </si>
  <si>
    <t xml:space="preserve">FORGONE REVENUES AND POWER PURCHASES </t>
  </si>
  <si>
    <t xml:space="preserve">FOREGONE REVENUES </t>
  </si>
  <si>
    <t xml:space="preserve">BPA POWER PURCH. FOR FISH ENHANCEMENT  </t>
  </si>
  <si>
    <t>TOTAL FOREGONE REVENUES AND POWER PURCHASES</t>
  </si>
  <si>
    <t>TOTAL PROGRAM EXPENSES, FOREGONE REVENUES, &amp; POWER PURCHASES</t>
  </si>
  <si>
    <t>CREDITS</t>
  </si>
  <si>
    <t>4(h)(10)(C)</t>
  </si>
  <si>
    <t>FISH COST CONTINGENCY FUND</t>
  </si>
  <si>
    <t>TOTAL CREDITS</t>
  </si>
  <si>
    <t>This information has been made publicly available by BPA on 3/25/2008.  The figures shown are consistent with audited actuals that contain Agency approved financial information, except for forgone revenues and power purchases which are estimates and do not contain Agency approved financial information</t>
  </si>
  <si>
    <r>
      <t xml:space="preserve">CAPITAL  INVESTMENTS </t>
    </r>
    <r>
      <rPr>
        <b/>
        <u/>
        <vertAlign val="superscript"/>
        <sz val="10"/>
        <rFont val="Arial"/>
        <family val="2"/>
      </rPr>
      <t xml:space="preserve"> 1/</t>
    </r>
  </si>
  <si>
    <r>
      <t xml:space="preserve">SUPPLEMENTAL MITIGATION PROGRAM EXPENSES </t>
    </r>
    <r>
      <rPr>
        <b/>
        <vertAlign val="superscript"/>
        <sz val="10"/>
        <rFont val="Arial"/>
        <family val="2"/>
      </rPr>
      <t>2/</t>
    </r>
  </si>
  <si>
    <r>
      <t xml:space="preserve">REIMBURSABLE/DIRECT-FUNDED PROJECTS </t>
    </r>
    <r>
      <rPr>
        <b/>
        <vertAlign val="superscript"/>
        <sz val="10"/>
        <rFont val="Arial"/>
        <family val="2"/>
      </rPr>
      <t>3/</t>
    </r>
  </si>
  <si>
    <r>
      <t xml:space="preserve">PROGRAM RELATED FIXED EXPENSES   </t>
    </r>
    <r>
      <rPr>
        <b/>
        <vertAlign val="superscript"/>
        <sz val="10"/>
        <rFont val="Arial"/>
        <family val="2"/>
      </rPr>
      <t>4/</t>
    </r>
  </si>
  <si>
    <t xml:space="preserve">        O &amp; M LOWER SNAKE RIVER HATCHERIES</t>
  </si>
  <si>
    <r>
      <t xml:space="preserve"> </t>
    </r>
    <r>
      <rPr>
        <b/>
        <sz val="14"/>
        <rFont val="Arial"/>
        <family val="2"/>
      </rPr>
      <t>Total Cost of BPA Fish &amp; Wildlife Actions</t>
    </r>
  </si>
  <si>
    <t>See "BPA Cost Table" sheet for data</t>
  </si>
  <si>
    <t>3) Expenditures are reported for the project proponent under which the acquisition was funded (may/may not be the land manager).</t>
  </si>
  <si>
    <t>Lower Columbia Estuary Partnership (LCEP)</t>
  </si>
  <si>
    <t>3) See Figure 2, note 4</t>
  </si>
  <si>
    <t>4) See Figure 2, note 4</t>
  </si>
  <si>
    <t>5) See Figure 2, note 4</t>
  </si>
  <si>
    <t xml:space="preserve">4) See Figure 2, note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</si>
</sst>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_(&quot;$&quot;* #,##0_);_(&quot;$&quot;* \(#,##0\);_(&quot;$&quot;* &quot;-&quot;??_);_(@_)"/>
    <numFmt numFmtId="168" formatCode="&quot;$&quot;#,,\ &quot;million&quot;"/>
    <numFmt numFmtId="169" formatCode="&quot;$&quot;#,##0.0"/>
    <numFmt numFmtId="170" formatCode="&quot;$&quot;#.0,,\ &quot;million&quot;"/>
    <numFmt numFmtId="171" formatCode="_(* #,##0.0_);_(* \(#,##0.0\);_(* &quot;-&quot;??_);_(@_)"/>
    <numFmt numFmtId="172" formatCode="0.0_);\(0.0\)"/>
    <numFmt numFmtId="173" formatCode="0.000"/>
    <numFmt numFmtId="174" formatCode="_(* #,##0_);_(* \(#,##0\);_(* &quot;-&quot;??_);_(@_)"/>
    <numFmt numFmtId="175" formatCode="0_);\(0\)"/>
    <numFmt numFmtId="176" formatCode="0.0"/>
    <numFmt numFmtId="177" formatCode="_(* #,##0.0_);_(* \(#,##0.0\);_(* &quot;-&quot;?_);_(@_)"/>
  </numFmts>
  <fonts count="68">
    <font>
      <sz val="10"/>
      <name val="Helv"/>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b/>
      <sz val="12"/>
      <color rgb="FFFF0000"/>
      <name val="Century Gothic"/>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1"/>
      <name val="Century Gothic"/>
      <family val="2"/>
    </font>
    <font>
      <sz val="10"/>
      <name val="Arial"/>
      <family val="2"/>
    </font>
    <font>
      <sz val="10"/>
      <name val="Century Gothic"/>
      <family val="2"/>
    </font>
    <font>
      <b/>
      <sz val="10"/>
      <name val="Century Gothic"/>
      <family val="2"/>
    </font>
    <font>
      <b/>
      <sz val="11"/>
      <color theme="0"/>
      <name val="Century Gothic"/>
      <family val="2"/>
    </font>
    <font>
      <sz val="11"/>
      <color theme="1"/>
      <name val="Arial"/>
      <family val="2"/>
    </font>
    <font>
      <sz val="10"/>
      <name val="Arial"/>
      <family val="2"/>
    </font>
    <font>
      <b/>
      <sz val="10"/>
      <color rgb="FFC00000"/>
      <name val="Century Gothic"/>
      <family val="2"/>
    </font>
    <font>
      <sz val="11"/>
      <color rgb="FFC00000"/>
      <name val="Calibri"/>
      <family val="2"/>
      <scheme val="minor"/>
    </font>
    <font>
      <b/>
      <sz val="11"/>
      <color rgb="FFC00000"/>
      <name val="Century Gothic"/>
      <family val="2"/>
    </font>
    <font>
      <b/>
      <sz val="11"/>
      <color rgb="FFC00000"/>
      <name val="Calibri"/>
      <family val="2"/>
      <scheme val="minor"/>
    </font>
    <font>
      <b/>
      <sz val="11"/>
      <color rgb="FFFF0000"/>
      <name val="Calibri"/>
      <family val="2"/>
      <scheme val="minor"/>
    </font>
    <font>
      <b/>
      <sz val="12"/>
      <color rgb="FFFF0000"/>
      <name val="Calibri"/>
      <family val="2"/>
      <scheme val="minor"/>
    </font>
    <font>
      <b/>
      <sz val="11"/>
      <color rgb="FFFF0000"/>
      <name val="Century Gothic"/>
      <family val="2"/>
    </font>
    <font>
      <b/>
      <sz val="11"/>
      <color theme="1"/>
      <name val="Calibri"/>
      <family val="2"/>
      <scheme val="minor"/>
    </font>
    <font>
      <sz val="10"/>
      <color rgb="FFFF0000"/>
      <name val="Arial"/>
      <family val="2"/>
    </font>
    <font>
      <b/>
      <sz val="10"/>
      <color rgb="FFFF0000"/>
      <name val="Arial"/>
      <family val="2"/>
    </font>
    <font>
      <sz val="9"/>
      <color indexed="81"/>
      <name val="Tahoma"/>
      <charset val="1"/>
    </font>
    <font>
      <b/>
      <sz val="9"/>
      <color indexed="81"/>
      <name val="Tahoma"/>
      <charset val="1"/>
    </font>
    <font>
      <b/>
      <sz val="20"/>
      <name val="Helv"/>
    </font>
    <font>
      <sz val="12"/>
      <name val="Comic Sans MS"/>
      <family val="4"/>
    </font>
    <font>
      <sz val="12"/>
      <name val="Arial"/>
      <family val="2"/>
    </font>
    <font>
      <b/>
      <sz val="14"/>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b/>
      <sz val="10"/>
      <name val="Comic Sans MS"/>
      <family val="4"/>
    </font>
    <font>
      <b/>
      <u/>
      <sz val="10"/>
      <name val="Arial"/>
      <family val="2"/>
    </font>
    <font>
      <b/>
      <u/>
      <vertAlign val="superscript"/>
      <sz val="10"/>
      <name val="Arial"/>
      <family val="2"/>
    </font>
    <font>
      <sz val="10"/>
      <name val="Comic Sans MS"/>
      <family val="4"/>
    </font>
    <font>
      <sz val="10"/>
      <color theme="1" tint="4.9989318521683403E-2"/>
      <name val="Arial"/>
      <family val="2"/>
    </font>
    <font>
      <sz val="10"/>
      <color indexed="12"/>
      <name val="Arial"/>
      <family val="2"/>
    </font>
    <font>
      <b/>
      <sz val="10"/>
      <color theme="1" tint="4.9989318521683403E-2"/>
      <name val="Arial"/>
      <family val="2"/>
    </font>
    <font>
      <b/>
      <vertAlign val="superscript"/>
      <sz val="10"/>
      <name val="Arial"/>
      <family val="2"/>
    </font>
    <font>
      <b/>
      <sz val="10"/>
      <color indexed="12"/>
      <name val="Arial"/>
      <family val="2"/>
    </font>
    <font>
      <sz val="10"/>
      <color indexed="10"/>
      <name val="Arial"/>
      <family val="2"/>
    </font>
    <font>
      <b/>
      <sz val="14"/>
      <color indexed="10"/>
      <name val="Arial"/>
      <family val="2"/>
    </font>
    <font>
      <b/>
      <sz val="14"/>
      <name val="Helv"/>
    </font>
  </fonts>
  <fills count="16">
    <fill>
      <patternFill patternType="none"/>
    </fill>
    <fill>
      <patternFill patternType="gray125"/>
    </fill>
    <fill>
      <patternFill patternType="solid">
        <fgColor rgb="FFFFFFCC"/>
      </patternFill>
    </fill>
    <fill>
      <patternFill patternType="solid">
        <fgColor theme="6" tint="0.39997558519241921"/>
        <bgColor indexed="64"/>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tint="-0.14999847407452621"/>
        <bgColor indexed="64"/>
      </patternFill>
    </fill>
    <fill>
      <patternFill patternType="solid">
        <fgColor rgb="FFC3D69B"/>
        <bgColor indexed="64"/>
      </patternFill>
    </fill>
    <fill>
      <patternFill patternType="solid">
        <fgColor indexed="45"/>
        <bgColor indexed="64"/>
      </patternFill>
    </fill>
    <fill>
      <patternFill patternType="solid">
        <fgColor indexed="44"/>
        <bgColor indexed="64"/>
      </patternFill>
    </fill>
    <fill>
      <patternFill patternType="solid">
        <fgColor theme="3"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20">
    <xf numFmtId="0" fontId="0" fillId="0" borderId="0"/>
    <xf numFmtId="9" fontId="1" fillId="0" borderId="0" applyFont="0" applyFill="0" applyBorder="0" applyAlignment="0" applyProtection="0"/>
    <xf numFmtId="0" fontId="2" fillId="0" borderId="0"/>
    <xf numFmtId="0" fontId="5" fillId="0" borderId="0"/>
    <xf numFmtId="0" fontId="2" fillId="0" borderId="0"/>
    <xf numFmtId="44" fontId="2" fillId="0" borderId="0" applyFont="0" applyFill="0" applyBorder="0" applyAlignment="0" applyProtection="0"/>
    <xf numFmtId="0" fontId="8" fillId="0" borderId="0"/>
    <xf numFmtId="0" fontId="11" fillId="0" borderId="0"/>
    <xf numFmtId="0" fontId="12" fillId="0" borderId="0"/>
    <xf numFmtId="0" fontId="12" fillId="2" borderId="4" applyNumberFormat="0" applyFont="0" applyAlignment="0" applyProtection="0"/>
    <xf numFmtId="0" fontId="8" fillId="0" borderId="0"/>
    <xf numFmtId="44" fontId="8"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30" fillId="0" borderId="0"/>
    <xf numFmtId="0" fontId="35" fillId="0" borderId="0"/>
    <xf numFmtId="0" fontId="2" fillId="0" borderId="0"/>
  </cellStyleXfs>
  <cellXfs count="392">
    <xf numFmtId="0" fontId="0" fillId="0" borderId="0" xfId="0"/>
    <xf numFmtId="0" fontId="3" fillId="0" borderId="0" xfId="2" applyFont="1" applyFill="1"/>
    <xf numFmtId="0" fontId="3" fillId="0" borderId="0" xfId="2" applyFont="1" applyFill="1" applyAlignment="1">
      <alignment horizontal="left"/>
    </xf>
    <xf numFmtId="0" fontId="4" fillId="0" borderId="0" xfId="2" applyFont="1" applyFill="1" applyBorder="1"/>
    <xf numFmtId="0" fontId="4" fillId="0" borderId="0" xfId="2" applyFont="1" applyFill="1" applyBorder="1" applyAlignment="1">
      <alignment horizontal="left"/>
    </xf>
    <xf numFmtId="0" fontId="7" fillId="0" borderId="1" xfId="4" applyFont="1" applyFill="1" applyBorder="1" applyAlignment="1">
      <alignment horizontal="left" wrapText="1"/>
    </xf>
    <xf numFmtId="164" fontId="8" fillId="0" borderId="0" xfId="5" applyNumberFormat="1" applyFont="1" applyBorder="1"/>
    <xf numFmtId="164" fontId="4" fillId="0" borderId="0" xfId="2" applyNumberFormat="1" applyFont="1" applyFill="1" applyBorder="1"/>
    <xf numFmtId="0" fontId="4" fillId="0" borderId="0" xfId="4" applyFont="1" applyFill="1" applyBorder="1" applyAlignment="1">
      <alignment horizontal="right" wrapText="1"/>
    </xf>
    <xf numFmtId="0" fontId="9" fillId="0" borderId="0" xfId="4" applyFont="1" applyFill="1" applyBorder="1" applyAlignment="1">
      <alignment horizontal="left"/>
    </xf>
    <xf numFmtId="0" fontId="4" fillId="0" borderId="0" xfId="4" applyFont="1" applyFill="1" applyBorder="1" applyAlignment="1">
      <alignment horizontal="left" wrapText="1" indent="1"/>
    </xf>
    <xf numFmtId="0" fontId="8" fillId="0" borderId="0" xfId="4" applyFont="1" applyFill="1" applyBorder="1" applyAlignment="1">
      <alignment horizontal="center" wrapText="1"/>
    </xf>
    <xf numFmtId="0" fontId="8" fillId="0" borderId="0" xfId="2" applyFont="1" applyFill="1" applyBorder="1" applyAlignment="1" applyProtection="1">
      <alignment horizontal="center"/>
      <protection locked="0"/>
    </xf>
    <xf numFmtId="0" fontId="8" fillId="0" borderId="0" xfId="6"/>
    <xf numFmtId="0" fontId="4" fillId="0" borderId="0" xfId="6" applyFont="1" applyBorder="1"/>
    <xf numFmtId="0" fontId="7" fillId="0" borderId="0" xfId="6" applyFont="1" applyBorder="1"/>
    <xf numFmtId="0" fontId="6" fillId="0" borderId="0" xfId="6" applyFont="1"/>
    <xf numFmtId="164" fontId="7" fillId="0" borderId="3" xfId="6" applyNumberFormat="1" applyFont="1" applyBorder="1"/>
    <xf numFmtId="164" fontId="7" fillId="0" borderId="2" xfId="6" applyNumberFormat="1" applyFont="1" applyBorder="1"/>
    <xf numFmtId="0" fontId="7" fillId="0" borderId="1" xfId="6" applyFont="1" applyBorder="1"/>
    <xf numFmtId="0" fontId="7" fillId="0" borderId="0" xfId="6" applyFont="1" applyBorder="1" applyAlignment="1">
      <alignment vertical="top"/>
    </xf>
    <xf numFmtId="0" fontId="13" fillId="0" borderId="0" xfId="8" applyFont="1"/>
    <xf numFmtId="0" fontId="14" fillId="0" borderId="0" xfId="8" applyFont="1" applyAlignment="1">
      <alignment horizontal="center"/>
    </xf>
    <xf numFmtId="0" fontId="15" fillId="0" borderId="0" xfId="8" applyFont="1" applyAlignment="1">
      <alignment horizontal="center"/>
    </xf>
    <xf numFmtId="0" fontId="13" fillId="0" borderId="0" xfId="8" applyFont="1" applyAlignment="1">
      <alignment horizontal="center"/>
    </xf>
    <xf numFmtId="0" fontId="14" fillId="0" borderId="0" xfId="8" applyFont="1"/>
    <xf numFmtId="6" fontId="14" fillId="0" borderId="0" xfId="8" applyNumberFormat="1" applyFont="1" applyAlignment="1"/>
    <xf numFmtId="0" fontId="13" fillId="0" borderId="0" xfId="8" applyFont="1" applyAlignment="1">
      <alignment wrapText="1"/>
    </xf>
    <xf numFmtId="0" fontId="18" fillId="0" borderId="0" xfId="10" applyFont="1" applyFill="1" applyBorder="1"/>
    <xf numFmtId="164" fontId="18" fillId="0" borderId="0" xfId="10" applyNumberFormat="1" applyFont="1" applyFill="1" applyBorder="1" applyAlignment="1">
      <alignment horizontal="center"/>
    </xf>
    <xf numFmtId="0" fontId="18" fillId="0" borderId="0" xfId="10" applyFont="1" applyFill="1" applyBorder="1" applyAlignment="1">
      <alignment horizontal="center"/>
    </xf>
    <xf numFmtId="0" fontId="18" fillId="0" borderId="0" xfId="3" applyFont="1" applyFill="1" applyBorder="1" applyAlignment="1">
      <alignment horizontal="left"/>
    </xf>
    <xf numFmtId="0" fontId="18" fillId="0" borderId="0" xfId="3" applyFont="1" applyFill="1" applyBorder="1"/>
    <xf numFmtId="164" fontId="18" fillId="0" borderId="0" xfId="10" applyNumberFormat="1" applyFont="1" applyFill="1" applyBorder="1"/>
    <xf numFmtId="0" fontId="19" fillId="0" borderId="0" xfId="3" applyFont="1" applyFill="1" applyBorder="1"/>
    <xf numFmtId="0" fontId="19" fillId="0" borderId="1" xfId="3" applyFont="1" applyFill="1" applyBorder="1" applyAlignment="1">
      <alignment horizontal="left"/>
    </xf>
    <xf numFmtId="0" fontId="19" fillId="3" borderId="0" xfId="3" applyFont="1" applyFill="1" applyBorder="1"/>
    <xf numFmtId="164" fontId="20" fillId="0" borderId="0" xfId="10" applyNumberFormat="1" applyFont="1" applyFill="1" applyBorder="1" applyAlignment="1">
      <alignment horizontal="center"/>
    </xf>
    <xf numFmtId="0" fontId="19" fillId="0" borderId="0" xfId="3" applyFont="1" applyFill="1" applyBorder="1" applyAlignment="1">
      <alignment vertical="top"/>
    </xf>
    <xf numFmtId="165" fontId="18" fillId="0" borderId="0" xfId="1" applyNumberFormat="1" applyFont="1" applyFill="1" applyBorder="1" applyAlignment="1">
      <alignment horizontal="center"/>
    </xf>
    <xf numFmtId="0" fontId="2" fillId="0" borderId="0" xfId="2"/>
    <xf numFmtId="164" fontId="4" fillId="0" borderId="0" xfId="11" applyNumberFormat="1" applyFont="1" applyBorder="1"/>
    <xf numFmtId="164" fontId="4" fillId="0" borderId="0" xfId="0" applyNumberFormat="1" applyFont="1" applyBorder="1"/>
    <xf numFmtId="164" fontId="7" fillId="0" borderId="2" xfId="0" applyNumberFormat="1" applyFont="1" applyFill="1" applyBorder="1"/>
    <xf numFmtId="0" fontId="4" fillId="0" borderId="0" xfId="0" applyFont="1" applyFill="1" applyBorder="1" applyAlignment="1">
      <alignment horizontal="left"/>
    </xf>
    <xf numFmtId="0" fontId="4" fillId="0" borderId="0" xfId="0" applyFont="1" applyFill="1" applyBorder="1"/>
    <xf numFmtId="0" fontId="3" fillId="0" borderId="0" xfId="0" applyFont="1" applyFill="1"/>
    <xf numFmtId="0" fontId="4" fillId="0" borderId="0" xfId="2" applyFont="1" applyFill="1"/>
    <xf numFmtId="0" fontId="7" fillId="0" borderId="0" xfId="2" applyFont="1" applyFill="1" applyAlignment="1">
      <alignment horizontal="right"/>
    </xf>
    <xf numFmtId="164" fontId="4" fillId="0" borderId="0" xfId="2" applyNumberFormat="1" applyFont="1" applyFill="1"/>
    <xf numFmtId="0" fontId="4" fillId="0" borderId="0" xfId="0" applyFont="1" applyBorder="1"/>
    <xf numFmtId="164" fontId="7" fillId="0" borderId="0" xfId="6" applyNumberFormat="1" applyFont="1" applyBorder="1"/>
    <xf numFmtId="0" fontId="4" fillId="0" borderId="0" xfId="2" applyFont="1"/>
    <xf numFmtId="0" fontId="4" fillId="0" borderId="0" xfId="2" applyFont="1" applyBorder="1"/>
    <xf numFmtId="0" fontId="7" fillId="0" borderId="0" xfId="2" applyFont="1" applyBorder="1"/>
    <xf numFmtId="167" fontId="7" fillId="0" borderId="2" xfId="5" applyNumberFormat="1" applyFont="1" applyFill="1" applyBorder="1"/>
    <xf numFmtId="0" fontId="7" fillId="0" borderId="1" xfId="2" applyFont="1" applyFill="1" applyBorder="1"/>
    <xf numFmtId="0" fontId="4" fillId="0" borderId="0" xfId="2" applyFont="1" applyFill="1" applyBorder="1" applyAlignment="1">
      <alignment horizontal="left" indent="1"/>
    </xf>
    <xf numFmtId="0" fontId="23" fillId="0" borderId="0" xfId="2" applyFont="1"/>
    <xf numFmtId="168" fontId="4" fillId="0" borderId="0" xfId="2" applyNumberFormat="1" applyFont="1"/>
    <xf numFmtId="164" fontId="24" fillId="0" borderId="0" xfId="2" applyNumberFormat="1" applyFont="1" applyFill="1"/>
    <xf numFmtId="164" fontId="2" fillId="0" borderId="0" xfId="2" applyNumberFormat="1" applyFont="1" applyFill="1"/>
    <xf numFmtId="169" fontId="3" fillId="0" borderId="0" xfId="2" applyNumberFormat="1" applyFont="1" applyFill="1"/>
    <xf numFmtId="0" fontId="3" fillId="0" borderId="0" xfId="3" applyFont="1" applyFill="1"/>
    <xf numFmtId="0" fontId="4" fillId="0" borderId="0" xfId="3" applyFont="1" applyFill="1"/>
    <xf numFmtId="164" fontId="4" fillId="0" borderId="0" xfId="3" applyNumberFormat="1" applyFont="1" applyFill="1"/>
    <xf numFmtId="0" fontId="26" fillId="0" borderId="0" xfId="3" applyFont="1" applyFill="1"/>
    <xf numFmtId="164" fontId="7" fillId="0" borderId="3" xfId="3" applyNumberFormat="1" applyFont="1" applyFill="1" applyBorder="1"/>
    <xf numFmtId="164" fontId="7" fillId="0" borderId="2" xfId="3" applyNumberFormat="1" applyFont="1" applyFill="1" applyBorder="1"/>
    <xf numFmtId="0" fontId="7" fillId="0" borderId="1" xfId="3" applyFont="1" applyFill="1" applyBorder="1" applyAlignment="1">
      <alignment horizontal="left"/>
    </xf>
    <xf numFmtId="0" fontId="4" fillId="0" borderId="5" xfId="3" applyFont="1" applyFill="1" applyBorder="1"/>
    <xf numFmtId="0" fontId="4" fillId="0" borderId="0" xfId="3" applyFont="1" applyFill="1" applyBorder="1"/>
    <xf numFmtId="0" fontId="3" fillId="0" borderId="0" xfId="3" applyFont="1" applyFill="1" applyAlignment="1">
      <alignment horizontal="center"/>
    </xf>
    <xf numFmtId="0" fontId="4" fillId="0" borderId="0" xfId="2" applyFont="1" applyFill="1" applyAlignment="1">
      <alignment wrapText="1"/>
    </xf>
    <xf numFmtId="0" fontId="4" fillId="0" borderId="0" xfId="2" applyFont="1" applyFill="1" applyAlignment="1">
      <alignment horizontal="left" vertical="top"/>
    </xf>
    <xf numFmtId="0" fontId="4" fillId="0" borderId="0" xfId="3" applyFont="1" applyFill="1" applyAlignment="1">
      <alignment horizontal="left"/>
    </xf>
    <xf numFmtId="0" fontId="12" fillId="0" borderId="0" xfId="8"/>
    <xf numFmtId="0" fontId="27" fillId="0" borderId="0" xfId="8" applyFont="1"/>
    <xf numFmtId="164" fontId="28" fillId="0" borderId="0" xfId="8" applyNumberFormat="1" applyFont="1" applyBorder="1"/>
    <xf numFmtId="0" fontId="28" fillId="0" borderId="0" xfId="8" applyFont="1"/>
    <xf numFmtId="164" fontId="28" fillId="0" borderId="6" xfId="8" applyNumberFormat="1" applyFont="1" applyBorder="1"/>
    <xf numFmtId="0" fontId="28" fillId="0" borderId="0" xfId="8" applyFont="1" applyAlignment="1"/>
    <xf numFmtId="0" fontId="19" fillId="3" borderId="0" xfId="5"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Border="1" applyAlignment="1"/>
    <xf numFmtId="0" fontId="18" fillId="0" borderId="0" xfId="0" applyFont="1" applyFill="1" applyBorder="1"/>
    <xf numFmtId="0" fontId="18" fillId="0" borderId="0" xfId="0" applyFont="1" applyFill="1" applyBorder="1" applyAlignment="1">
      <alignment horizontal="center"/>
    </xf>
    <xf numFmtId="166" fontId="18" fillId="0" borderId="0" xfId="10" applyNumberFormat="1" applyFont="1" applyFill="1" applyBorder="1" applyAlignment="1">
      <alignment horizontal="left"/>
    </xf>
    <xf numFmtId="164" fontId="19" fillId="0" borderId="0" xfId="10" applyNumberFormat="1" applyFont="1" applyFill="1" applyBorder="1" applyAlignment="1">
      <alignment horizontal="left"/>
    </xf>
    <xf numFmtId="170" fontId="18" fillId="0" borderId="0" xfId="10" applyNumberFormat="1" applyFont="1" applyFill="1" applyBorder="1" applyAlignment="1">
      <alignment horizontal="center"/>
    </xf>
    <xf numFmtId="0" fontId="19" fillId="0" borderId="5" xfId="13" applyFont="1" applyBorder="1" applyAlignment="1">
      <alignment wrapText="1"/>
    </xf>
    <xf numFmtId="0" fontId="19" fillId="3" borderId="0" xfId="0" applyFont="1" applyFill="1" applyBorder="1" applyAlignment="1">
      <alignment wrapText="1"/>
    </xf>
    <xf numFmtId="0" fontId="19" fillId="3" borderId="0" xfId="0" applyFont="1" applyFill="1" applyBorder="1" applyAlignment="1">
      <alignment horizontal="center"/>
    </xf>
    <xf numFmtId="0" fontId="18" fillId="0" borderId="0" xfId="0" applyFont="1" applyBorder="1" applyAlignment="1">
      <alignment wrapText="1"/>
    </xf>
    <xf numFmtId="0" fontId="19" fillId="0" borderId="0" xfId="0" applyFont="1" applyFill="1" applyBorder="1" applyAlignment="1">
      <alignment wrapText="1"/>
    </xf>
    <xf numFmtId="0" fontId="27" fillId="0" borderId="0" xfId="8" applyFont="1"/>
    <xf numFmtId="0" fontId="13" fillId="0" borderId="0" xfId="0" applyFont="1" applyAlignment="1">
      <alignment horizontal="left"/>
    </xf>
    <xf numFmtId="0" fontId="4" fillId="0" borderId="0" xfId="0" applyFont="1" applyFill="1" applyAlignment="1">
      <alignment wrapText="1"/>
    </xf>
    <xf numFmtId="0" fontId="18" fillId="0" borderId="0" xfId="2" applyFont="1"/>
    <xf numFmtId="0" fontId="18" fillId="0" borderId="0" xfId="2" applyFont="1" applyAlignment="1">
      <alignment horizontal="center"/>
    </xf>
    <xf numFmtId="0" fontId="19" fillId="0" borderId="0" xfId="2" applyFont="1"/>
    <xf numFmtId="0" fontId="19" fillId="0" borderId="0" xfId="0" applyFont="1" applyFill="1" applyBorder="1"/>
    <xf numFmtId="0" fontId="7" fillId="0" borderId="0" xfId="2" applyFont="1"/>
    <xf numFmtId="0" fontId="31" fillId="0" borderId="0" xfId="2" applyFont="1"/>
    <xf numFmtId="171" fontId="31" fillId="0" borderId="0" xfId="14" applyNumberFormat="1" applyFont="1"/>
    <xf numFmtId="0" fontId="32" fillId="0" borderId="0" xfId="2" applyFont="1"/>
    <xf numFmtId="0" fontId="32" fillId="0" borderId="0" xfId="2" applyFont="1" applyAlignment="1">
      <alignment horizontal="right"/>
    </xf>
    <xf numFmtId="43" fontId="31" fillId="0" borderId="0" xfId="2" applyNumberFormat="1" applyFont="1"/>
    <xf numFmtId="171" fontId="31" fillId="0" borderId="0" xfId="2" applyNumberFormat="1" applyFont="1"/>
    <xf numFmtId="0" fontId="4" fillId="0" borderId="0" xfId="0" applyFont="1" applyBorder="1"/>
    <xf numFmtId="0" fontId="4" fillId="0" borderId="0" xfId="0" applyFont="1" applyFill="1" applyAlignment="1">
      <alignment wrapText="1"/>
    </xf>
    <xf numFmtId="164" fontId="4" fillId="0" borderId="0" xfId="5" applyNumberFormat="1" applyFont="1" applyBorder="1"/>
    <xf numFmtId="164" fontId="4" fillId="0" borderId="0" xfId="5" applyNumberFormat="1" applyFont="1" applyFill="1" applyBorder="1"/>
    <xf numFmtId="164" fontId="4" fillId="0" borderId="0" xfId="0" applyNumberFormat="1" applyFont="1" applyFill="1" applyBorder="1"/>
    <xf numFmtId="164" fontId="4" fillId="0" borderId="0" xfId="0" applyNumberFormat="1" applyFont="1"/>
    <xf numFmtId="164" fontId="4" fillId="0" borderId="0" xfId="0" applyNumberFormat="1" applyFont="1" applyFill="1"/>
    <xf numFmtId="164" fontId="4" fillId="0" borderId="0" xfId="0" quotePrefix="1" applyNumberFormat="1" applyFont="1" applyFill="1" applyAlignment="1">
      <alignment horizontal="center"/>
    </xf>
    <xf numFmtId="0" fontId="18" fillId="0" borderId="0" xfId="2" applyFont="1" applyAlignment="1">
      <alignment horizontal="left"/>
    </xf>
    <xf numFmtId="0" fontId="7" fillId="0" borderId="0" xfId="0" applyFont="1" applyBorder="1" applyAlignment="1">
      <alignment vertical="top"/>
    </xf>
    <xf numFmtId="170" fontId="4" fillId="0" borderId="0" xfId="2" applyNumberFormat="1" applyFont="1"/>
    <xf numFmtId="0" fontId="7" fillId="0" borderId="0" xfId="2" applyFont="1" applyAlignment="1">
      <alignment vertical="top"/>
    </xf>
    <xf numFmtId="164" fontId="28" fillId="0" borderId="0" xfId="0" applyNumberFormat="1" applyFont="1" applyFill="1" applyAlignment="1"/>
    <xf numFmtId="164" fontId="28" fillId="0" borderId="0" xfId="0" applyNumberFormat="1" applyFont="1" applyFill="1"/>
    <xf numFmtId="171" fontId="33" fillId="4" borderId="0" xfId="14" applyNumberFormat="1" applyFont="1" applyFill="1"/>
    <xf numFmtId="173" fontId="18" fillId="0" borderId="0" xfId="0" applyNumberFormat="1" applyFont="1" applyFill="1" applyBorder="1" applyAlignment="1">
      <alignment horizontal="center" wrapText="1"/>
    </xf>
    <xf numFmtId="172" fontId="18" fillId="0" borderId="0" xfId="0" applyNumberFormat="1" applyFont="1" applyBorder="1" applyAlignment="1"/>
    <xf numFmtId="173" fontId="18" fillId="0" borderId="0" xfId="0" applyNumberFormat="1" applyFont="1" applyAlignment="1">
      <alignment horizontal="center"/>
    </xf>
    <xf numFmtId="172" fontId="18" fillId="0" borderId="0" xfId="0" applyNumberFormat="1" applyFont="1" applyFill="1" applyAlignment="1">
      <alignment wrapText="1"/>
    </xf>
    <xf numFmtId="171" fontId="33" fillId="5" borderId="0" xfId="14" applyNumberFormat="1" applyFont="1" applyFill="1"/>
    <xf numFmtId="171" fontId="33" fillId="8" borderId="0" xfId="14" applyNumberFormat="1" applyFont="1" applyFill="1"/>
    <xf numFmtId="171" fontId="33" fillId="9" borderId="0" xfId="14" applyNumberFormat="1" applyFont="1" applyFill="1"/>
    <xf numFmtId="171" fontId="33" fillId="10" borderId="0" xfId="14" applyNumberFormat="1" applyFont="1" applyFill="1"/>
    <xf numFmtId="0" fontId="4" fillId="0" borderId="0" xfId="0" applyFont="1" applyBorder="1"/>
    <xf numFmtId="174" fontId="31" fillId="0" borderId="0" xfId="16" applyNumberFormat="1" applyFont="1"/>
    <xf numFmtId="0" fontId="4" fillId="0" borderId="0" xfId="0" applyFont="1" applyBorder="1"/>
    <xf numFmtId="0" fontId="4" fillId="0" borderId="0" xfId="0" applyFont="1" applyBorder="1"/>
    <xf numFmtId="172" fontId="18" fillId="0" borderId="0" xfId="0" applyNumberFormat="1" applyFont="1" applyBorder="1" applyAlignment="1">
      <alignment wrapText="1"/>
    </xf>
    <xf numFmtId="0" fontId="18" fillId="0" borderId="0" xfId="0" applyFont="1" applyAlignment="1">
      <alignment wrapText="1"/>
    </xf>
    <xf numFmtId="172" fontId="18" fillId="0" borderId="0" xfId="0" applyNumberFormat="1" applyFont="1" applyAlignment="1">
      <alignment wrapText="1"/>
    </xf>
    <xf numFmtId="0" fontId="7" fillId="0" borderId="0" xfId="4" applyFont="1" applyFill="1" applyBorder="1" applyAlignment="1">
      <alignment horizontal="left" vertical="top"/>
    </xf>
    <xf numFmtId="0" fontId="4" fillId="0" borderId="0" xfId="0" applyFont="1" applyFill="1" applyAlignment="1">
      <alignment wrapText="1"/>
    </xf>
    <xf numFmtId="0" fontId="18" fillId="0" borderId="0" xfId="0" applyFont="1" applyFill="1" applyBorder="1"/>
    <xf numFmtId="0" fontId="19" fillId="0" borderId="1" xfId="13" applyFont="1" applyBorder="1" applyAlignment="1">
      <alignment wrapText="1"/>
    </xf>
    <xf numFmtId="0" fontId="18" fillId="0" borderId="0" xfId="0" applyFont="1" applyFill="1" applyBorder="1" applyAlignment="1">
      <alignment wrapText="1"/>
    </xf>
    <xf numFmtId="0" fontId="18" fillId="0" borderId="0" xfId="0" applyFont="1" applyFill="1" applyBorder="1" applyAlignment="1"/>
    <xf numFmtId="0" fontId="36" fillId="0" borderId="0" xfId="2" applyFont="1" applyFill="1"/>
    <xf numFmtId="171" fontId="31" fillId="0" borderId="0" xfId="14" applyNumberFormat="1" applyFont="1" applyFill="1"/>
    <xf numFmtId="171" fontId="18" fillId="0" borderId="0" xfId="14" applyNumberFormat="1" applyFont="1"/>
    <xf numFmtId="0" fontId="37" fillId="0" borderId="0" xfId="8" applyFont="1" applyAlignment="1">
      <alignment horizontal="right"/>
    </xf>
    <xf numFmtId="0" fontId="36" fillId="0" borderId="0" xfId="2" applyFont="1"/>
    <xf numFmtId="0" fontId="18" fillId="0" borderId="0" xfId="0" applyFont="1" applyAlignment="1">
      <alignment vertical="top" wrapText="1"/>
    </xf>
    <xf numFmtId="172" fontId="18" fillId="0" borderId="0" xfId="0" applyNumberFormat="1" applyFont="1" applyAlignment="1">
      <alignment vertical="top"/>
    </xf>
    <xf numFmtId="172" fontId="18" fillId="0" borderId="0" xfId="0" applyNumberFormat="1" applyFont="1" applyAlignment="1"/>
    <xf numFmtId="0" fontId="38" fillId="0" borderId="0" xfId="8" applyFont="1"/>
    <xf numFmtId="0" fontId="39" fillId="0" borderId="0" xfId="8" applyFont="1"/>
    <xf numFmtId="0" fontId="39" fillId="0" borderId="0" xfId="2" applyFont="1"/>
    <xf numFmtId="0" fontId="40" fillId="0" borderId="0" xfId="2" applyFont="1"/>
    <xf numFmtId="164" fontId="41" fillId="0" borderId="0" xfId="5" applyNumberFormat="1" applyFont="1" applyBorder="1"/>
    <xf numFmtId="0" fontId="7" fillId="0" borderId="0" xfId="2" applyFont="1" applyFill="1" applyBorder="1" applyAlignment="1">
      <alignment horizontal="left"/>
    </xf>
    <xf numFmtId="0" fontId="42" fillId="0" borderId="0" xfId="2" applyFont="1" applyFill="1" applyBorder="1" applyAlignment="1">
      <alignment horizontal="left"/>
    </xf>
    <xf numFmtId="0" fontId="3" fillId="0" borderId="0" xfId="2" applyFont="1" applyFill="1" applyAlignment="1"/>
    <xf numFmtId="0" fontId="4" fillId="0" borderId="0" xfId="0" applyFont="1" applyBorder="1" applyAlignment="1"/>
    <xf numFmtId="0" fontId="0" fillId="0" borderId="0" xfId="0" applyAlignment="1"/>
    <xf numFmtId="0" fontId="7" fillId="0" borderId="0" xfId="2" applyFont="1" applyFill="1"/>
    <xf numFmtId="164" fontId="42" fillId="0" borderId="0" xfId="5" applyNumberFormat="1" applyFont="1" applyBorder="1"/>
    <xf numFmtId="164" fontId="19" fillId="0" borderId="0" xfId="5" applyNumberFormat="1" applyFont="1" applyBorder="1" applyAlignment="1">
      <alignment horizontal="left"/>
    </xf>
    <xf numFmtId="164" fontId="4" fillId="0" borderId="0" xfId="3" applyNumberFormat="1" applyFont="1" applyFill="1" applyBorder="1"/>
    <xf numFmtId="170" fontId="4" fillId="0" borderId="0" xfId="2" applyNumberFormat="1" applyFont="1" applyBorder="1"/>
    <xf numFmtId="164" fontId="19" fillId="0" borderId="2" xfId="0" applyNumberFormat="1" applyFont="1" applyFill="1" applyBorder="1" applyAlignment="1"/>
    <xf numFmtId="0" fontId="18" fillId="0" borderId="0" xfId="3" applyFont="1" applyFill="1" applyBorder="1" applyAlignment="1">
      <alignment vertical="top"/>
    </xf>
    <xf numFmtId="0" fontId="18" fillId="0" borderId="0" xfId="3" applyFont="1" applyFill="1" applyBorder="1" applyAlignment="1">
      <alignment vertical="center"/>
    </xf>
    <xf numFmtId="0" fontId="19" fillId="0" borderId="8" xfId="13" applyFont="1" applyBorder="1" applyAlignment="1">
      <alignment wrapText="1"/>
    </xf>
    <xf numFmtId="0" fontId="31" fillId="0" borderId="0" xfId="2" quotePrefix="1" applyFont="1"/>
    <xf numFmtId="0" fontId="18" fillId="0" borderId="0" xfId="3" applyFont="1" applyFill="1" applyBorder="1" applyAlignment="1">
      <alignment horizontal="center"/>
    </xf>
    <xf numFmtId="6" fontId="18" fillId="0" borderId="0" xfId="8" applyNumberFormat="1" applyFont="1" applyFill="1" applyBorder="1" applyAlignment="1">
      <alignment horizontal="center"/>
    </xf>
    <xf numFmtId="0" fontId="12" fillId="0" borderId="2" xfId="8" applyBorder="1"/>
    <xf numFmtId="0" fontId="19" fillId="0" borderId="2" xfId="3" applyFont="1" applyFill="1" applyBorder="1" applyAlignment="1">
      <alignment horizontal="left"/>
    </xf>
    <xf numFmtId="164" fontId="18" fillId="0" borderId="0" xfId="8" applyNumberFormat="1" applyFont="1" applyFill="1" applyBorder="1" applyAlignment="1"/>
    <xf numFmtId="0" fontId="43" fillId="0" borderId="0" xfId="8" applyFont="1"/>
    <xf numFmtId="0" fontId="7" fillId="0" borderId="0" xfId="4" applyFont="1" applyFill="1" applyBorder="1" applyAlignment="1">
      <alignment horizontal="left" vertical="top"/>
    </xf>
    <xf numFmtId="0" fontId="4" fillId="0" borderId="0" xfId="0" applyFont="1" applyFill="1" applyAlignment="1">
      <alignment wrapText="1"/>
    </xf>
    <xf numFmtId="164" fontId="4" fillId="0" borderId="0" xfId="5" applyNumberFormat="1" applyFont="1"/>
    <xf numFmtId="0" fontId="3" fillId="0" borderId="0" xfId="0" applyFont="1"/>
    <xf numFmtId="0" fontId="13" fillId="0" borderId="0" xfId="0" applyFont="1"/>
    <xf numFmtId="6" fontId="13" fillId="0" borderId="0" xfId="0" applyNumberFormat="1" applyFont="1"/>
    <xf numFmtId="6" fontId="15" fillId="0" borderId="0" xfId="0" applyNumberFormat="1" applyFont="1"/>
    <xf numFmtId="6" fontId="14" fillId="0" borderId="0" xfId="0" applyNumberFormat="1" applyFont="1"/>
    <xf numFmtId="6" fontId="13" fillId="0" borderId="5" xfId="0" applyNumberFormat="1" applyFont="1" applyBorder="1"/>
    <xf numFmtId="6" fontId="14" fillId="0" borderId="5" xfId="0" applyNumberFormat="1" applyFont="1" applyBorder="1"/>
    <xf numFmtId="164" fontId="4" fillId="0" borderId="0" xfId="3" applyNumberFormat="1" applyFont="1"/>
    <xf numFmtId="6" fontId="18" fillId="0" borderId="0" xfId="0" applyNumberFormat="1" applyFont="1"/>
    <xf numFmtId="6" fontId="19" fillId="0" borderId="7" xfId="0" applyNumberFormat="1" applyFont="1" applyBorder="1"/>
    <xf numFmtId="0" fontId="12" fillId="0" borderId="0" xfId="8" applyAlignment="1">
      <alignment wrapText="1"/>
    </xf>
    <xf numFmtId="0" fontId="18" fillId="0" borderId="0" xfId="3" applyFont="1" applyFill="1" applyBorder="1" applyAlignment="1">
      <alignment vertical="top" wrapText="1"/>
    </xf>
    <xf numFmtId="164" fontId="18" fillId="0" borderId="0" xfId="13" applyNumberFormat="1" applyFont="1"/>
    <xf numFmtId="0" fontId="45" fillId="0" borderId="0" xfId="2" applyFont="1"/>
    <xf numFmtId="0" fontId="44" fillId="0" borderId="0" xfId="2" applyFont="1"/>
    <xf numFmtId="171" fontId="2" fillId="0" borderId="0" xfId="2" applyNumberFormat="1"/>
    <xf numFmtId="171" fontId="19" fillId="0" borderId="0" xfId="14" applyNumberFormat="1" applyFont="1"/>
    <xf numFmtId="167" fontId="4" fillId="0" borderId="0" xfId="5" applyNumberFormat="1" applyFont="1"/>
    <xf numFmtId="6" fontId="4" fillId="0" borderId="0" xfId="0" applyNumberFormat="1" applyFont="1"/>
    <xf numFmtId="0" fontId="18" fillId="0" borderId="0" xfId="0" applyFont="1"/>
    <xf numFmtId="0" fontId="27" fillId="0" borderId="0" xfId="8" applyFont="1"/>
    <xf numFmtId="0" fontId="18" fillId="0" borderId="0" xfId="0" applyFont="1" applyAlignment="1">
      <alignment horizontal="left"/>
    </xf>
    <xf numFmtId="170" fontId="18" fillId="0" borderId="0" xfId="2" applyNumberFormat="1" applyFont="1"/>
    <xf numFmtId="164" fontId="7" fillId="0" borderId="0" xfId="8" applyNumberFormat="1" applyFont="1" applyFill="1" applyBorder="1" applyAlignment="1"/>
    <xf numFmtId="165" fontId="28" fillId="0" borderId="0" xfId="1" applyNumberFormat="1" applyFont="1"/>
    <xf numFmtId="0" fontId="7" fillId="0" borderId="0" xfId="0" applyFont="1" applyBorder="1" applyAlignment="1"/>
    <xf numFmtId="0" fontId="19" fillId="0" borderId="0" xfId="0" applyFont="1" applyBorder="1" applyAlignment="1">
      <alignment wrapText="1"/>
    </xf>
    <xf numFmtId="0" fontId="7" fillId="12" borderId="0" xfId="12" applyFont="1" applyFill="1" applyBorder="1"/>
    <xf numFmtId="0" fontId="7" fillId="12" borderId="0" xfId="12" applyFont="1" applyFill="1" applyBorder="1" applyAlignment="1">
      <alignment horizontal="center"/>
    </xf>
    <xf numFmtId="164" fontId="19" fillId="12" borderId="0" xfId="8" applyNumberFormat="1" applyFont="1" applyFill="1" applyBorder="1" applyAlignment="1"/>
    <xf numFmtId="0" fontId="19" fillId="12" borderId="0" xfId="8" applyNumberFormat="1" applyFont="1" applyFill="1" applyBorder="1" applyAlignment="1">
      <alignment horizontal="center"/>
    </xf>
    <xf numFmtId="0" fontId="7" fillId="12" borderId="0" xfId="3" applyFont="1" applyFill="1" applyAlignment="1">
      <alignment horizontal="center"/>
    </xf>
    <xf numFmtId="0" fontId="7" fillId="12" borderId="0" xfId="3" applyFont="1" applyFill="1" applyBorder="1" applyAlignment="1">
      <alignment horizontal="center"/>
    </xf>
    <xf numFmtId="0" fontId="7" fillId="12" borderId="0" xfId="0" applyFont="1" applyFill="1" applyBorder="1" applyAlignment="1">
      <alignment horizontal="center"/>
    </xf>
    <xf numFmtId="0" fontId="7" fillId="12" borderId="0" xfId="2" applyFont="1" applyFill="1" applyBorder="1"/>
    <xf numFmtId="0" fontId="14" fillId="12" borderId="0" xfId="8" applyFont="1" applyFill="1" applyAlignment="1">
      <alignment wrapText="1"/>
    </xf>
    <xf numFmtId="0" fontId="14" fillId="12" borderId="0" xfId="8" applyFont="1" applyFill="1" applyAlignment="1">
      <alignment horizontal="center" wrapText="1"/>
    </xf>
    <xf numFmtId="0" fontId="16" fillId="12" borderId="0" xfId="8" applyFont="1" applyFill="1" applyAlignment="1">
      <alignment horizontal="center" wrapText="1"/>
    </xf>
    <xf numFmtId="0" fontId="7" fillId="12" borderId="0" xfId="0" applyFont="1" applyFill="1" applyBorder="1"/>
    <xf numFmtId="0" fontId="7" fillId="12" borderId="0" xfId="4" applyFont="1" applyFill="1" applyBorder="1" applyAlignment="1">
      <alignment horizontal="left" wrapText="1"/>
    </xf>
    <xf numFmtId="0" fontId="7" fillId="12" borderId="0" xfId="0" applyFont="1" applyFill="1" applyBorder="1" applyAlignment="1" applyProtection="1">
      <alignment horizontal="center"/>
      <protection locked="0"/>
    </xf>
    <xf numFmtId="0" fontId="7" fillId="0" borderId="0" xfId="4" applyFont="1" applyFill="1" applyBorder="1" applyAlignment="1">
      <alignment horizontal="left" vertical="top"/>
    </xf>
    <xf numFmtId="0" fontId="4" fillId="0" borderId="0" xfId="0" applyFont="1" applyAlignment="1">
      <alignment horizontal="left"/>
    </xf>
    <xf numFmtId="0" fontId="4" fillId="0" borderId="0" xfId="3" applyFont="1" applyAlignment="1">
      <alignment horizontal="left"/>
    </xf>
    <xf numFmtId="0" fontId="3" fillId="0" borderId="0" xfId="0" applyFont="1" applyAlignment="1"/>
    <xf numFmtId="0" fontId="4" fillId="0" borderId="0" xfId="3" applyFont="1" applyAlignment="1">
      <alignment vertical="top"/>
    </xf>
    <xf numFmtId="0" fontId="4" fillId="0" borderId="0" xfId="3" applyFont="1" applyAlignment="1"/>
    <xf numFmtId="0" fontId="4" fillId="0" borderId="0" xfId="0" applyFont="1" applyAlignment="1"/>
    <xf numFmtId="0" fontId="13" fillId="0" borderId="0" xfId="0" applyFont="1" applyAlignment="1"/>
    <xf numFmtId="0" fontId="4" fillId="0" borderId="0" xfId="0" applyFont="1" applyAlignment="1">
      <alignment horizontal="left" vertical="top"/>
    </xf>
    <xf numFmtId="0" fontId="4" fillId="0" borderId="0" xfId="0" applyFont="1" applyAlignment="1">
      <alignment horizontal="left" vertical="center"/>
    </xf>
    <xf numFmtId="174" fontId="18" fillId="0" borderId="0" xfId="14" applyNumberFormat="1" applyFont="1" applyFill="1" applyBorder="1" applyAlignment="1">
      <alignment horizontal="right"/>
    </xf>
    <xf numFmtId="174" fontId="19" fillId="0" borderId="2" xfId="14" applyNumberFormat="1" applyFont="1" applyFill="1" applyBorder="1" applyAlignment="1">
      <alignment horizontal="right"/>
    </xf>
    <xf numFmtId="0" fontId="18" fillId="0" borderId="0" xfId="3" applyFont="1" applyAlignment="1">
      <alignment vertical="center"/>
    </xf>
    <xf numFmtId="0" fontId="18" fillId="0" borderId="0" xfId="0" applyFont="1" applyAlignment="1">
      <alignment vertical="top"/>
    </xf>
    <xf numFmtId="0" fontId="18" fillId="0" borderId="0" xfId="0" applyFont="1" applyFill="1" applyBorder="1" applyAlignment="1">
      <alignment wrapText="1"/>
    </xf>
    <xf numFmtId="0" fontId="18" fillId="0" borderId="0" xfId="13" applyFont="1" applyAlignment="1">
      <alignment wrapText="1"/>
    </xf>
    <xf numFmtId="0" fontId="19" fillId="0" borderId="2" xfId="13" applyFont="1" applyBorder="1" applyAlignment="1">
      <alignment wrapText="1"/>
    </xf>
    <xf numFmtId="0" fontId="19" fillId="0" borderId="2" xfId="0" applyFont="1" applyBorder="1" applyAlignment="1">
      <alignment wrapText="1"/>
    </xf>
    <xf numFmtId="0" fontId="18" fillId="0" borderId="0" xfId="13" applyFont="1"/>
    <xf numFmtId="0" fontId="19" fillId="3" borderId="0" xfId="13" applyFont="1" applyFill="1" applyAlignment="1">
      <alignment horizontal="center" wrapText="1"/>
    </xf>
    <xf numFmtId="0" fontId="19" fillId="3" borderId="0" xfId="13" applyFont="1" applyFill="1" applyAlignment="1">
      <alignment horizontal="center"/>
    </xf>
    <xf numFmtId="0" fontId="18" fillId="0" borderId="0" xfId="13" applyFont="1" applyAlignment="1">
      <alignment horizontal="center"/>
    </xf>
    <xf numFmtId="0" fontId="19" fillId="0" borderId="0" xfId="13" applyFont="1" applyAlignment="1">
      <alignment wrapText="1"/>
    </xf>
    <xf numFmtId="164" fontId="19" fillId="0" borderId="2" xfId="13" applyNumberFormat="1" applyFont="1" applyBorder="1"/>
    <xf numFmtId="0" fontId="19" fillId="0" borderId="0" xfId="13" applyFont="1" applyAlignment="1">
      <alignment horizontal="right" wrapText="1"/>
    </xf>
    <xf numFmtId="164" fontId="19" fillId="0" borderId="0" xfId="13" applyNumberFormat="1" applyFont="1"/>
    <xf numFmtId="164" fontId="18" fillId="0" borderId="0" xfId="13" applyNumberFormat="1" applyFont="1" applyAlignment="1">
      <alignment wrapText="1"/>
    </xf>
    <xf numFmtId="0" fontId="18" fillId="0" borderId="2" xfId="13" applyFont="1" applyBorder="1" applyAlignment="1">
      <alignment wrapText="1"/>
    </xf>
    <xf numFmtId="164" fontId="18" fillId="0" borderId="0" xfId="5" applyNumberFormat="1" applyFont="1"/>
    <xf numFmtId="164" fontId="18" fillId="0" borderId="8" xfId="13" applyNumberFormat="1" applyFont="1" applyBorder="1"/>
    <xf numFmtId="164" fontId="18" fillId="0" borderId="5" xfId="13" applyNumberFormat="1" applyFont="1" applyBorder="1"/>
    <xf numFmtId="0" fontId="18" fillId="0" borderId="0" xfId="13" applyFont="1" applyAlignment="1">
      <alignment horizontal="left" vertical="top" wrapText="1"/>
    </xf>
    <xf numFmtId="0" fontId="19" fillId="0" borderId="0" xfId="13" applyFont="1"/>
    <xf numFmtId="0" fontId="38" fillId="0" borderId="0" xfId="13" applyFont="1" applyAlignment="1">
      <alignment wrapText="1"/>
    </xf>
    <xf numFmtId="9" fontId="18" fillId="0" borderId="0" xfId="1" applyFont="1"/>
    <xf numFmtId="0" fontId="27" fillId="0" borderId="0" xfId="8" applyFont="1" applyAlignment="1">
      <alignment vertical="top"/>
    </xf>
    <xf numFmtId="0" fontId="19" fillId="0" borderId="0" xfId="13" applyFont="1" applyAlignment="1"/>
    <xf numFmtId="0" fontId="18" fillId="0" borderId="0" xfId="13" applyFont="1" applyAlignment="1">
      <alignment wrapText="1"/>
    </xf>
    <xf numFmtId="0" fontId="7" fillId="0" borderId="0" xfId="19" applyFont="1" applyAlignment="1">
      <alignment horizontal="left" vertical="top"/>
    </xf>
    <xf numFmtId="0" fontId="48" fillId="0" borderId="0" xfId="15" applyFont="1" applyAlignment="1">
      <alignment horizontal="left"/>
    </xf>
    <xf numFmtId="173" fontId="49" fillId="0" borderId="0" xfId="15" applyNumberFormat="1" applyFont="1" applyAlignment="1">
      <alignment horizontal="center"/>
    </xf>
    <xf numFmtId="173" fontId="49" fillId="0" borderId="0" xfId="15" applyNumberFormat="1" applyFont="1"/>
    <xf numFmtId="172" fontId="49" fillId="0" borderId="0" xfId="15" applyNumberFormat="1" applyFont="1"/>
    <xf numFmtId="172" fontId="50" fillId="0" borderId="0" xfId="15" applyNumberFormat="1" applyFont="1" applyAlignment="1">
      <alignment wrapText="1"/>
    </xf>
    <xf numFmtId="172" fontId="50" fillId="0" borderId="0" xfId="15" applyNumberFormat="1" applyFont="1"/>
    <xf numFmtId="175" fontId="6" fillId="0" borderId="10" xfId="15" applyNumberFormat="1" applyFont="1" applyBorder="1" applyAlignment="1">
      <alignment horizontal="center" wrapText="1"/>
    </xf>
    <xf numFmtId="175" fontId="56" fillId="0" borderId="11" xfId="15" quotePrefix="1" applyNumberFormat="1" applyFont="1" applyBorder="1" applyAlignment="1">
      <alignment horizontal="center" wrapText="1"/>
    </xf>
    <xf numFmtId="175" fontId="56" fillId="0" borderId="11" xfId="15" applyNumberFormat="1" applyFont="1" applyBorder="1" applyAlignment="1">
      <alignment horizontal="center" wrapText="1"/>
    </xf>
    <xf numFmtId="175" fontId="6" fillId="0" borderId="11" xfId="15" applyNumberFormat="1" applyFont="1" applyBorder="1" applyAlignment="1">
      <alignment horizontal="center" wrapText="1"/>
    </xf>
    <xf numFmtId="175" fontId="6" fillId="0" borderId="12" xfId="15" applyNumberFormat="1" applyFont="1" applyBorder="1" applyAlignment="1">
      <alignment horizontal="center" wrapText="1"/>
    </xf>
    <xf numFmtId="175" fontId="6" fillId="0" borderId="0" xfId="15" applyNumberFormat="1" applyFont="1" applyAlignment="1">
      <alignment horizontal="center" wrapText="1"/>
    </xf>
    <xf numFmtId="175" fontId="56" fillId="0" borderId="0" xfId="15" applyNumberFormat="1" applyFont="1" applyAlignment="1">
      <alignment horizontal="center" wrapText="1"/>
    </xf>
    <xf numFmtId="172" fontId="57" fillId="0" borderId="13" xfId="15" applyNumberFormat="1" applyFont="1" applyBorder="1" applyAlignment="1">
      <alignment horizontal="center"/>
    </xf>
    <xf numFmtId="172" fontId="56" fillId="0" borderId="14" xfId="15" quotePrefix="1" applyNumberFormat="1" applyFont="1" applyBorder="1" applyAlignment="1">
      <alignment horizontal="left"/>
    </xf>
    <xf numFmtId="172" fontId="59" fillId="0" borderId="14" xfId="15" applyNumberFormat="1" applyFont="1" applyBorder="1"/>
    <xf numFmtId="172" fontId="2" fillId="0" borderId="14" xfId="15" applyNumberFormat="1" applyFont="1" applyBorder="1"/>
    <xf numFmtId="172" fontId="2" fillId="0" borderId="15" xfId="15" applyNumberFormat="1" applyFont="1" applyBorder="1"/>
    <xf numFmtId="176" fontId="6" fillId="0" borderId="16" xfId="15" applyNumberFormat="1" applyFont="1" applyBorder="1" applyAlignment="1">
      <alignment horizontal="center" wrapText="1"/>
    </xf>
    <xf numFmtId="172" fontId="59" fillId="0" borderId="0" xfId="15" applyNumberFormat="1" applyFont="1"/>
    <xf numFmtId="172" fontId="2" fillId="0" borderId="17" xfId="15" applyNumberFormat="1" applyFont="1" applyBorder="1"/>
    <xf numFmtId="177" fontId="59" fillId="0" borderId="16" xfId="15" applyNumberFormat="1" applyFont="1" applyBorder="1"/>
    <xf numFmtId="177" fontId="59" fillId="0" borderId="16" xfId="15" applyNumberFormat="1" applyFont="1" applyBorder="1" applyAlignment="1">
      <alignment horizontal="right"/>
    </xf>
    <xf numFmtId="177" fontId="2" fillId="0" borderId="16" xfId="15" applyNumberFormat="1" applyFont="1" applyBorder="1"/>
    <xf numFmtId="172" fontId="2" fillId="0" borderId="1" xfId="15" applyNumberFormat="1" applyFont="1" applyBorder="1"/>
    <xf numFmtId="172" fontId="2" fillId="0" borderId="16" xfId="15" applyNumberFormat="1" applyFont="1" applyBorder="1"/>
    <xf numFmtId="172" fontId="60" fillId="0" borderId="16" xfId="15" applyNumberFormat="1" applyFont="1" applyBorder="1" applyProtection="1">
      <protection locked="0"/>
    </xf>
    <xf numFmtId="172" fontId="61" fillId="0" borderId="16" xfId="15" applyNumberFormat="1" applyFont="1" applyBorder="1" applyProtection="1">
      <protection locked="0"/>
    </xf>
    <xf numFmtId="172" fontId="2" fillId="0" borderId="18" xfId="15" applyNumberFormat="1" applyFont="1" applyBorder="1"/>
    <xf numFmtId="177" fontId="2" fillId="0" borderId="19" xfId="15" applyNumberFormat="1" applyFont="1" applyBorder="1"/>
    <xf numFmtId="177" fontId="59" fillId="0" borderId="19" xfId="15" applyNumberFormat="1" applyFont="1" applyBorder="1"/>
    <xf numFmtId="172" fontId="2" fillId="0" borderId="20" xfId="15" applyNumberFormat="1" applyFont="1" applyBorder="1"/>
    <xf numFmtId="172" fontId="2" fillId="0" borderId="21" xfId="15" applyNumberFormat="1" applyFont="1" applyBorder="1"/>
    <xf numFmtId="172" fontId="60" fillId="0" borderId="21" xfId="15" applyNumberFormat="1" applyFont="1" applyBorder="1" applyProtection="1">
      <protection locked="0"/>
    </xf>
    <xf numFmtId="172" fontId="61" fillId="0" borderId="21" xfId="15" applyNumberFormat="1" applyFont="1" applyBorder="1" applyProtection="1">
      <protection locked="0"/>
    </xf>
    <xf numFmtId="172" fontId="6" fillId="0" borderId="10" xfId="15" applyNumberFormat="1" applyFont="1" applyBorder="1" applyAlignment="1">
      <alignment horizontal="right"/>
    </xf>
    <xf numFmtId="177" fontId="6" fillId="0" borderId="11" xfId="15" applyNumberFormat="1" applyFont="1" applyBorder="1"/>
    <xf numFmtId="177" fontId="6" fillId="0" borderId="12" xfId="15" applyNumberFormat="1" applyFont="1" applyBorder="1"/>
    <xf numFmtId="177" fontId="62" fillId="0" borderId="12" xfId="15" applyNumberFormat="1" applyFont="1" applyBorder="1"/>
    <xf numFmtId="172" fontId="56" fillId="0" borderId="0" xfId="15" applyNumberFormat="1" applyFont="1"/>
    <xf numFmtId="177" fontId="59" fillId="0" borderId="14" xfId="15" applyNumberFormat="1" applyFont="1" applyBorder="1"/>
    <xf numFmtId="177" fontId="2" fillId="0" borderId="14" xfId="15" applyNumberFormat="1" applyFont="1" applyBorder="1"/>
    <xf numFmtId="172" fontId="2" fillId="0" borderId="22" xfId="15" applyNumberFormat="1" applyFont="1" applyBorder="1"/>
    <xf numFmtId="176" fontId="6" fillId="0" borderId="23" xfId="15" applyNumberFormat="1" applyFont="1" applyBorder="1" applyAlignment="1">
      <alignment horizontal="center" wrapText="1"/>
    </xf>
    <xf numFmtId="176" fontId="62" fillId="0" borderId="23" xfId="15" applyNumberFormat="1" applyFont="1" applyBorder="1" applyAlignment="1">
      <alignment horizontal="center" wrapText="1"/>
    </xf>
    <xf numFmtId="172" fontId="6" fillId="0" borderId="17" xfId="15" applyNumberFormat="1" applyFont="1" applyBorder="1"/>
    <xf numFmtId="176" fontId="62" fillId="0" borderId="16" xfId="15" applyNumberFormat="1" applyFont="1" applyBorder="1" applyAlignment="1">
      <alignment horizontal="center" wrapText="1"/>
    </xf>
    <xf numFmtId="176" fontId="64" fillId="0" borderId="16" xfId="15" applyNumberFormat="1" applyFont="1" applyBorder="1" applyAlignment="1">
      <alignment horizontal="center" wrapText="1"/>
    </xf>
    <xf numFmtId="172" fontId="2" fillId="0" borderId="24" xfId="15" applyNumberFormat="1" applyFont="1" applyBorder="1"/>
    <xf numFmtId="172" fontId="60" fillId="0" borderId="24" xfId="15" applyNumberFormat="1" applyFont="1" applyBorder="1" applyProtection="1">
      <protection locked="0"/>
    </xf>
    <xf numFmtId="172" fontId="65" fillId="0" borderId="24" xfId="15" applyNumberFormat="1" applyFont="1" applyBorder="1" applyProtection="1">
      <protection locked="0"/>
    </xf>
    <xf numFmtId="176" fontId="65" fillId="0" borderId="24" xfId="15" applyNumberFormat="1" applyFont="1" applyBorder="1" applyProtection="1">
      <protection locked="0"/>
    </xf>
    <xf numFmtId="172" fontId="2" fillId="0" borderId="18" xfId="15" applyNumberFormat="1" applyFont="1" applyBorder="1" applyAlignment="1">
      <alignment horizontal="right"/>
    </xf>
    <xf numFmtId="177" fontId="59" fillId="0" borderId="25" xfId="15" applyNumberFormat="1" applyFont="1" applyBorder="1"/>
    <xf numFmtId="177" fontId="2" fillId="0" borderId="25" xfId="15" applyNumberFormat="1" applyFont="1" applyBorder="1"/>
    <xf numFmtId="177" fontId="2" fillId="0" borderId="26" xfId="15" applyNumberFormat="1" applyFont="1" applyBorder="1"/>
    <xf numFmtId="177" fontId="60" fillId="0" borderId="26" xfId="15" applyNumberFormat="1" applyFont="1" applyBorder="1"/>
    <xf numFmtId="43" fontId="6" fillId="0" borderId="12" xfId="15" applyNumberFormat="1" applyFont="1" applyBorder="1"/>
    <xf numFmtId="172" fontId="56" fillId="0" borderId="27" xfId="15" applyNumberFormat="1" applyFont="1" applyBorder="1"/>
    <xf numFmtId="172" fontId="6" fillId="0" borderId="13" xfId="15" applyNumberFormat="1" applyFont="1" applyBorder="1"/>
    <xf numFmtId="172" fontId="2" fillId="0" borderId="17" xfId="15" quotePrefix="1" applyNumberFormat="1" applyFont="1" applyBorder="1" applyAlignment="1">
      <alignment horizontal="left"/>
    </xf>
    <xf numFmtId="172" fontId="2" fillId="0" borderId="18" xfId="15" quotePrefix="1" applyNumberFormat="1" applyFont="1" applyBorder="1" applyAlignment="1">
      <alignment horizontal="left"/>
    </xf>
    <xf numFmtId="172" fontId="6" fillId="0" borderId="28" xfId="15" applyNumberFormat="1" applyFont="1" applyBorder="1" applyAlignment="1">
      <alignment horizontal="right"/>
    </xf>
    <xf numFmtId="177" fontId="6" fillId="0" borderId="21" xfId="15" applyNumberFormat="1" applyFont="1" applyBorder="1"/>
    <xf numFmtId="177" fontId="6" fillId="0" borderId="29" xfId="15" applyNumberFormat="1" applyFont="1" applyBorder="1"/>
    <xf numFmtId="177" fontId="62" fillId="0" borderId="29" xfId="15" applyNumberFormat="1" applyFont="1" applyBorder="1"/>
    <xf numFmtId="177" fontId="56" fillId="0" borderId="14" xfId="15" applyNumberFormat="1" applyFont="1" applyBorder="1"/>
    <xf numFmtId="177" fontId="6" fillId="0" borderId="14" xfId="15" applyNumberFormat="1" applyFont="1" applyBorder="1"/>
    <xf numFmtId="172" fontId="6" fillId="0" borderId="22" xfId="15" applyNumberFormat="1" applyFont="1" applyBorder="1"/>
    <xf numFmtId="177" fontId="2" fillId="0" borderId="19" xfId="15" quotePrefix="1" applyNumberFormat="1" applyFont="1" applyBorder="1" applyAlignment="1">
      <alignment horizontal="right"/>
    </xf>
    <xf numFmtId="172" fontId="61" fillId="0" borderId="24" xfId="15" applyNumberFormat="1" applyFont="1" applyBorder="1" applyProtection="1">
      <protection locked="0"/>
    </xf>
    <xf numFmtId="172" fontId="6" fillId="13" borderId="28" xfId="15" applyNumberFormat="1" applyFont="1" applyFill="1" applyBorder="1" applyAlignment="1">
      <alignment horizontal="right"/>
    </xf>
    <xf numFmtId="177" fontId="6" fillId="13" borderId="30" xfId="15" applyNumberFormat="1" applyFont="1" applyFill="1" applyBorder="1"/>
    <xf numFmtId="177" fontId="6" fillId="13" borderId="31" xfId="15" applyNumberFormat="1" applyFont="1" applyFill="1" applyBorder="1"/>
    <xf numFmtId="177" fontId="62" fillId="13" borderId="31" xfId="15" applyNumberFormat="1" applyFont="1" applyFill="1" applyBorder="1"/>
    <xf numFmtId="172" fontId="6" fillId="14" borderId="10" xfId="15" applyNumberFormat="1" applyFont="1" applyFill="1" applyBorder="1" applyAlignment="1">
      <alignment horizontal="right"/>
    </xf>
    <xf numFmtId="177" fontId="6" fillId="14" borderId="11" xfId="15" applyNumberFormat="1" applyFont="1" applyFill="1" applyBorder="1"/>
    <xf numFmtId="177" fontId="6" fillId="14" borderId="12" xfId="15" applyNumberFormat="1" applyFont="1" applyFill="1" applyBorder="1"/>
    <xf numFmtId="176" fontId="6" fillId="14" borderId="32" xfId="15" applyNumberFormat="1" applyFont="1" applyFill="1" applyBorder="1" applyAlignment="1">
      <alignment horizontal="right"/>
    </xf>
    <xf numFmtId="176" fontId="62" fillId="14" borderId="32" xfId="15" applyNumberFormat="1" applyFont="1" applyFill="1" applyBorder="1" applyAlignment="1">
      <alignment horizontal="right"/>
    </xf>
    <xf numFmtId="176" fontId="62" fillId="15" borderId="32" xfId="15" applyNumberFormat="1" applyFont="1" applyFill="1" applyBorder="1" applyAlignment="1">
      <alignment horizontal="right"/>
    </xf>
    <xf numFmtId="172" fontId="57" fillId="0" borderId="33" xfId="15" applyNumberFormat="1" applyFont="1" applyBorder="1" applyAlignment="1">
      <alignment horizontal="center"/>
    </xf>
    <xf numFmtId="177" fontId="56" fillId="0" borderId="23" xfId="15" applyNumberFormat="1" applyFont="1" applyBorder="1"/>
    <xf numFmtId="177" fontId="6" fillId="0" borderId="23" xfId="15" applyNumberFormat="1" applyFont="1" applyBorder="1"/>
    <xf numFmtId="173" fontId="6" fillId="0" borderId="16" xfId="15" applyNumberFormat="1" applyFont="1" applyBorder="1" applyAlignment="1">
      <alignment horizontal="center" wrapText="1"/>
    </xf>
    <xf numFmtId="173" fontId="62" fillId="0" borderId="16" xfId="15" applyNumberFormat="1" applyFont="1" applyBorder="1" applyAlignment="1">
      <alignment horizontal="center" wrapText="1"/>
    </xf>
    <xf numFmtId="172" fontId="60" fillId="0" borderId="16" xfId="15" applyNumberFormat="1" applyFont="1" applyBorder="1"/>
    <xf numFmtId="177" fontId="2" fillId="0" borderId="20" xfId="15" applyNumberFormat="1" applyFont="1" applyBorder="1"/>
    <xf numFmtId="177" fontId="60" fillId="0" borderId="20" xfId="15" applyNumberFormat="1" applyFont="1" applyBorder="1"/>
    <xf numFmtId="172" fontId="6" fillId="0" borderId="34" xfId="15" applyNumberFormat="1" applyFont="1" applyBorder="1" applyAlignment="1">
      <alignment horizontal="right"/>
    </xf>
    <xf numFmtId="177" fontId="6" fillId="0" borderId="35" xfId="15" applyNumberFormat="1" applyFont="1" applyBorder="1"/>
    <xf numFmtId="177" fontId="6" fillId="0" borderId="35" xfId="15" applyNumberFormat="1" applyFont="1" applyBorder="1" applyAlignment="1">
      <alignment horizontal="center"/>
    </xf>
    <xf numFmtId="0" fontId="2" fillId="0" borderId="0" xfId="0" applyFont="1"/>
    <xf numFmtId="0" fontId="4" fillId="0" borderId="0" xfId="0" applyFont="1" applyAlignment="1">
      <alignment vertical="top"/>
    </xf>
    <xf numFmtId="0" fontId="18" fillId="0" borderId="0" xfId="3" applyFont="1" applyAlignment="1"/>
    <xf numFmtId="0" fontId="18" fillId="0" borderId="0" xfId="0" applyFont="1" applyAlignment="1"/>
    <xf numFmtId="0" fontId="18" fillId="0" borderId="0" xfId="3" applyFont="1" applyAlignment="1">
      <alignment vertical="top"/>
    </xf>
    <xf numFmtId="0" fontId="18" fillId="0" borderId="0" xfId="13" applyFont="1" applyAlignment="1"/>
    <xf numFmtId="0" fontId="18" fillId="0" borderId="0" xfId="3" applyFont="1" applyFill="1" applyBorder="1" applyAlignment="1"/>
    <xf numFmtId="0" fontId="17" fillId="11" borderId="0" xfId="8" applyFont="1" applyFill="1" applyAlignment="1">
      <alignment horizontal="center" vertical="center"/>
    </xf>
    <xf numFmtId="0" fontId="13" fillId="0" borderId="0" xfId="8" applyFont="1" applyAlignment="1">
      <alignment horizontal="left" vertical="top" wrapText="1"/>
    </xf>
    <xf numFmtId="0" fontId="12" fillId="6" borderId="0" xfId="8" applyFill="1" applyBorder="1" applyAlignment="1">
      <alignment horizontal="center" vertical="center" wrapText="1"/>
    </xf>
    <xf numFmtId="171" fontId="12" fillId="6" borderId="0" xfId="8" applyNumberFormat="1" applyFill="1" applyAlignment="1">
      <alignment horizontal="center" vertical="center"/>
    </xf>
    <xf numFmtId="0" fontId="12" fillId="7" borderId="0" xfId="8" applyFill="1" applyAlignment="1">
      <alignment horizontal="center" vertical="center" wrapText="1"/>
    </xf>
    <xf numFmtId="0" fontId="34" fillId="6" borderId="0" xfId="8" applyFont="1" applyFill="1" applyBorder="1" applyAlignment="1">
      <alignment horizontal="center" vertical="center"/>
    </xf>
    <xf numFmtId="0" fontId="12" fillId="6" borderId="0" xfId="8" applyFill="1" applyBorder="1" applyAlignment="1">
      <alignment horizontal="center" vertical="center"/>
    </xf>
    <xf numFmtId="0" fontId="34" fillId="7" borderId="0" xfId="8" applyFont="1" applyFill="1" applyAlignment="1">
      <alignment horizontal="center" vertical="center"/>
    </xf>
    <xf numFmtId="0" fontId="12" fillId="7" borderId="0" xfId="8" applyFill="1" applyAlignment="1">
      <alignment horizontal="center" vertical="center"/>
    </xf>
    <xf numFmtId="171" fontId="12" fillId="7" borderId="0" xfId="8" applyNumberFormat="1" applyFill="1" applyAlignment="1">
      <alignment horizontal="center" vertical="center"/>
    </xf>
    <xf numFmtId="0" fontId="4" fillId="0" borderId="0" xfId="3" applyFont="1" applyFill="1" applyBorder="1" applyAlignment="1">
      <alignment horizontal="left" vertical="top" wrapText="1"/>
    </xf>
    <xf numFmtId="0" fontId="22" fillId="0" borderId="0" xfId="3" applyFont="1" applyFill="1" applyBorder="1" applyAlignment="1">
      <alignment horizontal="left" wrapText="1"/>
    </xf>
    <xf numFmtId="0" fontId="22" fillId="0" borderId="0" xfId="0" applyFont="1" applyBorder="1" applyAlignment="1">
      <alignment horizontal="left" wrapText="1"/>
    </xf>
    <xf numFmtId="0" fontId="7" fillId="0" borderId="0" xfId="4" applyFont="1" applyFill="1" applyBorder="1" applyAlignment="1">
      <alignment horizontal="left" vertical="top"/>
    </xf>
    <xf numFmtId="0" fontId="4" fillId="0" borderId="0" xfId="3" applyFont="1" applyFill="1" applyBorder="1" applyAlignment="1">
      <alignment horizontal="left" wrapText="1"/>
    </xf>
    <xf numFmtId="0" fontId="4" fillId="0" borderId="0" xfId="2" applyFont="1" applyBorder="1" applyAlignment="1">
      <alignment horizontal="left" wrapText="1"/>
    </xf>
    <xf numFmtId="0" fontId="13" fillId="0" borderId="0" xfId="8" applyFont="1" applyAlignment="1">
      <alignment horizontal="left" wrapText="1"/>
    </xf>
    <xf numFmtId="0" fontId="17" fillId="0" borderId="0" xfId="8" applyFont="1" applyAlignment="1">
      <alignment vertical="top"/>
    </xf>
    <xf numFmtId="0" fontId="7" fillId="0" borderId="0" xfId="2" applyFont="1"/>
    <xf numFmtId="0" fontId="7" fillId="0" borderId="0" xfId="3" applyFont="1" applyFill="1" applyBorder="1" applyAlignment="1">
      <alignment vertical="top"/>
    </xf>
    <xf numFmtId="0" fontId="4" fillId="0" borderId="0" xfId="3" applyFont="1" applyAlignment="1">
      <alignment horizontal="left" vertical="top" wrapText="1"/>
    </xf>
    <xf numFmtId="0" fontId="4" fillId="0" borderId="0" xfId="0" applyFont="1" applyAlignment="1">
      <alignment horizontal="left" vertical="top" wrapText="1"/>
    </xf>
    <xf numFmtId="0" fontId="27" fillId="0" borderId="0" xfId="8" applyFont="1"/>
    <xf numFmtId="0" fontId="19" fillId="0" borderId="2" xfId="13" applyFont="1" applyBorder="1" applyAlignment="1">
      <alignment wrapText="1"/>
    </xf>
    <xf numFmtId="0" fontId="19" fillId="0" borderId="2" xfId="13" applyFont="1" applyBorder="1" applyAlignment="1">
      <alignment horizontal="left" wrapText="1"/>
    </xf>
    <xf numFmtId="172" fontId="50" fillId="0" borderId="0" xfId="15" applyNumberFormat="1" applyFont="1" applyAlignment="1">
      <alignment horizontal="left" wrapText="1"/>
    </xf>
    <xf numFmtId="172" fontId="66" fillId="0" borderId="9" xfId="15" applyNumberFormat="1" applyFont="1" applyBorder="1" applyAlignment="1">
      <alignment horizontal="center"/>
    </xf>
    <xf numFmtId="0" fontId="67" fillId="0" borderId="9" xfId="15" applyFont="1" applyBorder="1" applyAlignment="1">
      <alignment horizontal="center"/>
    </xf>
    <xf numFmtId="172" fontId="6" fillId="0" borderId="0" xfId="15" applyNumberFormat="1" applyFont="1" applyAlignment="1">
      <alignment horizontal="left" vertical="top" wrapText="1"/>
    </xf>
    <xf numFmtId="172" fontId="2" fillId="0" borderId="0" xfId="15" applyNumberFormat="1" applyFont="1" applyAlignment="1">
      <alignment horizontal="left" wrapText="1"/>
    </xf>
    <xf numFmtId="172" fontId="2" fillId="0" borderId="0" xfId="15" applyNumberFormat="1" applyFont="1" applyAlignment="1">
      <alignment horizontal="left"/>
    </xf>
  </cellXfs>
  <cellStyles count="20">
    <cellStyle name="Comma" xfId="14" builtinId="3"/>
    <cellStyle name="Comma 2" xfId="16" xr:uid="{00000000-0005-0000-0000-000001000000}"/>
    <cellStyle name="Currency 2" xfId="5" xr:uid="{00000000-0005-0000-0000-000002000000}"/>
    <cellStyle name="Currency 3" xfId="11" xr:uid="{00000000-0005-0000-0000-000003000000}"/>
    <cellStyle name="Normal" xfId="0" builtinId="0"/>
    <cellStyle name="Normal 2" xfId="2" xr:uid="{00000000-0005-0000-0000-000005000000}"/>
    <cellStyle name="Normal 2 2" xfId="10" xr:uid="{00000000-0005-0000-0000-000006000000}"/>
    <cellStyle name="Normal 2 3" xfId="15" xr:uid="{00000000-0005-0000-0000-000007000000}"/>
    <cellStyle name="Normal 3" xfId="6" xr:uid="{00000000-0005-0000-0000-000008000000}"/>
    <cellStyle name="Normal 3 2" xfId="19" xr:uid="{C2A21F54-D977-41FD-99DA-96E2997C462D}"/>
    <cellStyle name="Normal 4" xfId="7" xr:uid="{00000000-0005-0000-0000-000009000000}"/>
    <cellStyle name="Normal 5" xfId="8" xr:uid="{00000000-0005-0000-0000-00000A000000}"/>
    <cellStyle name="Normal 5 2" xfId="12" xr:uid="{00000000-0005-0000-0000-00000B000000}"/>
    <cellStyle name="Normal 6" xfId="17" xr:uid="{00000000-0005-0000-0000-00000C000000}"/>
    <cellStyle name="Normal 7" xfId="18" xr:uid="{00000000-0005-0000-0000-00000D000000}"/>
    <cellStyle name="Normal_78 - 04 FW spending report Spring 05Revised" xfId="13" xr:uid="{00000000-0005-0000-0000-00000E000000}"/>
    <cellStyle name="Normal_Gov Report File" xfId="3" xr:uid="{00000000-0005-0000-0000-00000F000000}"/>
    <cellStyle name="Normal_Sheet1" xfId="4" xr:uid="{00000000-0005-0000-0000-000010000000}"/>
    <cellStyle name="Note 2" xfId="9" xr:uid="{00000000-0005-0000-0000-000011000000}"/>
    <cellStyle name="Percent" xfId="1" builtinId="5"/>
  </cellStyles>
  <dxfs count="0"/>
  <tableStyles count="0" defaultTableStyle="TableStyleMedium9" defaultPivotStyle="PivotStyleLight16"/>
  <colors>
    <mruColors>
      <color rgb="FF8064A2"/>
      <color rgb="FFC0504D"/>
      <color rgb="FFF68B32"/>
      <color rgb="FFC3D69B"/>
      <color rgb="FF9AB9D2"/>
      <color rgb="FFFFFF66"/>
      <color rgb="FFFFFFFF"/>
      <color rgb="FF856BA5"/>
      <color rgb="FF9BBB59"/>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powerPivotData" Target="model/item.data"/><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4.xml"/><Relationship Id="rId1" Type="http://schemas.microsoft.com/office/2011/relationships/chartStyle" Target="style4.xml"/></Relationships>
</file>

<file path=xl/charts/_rels/chart1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052726358132"/>
          <c:y val="2.6451465647437679E-3"/>
          <c:w val="0.73793696685066634"/>
          <c:h val="0.99113884874045965"/>
        </c:manualLayout>
      </c:layout>
      <c:pieChart>
        <c:varyColors val="1"/>
        <c:ser>
          <c:idx val="0"/>
          <c:order val="0"/>
          <c:spPr>
            <a:ln>
              <a:noFill/>
            </a:ln>
            <a:effectLst>
              <a:outerShdw blurRad="50800" dist="38100" dir="2700000" algn="tl" rotWithShape="0">
                <a:prstClr val="black">
                  <a:alpha val="40000"/>
                </a:prstClr>
              </a:outerShdw>
            </a:effectLst>
          </c:spPr>
          <c:dPt>
            <c:idx val="0"/>
            <c:bubble3D val="0"/>
            <c:spPr>
              <a:solidFill>
                <a:schemeClr val="accent1"/>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7-E64C-4B75-ACC6-D985A14E3F5E}"/>
              </c:ext>
            </c:extLst>
          </c:dPt>
          <c:dLbls>
            <c:dLbl>
              <c:idx val="0"/>
              <c:layout>
                <c:manualLayout>
                  <c:x val="-0.12845483043811037"/>
                  <c:y val="-0.14077348920090979"/>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579955468246489"/>
                      <c:h val="0.10053661644501764"/>
                    </c:manualLayout>
                  </c15:layout>
                </c:ext>
                <c:ext xmlns:c16="http://schemas.microsoft.com/office/drawing/2014/chart" uri="{C3380CC4-5D6E-409C-BE32-E72D297353CC}">
                  <c16:uniqueId val="{00000001-E64C-4B75-ACC6-D985A14E3F5E}"/>
                </c:ext>
              </c:extLst>
            </c:dLbl>
            <c:dLbl>
              <c:idx val="1"/>
              <c:layout>
                <c:manualLayout>
                  <c:x val="6.0493991371944375E-2"/>
                  <c:y val="-5.7643212908854942E-2"/>
                </c:manualLayout>
              </c:layout>
              <c:numFmt formatCode="&quot;$&quot;#0.0\ &quot;million&quot;" sourceLinked="0"/>
              <c:spPr>
                <a:solidFill>
                  <a:srgbClr val="FFFFFF">
                    <a:alpha val="85098"/>
                  </a:srgb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0248227710991289"/>
                      <c:h val="9.4536486333095804E-2"/>
                    </c:manualLayout>
                  </c15:layout>
                </c:ext>
                <c:ext xmlns:c16="http://schemas.microsoft.com/office/drawing/2014/chart" uri="{C3380CC4-5D6E-409C-BE32-E72D297353CC}">
                  <c16:uniqueId val="{00000003-E64C-4B75-ACC6-D985A14E3F5E}"/>
                </c:ext>
              </c:extLst>
            </c:dLbl>
            <c:dLbl>
              <c:idx val="2"/>
              <c:layout>
                <c:manualLayout>
                  <c:x val="-4.3197028394457979E-2"/>
                  <c:y val="-3.891840201088867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175828422566989"/>
                      <c:h val="6.5293258528394738E-2"/>
                    </c:manualLayout>
                  </c15:layout>
                </c:ext>
                <c:ext xmlns:c16="http://schemas.microsoft.com/office/drawing/2014/chart" uri="{C3380CC4-5D6E-409C-BE32-E72D297353CC}">
                  <c16:uniqueId val="{00000005-E64C-4B75-ACC6-D985A14E3F5E}"/>
                </c:ext>
              </c:extLst>
            </c:dLbl>
            <c:dLbl>
              <c:idx val="3"/>
              <c:layout>
                <c:manualLayout>
                  <c:x val="-1.1510164098618483E-2"/>
                  <c:y val="4.4473680251744009E-3"/>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260657530773885"/>
                      <c:h val="6.3220119827416918E-2"/>
                    </c:manualLayout>
                  </c15:layout>
                </c:ext>
                <c:ext xmlns:c16="http://schemas.microsoft.com/office/drawing/2014/chart" uri="{C3380CC4-5D6E-409C-BE32-E72D297353CC}">
                  <c16:uniqueId val="{00000007-E64C-4B75-ACC6-D985A14E3F5E}"/>
                </c:ext>
              </c:extLst>
            </c:dLbl>
            <c:dLbl>
              <c:idx val="4"/>
              <c:layout>
                <c:manualLayout>
                  <c:x val="-1.8914440443447086E-2"/>
                  <c:y val="1.8943196224386949E-2"/>
                </c:manualLayout>
              </c:layout>
              <c:showLegendKey val="0"/>
              <c:showVal val="1"/>
              <c:showCatName val="1"/>
              <c:showSerName val="0"/>
              <c:showPercent val="0"/>
              <c:showBubbleSize val="0"/>
              <c:extLst>
                <c:ext xmlns:c15="http://schemas.microsoft.com/office/drawing/2012/chart" uri="{CE6537A1-D6FC-4f65-9D91-7224C49458BB}">
                  <c15:layout>
                    <c:manualLayout>
                      <c:w val="0.16948557512124346"/>
                      <c:h val="5.9725096038259401E-2"/>
                    </c:manualLayout>
                  </c15:layout>
                </c:ext>
                <c:ext xmlns:c16="http://schemas.microsoft.com/office/drawing/2014/chart" uri="{C3380CC4-5D6E-409C-BE32-E72D297353CC}">
                  <c16:uniqueId val="{00000009-E64C-4B75-ACC6-D985A14E3F5E}"/>
                </c:ext>
              </c:extLst>
            </c:dLbl>
            <c:dLbl>
              <c:idx val="5"/>
              <c:layout>
                <c:manualLayout>
                  <c:x val="-9.7362852063544898E-3"/>
                  <c:y val="-3.9085930480471653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361139408643079"/>
                      <c:h val="7.4856506737379633E-2"/>
                    </c:manualLayout>
                  </c15:layout>
                </c:ext>
                <c:ext xmlns:c16="http://schemas.microsoft.com/office/drawing/2014/chart" uri="{C3380CC4-5D6E-409C-BE32-E72D297353CC}">
                  <c16:uniqueId val="{0000000B-E64C-4B75-ACC6-D985A14E3F5E}"/>
                </c:ext>
              </c:extLst>
            </c:dLbl>
            <c:dLbl>
              <c:idx val="6"/>
              <c:layout>
                <c:manualLayout>
                  <c:x val="-1.7152418309896677E-2"/>
                  <c:y val="-3.2155209314856506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456441735705338"/>
                      <c:h val="7.563968979968419E-2"/>
                    </c:manualLayout>
                  </c15:layout>
                </c:ext>
                <c:ext xmlns:c16="http://schemas.microsoft.com/office/drawing/2014/chart" uri="{C3380CC4-5D6E-409C-BE32-E72D297353CC}">
                  <c16:uniqueId val="{0000000D-E64C-4B75-ACC6-D985A14E3F5E}"/>
                </c:ext>
              </c:extLst>
            </c:dLbl>
            <c:dLbl>
              <c:idx val="7"/>
              <c:layout>
                <c:manualLayout>
                  <c:x val="-9.3809058110944556E-3"/>
                  <c:y val="1.6287015244406941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9386824489466831"/>
                      <c:h val="6.6385891230944488E-2"/>
                    </c:manualLayout>
                  </c15:layout>
                </c:ext>
                <c:ext xmlns:c16="http://schemas.microsoft.com/office/drawing/2014/chart" uri="{C3380CC4-5D6E-409C-BE32-E72D297353CC}">
                  <c16:uniqueId val="{0000000F-E64C-4B75-ACC6-D985A14E3F5E}"/>
                </c:ext>
              </c:extLst>
            </c:dLbl>
            <c:dLbl>
              <c:idx val="8"/>
              <c:layout>
                <c:manualLayout>
                  <c:x val="2.2902407342393839E-3"/>
                  <c:y val="0.1681633682932199"/>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216249577561959"/>
                      <c:h val="9.6416106206558327E-2"/>
                    </c:manualLayout>
                  </c15:layout>
                </c:ext>
                <c:ext xmlns:c16="http://schemas.microsoft.com/office/drawing/2014/chart" uri="{C3380CC4-5D6E-409C-BE32-E72D297353CC}">
                  <c16:uniqueId val="{00000011-E64C-4B75-ACC6-D985A14E3F5E}"/>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4C-4B75-ACC6-D985A14E3F5E}"/>
                </c:ext>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'1A_CostsByArea'!$A$7:$A$15</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'1A_CostsByArea'!$B$7:$B$15</c:f>
              <c:numCache>
                <c:formatCode>_(* #,##0.0_);_(* \(#,##0.0\);_(* "-"??_);_(@_)</c:formatCode>
                <c:ptCount val="9"/>
                <c:pt idx="0">
                  <c:v>238.07312463000002</c:v>
                </c:pt>
                <c:pt idx="1">
                  <c:v>33.426027722903228</c:v>
                </c:pt>
                <c:pt idx="2">
                  <c:v>46.347048999999998</c:v>
                </c:pt>
                <c:pt idx="3">
                  <c:v>31.852091000000001</c:v>
                </c:pt>
                <c:pt idx="4">
                  <c:v>5.7902050000000003</c:v>
                </c:pt>
                <c:pt idx="5">
                  <c:v>5.59</c:v>
                </c:pt>
                <c:pt idx="6">
                  <c:v>32.529644248456414</c:v>
                </c:pt>
                <c:pt idx="7">
                  <c:v>67.8</c:v>
                </c:pt>
                <c:pt idx="8">
                  <c:v>150.01999826999997</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cat>
            <c:strRef>
              <c:f>'1A_CostsByArea'!$A$7:$A$15</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'1A_CostsByArea'!$B$7:$B$15</c:f>
              <c:numCache>
                <c:formatCode>_(* #,##0.0_);_(* \(#,##0.0\);_(* "-"??_);_(@_)</c:formatCode>
                <c:ptCount val="9"/>
                <c:pt idx="0">
                  <c:v>238.07312463000002</c:v>
                </c:pt>
                <c:pt idx="1">
                  <c:v>33.426027722903228</c:v>
                </c:pt>
                <c:pt idx="2">
                  <c:v>46.347048999999998</c:v>
                </c:pt>
                <c:pt idx="3">
                  <c:v>31.852091000000001</c:v>
                </c:pt>
                <c:pt idx="4">
                  <c:v>5.7902050000000003</c:v>
                </c:pt>
                <c:pt idx="5">
                  <c:v>5.59</c:v>
                </c:pt>
                <c:pt idx="6">
                  <c:v>32.529644248456414</c:v>
                </c:pt>
                <c:pt idx="7">
                  <c:v>67.8</c:v>
                </c:pt>
                <c:pt idx="8">
                  <c:v>150.01999826999997</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1"/>
        </c:dLbls>
        <c:firstSliceAng val="45"/>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25769505329860332"/>
                  <c:y val="0.14394948112594239"/>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773652344690307"/>
                      <c:h val="0.10324018061973993"/>
                    </c:manualLayout>
                  </c15:layout>
                </c:ext>
                <c:ext xmlns:c16="http://schemas.microsoft.com/office/drawing/2014/chart" uri="{C3380CC4-5D6E-409C-BE32-E72D297353CC}">
                  <c16:uniqueId val="{00000000-9741-4BA5-9625-BE7798C093FB}"/>
                </c:ext>
              </c:extLst>
            </c:dLbl>
            <c:dLbl>
              <c:idx val="1"/>
              <c:layout>
                <c:manualLayout>
                  <c:x val="-0.12126681508264978"/>
                  <c:y val="-0.14849571700262906"/>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4497850956486227"/>
                      <c:h val="0.13152140617183558"/>
                    </c:manualLayout>
                  </c15:layout>
                </c:ext>
                <c:ext xmlns:c16="http://schemas.microsoft.com/office/drawing/2014/chart" uri="{C3380CC4-5D6E-409C-BE32-E72D297353CC}">
                  <c16:uniqueId val="{00000001-9741-4BA5-9625-BE7798C093FB}"/>
                </c:ext>
              </c:extLst>
            </c:dLbl>
            <c:dLbl>
              <c:idx val="2"/>
              <c:layout>
                <c:manualLayout>
                  <c:x val="4.7866312726089509E-2"/>
                  <c:y val="-2.0696122052753375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02171621336707"/>
                      <c:h val="0.1133781136300028"/>
                    </c:manualLayout>
                  </c15:layout>
                </c:ext>
                <c:ext xmlns:c16="http://schemas.microsoft.com/office/drawing/2014/chart" uri="{C3380CC4-5D6E-409C-BE32-E72D297353CC}">
                  <c16:uniqueId val="{00000002-9741-4BA5-9625-BE7798C093FB}"/>
                </c:ext>
              </c:extLst>
            </c:dLbl>
            <c:dLbl>
              <c:idx val="3"/>
              <c:layout>
                <c:manualLayout>
                  <c:x val="0.17673753778880108"/>
                  <c:y val="-0.2216895746973695"/>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8115117014547755"/>
                      <c:h val="9.3786733837111669E-2"/>
                    </c:manualLayout>
                  </c15:layout>
                </c:ext>
                <c:ext xmlns:c16="http://schemas.microsoft.com/office/drawing/2014/chart" uri="{C3380CC4-5D6E-409C-BE32-E72D297353CC}">
                  <c16:uniqueId val="{00000003-9741-4BA5-9625-BE7798C093FB}"/>
                </c:ext>
              </c:extLst>
            </c:dLbl>
            <c:dLbl>
              <c:idx val="4"/>
              <c:layout>
                <c:manualLayout>
                  <c:x val="5.2980043270829592E-2"/>
                  <c:y val="-9.9528901025778244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6036197562591203"/>
                      <c:h val="0.12020821074947495"/>
                    </c:manualLayout>
                  </c15:layout>
                </c:ext>
                <c:ext xmlns:c16="http://schemas.microsoft.com/office/drawing/2014/chart" uri="{C3380CC4-5D6E-409C-BE32-E72D297353CC}">
                  <c16:uniqueId val="{00000004-9741-4BA5-9625-BE7798C093FB}"/>
                </c:ext>
              </c:extLst>
            </c:dLbl>
            <c:dLbl>
              <c:idx val="5"/>
              <c:layout>
                <c:manualLayout>
                  <c:x val="0.16608686485346824"/>
                  <c:y val="0.14335424696598059"/>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 xmlns:c16="http://schemas.microsoft.com/office/drawing/2014/chart" uri="{C3380CC4-5D6E-409C-BE32-E72D297353CC}">
                  <c16:uniqueId val="{00000005-9741-4BA5-9625-BE7798C093FB}"/>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741-4BA5-9625-BE7798C093FB}"/>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9741-4BA5-9625-BE7798C093FB}"/>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741-4BA5-9625-BE7798C093FB}"/>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741-4BA5-9625-BE7798C093FB}"/>
                </c:ext>
              </c:extLst>
            </c:dLbl>
            <c:dLbl>
              <c:idx val="10"/>
              <c:layout>
                <c:manualLayout>
                  <c:x val="8.3128965675407035E-2"/>
                  <c:y val="7.5079062485610346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9741-4BA5-9625-BE7798C093FB}"/>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9741-4BA5-9625-BE7798C093FB}"/>
                </c:ext>
              </c:extLst>
            </c:dLbl>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'7_RME'!$A$4:$A$9</c:f>
              <c:strCache>
                <c:ptCount val="6"/>
                <c:pt idx="0">
                  <c:v>Artificial Production</c:v>
                </c:pt>
                <c:pt idx="1">
                  <c:v>Habitat</c:v>
                </c:pt>
                <c:pt idx="2">
                  <c:v>Harvest</c:v>
                </c:pt>
                <c:pt idx="3">
                  <c:v>Hydrosystem</c:v>
                </c:pt>
                <c:pt idx="4">
                  <c:v>Predation</c:v>
                </c:pt>
                <c:pt idx="5">
                  <c:v>Programmatic</c:v>
                </c:pt>
              </c:strCache>
            </c:strRef>
          </c:cat>
          <c:val>
            <c:numRef>
              <c:f>'7_RME'!$L$4:$L$9</c:f>
              <c:numCache>
                <c:formatCode>"$"#.0,,\ "million"</c:formatCode>
                <c:ptCount val="6"/>
                <c:pt idx="0">
                  <c:v>24309066</c:v>
                </c:pt>
                <c:pt idx="1">
                  <c:v>13399643</c:v>
                </c:pt>
                <c:pt idx="2">
                  <c:v>985607</c:v>
                </c:pt>
                <c:pt idx="3">
                  <c:v>6683979</c:v>
                </c:pt>
                <c:pt idx="4">
                  <c:v>1120424</c:v>
                </c:pt>
                <c:pt idx="5">
                  <c:v>25702399</c:v>
                </c:pt>
              </c:numCache>
            </c:numRef>
          </c:val>
          <c:extLst>
            <c:ext xmlns:c16="http://schemas.microsoft.com/office/drawing/2014/chart" uri="{C3380CC4-5D6E-409C-BE32-E72D297353CC}">
              <c16:uniqueId val="{0000000C-9741-4BA5-9625-BE7798C093FB}"/>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7.9551314363850208E-3"/>
                  <c:y val="3.7015917720612378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5267346548568847"/>
                      <c:h val="8.6866062397112184E-2"/>
                    </c:manualLayout>
                  </c15:layout>
                </c:ext>
                <c:ext xmlns:c16="http://schemas.microsoft.com/office/drawing/2014/chart" uri="{C3380CC4-5D6E-409C-BE32-E72D297353CC}">
                  <c16:uniqueId val="{00000000-7FEE-4D26-A36B-86FFF3A5B10A}"/>
                </c:ext>
              </c:extLst>
            </c:dLbl>
            <c:dLbl>
              <c:idx val="1"/>
              <c:layout>
                <c:manualLayout>
                  <c:x val="-0.14366432672737101"/>
                  <c:y val="0.1412990252792708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EE-4D26-A36B-86FFF3A5B10A}"/>
                </c:ext>
              </c:extLst>
            </c:dLbl>
            <c:dLbl>
              <c:idx val="2"/>
              <c:layout>
                <c:manualLayout>
                  <c:x val="-0.15923704901125776"/>
                  <c:y val="0.10642857300268196"/>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8207724034495687"/>
                      <c:h val="7.1676462356563109E-2"/>
                    </c:manualLayout>
                  </c15:layout>
                </c:ext>
                <c:ext xmlns:c16="http://schemas.microsoft.com/office/drawing/2014/chart" uri="{C3380CC4-5D6E-409C-BE32-E72D297353CC}">
                  <c16:uniqueId val="{00000002-7FEE-4D26-A36B-86FFF3A5B10A}"/>
                </c:ext>
              </c:extLst>
            </c:dLbl>
            <c:dLbl>
              <c:idx val="3"/>
              <c:layout>
                <c:manualLayout>
                  <c:x val="-0.23337745033526439"/>
                  <c:y val="-0.11967908923223387"/>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598032034075212"/>
                      <c:h val="8.5670305065771057E-2"/>
                    </c:manualLayout>
                  </c15:layout>
                </c:ext>
                <c:ext xmlns:c16="http://schemas.microsoft.com/office/drawing/2014/chart" uri="{C3380CC4-5D6E-409C-BE32-E72D297353CC}">
                  <c16:uniqueId val="{00000003-7FEE-4D26-A36B-86FFF3A5B10A}"/>
                </c:ext>
              </c:extLst>
            </c:dLbl>
            <c:dLbl>
              <c:idx val="4"/>
              <c:layout>
                <c:manualLayout>
                  <c:x val="-4.1014732642624348E-2"/>
                  <c:y val="-5.2014708427159051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35104304016"/>
                      <c:h val="7.9564141384090209E-2"/>
                    </c:manualLayout>
                  </c15:layout>
                </c:ext>
                <c:ext xmlns:c16="http://schemas.microsoft.com/office/drawing/2014/chart" uri="{C3380CC4-5D6E-409C-BE32-E72D297353CC}">
                  <c16:uniqueId val="{00000004-7FEE-4D26-A36B-86FFF3A5B10A}"/>
                </c:ext>
              </c:extLst>
            </c:dLbl>
            <c:dLbl>
              <c:idx val="5"/>
              <c:layout>
                <c:manualLayout>
                  <c:x val="3.1833603581009291E-2"/>
                  <c:y val="-0.16001187823814225"/>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6980625766150093"/>
                      <c:h val="8.4312351384288539E-2"/>
                    </c:manualLayout>
                  </c15:layout>
                </c:ext>
                <c:ext xmlns:c16="http://schemas.microsoft.com/office/drawing/2014/chart" uri="{C3380CC4-5D6E-409C-BE32-E72D297353CC}">
                  <c16:uniqueId val="{00000005-7FEE-4D26-A36B-86FFF3A5B10A}"/>
                </c:ext>
              </c:extLst>
            </c:dLbl>
            <c:dLbl>
              <c:idx val="6"/>
              <c:layout>
                <c:manualLayout>
                  <c:x val="0.13884564098361876"/>
                  <c:y val="-0.17806801227932151"/>
                </c:manualLayout>
              </c:layout>
              <c:showLegendKey val="0"/>
              <c:showVal val="1"/>
              <c:showCatName val="1"/>
              <c:showSerName val="0"/>
              <c:showPercent val="1"/>
              <c:showBubbleSize val="0"/>
              <c:extLst>
                <c:ext xmlns:c15="http://schemas.microsoft.com/office/drawing/2012/chart" uri="{CE6537A1-D6FC-4f65-9D91-7224C49458BB}">
                  <c15:layout>
                    <c:manualLayout>
                      <c:w val="0.17875547013576942"/>
                      <c:h val="6.3280156731038345E-2"/>
                    </c:manualLayout>
                  </c15:layout>
                </c:ext>
                <c:ext xmlns:c16="http://schemas.microsoft.com/office/drawing/2014/chart" uri="{C3380CC4-5D6E-409C-BE32-E72D297353CC}">
                  <c16:uniqueId val="{00000006-7FEE-4D26-A36B-86FFF3A5B10A}"/>
                </c:ext>
              </c:extLst>
            </c:dLbl>
            <c:dLbl>
              <c:idx val="7"/>
              <c:layout>
                <c:manualLayout>
                  <c:x val="0.10971037560702265"/>
                  <c:y val="-4.6957385994257014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5647712910058426"/>
                      <c:h val="7.0318508675080604E-2"/>
                    </c:manualLayout>
                  </c15:layout>
                </c:ext>
                <c:ext xmlns:c16="http://schemas.microsoft.com/office/drawing/2014/chart" uri="{C3380CC4-5D6E-409C-BE32-E72D297353CC}">
                  <c16:uniqueId val="{00000007-7FEE-4D26-A36B-86FFF3A5B10A}"/>
                </c:ext>
              </c:extLst>
            </c:dLbl>
            <c:dLbl>
              <c:idx val="8"/>
              <c:layout>
                <c:manualLayout>
                  <c:x val="0.11168504599176758"/>
                  <c:y val="-5.5935703251199396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FEE-4D26-A36B-86FFF3A5B10A}"/>
                </c:ext>
              </c:extLst>
            </c:dLbl>
            <c:dLbl>
              <c:idx val="9"/>
              <c:layout>
                <c:manualLayout>
                  <c:x val="0.13949647022598996"/>
                  <c:y val="0.11550958523131712"/>
                </c:manualLayout>
              </c:layout>
              <c:showLegendKey val="0"/>
              <c:showVal val="1"/>
              <c:showCatName val="1"/>
              <c:showSerName val="0"/>
              <c:showPercent val="1"/>
              <c:showBubbleSize val="0"/>
              <c:extLst>
                <c:ext xmlns:c15="http://schemas.microsoft.com/office/drawing/2012/chart" uri="{CE6537A1-D6FC-4f65-9D91-7224C49458BB}">
                  <c15:layout>
                    <c:manualLayout>
                      <c:w val="0.18739611190985234"/>
                      <c:h val="6.3280156731038345E-2"/>
                    </c:manualLayout>
                  </c15:layout>
                </c:ext>
                <c:ext xmlns:c16="http://schemas.microsoft.com/office/drawing/2014/chart" uri="{C3380CC4-5D6E-409C-BE32-E72D297353CC}">
                  <c16:uniqueId val="{00000009-7FEE-4D26-A36B-86FFF3A5B10A}"/>
                </c:ext>
              </c:extLst>
            </c:dLbl>
            <c:dLbl>
              <c:idx val="10"/>
              <c:layout>
                <c:manualLayout>
                  <c:x val="0.10448355114229632"/>
                  <c:y val="0.10782764155673699"/>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4740028357382479"/>
                      <c:h val="7.9262226982332484E-2"/>
                    </c:manualLayout>
                  </c15:layout>
                </c:ext>
                <c:ext xmlns:c16="http://schemas.microsoft.com/office/drawing/2014/chart" uri="{C3380CC4-5D6E-409C-BE32-E72D297353CC}">
                  <c16:uniqueId val="{0000000A-7FEE-4D26-A36B-86FFF3A5B10A}"/>
                </c:ext>
              </c:extLst>
            </c:dLbl>
            <c:dLbl>
              <c:idx val="11"/>
              <c:layout>
                <c:manualLayout>
                  <c:x val="0.13782449379258058"/>
                  <c:y val="0.2177725108039076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7FEE-4D26-A36B-86FFF3A5B10A}"/>
                </c:ext>
              </c:extLst>
            </c:dLbl>
            <c:dLbl>
              <c:idx val="12"/>
              <c:layout>
                <c:manualLayout>
                  <c:x val="6.3071586250394204E-2"/>
                  <c:y val="2.868737755387629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5767896562598552"/>
                      <c:h val="9.7956898964455641E-2"/>
                    </c:manualLayout>
                  </c15:layout>
                </c:ext>
                <c:ext xmlns:c16="http://schemas.microsoft.com/office/drawing/2014/chart" uri="{C3380CC4-5D6E-409C-BE32-E72D297353CC}">
                  <c16:uniqueId val="{00000001-09A8-4BAA-AD52-AF6BF40B3F67}"/>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'8A_Province'!$E$29:$E$41</c:f>
              <c:strCache>
                <c:ptCount val="13"/>
                <c:pt idx="0">
                  <c:v>Blue Mountain</c:v>
                </c:pt>
                <c:pt idx="1">
                  <c:v>Columbia Cascade</c:v>
                </c:pt>
                <c:pt idx="2">
                  <c:v>Columbia Gorge</c:v>
                </c:pt>
                <c:pt idx="3">
                  <c:v>Columbia Plateau</c:v>
                </c:pt>
                <c:pt idx="4">
                  <c:v>Columbia Estuary</c:v>
                </c:pt>
                <c:pt idx="5">
                  <c:v>Intermountain</c:v>
                </c:pt>
                <c:pt idx="6">
                  <c:v>Lower Columbia</c:v>
                </c:pt>
                <c:pt idx="7">
                  <c:v>Middle Snake</c:v>
                </c:pt>
                <c:pt idx="8">
                  <c:v>Mountain Columbia</c:v>
                </c:pt>
                <c:pt idx="9">
                  <c:v>Mountain Snake</c:v>
                </c:pt>
                <c:pt idx="10">
                  <c:v>Upper Snake</c:v>
                </c:pt>
                <c:pt idx="11">
                  <c:v>Other</c:v>
                </c:pt>
                <c:pt idx="12">
                  <c:v>Program Support</c:v>
                </c:pt>
              </c:strCache>
            </c:strRef>
          </c:cat>
          <c:val>
            <c:numRef>
              <c:f>'8A_Province'!$F$29:$F$41</c:f>
              <c:numCache>
                <c:formatCode>"$"#.0,,\ "million"</c:formatCode>
                <c:ptCount val="13"/>
                <c:pt idx="0">
                  <c:v>14608802</c:v>
                </c:pt>
                <c:pt idx="1">
                  <c:v>20804476</c:v>
                </c:pt>
                <c:pt idx="2">
                  <c:v>9721637</c:v>
                </c:pt>
                <c:pt idx="3">
                  <c:v>76390650</c:v>
                </c:pt>
                <c:pt idx="4">
                  <c:v>7170541</c:v>
                </c:pt>
                <c:pt idx="5">
                  <c:v>18810502</c:v>
                </c:pt>
                <c:pt idx="6">
                  <c:v>37143967</c:v>
                </c:pt>
                <c:pt idx="7">
                  <c:v>4131290</c:v>
                </c:pt>
                <c:pt idx="8">
                  <c:v>19968805</c:v>
                </c:pt>
                <c:pt idx="9">
                  <c:v>25975173</c:v>
                </c:pt>
                <c:pt idx="10">
                  <c:v>8862776</c:v>
                </c:pt>
                <c:pt idx="11">
                  <c:v>5039768</c:v>
                </c:pt>
                <c:pt idx="12">
                  <c:v>17792570</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'8B_Subbasin'!$B$40:$B$63</c:f>
              <c:strCache>
                <c:ptCount val="24"/>
                <c:pt idx="0">
                  <c:v>Hood</c:v>
                </c:pt>
                <c:pt idx="1">
                  <c:v>Columbia Lower Middle</c:v>
                </c:pt>
                <c:pt idx="2">
                  <c:v>Clark Fork</c:v>
                </c:pt>
                <c:pt idx="3">
                  <c:v>Flathead</c:v>
                </c:pt>
                <c:pt idx="4">
                  <c:v>Snake Lower</c:v>
                </c:pt>
                <c:pt idx="5">
                  <c:v>Columbia Estuary</c:v>
                </c:pt>
                <c:pt idx="6">
                  <c:v>Other</c:v>
                </c:pt>
                <c:pt idx="7">
                  <c:v>Okanogan</c:v>
                </c:pt>
                <c:pt idx="8">
                  <c:v>Methow</c:v>
                </c:pt>
                <c:pt idx="9">
                  <c:v>Pend Oreille</c:v>
                </c:pt>
                <c:pt idx="10">
                  <c:v>Columbia Upper Middle</c:v>
                </c:pt>
                <c:pt idx="11">
                  <c:v>Columbia Upper</c:v>
                </c:pt>
                <c:pt idx="12">
                  <c:v>Deschutes</c:v>
                </c:pt>
                <c:pt idx="13">
                  <c:v>Umatilla</c:v>
                </c:pt>
                <c:pt idx="14">
                  <c:v>John Day</c:v>
                </c:pt>
                <c:pt idx="15">
                  <c:v>Snake Upper</c:v>
                </c:pt>
                <c:pt idx="16">
                  <c:v>Kootenai</c:v>
                </c:pt>
                <c:pt idx="17">
                  <c:v>Grande Ronde</c:v>
                </c:pt>
                <c:pt idx="18">
                  <c:v>Clearwater</c:v>
                </c:pt>
                <c:pt idx="19">
                  <c:v>Salmon</c:v>
                </c:pt>
                <c:pt idx="20">
                  <c:v>Columbia Lower</c:v>
                </c:pt>
                <c:pt idx="21">
                  <c:v>Walla Walla</c:v>
                </c:pt>
                <c:pt idx="22">
                  <c:v>Willamette</c:v>
                </c:pt>
                <c:pt idx="23">
                  <c:v>Yakima</c:v>
                </c:pt>
              </c:strCache>
            </c:strRef>
          </c:cat>
          <c:val>
            <c:numRef>
              <c:f>'8B_Subbasin'!$C$40:$C$63</c:f>
              <c:numCache>
                <c:formatCode>_(* #,##0_);_(* \(#,##0\);_(* "-"??_);_(@_)</c:formatCode>
                <c:ptCount val="24"/>
                <c:pt idx="0">
                  <c:v>3470656</c:v>
                </c:pt>
                <c:pt idx="1">
                  <c:v>4084647</c:v>
                </c:pt>
                <c:pt idx="2">
                  <c:v>4390636</c:v>
                </c:pt>
                <c:pt idx="3">
                  <c:v>4492830</c:v>
                </c:pt>
                <c:pt idx="4">
                  <c:v>4701192</c:v>
                </c:pt>
                <c:pt idx="5">
                  <c:v>4794544</c:v>
                </c:pt>
                <c:pt idx="6">
                  <c:v>5039768</c:v>
                </c:pt>
                <c:pt idx="7">
                  <c:v>5113491</c:v>
                </c:pt>
                <c:pt idx="8">
                  <c:v>5192007</c:v>
                </c:pt>
                <c:pt idx="9">
                  <c:v>5651060</c:v>
                </c:pt>
                <c:pt idx="10">
                  <c:v>6084261</c:v>
                </c:pt>
                <c:pt idx="11">
                  <c:v>6261922</c:v>
                </c:pt>
                <c:pt idx="12">
                  <c:v>6293622</c:v>
                </c:pt>
                <c:pt idx="13">
                  <c:v>7947325</c:v>
                </c:pt>
                <c:pt idx="14">
                  <c:v>8134508</c:v>
                </c:pt>
                <c:pt idx="15">
                  <c:v>8450461</c:v>
                </c:pt>
                <c:pt idx="16">
                  <c:v>10698904</c:v>
                </c:pt>
                <c:pt idx="17">
                  <c:v>11856025</c:v>
                </c:pt>
                <c:pt idx="18">
                  <c:v>12695998</c:v>
                </c:pt>
                <c:pt idx="19">
                  <c:v>13279175</c:v>
                </c:pt>
                <c:pt idx="20">
                  <c:v>14303365</c:v>
                </c:pt>
                <c:pt idx="21">
                  <c:v>16903087</c:v>
                </c:pt>
                <c:pt idx="22">
                  <c:v>22221493</c:v>
                </c:pt>
                <c:pt idx="23">
                  <c:v>25120989</c:v>
                </c:pt>
              </c:numCache>
            </c:numRef>
          </c:val>
          <c:extLst>
            <c:ext xmlns:c16="http://schemas.microsoft.com/office/drawing/2014/chart" uri="{C3380CC4-5D6E-409C-BE32-E72D297353CC}">
              <c16:uniqueId val="{00000000-3C35-469A-9BA5-CF3170D51A4C}"/>
            </c:ext>
          </c:extLst>
        </c:ser>
        <c:dLbls>
          <c:showLegendKey val="0"/>
          <c:showVal val="0"/>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0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'10_Contractor'!$B$81:$B$113</c:f>
              <c:strCache>
                <c:ptCount val="33"/>
                <c:pt idx="0">
                  <c:v>Federal: BPA Overhead (&amp; Non-Contracted Project Costs)</c:v>
                </c:pt>
                <c:pt idx="1">
                  <c:v>Federal: National Marine Fisheries</c:v>
                </c:pt>
                <c:pt idx="2">
                  <c:v>Federal: US Geological Survey</c:v>
                </c:pt>
                <c:pt idx="3">
                  <c:v>Federal: US Fish &amp; Wildlife Service</c:v>
                </c:pt>
                <c:pt idx="4">
                  <c:v>Federal: Pacific NW National Laboratory</c:v>
                </c:pt>
                <c:pt idx="5">
                  <c:v>Federal: US Forest Service</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Colville Confederated Tribes</c:v>
                </c:pt>
                <c:pt idx="14">
                  <c:v>Tribe: Nez Perce Tribe</c:v>
                </c:pt>
                <c:pt idx="15">
                  <c:v>Tribe: Umatilla Confederated Tribes</c:v>
                </c:pt>
                <c:pt idx="16">
                  <c:v>Tribe: Kootenai Tribe</c:v>
                </c:pt>
                <c:pt idx="17">
                  <c:v>Tribe: Columbia River Intertribal Fish Commission</c:v>
                </c:pt>
                <c:pt idx="18">
                  <c:v>Tribe: Confederated Tribes of Warm Springs</c:v>
                </c:pt>
                <c:pt idx="19">
                  <c:v>Tribe: Kalispel Tribe of Indians</c:v>
                </c:pt>
                <c:pt idx="20">
                  <c:v>Tribe: Shoshone-Bannock Tribes</c:v>
                </c:pt>
                <c:pt idx="21">
                  <c:v>Tribe: Spokane Tribe of Indians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'10_Contractor'!#REF!</c:f>
              <c:numCache>
                <c:formatCode>General</c:formatCode>
                <c:ptCount val="1"/>
                <c:pt idx="0">
                  <c:v>1</c:v>
                </c:pt>
              </c:numCache>
            </c:numRef>
          </c:val>
          <c:extLst>
            <c:ext xmlns:c16="http://schemas.microsoft.com/office/drawing/2014/chart" uri="{C3380CC4-5D6E-409C-BE32-E72D297353CC}">
              <c16:uniqueId val="{00000000-ABC7-4D9D-AA9B-3B928F48D1DC}"/>
            </c:ext>
          </c:extLst>
        </c:ser>
        <c:ser>
          <c:idx val="1"/>
          <c:order val="1"/>
          <c:spPr>
            <a:solidFill>
              <a:schemeClr val="accent2"/>
            </a:solidFill>
            <a:ln>
              <a:noFill/>
            </a:ln>
            <a:effectLst/>
          </c:spPr>
          <c:invertIfNegative val="0"/>
          <c:dPt>
            <c:idx val="6"/>
            <c:invertIfNegative val="0"/>
            <c:bubble3D val="0"/>
            <c:spPr>
              <a:solidFill>
                <a:srgbClr val="C0504D"/>
              </a:solidFill>
              <a:ln>
                <a:noFill/>
              </a:ln>
              <a:effectLst/>
            </c:spPr>
            <c:extLst>
              <c:ext xmlns:c16="http://schemas.microsoft.com/office/drawing/2014/chart" uri="{C3380CC4-5D6E-409C-BE32-E72D297353CC}">
                <c16:uniqueId val="{00000002-ABC7-4D9D-AA9B-3B928F48D1DC}"/>
              </c:ext>
            </c:extLst>
          </c:dPt>
          <c:dPt>
            <c:idx val="7"/>
            <c:invertIfNegative val="0"/>
            <c:bubble3D val="0"/>
            <c:spPr>
              <a:solidFill>
                <a:srgbClr val="9AB9D2"/>
              </a:solidFill>
              <a:ln>
                <a:noFill/>
              </a:ln>
              <a:effectLst/>
            </c:spPr>
            <c:extLst>
              <c:ext xmlns:c16="http://schemas.microsoft.com/office/drawing/2014/chart" uri="{C3380CC4-5D6E-409C-BE32-E72D297353CC}">
                <c16:uniqueId val="{00000004-ABC7-4D9D-AA9B-3B928F48D1DC}"/>
              </c:ext>
            </c:extLst>
          </c:dPt>
          <c:dPt>
            <c:idx val="8"/>
            <c:invertIfNegative val="0"/>
            <c:bubble3D val="0"/>
            <c:spPr>
              <a:solidFill>
                <a:srgbClr val="9AB9D2"/>
              </a:solidFill>
              <a:ln>
                <a:noFill/>
              </a:ln>
              <a:effectLst/>
            </c:spPr>
            <c:extLst>
              <c:ext xmlns:c16="http://schemas.microsoft.com/office/drawing/2014/chart" uri="{C3380CC4-5D6E-409C-BE32-E72D297353CC}">
                <c16:uniqueId val="{00000006-ABC7-4D9D-AA9B-3B928F48D1DC}"/>
              </c:ext>
            </c:extLst>
          </c:dPt>
          <c:dPt>
            <c:idx val="9"/>
            <c:invertIfNegative val="0"/>
            <c:bubble3D val="0"/>
            <c:spPr>
              <a:solidFill>
                <a:srgbClr val="9AB9D2"/>
              </a:solidFill>
              <a:ln>
                <a:noFill/>
              </a:ln>
              <a:effectLst/>
            </c:spPr>
            <c:extLst>
              <c:ext xmlns:c16="http://schemas.microsoft.com/office/drawing/2014/chart" uri="{C3380CC4-5D6E-409C-BE32-E72D297353CC}">
                <c16:uniqueId val="{00000008-ABC7-4D9D-AA9B-3B928F48D1DC}"/>
              </c:ext>
            </c:extLst>
          </c:dPt>
          <c:dPt>
            <c:idx val="10"/>
            <c:invertIfNegative val="0"/>
            <c:bubble3D val="0"/>
            <c:spPr>
              <a:solidFill>
                <a:srgbClr val="9AB9D2"/>
              </a:solidFill>
              <a:ln>
                <a:noFill/>
              </a:ln>
              <a:effectLst/>
            </c:spPr>
            <c:extLst>
              <c:ext xmlns:c16="http://schemas.microsoft.com/office/drawing/2014/chart" uri="{C3380CC4-5D6E-409C-BE32-E72D297353CC}">
                <c16:uniqueId val="{0000000A-ABC7-4D9D-AA9B-3B928F48D1DC}"/>
              </c:ext>
            </c:extLst>
          </c:dPt>
          <c:dPt>
            <c:idx val="11"/>
            <c:invertIfNegative val="0"/>
            <c:bubble3D val="0"/>
            <c:spPr>
              <a:solidFill>
                <a:srgbClr val="9AB9D2"/>
              </a:solidFill>
              <a:ln>
                <a:noFill/>
              </a:ln>
              <a:effectLst/>
            </c:spPr>
            <c:extLst>
              <c:ext xmlns:c16="http://schemas.microsoft.com/office/drawing/2014/chart" uri="{C3380CC4-5D6E-409C-BE32-E72D297353CC}">
                <c16:uniqueId val="{0000000C-ABC7-4D9D-AA9B-3B928F48D1DC}"/>
              </c:ext>
            </c:extLst>
          </c:dPt>
          <c:dPt>
            <c:idx val="12"/>
            <c:invertIfNegative val="0"/>
            <c:bubble3D val="0"/>
            <c:spPr>
              <a:solidFill>
                <a:srgbClr val="C3D69B"/>
              </a:solidFill>
              <a:ln>
                <a:noFill/>
              </a:ln>
              <a:effectLst/>
            </c:spPr>
            <c:extLst>
              <c:ext xmlns:c16="http://schemas.microsoft.com/office/drawing/2014/chart" uri="{C3380CC4-5D6E-409C-BE32-E72D297353CC}">
                <c16:uniqueId val="{0000000E-ABC7-4D9D-AA9B-3B928F48D1DC}"/>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0-ABC7-4D9D-AA9B-3B928F48D1DC}"/>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2-ABC7-4D9D-AA9B-3B928F48D1DC}"/>
              </c:ext>
            </c:extLst>
          </c:dPt>
          <c:dPt>
            <c:idx val="1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4-ABC7-4D9D-AA9B-3B928F48D1DC}"/>
              </c:ext>
            </c:extLst>
          </c:dPt>
          <c:dPt>
            <c:idx val="1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6-ABC7-4D9D-AA9B-3B928F48D1DC}"/>
              </c:ext>
            </c:extLst>
          </c:dPt>
          <c:dPt>
            <c:idx val="1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ABC7-4D9D-AA9B-3B928F48D1DC}"/>
              </c:ext>
            </c:extLst>
          </c:dPt>
          <c:dPt>
            <c:idx val="1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A-ABC7-4D9D-AA9B-3B928F48D1DC}"/>
              </c:ext>
            </c:extLst>
          </c:dPt>
          <c:dPt>
            <c:idx val="1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C-ABC7-4D9D-AA9B-3B928F48D1DC}"/>
              </c:ext>
            </c:extLst>
          </c:dPt>
          <c:dPt>
            <c:idx val="2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E-ABC7-4D9D-AA9B-3B928F48D1DC}"/>
              </c:ext>
            </c:extLst>
          </c:dPt>
          <c:dPt>
            <c:idx val="2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0-ABC7-4D9D-AA9B-3B928F48D1DC}"/>
              </c:ext>
            </c:extLst>
          </c:dPt>
          <c:dPt>
            <c:idx val="2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2-ABC7-4D9D-AA9B-3B928F48D1DC}"/>
              </c:ext>
            </c:extLst>
          </c:dPt>
          <c:dPt>
            <c:idx val="2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4-ABC7-4D9D-AA9B-3B928F48D1DC}"/>
              </c:ext>
            </c:extLst>
          </c:dPt>
          <c:dPt>
            <c:idx val="2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6-ABC7-4D9D-AA9B-3B928F48D1DC}"/>
              </c:ext>
            </c:extLst>
          </c:dPt>
          <c:dPt>
            <c:idx val="25"/>
            <c:invertIfNegative val="0"/>
            <c:bubble3D val="0"/>
            <c:spPr>
              <a:solidFill>
                <a:srgbClr val="C3D69B"/>
              </a:solidFill>
              <a:ln>
                <a:noFill/>
              </a:ln>
              <a:effectLst/>
            </c:spPr>
            <c:extLst>
              <c:ext xmlns:c16="http://schemas.microsoft.com/office/drawing/2014/chart" uri="{C3380CC4-5D6E-409C-BE32-E72D297353CC}">
                <c16:uniqueId val="{00000028-ABC7-4D9D-AA9B-3B928F48D1DC}"/>
              </c:ext>
            </c:extLst>
          </c:dPt>
          <c:dPt>
            <c:idx val="26"/>
            <c:invertIfNegative val="0"/>
            <c:bubble3D val="0"/>
            <c:spPr>
              <a:solidFill>
                <a:srgbClr val="8064A2"/>
              </a:solidFill>
              <a:ln>
                <a:noFill/>
              </a:ln>
              <a:effectLst/>
            </c:spPr>
            <c:extLst>
              <c:ext xmlns:c16="http://schemas.microsoft.com/office/drawing/2014/chart" uri="{C3380CC4-5D6E-409C-BE32-E72D297353CC}">
                <c16:uniqueId val="{0000002A-ABC7-4D9D-AA9B-3B928F48D1DC}"/>
              </c:ext>
            </c:extLst>
          </c:dPt>
          <c:dPt>
            <c:idx val="27"/>
            <c:invertIfNegative val="0"/>
            <c:bubble3D val="0"/>
            <c:spPr>
              <a:solidFill>
                <a:srgbClr val="FFC000"/>
              </a:solidFill>
              <a:ln>
                <a:noFill/>
              </a:ln>
              <a:effectLst/>
            </c:spPr>
            <c:extLst>
              <c:ext xmlns:c16="http://schemas.microsoft.com/office/drawing/2014/chart" uri="{C3380CC4-5D6E-409C-BE32-E72D297353CC}">
                <c16:uniqueId val="{0000002C-ABC7-4D9D-AA9B-3B928F48D1DC}"/>
              </c:ext>
            </c:extLst>
          </c:dPt>
          <c:dPt>
            <c:idx val="28"/>
            <c:invertIfNegative val="0"/>
            <c:bubble3D val="0"/>
            <c:spPr>
              <a:solidFill>
                <a:schemeClr val="bg1">
                  <a:lumMod val="65000"/>
                </a:schemeClr>
              </a:solidFill>
              <a:ln>
                <a:noFill/>
              </a:ln>
              <a:effectLst/>
            </c:spPr>
            <c:extLst>
              <c:ext xmlns:c16="http://schemas.microsoft.com/office/drawing/2014/chart" uri="{C3380CC4-5D6E-409C-BE32-E72D297353CC}">
                <c16:uniqueId val="{0000002E-ABC7-4D9D-AA9B-3B928F48D1DC}"/>
              </c:ext>
            </c:extLst>
          </c:dPt>
          <c:dPt>
            <c:idx val="29"/>
            <c:invertIfNegative val="0"/>
            <c:bubble3D val="0"/>
            <c:spPr>
              <a:solidFill>
                <a:schemeClr val="bg1">
                  <a:lumMod val="65000"/>
                </a:schemeClr>
              </a:solidFill>
              <a:ln>
                <a:noFill/>
              </a:ln>
              <a:effectLst/>
            </c:spPr>
            <c:extLst>
              <c:ext xmlns:c16="http://schemas.microsoft.com/office/drawing/2014/chart" uri="{C3380CC4-5D6E-409C-BE32-E72D297353CC}">
                <c16:uniqueId val="{00000030-ABC7-4D9D-AA9B-3B928F48D1DC}"/>
              </c:ext>
            </c:extLst>
          </c:dPt>
          <c:dPt>
            <c:idx val="30"/>
            <c:invertIfNegative val="0"/>
            <c:bubble3D val="0"/>
            <c:spPr>
              <a:solidFill>
                <a:schemeClr val="bg1">
                  <a:lumMod val="65000"/>
                </a:schemeClr>
              </a:solidFill>
              <a:ln>
                <a:noFill/>
              </a:ln>
              <a:effectLst/>
            </c:spPr>
            <c:extLst>
              <c:ext xmlns:c16="http://schemas.microsoft.com/office/drawing/2014/chart" uri="{C3380CC4-5D6E-409C-BE32-E72D297353CC}">
                <c16:uniqueId val="{00000032-ABC7-4D9D-AA9B-3B928F48D1DC}"/>
              </c:ext>
            </c:extLst>
          </c:dPt>
          <c:dPt>
            <c:idx val="31"/>
            <c:invertIfNegative val="0"/>
            <c:bubble3D val="0"/>
            <c:spPr>
              <a:solidFill>
                <a:schemeClr val="bg1">
                  <a:lumMod val="65000"/>
                </a:schemeClr>
              </a:solidFill>
              <a:ln>
                <a:noFill/>
              </a:ln>
              <a:effectLst/>
            </c:spPr>
            <c:extLst>
              <c:ext xmlns:c16="http://schemas.microsoft.com/office/drawing/2014/chart" uri="{C3380CC4-5D6E-409C-BE32-E72D297353CC}">
                <c16:uniqueId val="{00000034-ABC7-4D9D-AA9B-3B928F48D1DC}"/>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36-ABC7-4D9D-AA9B-3B928F48D1DC}"/>
              </c:ext>
            </c:extLst>
          </c:dPt>
          <c:cat>
            <c:strRef>
              <c:f>'10_Contractor'!$B$81:$B$113</c:f>
              <c:strCache>
                <c:ptCount val="33"/>
                <c:pt idx="0">
                  <c:v>Federal: BPA Overhead (&amp; Non-Contracted Project Costs)</c:v>
                </c:pt>
                <c:pt idx="1">
                  <c:v>Federal: National Marine Fisheries</c:v>
                </c:pt>
                <c:pt idx="2">
                  <c:v>Federal: US Geological Survey</c:v>
                </c:pt>
                <c:pt idx="3">
                  <c:v>Federal: US Fish &amp; Wildlife Service</c:v>
                </c:pt>
                <c:pt idx="4">
                  <c:v>Federal: Pacific NW National Laboratory</c:v>
                </c:pt>
                <c:pt idx="5">
                  <c:v>Federal: US Forest Service</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Colville Confederated Tribes</c:v>
                </c:pt>
                <c:pt idx="14">
                  <c:v>Tribe: Nez Perce Tribe</c:v>
                </c:pt>
                <c:pt idx="15">
                  <c:v>Tribe: Umatilla Confederated Tribes</c:v>
                </c:pt>
                <c:pt idx="16">
                  <c:v>Tribe: Kootenai Tribe</c:v>
                </c:pt>
                <c:pt idx="17">
                  <c:v>Tribe: Columbia River Intertribal Fish Commission</c:v>
                </c:pt>
                <c:pt idx="18">
                  <c:v>Tribe: Confederated Tribes of Warm Springs</c:v>
                </c:pt>
                <c:pt idx="19">
                  <c:v>Tribe: Kalispel Tribe of Indians</c:v>
                </c:pt>
                <c:pt idx="20">
                  <c:v>Tribe: Shoshone-Bannock Tribes</c:v>
                </c:pt>
                <c:pt idx="21">
                  <c:v>Tribe: Spokane Tribe of Indians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'10_Contractor'!$C$81:$C$113</c:f>
              <c:numCache>
                <c:formatCode>"$"#,##0</c:formatCode>
                <c:ptCount val="33"/>
                <c:pt idx="0">
                  <c:v>16857123</c:v>
                </c:pt>
                <c:pt idx="1">
                  <c:v>6717704</c:v>
                </c:pt>
                <c:pt idx="2">
                  <c:v>1611234</c:v>
                </c:pt>
                <c:pt idx="3">
                  <c:v>1554790</c:v>
                </c:pt>
                <c:pt idx="4">
                  <c:v>1033555</c:v>
                </c:pt>
                <c:pt idx="5">
                  <c:v>481619</c:v>
                </c:pt>
                <c:pt idx="6">
                  <c:v>116352</c:v>
                </c:pt>
                <c:pt idx="7">
                  <c:v>13304458</c:v>
                </c:pt>
                <c:pt idx="8">
                  <c:v>15378235</c:v>
                </c:pt>
                <c:pt idx="9">
                  <c:v>11813405</c:v>
                </c:pt>
                <c:pt idx="10">
                  <c:v>2871776</c:v>
                </c:pt>
                <c:pt idx="11">
                  <c:v>3809330</c:v>
                </c:pt>
                <c:pt idx="12">
                  <c:v>24699925.880000006</c:v>
                </c:pt>
                <c:pt idx="13">
                  <c:v>15721688.430000002</c:v>
                </c:pt>
                <c:pt idx="14">
                  <c:v>14435811.690000001</c:v>
                </c:pt>
                <c:pt idx="15">
                  <c:v>13264626.269999998</c:v>
                </c:pt>
                <c:pt idx="16">
                  <c:v>9704134.8000000007</c:v>
                </c:pt>
                <c:pt idx="17">
                  <c:v>8724318.0399999991</c:v>
                </c:pt>
                <c:pt idx="18">
                  <c:v>7546706.6000000006</c:v>
                </c:pt>
                <c:pt idx="19">
                  <c:v>4047469.5899999994</c:v>
                </c:pt>
                <c:pt idx="20">
                  <c:v>4618923.32</c:v>
                </c:pt>
                <c:pt idx="21">
                  <c:v>3740162.64</c:v>
                </c:pt>
                <c:pt idx="22">
                  <c:v>2722870.8299999996</c:v>
                </c:pt>
                <c:pt idx="23">
                  <c:v>973600.29999999993</c:v>
                </c:pt>
                <c:pt idx="24">
                  <c:v>851605.42999999993</c:v>
                </c:pt>
                <c:pt idx="25">
                  <c:v>1911379</c:v>
                </c:pt>
                <c:pt idx="26">
                  <c:v>12198315</c:v>
                </c:pt>
                <c:pt idx="27">
                  <c:v>2789751</c:v>
                </c:pt>
                <c:pt idx="28">
                  <c:v>40817153</c:v>
                </c:pt>
                <c:pt idx="29">
                  <c:v>12846602</c:v>
                </c:pt>
                <c:pt idx="30">
                  <c:v>5002530</c:v>
                </c:pt>
                <c:pt idx="31">
                  <c:v>2996964</c:v>
                </c:pt>
                <c:pt idx="32">
                  <c:v>1352094</c:v>
                </c:pt>
              </c:numCache>
            </c:numRef>
          </c:val>
          <c:extLst>
            <c:ext xmlns:c16="http://schemas.microsoft.com/office/drawing/2014/chart" uri="{C3380CC4-5D6E-409C-BE32-E72D297353CC}">
              <c16:uniqueId val="{00000037-ABC7-4D9D-AA9B-3B928F48D1DC}"/>
            </c:ext>
          </c:extLst>
        </c:ser>
        <c:dLbls>
          <c:showLegendKey val="0"/>
          <c:showVal val="0"/>
          <c:showCatName val="0"/>
          <c:showSerName val="0"/>
          <c:showPercent val="0"/>
          <c:showBubbleSize val="0"/>
        </c:dLbls>
        <c:gapWidth val="0"/>
        <c:overlap val="3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'11_LandPurchases'!$A$32:$A$38</c:f>
              <c:strCache>
                <c:ptCount val="7"/>
                <c:pt idx="0">
                  <c:v>Oregon Department Of Fish and Wildlife (ODFW)</c:v>
                </c:pt>
                <c:pt idx="1">
                  <c:v>Idaho Department of Fish and Game (IDFG)</c:v>
                </c:pt>
                <c:pt idx="2">
                  <c:v>Salish and Kootenai Confederated Tribes</c:v>
                </c:pt>
                <c:pt idx="3">
                  <c:v>Yakama Confederated Tribes</c:v>
                </c:pt>
                <c:pt idx="4">
                  <c:v>Lower Columbia Estuary Partnership (LCEP)</c:v>
                </c:pt>
                <c:pt idx="5">
                  <c:v>Columbia Land Trust</c:v>
                </c:pt>
                <c:pt idx="6">
                  <c:v>Kalispel Tribe</c:v>
                </c:pt>
              </c:strCache>
            </c:strRef>
          </c:cat>
          <c:val>
            <c:numRef>
              <c:f>'11_LandPurchases'!$B$32:$B$38</c:f>
              <c:numCache>
                <c:formatCode>"$"#,##0</c:formatCode>
                <c:ptCount val="7"/>
                <c:pt idx="0">
                  <c:v>5592447</c:v>
                </c:pt>
                <c:pt idx="1">
                  <c:v>3892087</c:v>
                </c:pt>
                <c:pt idx="2">
                  <c:v>1698152</c:v>
                </c:pt>
                <c:pt idx="3">
                  <c:v>638445</c:v>
                </c:pt>
                <c:pt idx="4">
                  <c:v>627892</c:v>
                </c:pt>
                <c:pt idx="5">
                  <c:v>204337</c:v>
                </c:pt>
                <c:pt idx="6">
                  <c:v>184205</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483681728"/>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'12_Cumulative'!$A$6</c:f>
              <c:strCache>
                <c:ptCount val="1"/>
                <c:pt idx="0">
                  <c:v>Power Purchases</c:v>
                </c:pt>
              </c:strCache>
            </c:strRef>
          </c:tx>
          <c:spPr>
            <a:solidFill>
              <a:srgbClr val="4F81BD"/>
            </a:solidFill>
            <a:ln>
              <a:noFill/>
            </a:ln>
            <a:effectLst/>
          </c:spPr>
          <c:cat>
            <c:numRef>
              <c:f>'12_Cumulative'!$C$5:$AN$5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'12_Cumulative'!$C$6:$AN$6</c:f>
              <c:numCache>
                <c:formatCode>_(* #,##0.0_);_(* \(#,##0.0\);_(* "-"??_);_(@_)</c:formatCode>
                <c:ptCount val="38"/>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2908.4776403128003</c:v>
                </c:pt>
                <c:pt idx="26">
                  <c:v>3029.1676403128004</c:v>
                </c:pt>
                <c:pt idx="27">
                  <c:v>3304.1151715013721</c:v>
                </c:pt>
                <c:pt idx="28">
                  <c:v>3544.4265926055655</c:v>
                </c:pt>
                <c:pt idx="29">
                  <c:v>3854.4929987687915</c:v>
                </c:pt>
                <c:pt idx="30">
                  <c:v>3925.1834749287914</c:v>
                </c:pt>
                <c:pt idx="31">
                  <c:v>3963.6334749287912</c:v>
                </c:pt>
                <c:pt idx="32">
                  <c:v>4049.4374749287913</c:v>
                </c:pt>
                <c:pt idx="33">
                  <c:v>4245.589253548791</c:v>
                </c:pt>
                <c:pt idx="34">
                  <c:v>4313.070576635243</c:v>
                </c:pt>
                <c:pt idx="35">
                  <c:v>4363.3616128404046</c:v>
                </c:pt>
                <c:pt idx="36">
                  <c:v>4342.8256128404046</c:v>
                </c:pt>
                <c:pt idx="37">
                  <c:v>4367.086273836534</c:v>
                </c:pt>
              </c:numCache>
            </c:numRef>
          </c:val>
          <c:extLst>
            <c:ext xmlns:c16="http://schemas.microsoft.com/office/drawing/2014/chart" uri="{C3380CC4-5D6E-409C-BE32-E72D297353CC}">
              <c16:uniqueId val="{00000000-575D-460B-AEE9-BAF0696656B2}"/>
            </c:ext>
          </c:extLst>
        </c:ser>
        <c:ser>
          <c:idx val="1"/>
          <c:order val="1"/>
          <c:tx>
            <c:strRef>
              <c:f>'12_Cumulative'!$A$7</c:f>
              <c:strCache>
                <c:ptCount val="1"/>
                <c:pt idx="0">
                  <c:v>Forgone Revenues</c:v>
                </c:pt>
              </c:strCache>
            </c:strRef>
          </c:tx>
          <c:spPr>
            <a:solidFill>
              <a:srgbClr val="C0504D"/>
            </a:solidFill>
            <a:ln>
              <a:noFill/>
            </a:ln>
            <a:effectLst/>
          </c:spPr>
          <c:cat>
            <c:numRef>
              <c:f>'12_Cumulative'!$C$5:$AN$5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'12_Cumulative'!$C$7:$AN$7</c:f>
              <c:numCache>
                <c:formatCode>_(* #,##0.0_);_(* \(#,##0.0\);_(* "-"??_);_(@_)</c:formatCode>
                <c:ptCount val="38"/>
                <c:pt idx="0">
                  <c:v>3</c:v>
                </c:pt>
                <c:pt idx="1">
                  <c:v>17</c:v>
                </c:pt>
                <c:pt idx="2">
                  <c:v>18</c:v>
                </c:pt>
                <c:pt idx="3">
                  <c:v>26</c:v>
                </c:pt>
                <c:pt idx="4">
                  <c:v>53</c:v>
                </c:pt>
                <c:pt idx="5">
                  <c:v>72</c:v>
                </c:pt>
                <c:pt idx="6">
                  <c:v>81</c:v>
                </c:pt>
                <c:pt idx="7">
                  <c:v>91</c:v>
                </c:pt>
                <c:pt idx="8">
                  <c:v>106</c:v>
                </c:pt>
                <c:pt idx="9">
                  <c:v>121</c:v>
                </c:pt>
                <c:pt idx="10">
                  <c:v>136</c:v>
                </c:pt>
                <c:pt idx="11">
                  <c:v>159</c:v>
                </c:pt>
                <c:pt idx="12">
                  <c:v>204</c:v>
                </c:pt>
                <c:pt idx="13">
                  <c:v>266</c:v>
                </c:pt>
                <c:pt idx="14">
                  <c:v>273.10000000000002</c:v>
                </c:pt>
                <c:pt idx="15">
                  <c:v>354.8</c:v>
                </c:pt>
                <c:pt idx="16">
                  <c:v>462.6</c:v>
                </c:pt>
                <c:pt idx="17">
                  <c:v>579.1</c:v>
                </c:pt>
                <c:pt idx="18">
                  <c:v>776.90000000000009</c:v>
                </c:pt>
                <c:pt idx="19">
                  <c:v>970.00000000000011</c:v>
                </c:pt>
                <c:pt idx="20">
                  <c:v>1085.9000000000001</c:v>
                </c:pt>
                <c:pt idx="21">
                  <c:v>1098.5</c:v>
                </c:pt>
                <c:pt idx="22">
                  <c:v>1177.7</c:v>
                </c:pt>
                <c:pt idx="23">
                  <c:v>1199.4000000000001</c:v>
                </c:pt>
                <c:pt idx="24">
                  <c:v>1381.5</c:v>
                </c:pt>
                <c:pt idx="25">
                  <c:v>1778.9380996800001</c:v>
                </c:pt>
                <c:pt idx="26">
                  <c:v>2061.5630996800001</c:v>
                </c:pt>
                <c:pt idx="27">
                  <c:v>2335.0825265371427</c:v>
                </c:pt>
                <c:pt idx="28">
                  <c:v>2477.8965265371426</c:v>
                </c:pt>
                <c:pt idx="29">
                  <c:v>2577.3274901139166</c:v>
                </c:pt>
                <c:pt idx="30">
                  <c:v>2734.0094936139167</c:v>
                </c:pt>
                <c:pt idx="31">
                  <c:v>2886.2094936139165</c:v>
                </c:pt>
                <c:pt idx="32">
                  <c:v>3021.7174936139163</c:v>
                </c:pt>
                <c:pt idx="33">
                  <c:v>3144.4618380929487</c:v>
                </c:pt>
                <c:pt idx="34">
                  <c:v>3340.2572852013359</c:v>
                </c:pt>
                <c:pt idx="35">
                  <c:v>3416.8991706426264</c:v>
                </c:pt>
                <c:pt idx="36">
                  <c:v>3426.4991706426263</c:v>
                </c:pt>
                <c:pt idx="37">
                  <c:v>3429.3991706426264</c:v>
                </c:pt>
              </c:numCache>
            </c:numRef>
          </c:val>
          <c:extLst>
            <c:ext xmlns:c16="http://schemas.microsoft.com/office/drawing/2014/chart" uri="{C3380CC4-5D6E-409C-BE32-E72D297353CC}">
              <c16:uniqueId val="{00000001-575D-460B-AEE9-BAF0696656B2}"/>
            </c:ext>
          </c:extLst>
        </c:ser>
        <c:ser>
          <c:idx val="2"/>
          <c:order val="2"/>
          <c:tx>
            <c:strRef>
              <c:f>'12_Cumulative'!$A$8</c:f>
              <c:strCache>
                <c:ptCount val="1"/>
                <c:pt idx="0">
                  <c:v>Reimbursable Expenses</c:v>
                </c:pt>
              </c:strCache>
            </c:strRef>
          </c:tx>
          <c:spPr>
            <a:solidFill>
              <a:srgbClr val="9BBB59"/>
            </a:solidFill>
            <a:ln>
              <a:noFill/>
            </a:ln>
            <a:effectLst/>
          </c:spPr>
          <c:cat>
            <c:numRef>
              <c:f>'12_Cumulative'!$C$5:$AN$5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'12_Cumulative'!$C$8:$AN$8</c:f>
              <c:numCache>
                <c:formatCode>_(* #,##0.0_);_(* \(#,##0.0\);_(* "-"??_);_(@_)</c:formatCode>
                <c:ptCount val="38"/>
                <c:pt idx="0">
                  <c:v>21.1</c:v>
                </c:pt>
                <c:pt idx="1">
                  <c:v>32.6</c:v>
                </c:pt>
                <c:pt idx="2">
                  <c:v>46.8</c:v>
                </c:pt>
                <c:pt idx="3">
                  <c:v>62.8</c:v>
                </c:pt>
                <c:pt idx="4">
                  <c:v>82.699999999999989</c:v>
                </c:pt>
                <c:pt idx="5">
                  <c:v>106.39999999999999</c:v>
                </c:pt>
                <c:pt idx="6">
                  <c:v>136.1</c:v>
                </c:pt>
                <c:pt idx="7">
                  <c:v>155.1</c:v>
                </c:pt>
                <c:pt idx="8">
                  <c:v>178.7</c:v>
                </c:pt>
                <c:pt idx="9">
                  <c:v>202.1</c:v>
                </c:pt>
                <c:pt idx="10">
                  <c:v>226.4</c:v>
                </c:pt>
                <c:pt idx="11">
                  <c:v>254.8</c:v>
                </c:pt>
                <c:pt idx="12">
                  <c:v>285.3</c:v>
                </c:pt>
                <c:pt idx="13">
                  <c:v>320.2</c:v>
                </c:pt>
                <c:pt idx="14">
                  <c:v>356.3</c:v>
                </c:pt>
                <c:pt idx="15">
                  <c:v>391.7</c:v>
                </c:pt>
                <c:pt idx="16">
                  <c:v>427.6</c:v>
                </c:pt>
                <c:pt idx="17">
                  <c:v>463.98</c:v>
                </c:pt>
                <c:pt idx="18">
                  <c:v>502.88</c:v>
                </c:pt>
                <c:pt idx="19">
                  <c:v>540.48</c:v>
                </c:pt>
                <c:pt idx="20">
                  <c:v>582.98</c:v>
                </c:pt>
                <c:pt idx="21">
                  <c:v>633.89</c:v>
                </c:pt>
                <c:pt idx="22">
                  <c:v>686.44499999999994</c:v>
                </c:pt>
                <c:pt idx="23">
                  <c:v>743.64499999999998</c:v>
                </c:pt>
                <c:pt idx="24">
                  <c:v>801.56499999999994</c:v>
                </c:pt>
                <c:pt idx="25">
                  <c:v>862.21499999999992</c:v>
                </c:pt>
                <c:pt idx="26">
                  <c:v>922.4799999999999</c:v>
                </c:pt>
                <c:pt idx="27">
                  <c:v>984.70249999999987</c:v>
                </c:pt>
                <c:pt idx="28">
                  <c:v>1048.9724999999999</c:v>
                </c:pt>
                <c:pt idx="29">
                  <c:v>1118.6734873599999</c:v>
                </c:pt>
                <c:pt idx="30">
                  <c:v>1192.9385881399999</c:v>
                </c:pt>
                <c:pt idx="31">
                  <c:v>1265.9485881399999</c:v>
                </c:pt>
                <c:pt idx="32">
                  <c:v>1344.4485881399999</c:v>
                </c:pt>
                <c:pt idx="33">
                  <c:v>1434.7485881399998</c:v>
                </c:pt>
                <c:pt idx="34">
                  <c:v>1519.6140736399998</c:v>
                </c:pt>
                <c:pt idx="35">
                  <c:v>1607.7994219599998</c:v>
                </c:pt>
                <c:pt idx="36">
                  <c:v>1693.0222221549998</c:v>
                </c:pt>
                <c:pt idx="37">
                  <c:v>1782.8988112399998</c:v>
                </c:pt>
              </c:numCache>
            </c:numRef>
          </c:val>
          <c:extLst>
            <c:ext xmlns:c16="http://schemas.microsoft.com/office/drawing/2014/chart" uri="{C3380CC4-5D6E-409C-BE32-E72D297353CC}">
              <c16:uniqueId val="{00000002-575D-460B-AEE9-BAF0696656B2}"/>
            </c:ext>
          </c:extLst>
        </c:ser>
        <c:ser>
          <c:idx val="3"/>
          <c:order val="3"/>
          <c:tx>
            <c:strRef>
              <c:f>'12_Cumulative'!$A$9</c:f>
              <c:strCache>
                <c:ptCount val="1"/>
                <c:pt idx="0">
                  <c:v>Direct Program</c:v>
                </c:pt>
              </c:strCache>
            </c:strRef>
          </c:tx>
          <c:spPr>
            <a:solidFill>
              <a:srgbClr val="8064A2"/>
            </a:solidFill>
            <a:ln>
              <a:noFill/>
            </a:ln>
            <a:effectLst/>
          </c:spPr>
          <c:cat>
            <c:numRef>
              <c:f>'12_Cumulative'!$C$5:$AN$5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'12_Cumulative'!$C$9:$AN$9</c:f>
              <c:numCache>
                <c:formatCode>_(* #,##0.0_);_(* \(#,##0.0\);_(* "-"??_);_(@_)</c:formatCode>
                <c:ptCount val="38"/>
                <c:pt idx="0">
                  <c:v>4.5999999999999996</c:v>
                </c:pt>
                <c:pt idx="1">
                  <c:v>9.1999999999999993</c:v>
                </c:pt>
                <c:pt idx="2">
                  <c:v>18.299999999999997</c:v>
                </c:pt>
                <c:pt idx="3">
                  <c:v>37.9</c:v>
                </c:pt>
                <c:pt idx="4">
                  <c:v>53.8</c:v>
                </c:pt>
                <c:pt idx="5">
                  <c:v>73.400000000000006</c:v>
                </c:pt>
                <c:pt idx="6">
                  <c:v>95.600000000000009</c:v>
                </c:pt>
                <c:pt idx="7">
                  <c:v>114.4</c:v>
                </c:pt>
                <c:pt idx="8">
                  <c:v>137.4</c:v>
                </c:pt>
                <c:pt idx="9">
                  <c:v>170.2</c:v>
                </c:pt>
                <c:pt idx="10">
                  <c:v>203.2</c:v>
                </c:pt>
                <c:pt idx="11">
                  <c:v>270.2</c:v>
                </c:pt>
                <c:pt idx="12">
                  <c:v>319.8</c:v>
                </c:pt>
                <c:pt idx="13">
                  <c:v>375.7</c:v>
                </c:pt>
                <c:pt idx="14">
                  <c:v>447.1</c:v>
                </c:pt>
                <c:pt idx="15">
                  <c:v>515.6</c:v>
                </c:pt>
                <c:pt idx="16">
                  <c:v>597.80000000000007</c:v>
                </c:pt>
                <c:pt idx="17">
                  <c:v>702.7</c:v>
                </c:pt>
                <c:pt idx="18">
                  <c:v>810.90000000000009</c:v>
                </c:pt>
                <c:pt idx="19">
                  <c:v>919.10000000000014</c:v>
                </c:pt>
                <c:pt idx="20">
                  <c:v>1020.2000000000002</c:v>
                </c:pt>
                <c:pt idx="21">
                  <c:v>1157.3000000000002</c:v>
                </c:pt>
                <c:pt idx="22">
                  <c:v>1298.0000000000002</c:v>
                </c:pt>
                <c:pt idx="23">
                  <c:v>1435.9000000000003</c:v>
                </c:pt>
                <c:pt idx="24">
                  <c:v>1571.7000000000003</c:v>
                </c:pt>
                <c:pt idx="25">
                  <c:v>1709.6000000000004</c:v>
                </c:pt>
                <c:pt idx="26">
                  <c:v>1849.0820000000003</c:v>
                </c:pt>
                <c:pt idx="27">
                  <c:v>1997.9794339400003</c:v>
                </c:pt>
                <c:pt idx="28">
                  <c:v>2175.8388767700003</c:v>
                </c:pt>
                <c:pt idx="29">
                  <c:v>2375.4210898000001</c:v>
                </c:pt>
                <c:pt idx="30">
                  <c:v>2596.47471404</c:v>
                </c:pt>
                <c:pt idx="31">
                  <c:v>2845.4047140399998</c:v>
                </c:pt>
                <c:pt idx="32">
                  <c:v>3084.4047140399998</c:v>
                </c:pt>
                <c:pt idx="33">
                  <c:v>3316.2061960399997</c:v>
                </c:pt>
                <c:pt idx="34">
                  <c:v>3574.3834078699997</c:v>
                </c:pt>
                <c:pt idx="35">
                  <c:v>3832.5255977999996</c:v>
                </c:pt>
                <c:pt idx="36">
                  <c:v>4087.2298052899996</c:v>
                </c:pt>
                <c:pt idx="37">
                  <c:v>4345.9344566299997</c:v>
                </c:pt>
              </c:numCache>
            </c:numRef>
          </c:val>
          <c:extLst>
            <c:ext xmlns:c16="http://schemas.microsoft.com/office/drawing/2014/chart" uri="{C3380CC4-5D6E-409C-BE32-E72D297353CC}">
              <c16:uniqueId val="{00000003-575D-460B-AEE9-BAF0696656B2}"/>
            </c:ext>
          </c:extLst>
        </c:ser>
        <c:ser>
          <c:idx val="4"/>
          <c:order val="4"/>
          <c:tx>
            <c:strRef>
              <c:f>'12_Cumulative'!$A$10</c:f>
              <c:strCache>
                <c:ptCount val="1"/>
                <c:pt idx="0">
                  <c:v>Fixed Expenses</c:v>
                </c:pt>
              </c:strCache>
            </c:strRef>
          </c:tx>
          <c:spPr>
            <a:solidFill>
              <a:srgbClr val="4BACC6"/>
            </a:solidFill>
            <a:ln>
              <a:noFill/>
            </a:ln>
            <a:effectLst/>
          </c:spPr>
          <c:cat>
            <c:numRef>
              <c:f>'12_Cumulative'!$C$5:$AN$5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'12_Cumulative'!$C$10:$AN$10</c:f>
              <c:numCache>
                <c:formatCode>_(* #,##0.0_);_(* \(#,##0.0\);_(* "-"??_);_(@_)</c:formatCode>
                <c:ptCount val="38"/>
                <c:pt idx="0">
                  <c:v>32.799999999999997</c:v>
                </c:pt>
                <c:pt idx="1">
                  <c:v>45.199999999999996</c:v>
                </c:pt>
                <c:pt idx="2">
                  <c:v>61.099999999999994</c:v>
                </c:pt>
                <c:pt idx="3">
                  <c:v>77.699999999999989</c:v>
                </c:pt>
                <c:pt idx="4">
                  <c:v>97.399999999999991</c:v>
                </c:pt>
                <c:pt idx="5">
                  <c:v>119.5</c:v>
                </c:pt>
                <c:pt idx="6">
                  <c:v>148</c:v>
                </c:pt>
                <c:pt idx="7">
                  <c:v>179</c:v>
                </c:pt>
                <c:pt idx="8">
                  <c:v>210.9</c:v>
                </c:pt>
                <c:pt idx="9">
                  <c:v>245.2</c:v>
                </c:pt>
                <c:pt idx="10">
                  <c:v>283.39999999999998</c:v>
                </c:pt>
                <c:pt idx="11">
                  <c:v>325.29999999999995</c:v>
                </c:pt>
                <c:pt idx="12">
                  <c:v>378.9</c:v>
                </c:pt>
                <c:pt idx="13">
                  <c:v>440.2</c:v>
                </c:pt>
                <c:pt idx="14">
                  <c:v>503.79999999999995</c:v>
                </c:pt>
                <c:pt idx="15">
                  <c:v>576.9</c:v>
                </c:pt>
                <c:pt idx="16">
                  <c:v>653.19999999999993</c:v>
                </c:pt>
                <c:pt idx="17">
                  <c:v>727.3</c:v>
                </c:pt>
                <c:pt idx="18">
                  <c:v>803.4</c:v>
                </c:pt>
                <c:pt idx="19">
                  <c:v>879.69999999999993</c:v>
                </c:pt>
                <c:pt idx="20">
                  <c:v>957.9</c:v>
                </c:pt>
                <c:pt idx="21">
                  <c:v>1036.0999999999999</c:v>
                </c:pt>
                <c:pt idx="22">
                  <c:v>1116.5999999999999</c:v>
                </c:pt>
                <c:pt idx="23">
                  <c:v>1202</c:v>
                </c:pt>
                <c:pt idx="24">
                  <c:v>1291.7</c:v>
                </c:pt>
                <c:pt idx="25">
                  <c:v>1379.2</c:v>
                </c:pt>
                <c:pt idx="26">
                  <c:v>1492.1100000000001</c:v>
                </c:pt>
                <c:pt idx="27">
                  <c:v>1608.3100000000002</c:v>
                </c:pt>
                <c:pt idx="28">
                  <c:v>1728.3100000000002</c:v>
                </c:pt>
                <c:pt idx="29">
                  <c:v>1851.8261102145098</c:v>
                </c:pt>
                <c:pt idx="30">
                  <c:v>1978.9986920591759</c:v>
                </c:pt>
                <c:pt idx="31">
                  <c:v>2110.4986920591759</c:v>
                </c:pt>
                <c:pt idx="32">
                  <c:v>2253.898692059176</c:v>
                </c:pt>
                <c:pt idx="33">
                  <c:v>2395.1986920591762</c:v>
                </c:pt>
                <c:pt idx="34">
                  <c:v>2545.7774713522472</c:v>
                </c:pt>
                <c:pt idx="35">
                  <c:v>2693.99445848705</c:v>
                </c:pt>
                <c:pt idx="36">
                  <c:v>2815.371941085838</c:v>
                </c:pt>
                <c:pt idx="37">
                  <c:v>2920.4450397831351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59850561086"/>
          <c:y val="3.897406118722110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'12_Cumulative'!$C$5:$AN$5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'12_Cumulative'!$C$21:$AN$21</c:f>
              <c:numCache>
                <c:formatCode>_(* #,##0.0_);_(* \(#,##0.0\);_(* "-"??_);_(@_)</c:formatCode>
                <c:ptCount val="38"/>
                <c:pt idx="0">
                  <c:v>2.2999999999999998</c:v>
                </c:pt>
                <c:pt idx="1">
                  <c:v>4.5999999999999996</c:v>
                </c:pt>
                <c:pt idx="2">
                  <c:v>9.1</c:v>
                </c:pt>
                <c:pt idx="3">
                  <c:v>19.600000000000001</c:v>
                </c:pt>
                <c:pt idx="4">
                  <c:v>15.9</c:v>
                </c:pt>
                <c:pt idx="5">
                  <c:v>19.600000000000001</c:v>
                </c:pt>
                <c:pt idx="6">
                  <c:v>22.2</c:v>
                </c:pt>
                <c:pt idx="7">
                  <c:v>18.8</c:v>
                </c:pt>
                <c:pt idx="8">
                  <c:v>23</c:v>
                </c:pt>
                <c:pt idx="9">
                  <c:v>32.799999999999997</c:v>
                </c:pt>
                <c:pt idx="10">
                  <c:v>33</c:v>
                </c:pt>
                <c:pt idx="11">
                  <c:v>67</c:v>
                </c:pt>
                <c:pt idx="12">
                  <c:v>49.6</c:v>
                </c:pt>
                <c:pt idx="13">
                  <c:v>55.9</c:v>
                </c:pt>
                <c:pt idx="14">
                  <c:v>71.400000000000006</c:v>
                </c:pt>
                <c:pt idx="15">
                  <c:v>68.5</c:v>
                </c:pt>
                <c:pt idx="16">
                  <c:v>82.2</c:v>
                </c:pt>
                <c:pt idx="17">
                  <c:v>104.9</c:v>
                </c:pt>
                <c:pt idx="18">
                  <c:v>108.2</c:v>
                </c:pt>
                <c:pt idx="19">
                  <c:v>108.2</c:v>
                </c:pt>
                <c:pt idx="20">
                  <c:v>101.1</c:v>
                </c:pt>
                <c:pt idx="21">
                  <c:v>137.1</c:v>
                </c:pt>
                <c:pt idx="22">
                  <c:v>140.69999999999999</c:v>
                </c:pt>
                <c:pt idx="23">
                  <c:v>137.9</c:v>
                </c:pt>
                <c:pt idx="24">
                  <c:v>135.80000000000001</c:v>
                </c:pt>
                <c:pt idx="25">
                  <c:v>137.9</c:v>
                </c:pt>
                <c:pt idx="26">
                  <c:v>139.482</c:v>
                </c:pt>
                <c:pt idx="27">
                  <c:v>148.89743393999996</c:v>
                </c:pt>
                <c:pt idx="28">
                  <c:v>177.85944282999998</c:v>
                </c:pt>
                <c:pt idx="29">
                  <c:v>199.58221303000002</c:v>
                </c:pt>
                <c:pt idx="30">
                  <c:v>221.05362423999992</c:v>
                </c:pt>
                <c:pt idx="31">
                  <c:v>248.93</c:v>
                </c:pt>
                <c:pt idx="32">
                  <c:v>239</c:v>
                </c:pt>
                <c:pt idx="33">
                  <c:v>231.80148199999996</c:v>
                </c:pt>
                <c:pt idx="34">
                  <c:v>258.17721182999998</c:v>
                </c:pt>
                <c:pt idx="35">
                  <c:v>258.14218992999997</c:v>
                </c:pt>
                <c:pt idx="36">
                  <c:v>254.70420748999999</c:v>
                </c:pt>
                <c:pt idx="37">
                  <c:v>258.70465134000005</c:v>
                </c:pt>
              </c:numCache>
            </c:numRef>
          </c:val>
          <c:extLst>
            <c:ext xmlns:c16="http://schemas.microsoft.com/office/drawing/2014/chart" uri="{C3380CC4-5D6E-409C-BE32-E72D297353CC}">
              <c16:uniqueId val="{00000000-B77B-454B-B89A-1057F3AE629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0571358669541"/>
          <c:y val="3.0141054194506311E-2"/>
          <c:w val="0.85738805398361129"/>
          <c:h val="0.88462877552332686"/>
        </c:manualLayout>
      </c:layout>
      <c:barChart>
        <c:barDir val="col"/>
        <c:grouping val="clustered"/>
        <c:varyColors val="0"/>
        <c:ser>
          <c:idx val="0"/>
          <c:order val="0"/>
          <c:tx>
            <c:v>Expense</c:v>
          </c:tx>
          <c:spPr>
            <a:effectLst>
              <a:outerShdw blurRad="50800" dist="12700" algn="l" rotWithShape="0">
                <a:prstClr val="black">
                  <a:alpha val="40000"/>
                </a:prstClr>
              </a:outerShdw>
            </a:effectLst>
          </c:spPr>
          <c:invertIfNegative val="0"/>
          <c:dLbls>
            <c:numFmt formatCode="#,##0" sourceLinked="0"/>
            <c:spPr>
              <a:noFill/>
              <a:ln>
                <a:noFill/>
              </a:ln>
              <a:effectLst/>
            </c:spPr>
            <c:txPr>
              <a:bodyPr wrap="square" lIns="38100" tIns="19050" rIns="38100" bIns="19050" anchor="ctr">
                <a:spAutoFit/>
              </a:bodyPr>
              <a:lstStyle/>
              <a:p>
                <a:pPr>
                  <a:defRPr>
                    <a:solidFill>
                      <a:schemeClr val="bg1">
                        <a:lumMod val="50000"/>
                      </a:schemeClr>
                    </a:solidFill>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Table'!$AC$2:$AP$2</c:f>
              <c:numCache>
                <c:formatCode>0_);\(0\)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'BPA Costs Table'!$AC$9:$AP$9</c:f>
              <c:numCache>
                <c:formatCode>0.0_);\(0.0\)</c:formatCode>
                <c:ptCount val="14"/>
                <c:pt idx="0">
                  <c:v>139.482</c:v>
                </c:pt>
                <c:pt idx="1">
                  <c:v>148.89743393999996</c:v>
                </c:pt>
                <c:pt idx="2">
                  <c:v>177.85944282999998</c:v>
                </c:pt>
                <c:pt idx="3">
                  <c:v>199.58221303000002</c:v>
                </c:pt>
                <c:pt idx="4">
                  <c:v>221.05362423999992</c:v>
                </c:pt>
                <c:pt idx="5">
                  <c:v>248.93</c:v>
                </c:pt>
                <c:pt idx="6">
                  <c:v>239</c:v>
                </c:pt>
                <c:pt idx="7">
                  <c:v>231.80148199999996</c:v>
                </c:pt>
                <c:pt idx="8">
                  <c:v>258.17721182999998</c:v>
                </c:pt>
                <c:pt idx="9">
                  <c:v>258.14218992999997</c:v>
                </c:pt>
                <c:pt idx="10">
                  <c:v>254.7</c:v>
                </c:pt>
                <c:pt idx="11">
                  <c:v>258.70465134000005</c:v>
                </c:pt>
                <c:pt idx="12">
                  <c:v>240.38390317</c:v>
                </c:pt>
                <c:pt idx="13">
                  <c:v>238.07312463000002</c:v>
                </c:pt>
              </c:numCache>
            </c:numRef>
          </c:val>
          <c:extLst>
            <c:ext xmlns:c16="http://schemas.microsoft.com/office/drawing/2014/chart" uri="{C3380CC4-5D6E-409C-BE32-E72D297353CC}">
              <c16:uniqueId val="{00000000-5C01-4D1C-9853-5F4AC0F181B4}"/>
            </c:ext>
          </c:extLst>
        </c:ser>
        <c:ser>
          <c:idx val="1"/>
          <c:order val="1"/>
          <c:tx>
            <c:v>Capital</c:v>
          </c:tx>
          <c:spPr>
            <a:effectLst>
              <a:outerShdw blurRad="50800" dist="12700" algn="l" rotWithShape="0">
                <a:prstClr val="black">
                  <a:alpha val="40000"/>
                </a:prstClr>
              </a:outerShdw>
            </a:effectLst>
          </c:spPr>
          <c:invertIfNegative val="0"/>
          <c:dLbls>
            <c:numFmt formatCode="\ #,##0" sourceLinked="0"/>
            <c:spPr>
              <a:noFill/>
              <a:ln>
                <a:noFill/>
              </a:ln>
              <a:effectLst/>
            </c:spPr>
            <c:txPr>
              <a:bodyPr wrap="square" lIns="38100" tIns="19050" rIns="38100" bIns="19050" anchor="ctr">
                <a:spAutoFit/>
              </a:bodyPr>
              <a:lstStyle/>
              <a:p>
                <a:pPr>
                  <a:defRPr>
                    <a:solidFill>
                      <a:schemeClr val="bg1">
                        <a:lumMod val="50000"/>
                      </a:schemeClr>
                    </a:solidFill>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Table'!$AC$2:$AP$2</c:f>
              <c:numCache>
                <c:formatCode>0_);\(0\)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'BPA Costs Table'!$AC$7:$AP$7</c:f>
              <c:numCache>
                <c:formatCode>_(* #,##0.0_);_(* \(#,##0.0\);_(* "-"?_);_(@_)</c:formatCode>
                <c:ptCount val="14"/>
                <c:pt idx="0">
                  <c:v>96.605999999999995</c:v>
                </c:pt>
                <c:pt idx="1">
                  <c:v>64.171313069999997</c:v>
                </c:pt>
                <c:pt idx="2">
                  <c:v>163.71146123</c:v>
                </c:pt>
                <c:pt idx="3">
                  <c:v>97.616092509999987</c:v>
                </c:pt>
                <c:pt idx="4">
                  <c:v>193.93786518999997</c:v>
                </c:pt>
                <c:pt idx="5">
                  <c:v>172.330297</c:v>
                </c:pt>
                <c:pt idx="6">
                  <c:v>155.69</c:v>
                </c:pt>
                <c:pt idx="7">
                  <c:v>139.15334831999999</c:v>
                </c:pt>
                <c:pt idx="8">
                  <c:v>104.12590900000001</c:v>
                </c:pt>
                <c:pt idx="9">
                  <c:v>51.372593500000008</c:v>
                </c:pt>
                <c:pt idx="10">
                  <c:v>65.7</c:v>
                </c:pt>
                <c:pt idx="11">
                  <c:v>83.216698000000008</c:v>
                </c:pt>
                <c:pt idx="12">
                  <c:v>77.871587230000003</c:v>
                </c:pt>
                <c:pt idx="13">
                  <c:v>146.73921922</c:v>
                </c:pt>
              </c:numCache>
            </c:numRef>
          </c:val>
          <c:extLst>
            <c:ext xmlns:c16="http://schemas.microsoft.com/office/drawing/2014/chart" uri="{C3380CC4-5D6E-409C-BE32-E72D297353CC}">
              <c16:uniqueId val="{00000001-5C01-4D1C-9853-5F4AC0F181B4}"/>
            </c:ext>
          </c:extLst>
        </c:ser>
        <c:dLbls>
          <c:showLegendKey val="0"/>
          <c:showVal val="0"/>
          <c:showCatName val="0"/>
          <c:showSerName val="0"/>
          <c:showPercent val="0"/>
          <c:showBubbleSize val="0"/>
        </c:dLbls>
        <c:gapWidth val="76"/>
        <c:axId val="483676240"/>
        <c:axId val="483676632"/>
      </c:barChart>
      <c:catAx>
        <c:axId val="483676240"/>
        <c:scaling>
          <c:orientation val="minMax"/>
        </c:scaling>
        <c:delete val="0"/>
        <c:axPos val="b"/>
        <c:numFmt formatCode="0_);\(0\)"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tickLblSkip val="2"/>
        <c:tickMarkSkip val="1"/>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14975960186741386"/>
          <c:y val="0.11814390684460656"/>
          <c:w val="0.13954995680692875"/>
          <c:h val="0.1197145011661961"/>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20121660575121197"/>
                  <c:y val="-0.21026253093101735"/>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103776311413544"/>
                      <c:h val="0.10561635332716525"/>
                    </c:manualLayout>
                  </c15:layout>
                </c:ext>
                <c:ext xmlns:c16="http://schemas.microsoft.com/office/drawing/2014/chart" uri="{C3380CC4-5D6E-409C-BE32-E72D297353CC}">
                  <c16:uniqueId val="{00000001-57AC-4531-B5AE-729C85665BAF}"/>
                </c:ext>
              </c:extLst>
            </c:dLbl>
            <c:dLbl>
              <c:idx val="1"/>
              <c:layout>
                <c:manualLayout>
                  <c:x val="9.3013627023173548E-2"/>
                  <c:y val="3.854017309658168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739895755408882"/>
                  <c:y val="0.2139709068581113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5.6283408908707186E-2"/>
                  <c:y val="4.871039198529029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7AC-4531-B5AE-729C85665BAF}"/>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7AC-4531-B5AE-729C85665BAF}"/>
                </c:ext>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7AC-4531-B5AE-729C85665BAF}"/>
                </c:ext>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7AC-4531-B5AE-729C85665BAF}"/>
                </c:ext>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'2_SpeciesType'!$A$38:$A$41</c:f>
              <c:strCache>
                <c:ptCount val="4"/>
                <c:pt idx="0">
                  <c:v>Anadromous Fish</c:v>
                </c:pt>
                <c:pt idx="1">
                  <c:v>Resident Fish</c:v>
                </c:pt>
                <c:pt idx="2">
                  <c:v>Wildlife</c:v>
                </c:pt>
                <c:pt idx="3">
                  <c:v>Program Support</c:v>
                </c:pt>
              </c:strCache>
            </c:strRef>
          </c:cat>
          <c:val>
            <c:numRef>
              <c:f>'2_SpeciesType'!$B$38:$B$41</c:f>
              <c:numCache>
                <c:formatCode>"$"#,##0</c:formatCode>
                <c:ptCount val="4"/>
                <c:pt idx="0">
                  <c:v>191285316</c:v>
                </c:pt>
                <c:pt idx="1">
                  <c:v>37571770</c:v>
                </c:pt>
                <c:pt idx="2">
                  <c:v>26637849</c:v>
                </c:pt>
                <c:pt idx="3">
                  <c:v>10926022</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0571358669541"/>
          <c:y val="3.0141054194506311E-2"/>
          <c:w val="0.85738805398361129"/>
          <c:h val="0.8846287755233268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cat>
            <c:strRef>
              <c:f>'3_FCRPS'!$B$8:$P$8</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'3_FCRPS'!$B$3:$P$3</c:f>
              <c:numCache>
                <c:formatCode>"$"#,##0</c:formatCode>
                <c:ptCount val="15"/>
                <c:pt idx="0">
                  <c:v>74024959.329999998</c:v>
                </c:pt>
                <c:pt idx="1">
                  <c:v>78219265.00000003</c:v>
                </c:pt>
                <c:pt idx="2">
                  <c:v>91806508</c:v>
                </c:pt>
                <c:pt idx="3">
                  <c:v>113900603</c:v>
                </c:pt>
                <c:pt idx="4">
                  <c:v>129758323</c:v>
                </c:pt>
                <c:pt idx="5">
                  <c:v>143477289</c:v>
                </c:pt>
                <c:pt idx="6">
                  <c:v>162060445</c:v>
                </c:pt>
                <c:pt idx="7">
                  <c:v>151177409</c:v>
                </c:pt>
                <c:pt idx="8">
                  <c:v>143128947.90000001</c:v>
                </c:pt>
                <c:pt idx="9">
                  <c:v>165362220.78999999</c:v>
                </c:pt>
                <c:pt idx="10">
                  <c:v>159987743.56999999</c:v>
                </c:pt>
                <c:pt idx="11">
                  <c:v>156828472.72999999</c:v>
                </c:pt>
                <c:pt idx="12">
                  <c:v>153679667</c:v>
                </c:pt>
                <c:pt idx="13">
                  <c:v>137887504</c:v>
                </c:pt>
                <c:pt idx="14">
                  <c:v>132646392</c:v>
                </c:pt>
              </c:numCache>
            </c:numRef>
          </c:val>
          <c:extLst>
            <c:ext xmlns:c16="http://schemas.microsoft.com/office/drawing/2014/chart" uri="{C3380CC4-5D6E-409C-BE32-E72D297353CC}">
              <c16:uniqueId val="{00000000-2023-496B-9A95-548D7717997D}"/>
            </c:ext>
          </c:extLst>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cat>
            <c:strRef>
              <c:f>'3_FCRPS'!$B$8:$P$8</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strCache>
            </c:strRef>
          </c:cat>
          <c:val>
            <c:numRef>
              <c:f>'3_FCRPS'!$B$4:$P$4</c:f>
              <c:numCache>
                <c:formatCode>"$"#,##0</c:formatCode>
                <c:ptCount val="15"/>
                <c:pt idx="0">
                  <c:v>5086155.01</c:v>
                </c:pt>
                <c:pt idx="1">
                  <c:v>8839587.0300000012</c:v>
                </c:pt>
                <c:pt idx="2">
                  <c:v>9869097</c:v>
                </c:pt>
                <c:pt idx="3">
                  <c:v>11668863</c:v>
                </c:pt>
                <c:pt idx="4">
                  <c:v>21761323</c:v>
                </c:pt>
                <c:pt idx="5">
                  <c:v>31297548</c:v>
                </c:pt>
                <c:pt idx="6">
                  <c:v>29240867</c:v>
                </c:pt>
                <c:pt idx="7">
                  <c:v>29683425</c:v>
                </c:pt>
                <c:pt idx="8">
                  <c:v>5925196.1100000003</c:v>
                </c:pt>
                <c:pt idx="9">
                  <c:v>7703153.2699999996</c:v>
                </c:pt>
                <c:pt idx="10">
                  <c:v>1249955.1399999999</c:v>
                </c:pt>
                <c:pt idx="11">
                  <c:v>-396792.47</c:v>
                </c:pt>
                <c:pt idx="12">
                  <c:v>25343</c:v>
                </c:pt>
                <c:pt idx="13">
                  <c:v>1470148</c:v>
                </c:pt>
                <c:pt idx="14">
                  <c:v>8024833</c:v>
                </c:pt>
              </c:numCache>
            </c:numRef>
          </c:val>
          <c:extLst>
            <c:ext xmlns:c16="http://schemas.microsoft.com/office/drawing/2014/chart" uri="{C3380CC4-5D6E-409C-BE32-E72D297353CC}">
              <c16:uniqueId val="{00000009-2023-496B-9A95-548D7717997D}"/>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tickLblSkip val="2"/>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15811205742999559"/>
          <c:y val="6.4691791031688969E-2"/>
          <c:w val="0.3111032448377582"/>
          <c:h val="8.843916782117156E-2"/>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88638960235162068"/>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'4_ESASpecies'!$A$3:$A$18</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'4_ESASpecies'!$D$3:$D$18</c:f>
              <c:numCache>
                <c:formatCode>"$"#,##0_);[Red]\("$"#,##0\)</c:formatCode>
                <c:ptCount val="16"/>
                <c:pt idx="0">
                  <c:v>6464454.2478673803</c:v>
                </c:pt>
                <c:pt idx="1">
                  <c:v>10093161.5240948</c:v>
                </c:pt>
                <c:pt idx="2">
                  <c:v>21809493.5440192</c:v>
                </c:pt>
                <c:pt idx="3">
                  <c:v>13931083.1858541</c:v>
                </c:pt>
                <c:pt idx="4">
                  <c:v>4875275.8282127799</c:v>
                </c:pt>
                <c:pt idx="5">
                  <c:v>3441616.9832022702</c:v>
                </c:pt>
                <c:pt idx="6">
                  <c:v>4168920.0551128299</c:v>
                </c:pt>
                <c:pt idx="7">
                  <c:v>8012987.7158605801</c:v>
                </c:pt>
                <c:pt idx="8">
                  <c:v>5300106.1672672201</c:v>
                </c:pt>
                <c:pt idx="9">
                  <c:v>35970488.746823803</c:v>
                </c:pt>
                <c:pt idx="10">
                  <c:v>23021217.822717801</c:v>
                </c:pt>
                <c:pt idx="11">
                  <c:v>12306061.663595499</c:v>
                </c:pt>
                <c:pt idx="12">
                  <c:v>3774191.7764972602</c:v>
                </c:pt>
                <c:pt idx="13">
                  <c:v>1864636.2302000001</c:v>
                </c:pt>
                <c:pt idx="14">
                  <c:v>8518288.1406790204</c:v>
                </c:pt>
                <c:pt idx="15">
                  <c:v>15704983.8194954</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'4_ESASpecies'!$A$3:$A$18</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'4_ESASpecies'!$G$3:$G$18</c:f>
              <c:numCache>
                <c:formatCode>"$"#,##0_);[Red]\("$"#,##0\)</c:formatCode>
                <c:ptCount val="16"/>
                <c:pt idx="0">
                  <c:v>1379058.1480842901</c:v>
                </c:pt>
                <c:pt idx="1">
                  <c:v>1403564.2278946</c:v>
                </c:pt>
                <c:pt idx="2">
                  <c:v>135777.91093808299</c:v>
                </c:pt>
                <c:pt idx="3">
                  <c:v>135777.91093808299</c:v>
                </c:pt>
                <c:pt idx="4">
                  <c:v>135777.91093808299</c:v>
                </c:pt>
                <c:pt idx="5">
                  <c:v>1377018.04474134</c:v>
                </c:pt>
                <c:pt idx="6">
                  <c:v>1379058.14788429</c:v>
                </c:pt>
                <c:pt idx="7">
                  <c:v>135777.91093808299</c:v>
                </c:pt>
                <c:pt idx="8">
                  <c:v>1379058.14788429</c:v>
                </c:pt>
                <c:pt idx="9">
                  <c:v>135777.91093808299</c:v>
                </c:pt>
                <c:pt idx="10">
                  <c:v>162324.094091351</c:v>
                </c:pt>
                <c:pt idx="11">
                  <c:v>130085.094191351</c:v>
                </c:pt>
                <c:pt idx="12">
                  <c:v>135777.91093808299</c:v>
                </c:pt>
                <c:pt idx="13">
                  <c:v>0</c:v>
                </c:pt>
                <c:pt idx="14">
                  <c:v>0</c:v>
                </c:pt>
                <c:pt idx="15">
                  <c:v>1698152.5</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59935774749200399"/>
          <c:y val="0.14289649529838236"/>
          <c:w val="0.34700320698085657"/>
          <c:h val="0.10580503281991246"/>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9294499384788228E-2"/>
          <c:y val="2.081082718607682E-4"/>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36D-469F-BFEB-8CC3BF38283E}"/>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736D-469F-BFEB-8CC3BF38283E}"/>
              </c:ext>
            </c:extLst>
          </c:dPt>
          <c:dPt>
            <c:idx val="2"/>
            <c:bubble3D val="0"/>
            <c:extLst>
              <c:ext xmlns:c16="http://schemas.microsoft.com/office/drawing/2014/chart" uri="{C3380CC4-5D6E-409C-BE32-E72D297353CC}">
                <c16:uniqueId val="{00000004-736D-469F-BFEB-8CC3BF38283E}"/>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736D-469F-BFEB-8CC3BF38283E}"/>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736D-469F-BFEB-8CC3BF38283E}"/>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736D-469F-BFEB-8CC3BF38283E}"/>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736D-469F-BFEB-8CC3BF38283E}"/>
              </c:ext>
            </c:extLst>
          </c:dPt>
          <c:dLbls>
            <c:dLbl>
              <c:idx val="0"/>
              <c:layout>
                <c:manualLayout>
                  <c:x val="-0.2022516649455689"/>
                  <c:y val="0.2124972250234750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36D-469F-BFEB-8CC3BF38283E}"/>
                </c:ext>
              </c:extLst>
            </c:dLbl>
            <c:dLbl>
              <c:idx val="1"/>
              <c:layout>
                <c:manualLayout>
                  <c:x val="-0.18254123753903054"/>
                  <c:y val="-0.1999566061923346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36D-469F-BFEB-8CC3BF38283E}"/>
                </c:ext>
              </c:extLst>
            </c:dLbl>
            <c:dLbl>
              <c:idx val="2"/>
              <c:layout>
                <c:manualLayout>
                  <c:x val="0.1784764562985556"/>
                  <c:y val="-0.1996498320884754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736D-469F-BFEB-8CC3BF38283E}"/>
                </c:ext>
              </c:extLst>
            </c:dLbl>
            <c:dLbl>
              <c:idx val="3"/>
              <c:layout>
                <c:manualLayout>
                  <c:x val="0.16619892901159372"/>
                  <c:y val="0.1562064520269721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736D-469F-BFEB-8CC3BF38283E}"/>
                </c:ext>
              </c:extLst>
            </c:dLbl>
            <c:dLbl>
              <c:idx val="4"/>
              <c:layout>
                <c:manualLayout>
                  <c:x val="9.9889368418034363E-2"/>
                  <c:y val="3.55579257846159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9861233198695619"/>
                      <c:h val="0.16995410929348537"/>
                    </c:manualLayout>
                  </c15:layout>
                </c:ext>
                <c:ext xmlns:c16="http://schemas.microsoft.com/office/drawing/2014/chart" uri="{C3380CC4-5D6E-409C-BE32-E72D297353CC}">
                  <c16:uniqueId val="{00000008-736D-469F-BFEB-8CC3BF38283E}"/>
                </c:ext>
              </c:extLst>
            </c:dLbl>
            <c:dLbl>
              <c:idx val="5"/>
              <c:layout>
                <c:manualLayout>
                  <c:x val="8.8350121258396086E-2"/>
                  <c:y val="3.533458134435069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736D-469F-BFEB-8CC3BF38283E}"/>
                </c:ext>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736D-469F-BFEB-8CC3BF38283E}"/>
                </c:ext>
              </c:extLst>
            </c:dLbl>
            <c:spPr>
              <a:solidFill>
                <a:schemeClr val="bg1">
                  <a:lumMod val="95000"/>
                </a:schemeClr>
              </a:solidFill>
              <a:ln cap="rnd">
                <a:solidFill>
                  <a:sysClr val="window" lastClr="FFFFFF">
                    <a:lumMod val="85000"/>
                  </a:sysClr>
                </a:solidFill>
              </a:ln>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'5_Fund'!$A$23:$A$28</c:f>
              <c:strCache>
                <c:ptCount val="6"/>
                <c:pt idx="0">
                  <c:v>Total BiOp (non Accord)</c:v>
                </c:pt>
                <c:pt idx="1">
                  <c:v>Accords - BiOp</c:v>
                </c:pt>
                <c:pt idx="2">
                  <c:v>Accords - non-BiOp</c:v>
                </c:pt>
                <c:pt idx="3">
                  <c:v>Total General</c:v>
                </c:pt>
                <c:pt idx="4">
                  <c:v>Total BPA Overhead</c:v>
                </c:pt>
                <c:pt idx="5">
                  <c:v>G&amp;A</c:v>
                </c:pt>
              </c:strCache>
            </c:strRef>
          </c:cat>
          <c:val>
            <c:numRef>
              <c:f>'5_Fund'!$B$23:$B$28</c:f>
              <c:numCache>
                <c:formatCode>"$"#,,\ "million"</c:formatCode>
                <c:ptCount val="6"/>
                <c:pt idx="0">
                  <c:v>75452137</c:v>
                </c:pt>
                <c:pt idx="1">
                  <c:v>54086446</c:v>
                </c:pt>
                <c:pt idx="2">
                  <c:v>80266680</c:v>
                </c:pt>
                <c:pt idx="3">
                  <c:v>41369889</c:v>
                </c:pt>
                <c:pt idx="4">
                  <c:v>15245805</c:v>
                </c:pt>
                <c:pt idx="5">
                  <c:v>11601030</c:v>
                </c:pt>
              </c:numCache>
            </c:numRef>
          </c:val>
          <c:extLst>
            <c:ext xmlns:c16="http://schemas.microsoft.com/office/drawing/2014/chart" uri="{C3380CC4-5D6E-409C-BE32-E72D297353CC}">
              <c16:uniqueId val="{0000000D-736D-469F-BFEB-8CC3BF38283E}"/>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319338237115897"/>
          <c:y val="0.16999202884485873"/>
          <c:w val="0.58523995553121111"/>
          <c:h val="0.61335656992619725"/>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Lbls>
            <c:dLbl>
              <c:idx val="1"/>
              <c:layout>
                <c:manualLayout>
                  <c:x val="6.6838650200785013E-2"/>
                  <c:y val="-2.120323531384250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5C-4DC7-8F1A-219DE91BC20B}"/>
                </c:ext>
              </c:extLst>
            </c:dLbl>
            <c:dLbl>
              <c:idx val="2"/>
              <c:layout>
                <c:manualLayout>
                  <c:x val="8.3795807192828212E-2"/>
                  <c:y val="0.1007634711494435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9050795973926313"/>
                      <c:h val="0.14441207069542464"/>
                    </c:manualLayout>
                  </c15:layout>
                </c:ext>
                <c:ext xmlns:c16="http://schemas.microsoft.com/office/drawing/2014/chart" uri="{C3380CC4-5D6E-409C-BE32-E72D297353CC}">
                  <c16:uniqueId val="{00000004-0A5C-4DC7-8F1A-219DE91BC20B}"/>
                </c:ext>
              </c:extLst>
            </c:dLbl>
            <c:dLbl>
              <c:idx val="3"/>
              <c:layout>
                <c:manualLayout>
                  <c:x val="-0.20826251771987123"/>
                  <c:y val="-5.192720936153989E-2"/>
                </c:manualLayout>
              </c:layout>
              <c:numFmt formatCode="0%" sourceLinked="0"/>
              <c:spPr>
                <a:no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9.734008980385285E-2"/>
                  <c:y val="-3.084231777354633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0A5C-4DC7-8F1A-219DE91BC20B}"/>
                </c:ext>
              </c:extLst>
            </c:dLbl>
            <c:dLbl>
              <c:idx val="5"/>
              <c:layout>
                <c:manualLayout>
                  <c:x val="0.1471420853380799"/>
                  <c:y val="-0.16104031140372108"/>
                </c:manualLayout>
              </c:layout>
              <c:numFmt formatCode="0%" sourceLinked="0"/>
              <c:spPr>
                <a:no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0A5C-4DC7-8F1A-219DE91BC20B}"/>
                </c:ext>
              </c:extLst>
            </c:dLbl>
            <c:dLbl>
              <c:idx val="6"/>
              <c:layout>
                <c:manualLayout>
                  <c:x val="3.5936692044724744E-2"/>
                  <c:y val="8.978449859715514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A5C-4DC7-8F1A-219DE91BC20B}"/>
                </c:ext>
              </c:extLst>
            </c:dLbl>
            <c:dLbl>
              <c:idx val="7"/>
              <c:layout>
                <c:manualLayout>
                  <c:x val="-5.3129579248754104E-2"/>
                  <c:y val="-1.748554235705964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A5C-4DC7-8F1A-219DE91BC20B}"/>
                </c:ext>
              </c:extLst>
            </c:dLbl>
            <c:dLbl>
              <c:idx val="8"/>
              <c:layout>
                <c:manualLayout>
                  <c:x val="0.2253309892808259"/>
                  <c:y val="8.0669696589851278E-2"/>
                </c:manualLayout>
              </c:layout>
              <c:numFmt formatCode="0%" sourceLinked="0"/>
              <c:spPr>
                <a:no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dLbl>
              <c:idx val="9"/>
              <c:layout>
                <c:manualLayout>
                  <c:x val="-0.17104530707937488"/>
                  <c:y val="1.512501935811932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C1-4054-8CBF-D115E5FB2B95}"/>
                </c:ext>
              </c:extLst>
            </c:dLbl>
            <c:dLbl>
              <c:idx val="10"/>
              <c:layout>
                <c:manualLayout>
                  <c:x val="-5.2412317719051298E-2"/>
                  <c:y val="0.7805892378010223"/>
                </c:manualLayout>
              </c:layout>
              <c:numFmt formatCode="0%" sourceLinked="0"/>
              <c:spPr>
                <a:solidFill>
                  <a:schemeClr val="bg1">
                    <a:lumMod val="95000"/>
                  </a:schemeClr>
                </a:solidFill>
                <a:ln cap="rnd">
                  <a:solidFill>
                    <a:srgbClr val="4F81BD"/>
                  </a:solidFill>
                  <a:prstDash val="dash"/>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51C1-4054-8CBF-D115E5FB2B95}"/>
                </c:ext>
              </c:extLst>
            </c:dLbl>
            <c:numFmt formatCode="0%" sourceLinked="0"/>
            <c:spPr>
              <a:solidFill>
                <a:schemeClr val="bg1">
                  <a:lumMod val="95000"/>
                </a:schemeClr>
              </a:solidFill>
              <a:ln cap="rnd">
                <a:no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'6A_Category'!$M$3:$M$13</c:f>
              <c:strCache>
                <c:ptCount val="11"/>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pt idx="10">
                  <c:v>CRSO EIS</c:v>
                </c:pt>
              </c:strCache>
            </c:strRef>
          </c:cat>
          <c:val>
            <c:numRef>
              <c:f>'6A_Category'!$L$3:$L$13</c:f>
              <c:numCache>
                <c:formatCode>"$"#.0,,\ "million"</c:formatCode>
                <c:ptCount val="11"/>
                <c:pt idx="0">
                  <c:v>11440413</c:v>
                </c:pt>
                <c:pt idx="1">
                  <c:v>11642926</c:v>
                </c:pt>
                <c:pt idx="2">
                  <c:v>4000012</c:v>
                </c:pt>
                <c:pt idx="3">
                  <c:v>102910269</c:v>
                </c:pt>
                <c:pt idx="4">
                  <c:v>4367674</c:v>
                </c:pt>
                <c:pt idx="5">
                  <c:v>55046556</c:v>
                </c:pt>
                <c:pt idx="6">
                  <c:v>1078454</c:v>
                </c:pt>
                <c:pt idx="7">
                  <c:v>3733535</c:v>
                </c:pt>
                <c:pt idx="8">
                  <c:v>72201118</c:v>
                </c:pt>
                <c:pt idx="9">
                  <c:v>11601030</c:v>
                </c:pt>
                <c:pt idx="10">
                  <c:v>213881</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invertIfNegative val="0"/>
          <c:cat>
            <c:strRef>
              <c:f>'6A_Category'!$M$3:$M$13</c:f>
              <c:strCache>
                <c:ptCount val="11"/>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pt idx="10">
                  <c:v>CRSO EIS</c:v>
                </c:pt>
              </c:strCache>
            </c:strRef>
          </c:cat>
          <c:val>
            <c:numRef>
              <c:f>'6A_Category'!$L$3:$L$13</c:f>
              <c:numCache>
                <c:formatCode>"$"#.0,,\ "million"</c:formatCode>
                <c:ptCount val="11"/>
                <c:pt idx="0">
                  <c:v>11440413</c:v>
                </c:pt>
                <c:pt idx="1">
                  <c:v>11642926</c:v>
                </c:pt>
                <c:pt idx="2">
                  <c:v>4000012</c:v>
                </c:pt>
                <c:pt idx="3">
                  <c:v>102910269</c:v>
                </c:pt>
                <c:pt idx="4">
                  <c:v>4367674</c:v>
                </c:pt>
                <c:pt idx="5">
                  <c:v>55046556</c:v>
                </c:pt>
                <c:pt idx="6">
                  <c:v>1078454</c:v>
                </c:pt>
                <c:pt idx="7">
                  <c:v>3733535</c:v>
                </c:pt>
                <c:pt idx="8">
                  <c:v>72201118</c:v>
                </c:pt>
                <c:pt idx="9">
                  <c:v>11601030</c:v>
                </c:pt>
                <c:pt idx="10">
                  <c:v>213881</c:v>
                </c:pt>
              </c:numCache>
            </c:numRef>
          </c:val>
          <c:extLst>
            <c:ext xmlns:c16="http://schemas.microsoft.com/office/drawing/2014/chart" uri="{C3380CC4-5D6E-409C-BE32-E72D297353CC}">
              <c16:uniqueId val="{00000000-4080-4A6D-8455-3BC1060558E5}"/>
            </c:ext>
          </c:extLst>
        </c:ser>
        <c:dLbls>
          <c:showLegendKey val="0"/>
          <c:showVal val="0"/>
          <c:showCatName val="0"/>
          <c:showSerName val="0"/>
          <c:showPercent val="0"/>
          <c:showBubbleSize val="0"/>
        </c:dLbls>
        <c:gapWidth val="150"/>
        <c:axId val="821457656"/>
        <c:axId val="821457000"/>
      </c:barChart>
      <c:catAx>
        <c:axId val="821457656"/>
        <c:scaling>
          <c:orientation val="minMax"/>
        </c:scaling>
        <c:delete val="0"/>
        <c:axPos val="l"/>
        <c:numFmt formatCode="General" sourceLinked="1"/>
        <c:majorTickMark val="out"/>
        <c:minorTickMark val="none"/>
        <c:tickLblPos val="nextTo"/>
        <c:crossAx val="821457000"/>
        <c:crosses val="autoZero"/>
        <c:auto val="1"/>
        <c:lblAlgn val="ctr"/>
        <c:lblOffset val="100"/>
        <c:noMultiLvlLbl val="0"/>
      </c:catAx>
      <c:valAx>
        <c:axId val="821457000"/>
        <c:scaling>
          <c:orientation val="minMax"/>
        </c:scaling>
        <c:delete val="0"/>
        <c:axPos val="b"/>
        <c:majorGridlines/>
        <c:numFmt formatCode="&quot;$&quot;#.0,,\ &quot;million&quot;" sourceLinked="1"/>
        <c:majorTickMark val="out"/>
        <c:minorTickMark val="none"/>
        <c:tickLblPos val="nextTo"/>
        <c:crossAx val="821457656"/>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0.11952214856874256"/>
                  <c:y val="2.31511937198697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5CE-487F-888A-ADA545CC2CAC}"/>
                </c:ext>
              </c:extLst>
            </c:dLbl>
            <c:dLbl>
              <c:idx val="1"/>
              <c:layout>
                <c:manualLayout>
                  <c:x val="-0.10029999061555395"/>
                  <c:y val="0.1719777486383286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20558583198670155"/>
                  <c:y val="6.2372794122342326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8409807334896947"/>
                      <c:h val="0.11734465615834905"/>
                    </c:manualLayout>
                  </c15:layout>
                </c:ext>
                <c:ext xmlns:c16="http://schemas.microsoft.com/office/drawing/2014/chart" uri="{C3380CC4-5D6E-409C-BE32-E72D297353CC}">
                  <c16:uniqueId val="{00000004-A5CE-487F-888A-ADA545CC2CAC}"/>
                </c:ext>
              </c:extLst>
            </c:dLbl>
            <c:dLbl>
              <c:idx val="3"/>
              <c:layout>
                <c:manualLayout>
                  <c:x val="0.11774951978300113"/>
                  <c:y val="-0.18807252845580871"/>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5012301935377529"/>
                      <c:h val="0.11581776560338462"/>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solidFill>
                <a:schemeClr val="bg1">
                  <a:lumMod val="95000"/>
                </a:schemeClr>
              </a:solidFill>
              <a:ln cap="rnd">
                <a:solidFill>
                  <a:sysClr val="window" lastClr="FFFFFF">
                    <a:lumMod val="65000"/>
                  </a:sysClr>
                </a:solidFill>
              </a:ln>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'6B_ArtProd'!$A$3:$A$6</c:f>
              <c:strCache>
                <c:ptCount val="4"/>
                <c:pt idx="0">
                  <c:v>Coordination (Local/Regional)</c:v>
                </c:pt>
                <c:pt idx="1">
                  <c:v>Harvest Augmentation</c:v>
                </c:pt>
                <c:pt idx="2">
                  <c:v>RM and E</c:v>
                </c:pt>
                <c:pt idx="3">
                  <c:v>Supplementation</c:v>
                </c:pt>
              </c:strCache>
            </c:strRef>
          </c:cat>
          <c:val>
            <c:numRef>
              <c:f>'6B_ArtProd'!$L$3:$L$6</c:f>
              <c:numCache>
                <c:formatCode>"$"#.0,,\ "million"</c:formatCode>
                <c:ptCount val="4"/>
                <c:pt idx="0">
                  <c:v>513554</c:v>
                </c:pt>
                <c:pt idx="1">
                  <c:v>4367674</c:v>
                </c:pt>
                <c:pt idx="2">
                  <c:v>24309066</c:v>
                </c:pt>
                <c:pt idx="3">
                  <c:v>55046556</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31</xdr:row>
      <xdr:rowOff>0</xdr:rowOff>
    </xdr:from>
    <xdr:to>
      <xdr:col>11</xdr:col>
      <xdr:colOff>510599</xdr:colOff>
      <xdr:row>63</xdr:row>
      <xdr:rowOff>54742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16</xdr:row>
      <xdr:rowOff>66675</xdr:rowOff>
    </xdr:from>
    <xdr:to>
      <xdr:col>4</xdr:col>
      <xdr:colOff>790575</xdr:colOff>
      <xdr:row>42</xdr:row>
      <xdr:rowOff>47625</xdr:rowOff>
    </xdr:to>
    <xdr:graphicFrame macro="">
      <xdr:nvGraphicFramePr>
        <xdr:cNvPr id="2" name="Chart 1">
          <a:extLst>
            <a:ext uri="{FF2B5EF4-FFF2-40B4-BE49-F238E27FC236}">
              <a16:creationId xmlns:a16="http://schemas.microsoft.com/office/drawing/2014/main" id="{2B62F96A-69C4-4336-8D4D-4432C84EB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28</xdr:row>
      <xdr:rowOff>19050</xdr:rowOff>
    </xdr:from>
    <xdr:to>
      <xdr:col>3</xdr:col>
      <xdr:colOff>481965</xdr:colOff>
      <xdr:row>54</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77</xdr:row>
      <xdr:rowOff>0</xdr:rowOff>
    </xdr:from>
    <xdr:to>
      <xdr:col>2</xdr:col>
      <xdr:colOff>352426</xdr:colOff>
      <xdr:row>112</xdr:row>
      <xdr:rowOff>38101</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6</xdr:col>
      <xdr:colOff>320585</xdr:colOff>
      <xdr:row>79</xdr:row>
      <xdr:rowOff>97845</xdr:rowOff>
    </xdr:from>
    <xdr:ext cx="7273418" cy="7198305"/>
    <xdr:graphicFrame macro="">
      <xdr:nvGraphicFramePr>
        <xdr:cNvPr id="2" name="Chart 1">
          <a:extLst>
            <a:ext uri="{FF2B5EF4-FFF2-40B4-BE49-F238E27FC236}">
              <a16:creationId xmlns:a16="http://schemas.microsoft.com/office/drawing/2014/main" id="{89ED2140-9AA1-4999-9647-AA83AA7BB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twoCellAnchor editAs="oneCell">
    <xdr:from>
      <xdr:col>2</xdr:col>
      <xdr:colOff>367394</xdr:colOff>
      <xdr:row>29</xdr:row>
      <xdr:rowOff>95252</xdr:rowOff>
    </xdr:from>
    <xdr:to>
      <xdr:col>9</xdr:col>
      <xdr:colOff>212001</xdr:colOff>
      <xdr:row>62</xdr:row>
      <xdr:rowOff>60833</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0</xdr:colOff>
      <xdr:row>28</xdr:row>
      <xdr:rowOff>1242</xdr:rowOff>
    </xdr:from>
    <xdr:to>
      <xdr:col>41</xdr:col>
      <xdr:colOff>361951</xdr:colOff>
      <xdr:row>53</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29</xdr:row>
      <xdr:rowOff>0</xdr:rowOff>
    </xdr:from>
    <xdr:to>
      <xdr:col>53</xdr:col>
      <xdr:colOff>447262</xdr:colOff>
      <xdr:row>54</xdr:row>
      <xdr:rowOff>20293</xdr:rowOff>
    </xdr:to>
    <xdr:graphicFrame macro="">
      <xdr:nvGraphicFramePr>
        <xdr:cNvPr id="5" name="Chart 4">
          <a:extLst>
            <a:ext uri="{FF2B5EF4-FFF2-40B4-BE49-F238E27FC236}">
              <a16:creationId xmlns:a16="http://schemas.microsoft.com/office/drawing/2014/main" id="{4356DCE3-651D-4C9F-85C2-87436A52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0.7935</cdr:x>
      <cdr:y>0.13755</cdr:y>
    </cdr:from>
    <cdr:to>
      <cdr:x>0.94712</cdr:x>
      <cdr:y>0.19777</cdr:y>
    </cdr:to>
    <cdr:sp macro="" textlink="">
      <cdr:nvSpPr>
        <cdr:cNvPr id="3" name="TextBox 2"/>
        <cdr:cNvSpPr txBox="1"/>
      </cdr:nvSpPr>
      <cdr:spPr>
        <a:xfrm xmlns:a="http://schemas.openxmlformats.org/drawingml/2006/main">
          <a:off x="4973222" y="556657"/>
          <a:ext cx="962806" cy="243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$2.9B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0.80295</cdr:x>
      <cdr:y>0.07316</cdr:y>
    </cdr:from>
    <cdr:to>
      <cdr:x>0.88479</cdr:x>
      <cdr:y>0.13337</cdr:y>
    </cdr:to>
    <cdr:sp macro="" textlink="">
      <cdr:nvSpPr>
        <cdr:cNvPr id="4" name="TextBox 1"/>
        <cdr:cNvSpPr txBox="1"/>
      </cdr:nvSpPr>
      <cdr:spPr>
        <a:xfrm xmlns:a="http://schemas.openxmlformats.org/drawingml/2006/main">
          <a:off x="5032451" y="296053"/>
          <a:ext cx="512928" cy="24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0.30329</cdr:y>
    </cdr:from>
    <cdr:to>
      <cdr:x>0.94835</cdr:x>
      <cdr:y>0.36351</cdr:y>
    </cdr:to>
    <cdr:sp macro="" textlink="">
      <cdr:nvSpPr>
        <cdr:cNvPr id="5" name="TextBox 1"/>
        <cdr:cNvSpPr txBox="1"/>
      </cdr:nvSpPr>
      <cdr:spPr>
        <a:xfrm xmlns:a="http://schemas.openxmlformats.org/drawingml/2006/main">
          <a:off x="4980931" y="1227362"/>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0.79486</cdr:x>
      <cdr:y>0.45044</cdr:y>
    </cdr:from>
    <cdr:to>
      <cdr:x>0.94848</cdr:x>
      <cdr:y>0.51066</cdr:y>
    </cdr:to>
    <cdr:sp macro="" textlink="">
      <cdr:nvSpPr>
        <cdr:cNvPr id="6" name="TextBox 1"/>
        <cdr:cNvSpPr txBox="1"/>
      </cdr:nvSpPr>
      <cdr:spPr>
        <a:xfrm xmlns:a="http://schemas.openxmlformats.org/drawingml/2006/main">
          <a:off x="4981745" y="1822866"/>
          <a:ext cx="962805"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0.57322</cdr:y>
    </cdr:from>
    <cdr:to>
      <cdr:x>0.94835</cdr:x>
      <cdr:y>0.63344</cdr:y>
    </cdr:to>
    <cdr:sp macro="" textlink="">
      <cdr:nvSpPr>
        <cdr:cNvPr id="7" name="TextBox 1"/>
        <cdr:cNvSpPr txBox="1"/>
      </cdr:nvSpPr>
      <cdr:spPr>
        <a:xfrm xmlns:a="http://schemas.openxmlformats.org/drawingml/2006/main">
          <a:off x="4980931" y="2319757"/>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0.38348</cdr:x>
      <cdr:y>0.4126</cdr:y>
    </cdr:from>
    <cdr:to>
      <cdr:x>0.51131</cdr:x>
      <cdr:y>0.5119</cdr:y>
    </cdr:to>
    <cdr:sp macro="" textlink="'1A_CostsByArea'!$F$13">
      <cdr:nvSpPr>
        <cdr:cNvPr id="2" name="TextBox 1"/>
        <cdr:cNvSpPr txBox="1"/>
      </cdr:nvSpPr>
      <cdr:spPr>
        <a:xfrm xmlns:a="http://schemas.openxmlformats.org/drawingml/2006/main">
          <a:off x="3557668" y="2413610"/>
          <a:ext cx="1185932" cy="580881"/>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D338677D-D23B-4B0E-A9AB-5B5AFE8B4D93}" type="TxLink">
            <a:rPr lang="en-US" sz="1000" b="0" i="0" u="none" strike="noStrike">
              <a:solidFill>
                <a:srgbClr val="000000"/>
              </a:solidFill>
              <a:latin typeface="Century Gothic" panose="020B0502020202020204" pitchFamily="34" charset="0"/>
              <a:ea typeface="+mn-ea"/>
              <a:cs typeface="+mn-cs"/>
            </a:rPr>
            <a:pPr marL="0" indent="0" algn="ctr"/>
            <a:t>Fixed costs, $100.3 million</a:t>
          </a:fld>
          <a:endParaRPr lang="en-US" sz="1000">
            <a:latin typeface="Century Gothic" panose="020B0502020202020204" pitchFamily="34" charset="0"/>
            <a:ea typeface="+mn-ea"/>
            <a:cs typeface="+mn-cs"/>
          </a:endParaRPr>
        </a:p>
      </cdr:txBody>
    </cdr:sp>
  </cdr:relSizeAnchor>
  <cdr:relSizeAnchor xmlns:cdr="http://schemas.openxmlformats.org/drawingml/2006/chartDrawing">
    <cdr:from>
      <cdr:x>0.41474</cdr:x>
      <cdr:y>0.58781</cdr:y>
    </cdr:from>
    <cdr:to>
      <cdr:x>0.5734</cdr:x>
      <cdr:y>0.6624</cdr:y>
    </cdr:to>
    <cdr:sp macro="" textlink="'1A_CostsByArea'!$F$12">
      <cdr:nvSpPr>
        <cdr:cNvPr id="3" name="TextBox 1"/>
        <cdr:cNvSpPr txBox="1"/>
      </cdr:nvSpPr>
      <cdr:spPr>
        <a:xfrm xmlns:a="http://schemas.openxmlformats.org/drawingml/2006/main">
          <a:off x="3847742" y="3438570"/>
          <a:ext cx="1471953" cy="436333"/>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0CBF4CA-6990-438F-9D98-491359B2E286}" type="TxLink">
            <a:rPr lang="en-US" sz="1000" b="0" i="0" u="none" strike="noStrike">
              <a:solidFill>
                <a:srgbClr val="000000"/>
              </a:solidFill>
              <a:latin typeface="Century Gothic" panose="020B0502020202020204" pitchFamily="34" charset="0"/>
            </a:rPr>
            <a:pPr algn="ctr"/>
            <a:t>Reimburseable costs, $89.6 million</a:t>
          </a:fld>
          <a:endParaRPr lang="en-US" sz="1000">
            <a:latin typeface="Century Gothic" panose="020B0502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9</xdr:col>
      <xdr:colOff>587974</xdr:colOff>
      <xdr:row>31</xdr:row>
      <xdr:rowOff>55245</xdr:rowOff>
    </xdr:to>
    <xdr:graphicFrame macro="">
      <xdr:nvGraphicFramePr>
        <xdr:cNvPr id="2" name="Chart 1">
          <a:extLst>
            <a:ext uri="{FF2B5EF4-FFF2-40B4-BE49-F238E27FC236}">
              <a16:creationId xmlns:a16="http://schemas.microsoft.com/office/drawing/2014/main" id="{8136D266-9A6A-4698-9447-9A612CBD2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42</xdr:row>
      <xdr:rowOff>0</xdr:rowOff>
    </xdr:from>
    <xdr:to>
      <xdr:col>7</xdr:col>
      <xdr:colOff>666750</xdr:colOff>
      <xdr:row>73</xdr:row>
      <xdr:rowOff>43542</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600074</xdr:colOff>
      <xdr:row>14</xdr:row>
      <xdr:rowOff>9524</xdr:rowOff>
    </xdr:from>
    <xdr:to>
      <xdr:col>6</xdr:col>
      <xdr:colOff>224118</xdr:colOff>
      <xdr:row>33</xdr:row>
      <xdr:rowOff>123824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28</xdr:row>
      <xdr:rowOff>171673</xdr:rowOff>
    </xdr:from>
    <xdr:to>
      <xdr:col>2</xdr:col>
      <xdr:colOff>676275</xdr:colOff>
      <xdr:row>59</xdr:row>
      <xdr:rowOff>35859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33</xdr:row>
      <xdr:rowOff>33130</xdr:rowOff>
    </xdr:from>
    <xdr:to>
      <xdr:col>5</xdr:col>
      <xdr:colOff>207309</xdr:colOff>
      <xdr:row>54</xdr:row>
      <xdr:rowOff>25052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1085848</xdr:colOff>
      <xdr:row>23</xdr:row>
      <xdr:rowOff>133349</xdr:rowOff>
    </xdr:from>
    <xdr:to>
      <xdr:col>4</xdr:col>
      <xdr:colOff>819150</xdr:colOff>
      <xdr:row>56</xdr:row>
      <xdr:rowOff>142875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24</xdr:row>
      <xdr:rowOff>0</xdr:rowOff>
    </xdr:from>
    <xdr:to>
      <xdr:col>11</xdr:col>
      <xdr:colOff>466727</xdr:colOff>
      <xdr:row>57</xdr:row>
      <xdr:rowOff>9526</xdr:rowOff>
    </xdr:to>
    <xdr:graphicFrame macro="">
      <xdr:nvGraphicFramePr>
        <xdr:cNvPr id="4" name="Chart 3">
          <a:extLst>
            <a:ext uri="{FF2B5EF4-FFF2-40B4-BE49-F238E27FC236}">
              <a16:creationId xmlns:a16="http://schemas.microsoft.com/office/drawing/2014/main" id="{EFB81B01-B083-4920-8133-0B1DFA621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1085848</xdr:colOff>
      <xdr:row>13</xdr:row>
      <xdr:rowOff>133349</xdr:rowOff>
    </xdr:from>
    <xdr:to>
      <xdr:col>4</xdr:col>
      <xdr:colOff>819150</xdr:colOff>
      <xdr:row>46</xdr:row>
      <xdr:rowOff>142875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bpa.gov/FR/audit/year-end/Lists/FCRPS%20Year%20End%20%20FY13/Attachments/172/PBC%2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UNTING/General%20Ledger/GL%20General/Year%20End/2018%20Year%20End/3-Way%20Match%20Aug-Sep%20FY18%20Ac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HS2529/AppData/Local/Microsoft/Windows/Temporary%20Internet%20Files/Content.Outlook/O15ARXQ4/inactive/bpa_mrv2008.xnv"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B0422/AppData/Local/Microsoft/Windows/Temporary%20Internet%20Files/Content.Outlook/SVIJCXTX/4h10c%20FRG%20Queries%20and%20FRS%20nVision%20Report_Periods%201-12%202014%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sheetName val="True-Up"/>
      <sheetName val="Summary"/>
      <sheetName val="nVision"/>
      <sheetName val="Power Purchases"/>
    </sheetNames>
    <sheetDataSet>
      <sheetData sheetId="0"/>
      <sheetData sheetId="1"/>
      <sheetData sheetId="2">
        <row r="8">
          <cell r="O8">
            <v>242.98336318999998</v>
          </cell>
        </row>
      </sheetData>
      <sheetData sheetId="3">
        <row r="3">
          <cell r="E3" t="str">
            <v>2013-09-30</v>
          </cell>
        </row>
        <row r="7">
          <cell r="E7" t="str">
            <v>4H10C_13</v>
          </cell>
        </row>
        <row r="8">
          <cell r="E8" t="str">
            <v>2013</v>
          </cell>
        </row>
        <row r="9">
          <cell r="E9">
            <v>0.223</v>
          </cell>
        </row>
        <row r="10">
          <cell r="E10" t="str">
            <v>10/01/2012</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 Sheet"/>
      <sheetName val="Ledger"/>
      <sheetName val="Match"/>
      <sheetName val="FAB Dir Prog Cost Rpt"/>
      <sheetName val="FAB Dir Prog Cost Rpt actuals"/>
      <sheetName val="FRG Dir Prog Cost and IT Rpt"/>
      <sheetName val="FRG Actuals EXP EPM"/>
      <sheetName val="FRG Actuals CAP EPM"/>
      <sheetName val="FRG ActualsPISCES EPM"/>
      <sheetName val="FRG IT Rpt"/>
      <sheetName val="FTL IT Costs Rpt"/>
      <sheetName val="FTL IT Costs actuals"/>
      <sheetName val="FRS IT and Dir Prog Costs Rpt"/>
      <sheetName val="FRS IT and Dir Prog actua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E6" t="str">
            <v>CORPORATE BUSINESS UNIT</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Documentation"/>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Documentation"/>
      <sheetName val="Validation"/>
      <sheetName val="Exp Query"/>
      <sheetName val="Exp Data"/>
      <sheetName val="Cap Query"/>
      <sheetName val="Cap Data"/>
      <sheetName val="PISCES Query"/>
      <sheetName val="PISCES Data"/>
    </sheetNames>
    <sheetDataSet>
      <sheetData sheetId="0">
        <row r="3">
          <cell r="E3" t="str">
            <v>2014-09-30</v>
          </cell>
        </row>
        <row r="4">
          <cell r="E4" t="str">
            <v>0410_FCRPS_FY14_4H10C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_CostsByArea"/>
      <sheetName val="1B_DirectCosts"/>
      <sheetName val="2_SpeciesType"/>
      <sheetName val="3_FCRPS"/>
      <sheetName val="4_ESASpecies"/>
      <sheetName val="5_Fund"/>
      <sheetName val="6A_Category"/>
      <sheetName val="6B_ArtProd"/>
      <sheetName val="7_RME"/>
      <sheetName val="8A_Province"/>
      <sheetName val="8B_Subbasin"/>
      <sheetName val="9_Location"/>
      <sheetName val="10_Contractor"/>
      <sheetName val="11_LandPurchases"/>
      <sheetName val="BPA Costs Table"/>
    </sheetNames>
    <sheetDataSet>
      <sheetData sheetId="0" refreshError="1"/>
      <sheetData sheetId="1" refreshError="1"/>
      <sheetData sheetId="2">
        <row r="37">
          <cell r="D37" t="str">
            <v>Total: $262.7 million includes $22.3 million in obligations to capital projects, plus General and Administrative (G&amp;A) costs ($11.6 million), and Columbia River System Operations Review/Environmental Impact Statement costs ($255,000)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C2">
            <v>2007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topLeftCell="A7" zoomScaleNormal="100" workbookViewId="0">
      <selection activeCell="A49" sqref="A49"/>
    </sheetView>
  </sheetViews>
  <sheetFormatPr defaultColWidth="9.109375" defaultRowHeight="14.4"/>
  <cols>
    <col min="1" max="1" width="63.109375" style="76" bestFit="1" customWidth="1"/>
    <col min="2" max="2" width="9.5546875" style="76" bestFit="1" customWidth="1"/>
    <col min="3" max="3" width="5.6640625" style="76" customWidth="1"/>
    <col min="4" max="4" width="17.109375" style="76" customWidth="1"/>
    <col min="5" max="5" width="9.109375" style="76"/>
    <col min="6" max="6" width="31.109375" style="76" customWidth="1"/>
    <col min="7" max="7" width="18.44140625" style="76" customWidth="1"/>
    <col min="8" max="16384" width="9.109375" style="76"/>
  </cols>
  <sheetData>
    <row r="1" spans="1:9" ht="25.5" customHeight="1">
      <c r="A1" s="361" t="s">
        <v>385</v>
      </c>
      <c r="B1" s="361"/>
      <c r="C1" s="361"/>
      <c r="D1" s="361"/>
      <c r="E1" s="361"/>
      <c r="F1" s="361"/>
      <c r="G1" s="361"/>
      <c r="H1" s="361"/>
      <c r="I1" s="361"/>
    </row>
    <row r="2" spans="1:9">
      <c r="A2" s="76" t="s">
        <v>373</v>
      </c>
    </row>
    <row r="4" spans="1:9" ht="15.6">
      <c r="A4" s="202" t="s">
        <v>402</v>
      </c>
      <c r="B4" s="154" t="s">
        <v>269</v>
      </c>
      <c r="E4" s="154"/>
    </row>
    <row r="6" spans="1:9">
      <c r="A6" s="21"/>
      <c r="B6" s="21"/>
      <c r="F6" s="76" t="s">
        <v>384</v>
      </c>
    </row>
    <row r="7" spans="1:9">
      <c r="A7" s="21" t="s">
        <v>193</v>
      </c>
      <c r="B7" s="130">
        <v>238.07312463000002</v>
      </c>
      <c r="G7" s="154" t="s">
        <v>382</v>
      </c>
    </row>
    <row r="8" spans="1:9">
      <c r="A8" s="21" t="s">
        <v>235</v>
      </c>
      <c r="B8" s="128">
        <v>33.426027722903228</v>
      </c>
      <c r="G8" s="154" t="s">
        <v>374</v>
      </c>
    </row>
    <row r="9" spans="1:9">
      <c r="A9" s="21" t="s">
        <v>195</v>
      </c>
      <c r="B9" s="123">
        <v>46.347048999999998</v>
      </c>
      <c r="C9" s="366" t="s">
        <v>253</v>
      </c>
      <c r="D9" s="363" t="s">
        <v>252</v>
      </c>
      <c r="E9" s="364">
        <f>SUM(B9:B12)</f>
        <v>89.579345000000004</v>
      </c>
      <c r="G9" s="154" t="s">
        <v>378</v>
      </c>
    </row>
    <row r="10" spans="1:9">
      <c r="A10" s="21" t="s">
        <v>194</v>
      </c>
      <c r="B10" s="123">
        <v>31.852091000000001</v>
      </c>
      <c r="C10" s="367"/>
      <c r="D10" s="363"/>
      <c r="E10" s="364"/>
      <c r="G10" s="154" t="s">
        <v>379</v>
      </c>
    </row>
    <row r="11" spans="1:9">
      <c r="A11" s="21" t="s">
        <v>196</v>
      </c>
      <c r="B11" s="123">
        <v>5.7902050000000003</v>
      </c>
      <c r="C11" s="367"/>
      <c r="D11" s="363"/>
      <c r="E11" s="364"/>
      <c r="G11" s="154" t="s">
        <v>380</v>
      </c>
    </row>
    <row r="12" spans="1:9">
      <c r="A12" s="21" t="s">
        <v>197</v>
      </c>
      <c r="B12" s="123">
        <v>5.59</v>
      </c>
      <c r="C12" s="367"/>
      <c r="D12" s="363"/>
      <c r="E12" s="364"/>
      <c r="F12" s="76" t="str">
        <f>"Reimburseable costs, "&amp;TEXT(E9,"$0.0")&amp;" million"</f>
        <v>Reimburseable costs, $89.6 million</v>
      </c>
      <c r="G12" s="154" t="s">
        <v>381</v>
      </c>
    </row>
    <row r="13" spans="1:9">
      <c r="A13" s="21" t="s">
        <v>198</v>
      </c>
      <c r="B13" s="129">
        <v>32.529644248456414</v>
      </c>
      <c r="C13" s="368" t="s">
        <v>253</v>
      </c>
      <c r="D13" s="365" t="s">
        <v>251</v>
      </c>
      <c r="E13" s="370">
        <f>SUM(B13:B14)</f>
        <v>100.32964424845642</v>
      </c>
      <c r="F13" s="76" t="str">
        <f>"Fixed costs, "&amp;TEXT(E13,"$0.0")&amp;" million"</f>
        <v>Fixed costs, $100.3 million</v>
      </c>
      <c r="G13" s="154" t="s">
        <v>375</v>
      </c>
    </row>
    <row r="14" spans="1:9">
      <c r="A14" s="21" t="s">
        <v>199</v>
      </c>
      <c r="B14" s="129">
        <v>67.8</v>
      </c>
      <c r="C14" s="369"/>
      <c r="D14" s="365"/>
      <c r="E14" s="369"/>
      <c r="G14" s="154" t="s">
        <v>376</v>
      </c>
    </row>
    <row r="15" spans="1:9">
      <c r="A15" s="21" t="s">
        <v>200</v>
      </c>
      <c r="B15" s="131">
        <v>150.01999826999997</v>
      </c>
      <c r="G15" s="154" t="s">
        <v>377</v>
      </c>
    </row>
    <row r="16" spans="1:9">
      <c r="A16" s="25" t="s">
        <v>38</v>
      </c>
      <c r="B16" s="198">
        <f>SUM(B7:B15)</f>
        <v>611.42813987135958</v>
      </c>
    </row>
    <row r="17" spans="1:28">
      <c r="A17" s="21"/>
      <c r="B17" s="147"/>
    </row>
    <row r="18" spans="1:28">
      <c r="A18" s="153" t="s">
        <v>270</v>
      </c>
      <c r="B18" s="21"/>
    </row>
    <row r="19" spans="1:28" ht="16.5" customHeight="1">
      <c r="A19" s="151" t="s">
        <v>403</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row>
    <row r="20" spans="1:28" ht="16.5" customHeight="1">
      <c r="A20" s="125" t="s">
        <v>247</v>
      </c>
      <c r="B20" s="136"/>
      <c r="C20" s="136"/>
      <c r="D20" s="136"/>
      <c r="E20" s="136"/>
      <c r="F20" s="136"/>
      <c r="G20" s="136"/>
      <c r="H20" s="136"/>
      <c r="I20" s="136"/>
      <c r="J20" s="136"/>
      <c r="K20" s="136"/>
      <c r="L20" s="136"/>
      <c r="M20" s="136"/>
      <c r="N20" s="136"/>
      <c r="O20" s="136"/>
      <c r="P20" s="137"/>
      <c r="Q20" s="137"/>
      <c r="R20" s="137"/>
      <c r="S20" s="137"/>
      <c r="T20" s="137"/>
      <c r="U20" s="137"/>
      <c r="V20" s="137"/>
      <c r="W20" s="137"/>
      <c r="X20" s="137"/>
      <c r="Y20" s="137"/>
      <c r="Z20" s="137"/>
      <c r="AA20" s="137"/>
      <c r="AB20" s="124"/>
    </row>
    <row r="21" spans="1:28">
      <c r="A21" s="125" t="s">
        <v>248</v>
      </c>
      <c r="B21" s="125"/>
      <c r="C21" s="125"/>
      <c r="D21" s="125"/>
      <c r="E21" s="125"/>
      <c r="F21" s="125"/>
      <c r="G21" s="125"/>
      <c r="H21" s="125"/>
      <c r="I21" s="125"/>
      <c r="J21" s="125"/>
      <c r="K21" s="125"/>
      <c r="L21" s="125"/>
      <c r="M21" s="125"/>
      <c r="N21" s="125"/>
      <c r="O21" s="125"/>
      <c r="P21" s="137"/>
      <c r="Q21" s="137"/>
      <c r="R21" s="137"/>
      <c r="S21" s="137"/>
      <c r="T21" s="137"/>
      <c r="U21" s="137"/>
      <c r="V21" s="137"/>
      <c r="W21" s="137"/>
      <c r="X21" s="137"/>
      <c r="Y21" s="137"/>
      <c r="Z21" s="137"/>
      <c r="AA21" s="137"/>
      <c r="AB21" s="126"/>
    </row>
    <row r="22" spans="1:28" ht="16.5" customHeight="1">
      <c r="A22" s="125" t="s">
        <v>249</v>
      </c>
      <c r="B22" s="136"/>
      <c r="C22" s="136"/>
      <c r="D22" s="136"/>
      <c r="E22" s="136"/>
      <c r="F22" s="136"/>
      <c r="G22" s="136"/>
      <c r="H22" s="136"/>
      <c r="I22" s="136"/>
      <c r="J22" s="136"/>
      <c r="K22" s="136"/>
      <c r="L22" s="136"/>
      <c r="M22" s="136"/>
      <c r="N22" s="136"/>
      <c r="O22" s="136"/>
      <c r="P22" s="137"/>
      <c r="Q22" s="137"/>
      <c r="R22" s="137"/>
      <c r="S22" s="137"/>
      <c r="T22" s="137"/>
      <c r="U22" s="137"/>
      <c r="V22" s="137"/>
      <c r="W22" s="137"/>
      <c r="X22" s="137"/>
      <c r="Y22" s="137"/>
      <c r="Z22" s="137"/>
      <c r="AA22" s="137"/>
      <c r="AB22" s="126"/>
    </row>
    <row r="23" spans="1:28" ht="16.5" customHeight="1">
      <c r="A23" s="152" t="s">
        <v>250</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27"/>
      <c r="AA23" s="127"/>
      <c r="AB23" s="126"/>
    </row>
    <row r="24" spans="1:28">
      <c r="A24" s="21"/>
      <c r="B24" s="21"/>
    </row>
    <row r="25" spans="1:28">
      <c r="A25" s="21" t="s">
        <v>254</v>
      </c>
      <c r="B25" s="147">
        <v>146.73921922</v>
      </c>
      <c r="D25" s="154" t="s">
        <v>404</v>
      </c>
    </row>
    <row r="26" spans="1:28">
      <c r="A26" s="21" t="s">
        <v>255</v>
      </c>
      <c r="B26" s="147">
        <v>-95.507757760520008</v>
      </c>
      <c r="D26" s="154" t="s">
        <v>383</v>
      </c>
    </row>
    <row r="27" spans="1:28">
      <c r="A27" s="21"/>
      <c r="B27" s="133"/>
    </row>
    <row r="28" spans="1:28">
      <c r="A28" s="21" t="s">
        <v>84</v>
      </c>
      <c r="B28" s="133"/>
    </row>
    <row r="29" spans="1:28" ht="16.5" customHeight="1">
      <c r="A29" s="362" t="str">
        <f>"Total of "&amp;TEXT(B16,"$#0.0")&amp;" million does not reflect "&amp;TEXT(B25,"$#0.0")&amp;" million in obligations to capital projects for fish and wildlife projects, software development, and structures at dams, or "&amp;TEXT(ABS(B26),"$#0.0")&amp;" million federal credits Bonneville receives from the U.S. Treasury"</f>
        <v>Total of $611.4 million does not reflect $146.7 million in obligations to capital projects for fish and wildlife projects, software development, and structures at dams, or $95.5 million federal credits Bonneville receives from the U.S. Treasury</v>
      </c>
      <c r="B29" s="362"/>
      <c r="C29" s="362"/>
      <c r="D29" s="362"/>
      <c r="E29" s="362"/>
      <c r="F29" s="362"/>
      <c r="G29" s="362"/>
      <c r="H29" s="362"/>
      <c r="I29" s="362"/>
      <c r="J29" s="362"/>
    </row>
    <row r="30" spans="1:28" ht="16.5" customHeight="1">
      <c r="A30" s="362"/>
      <c r="B30" s="362"/>
      <c r="C30" s="362"/>
      <c r="D30" s="362"/>
      <c r="E30" s="362"/>
      <c r="F30" s="362"/>
      <c r="G30" s="362"/>
      <c r="H30" s="362"/>
      <c r="I30" s="362"/>
      <c r="J30" s="362"/>
    </row>
    <row r="31" spans="1:28">
      <c r="A31" s="21"/>
      <c r="B31" s="133"/>
    </row>
    <row r="41" spans="1:1">
      <c r="A41" s="148"/>
    </row>
  </sheetData>
  <mergeCells count="8">
    <mergeCell ref="A1:I1"/>
    <mergeCell ref="A29:J30"/>
    <mergeCell ref="D9:D12"/>
    <mergeCell ref="E9:E12"/>
    <mergeCell ref="D13:D14"/>
    <mergeCell ref="C9:C12"/>
    <mergeCell ref="C13:C14"/>
    <mergeCell ref="E13:E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79"/>
  <sheetViews>
    <sheetView zoomScaleNormal="100" workbookViewId="0">
      <selection activeCell="A26" sqref="A26"/>
    </sheetView>
  </sheetViews>
  <sheetFormatPr defaultColWidth="9.109375" defaultRowHeight="13.8"/>
  <cols>
    <col min="1" max="1" width="51.88671875" style="28" customWidth="1"/>
    <col min="2" max="2" width="14.5546875" style="29" customWidth="1"/>
    <col min="3" max="3" width="14.5546875" style="30" customWidth="1"/>
    <col min="4" max="6" width="14.5546875" style="29" customWidth="1"/>
    <col min="7" max="7" width="14.5546875" style="28" bestFit="1" customWidth="1"/>
    <col min="8" max="10" width="14.5546875" style="28" customWidth="1"/>
    <col min="11" max="11" width="14.88671875" style="28" customWidth="1"/>
    <col min="12" max="16384" width="9.109375" style="28"/>
  </cols>
  <sheetData>
    <row r="1" spans="1:11" ht="30" customHeight="1">
      <c r="A1" s="38" t="str">
        <f>"Figure 8: Costs by Province, FY" &amp; K2</f>
        <v>Figure 8: Costs by Province, FY2020</v>
      </c>
      <c r="B1" s="37"/>
      <c r="G1" s="30"/>
      <c r="H1" s="30"/>
      <c r="I1" s="30"/>
      <c r="J1" s="30"/>
    </row>
    <row r="2" spans="1:11">
      <c r="A2" s="36" t="s">
        <v>51</v>
      </c>
      <c r="B2" s="82">
        <v>2011</v>
      </c>
      <c r="C2" s="82">
        <v>2012</v>
      </c>
      <c r="D2" s="82">
        <v>2013</v>
      </c>
      <c r="E2" s="82">
        <v>2014</v>
      </c>
      <c r="F2" s="82">
        <v>2015</v>
      </c>
      <c r="G2" s="82">
        <v>2016</v>
      </c>
      <c r="H2" s="82">
        <v>2017</v>
      </c>
      <c r="I2" s="82">
        <v>2018</v>
      </c>
      <c r="J2" s="82">
        <v>2019</v>
      </c>
      <c r="K2" s="82">
        <v>2020</v>
      </c>
    </row>
    <row r="3" spans="1:11">
      <c r="A3" s="31" t="s">
        <v>208</v>
      </c>
      <c r="B3" s="84">
        <v>13045831</v>
      </c>
      <c r="C3" s="84">
        <v>13498753.4</v>
      </c>
      <c r="D3" s="84">
        <v>13359733.73</v>
      </c>
      <c r="E3" s="84">
        <v>14630130</v>
      </c>
      <c r="F3" s="84">
        <v>16928838.199999999</v>
      </c>
      <c r="G3" s="84">
        <v>17898141</v>
      </c>
      <c r="H3" s="84">
        <v>15136556</v>
      </c>
      <c r="I3" s="84">
        <v>15971140</v>
      </c>
      <c r="J3" s="84">
        <v>15606694</v>
      </c>
      <c r="K3" s="84">
        <v>14608802</v>
      </c>
    </row>
    <row r="4" spans="1:11">
      <c r="A4" s="31" t="s">
        <v>209</v>
      </c>
      <c r="B4" s="84">
        <v>52343560</v>
      </c>
      <c r="C4" s="84">
        <v>51216105.399999999</v>
      </c>
      <c r="D4" s="84">
        <v>36245776.280000001</v>
      </c>
      <c r="E4" s="84">
        <v>26801554</v>
      </c>
      <c r="F4" s="84">
        <v>28292736.699999999</v>
      </c>
      <c r="G4" s="84">
        <v>27088878</v>
      </c>
      <c r="H4" s="84">
        <v>23417021</v>
      </c>
      <c r="I4" s="84">
        <v>26971498</v>
      </c>
      <c r="J4" s="84">
        <v>20213837</v>
      </c>
      <c r="K4" s="84">
        <v>20804476</v>
      </c>
    </row>
    <row r="5" spans="1:11">
      <c r="A5" s="31" t="s">
        <v>210</v>
      </c>
      <c r="B5" s="84">
        <v>19962308</v>
      </c>
      <c r="C5" s="84">
        <v>13560427.4</v>
      </c>
      <c r="D5" s="84">
        <v>14326142.01</v>
      </c>
      <c r="E5" s="84">
        <v>10014903</v>
      </c>
      <c r="F5" s="84">
        <v>11744583.01</v>
      </c>
      <c r="G5" s="84">
        <v>9724087</v>
      </c>
      <c r="H5" s="84">
        <v>11247539</v>
      </c>
      <c r="I5" s="84">
        <v>12057261</v>
      </c>
      <c r="J5" s="84">
        <v>11349981</v>
      </c>
      <c r="K5" s="84">
        <v>9721637</v>
      </c>
    </row>
    <row r="6" spans="1:11">
      <c r="A6" s="31" t="s">
        <v>211</v>
      </c>
      <c r="B6" s="84">
        <v>59165613</v>
      </c>
      <c r="C6" s="84">
        <v>61637074.399999999</v>
      </c>
      <c r="D6" s="84">
        <v>61223676.229999997</v>
      </c>
      <c r="E6" s="84">
        <v>57654085</v>
      </c>
      <c r="F6" s="84">
        <v>67777655.400000006</v>
      </c>
      <c r="G6" s="84">
        <v>62214559</v>
      </c>
      <c r="H6" s="84">
        <v>62987617</v>
      </c>
      <c r="I6" s="84">
        <v>62147342</v>
      </c>
      <c r="J6" s="84">
        <v>70886382</v>
      </c>
      <c r="K6" s="84">
        <v>76390650</v>
      </c>
    </row>
    <row r="7" spans="1:11">
      <c r="A7" s="31" t="s">
        <v>212</v>
      </c>
      <c r="B7" s="84">
        <v>9469437</v>
      </c>
      <c r="C7" s="84">
        <v>11109892</v>
      </c>
      <c r="D7" s="84">
        <v>15336657.32</v>
      </c>
      <c r="E7" s="84">
        <v>10819987</v>
      </c>
      <c r="F7" s="84">
        <v>11165031.380000001</v>
      </c>
      <c r="G7" s="84">
        <v>11471831</v>
      </c>
      <c r="H7" s="84">
        <v>10425322</v>
      </c>
      <c r="I7" s="84">
        <v>8368864</v>
      </c>
      <c r="J7" s="84">
        <v>6959520</v>
      </c>
      <c r="K7" s="84">
        <v>7170541</v>
      </c>
    </row>
    <row r="8" spans="1:11">
      <c r="A8" s="31" t="s">
        <v>213</v>
      </c>
      <c r="B8" s="84">
        <v>17198718</v>
      </c>
      <c r="C8" s="84">
        <v>19784368</v>
      </c>
      <c r="D8" s="84">
        <v>16144887.76</v>
      </c>
      <c r="E8" s="84">
        <v>17769309</v>
      </c>
      <c r="F8" s="84">
        <v>17220237.800000001</v>
      </c>
      <c r="G8" s="84">
        <v>17995494</v>
      </c>
      <c r="H8" s="84">
        <v>20182310</v>
      </c>
      <c r="I8" s="84">
        <v>21730080</v>
      </c>
      <c r="J8" s="84">
        <v>19057687</v>
      </c>
      <c r="K8" s="84">
        <v>18810502</v>
      </c>
    </row>
    <row r="9" spans="1:11">
      <c r="A9" s="31" t="s">
        <v>214</v>
      </c>
      <c r="B9" s="84">
        <v>41609286</v>
      </c>
      <c r="C9" s="84">
        <v>33899854</v>
      </c>
      <c r="D9" s="84">
        <v>44562895.789999999</v>
      </c>
      <c r="E9" s="84">
        <v>13867496</v>
      </c>
      <c r="F9" s="84">
        <v>39453337.270000003</v>
      </c>
      <c r="G9" s="84">
        <v>40819289</v>
      </c>
      <c r="H9" s="84">
        <v>32446965</v>
      </c>
      <c r="I9" s="84">
        <v>31737631</v>
      </c>
      <c r="J9" s="84">
        <v>33544646</v>
      </c>
      <c r="K9" s="84">
        <v>37143967</v>
      </c>
    </row>
    <row r="10" spans="1:11">
      <c r="A10" s="31" t="s">
        <v>215</v>
      </c>
      <c r="B10" s="84">
        <v>4433754</v>
      </c>
      <c r="C10" s="84">
        <v>13235463</v>
      </c>
      <c r="D10" s="84">
        <v>3315759.24</v>
      </c>
      <c r="E10" s="84">
        <v>3817058</v>
      </c>
      <c r="F10" s="84">
        <v>4600725.0999999996</v>
      </c>
      <c r="G10" s="84">
        <v>4520947</v>
      </c>
      <c r="H10" s="84">
        <v>4516591</v>
      </c>
      <c r="I10" s="84">
        <v>4527680</v>
      </c>
      <c r="J10" s="84">
        <v>4404430</v>
      </c>
      <c r="K10" s="84">
        <v>4131290</v>
      </c>
    </row>
    <row r="11" spans="1:11">
      <c r="A11" s="32" t="s">
        <v>216</v>
      </c>
      <c r="B11" s="84">
        <v>24894377</v>
      </c>
      <c r="C11" s="84">
        <v>22160067</v>
      </c>
      <c r="D11" s="84">
        <v>20849802.890000001</v>
      </c>
      <c r="E11" s="84">
        <v>29293225</v>
      </c>
      <c r="F11" s="84">
        <v>19225549.199999999</v>
      </c>
      <c r="G11" s="84">
        <v>21252149</v>
      </c>
      <c r="H11" s="84">
        <v>15238992</v>
      </c>
      <c r="I11" s="84">
        <v>35985026</v>
      </c>
      <c r="J11" s="84">
        <v>14029481</v>
      </c>
      <c r="K11" s="84">
        <v>19968805</v>
      </c>
    </row>
    <row r="12" spans="1:11">
      <c r="A12" s="31" t="s">
        <v>217</v>
      </c>
      <c r="B12" s="84">
        <v>28149960</v>
      </c>
      <c r="C12" s="84">
        <v>30311321</v>
      </c>
      <c r="D12" s="84">
        <v>28453558.780000001</v>
      </c>
      <c r="E12" s="84">
        <v>28224756</v>
      </c>
      <c r="F12" s="84">
        <v>40285555.630000003</v>
      </c>
      <c r="G12" s="84">
        <v>29114533</v>
      </c>
      <c r="H12" s="84">
        <v>34958776</v>
      </c>
      <c r="I12" s="84">
        <v>31667229</v>
      </c>
      <c r="J12" s="84">
        <v>27353317</v>
      </c>
      <c r="K12" s="84">
        <v>25975173</v>
      </c>
    </row>
    <row r="13" spans="1:11">
      <c r="A13" s="31" t="s">
        <v>218</v>
      </c>
      <c r="B13" s="84">
        <v>4904675</v>
      </c>
      <c r="C13" s="84">
        <v>13213441</v>
      </c>
      <c r="D13" s="84">
        <v>10805581.939999999</v>
      </c>
      <c r="E13" s="84">
        <v>19886298</v>
      </c>
      <c r="F13" s="84">
        <v>3761184.08</v>
      </c>
      <c r="G13" s="84">
        <v>4997891</v>
      </c>
      <c r="H13" s="84">
        <v>4993296</v>
      </c>
      <c r="I13" s="84">
        <v>3449209</v>
      </c>
      <c r="J13" s="84">
        <v>5254430</v>
      </c>
      <c r="K13" s="84">
        <v>8862776</v>
      </c>
    </row>
    <row r="14" spans="1:11" ht="16.8">
      <c r="A14" s="31" t="s">
        <v>219</v>
      </c>
      <c r="B14" s="84">
        <v>7722192</v>
      </c>
      <c r="C14" s="84">
        <v>6872463</v>
      </c>
      <c r="D14" s="84">
        <v>4578007.34</v>
      </c>
      <c r="E14" s="84">
        <v>4892097</v>
      </c>
      <c r="F14" s="84">
        <v>5062472.42</v>
      </c>
      <c r="G14" s="84">
        <v>6828524</v>
      </c>
      <c r="H14" s="84">
        <v>5039627</v>
      </c>
      <c r="I14" s="84">
        <v>4841580</v>
      </c>
      <c r="J14" s="84">
        <v>4720582</v>
      </c>
      <c r="K14" s="84">
        <v>5039768</v>
      </c>
    </row>
    <row r="15" spans="1:11" ht="16.8">
      <c r="A15" s="31" t="s">
        <v>220</v>
      </c>
      <c r="B15" s="84">
        <v>28315184</v>
      </c>
      <c r="C15" s="84">
        <v>15910542</v>
      </c>
      <c r="D15" s="84">
        <v>21899413.120000001</v>
      </c>
      <c r="E15" s="84">
        <v>31463212</v>
      </c>
      <c r="F15" s="84">
        <v>14032643.140000001</v>
      </c>
      <c r="G15" s="84">
        <v>20245851</v>
      </c>
      <c r="H15" s="84">
        <v>19366924</v>
      </c>
      <c r="I15" s="84">
        <v>19245550</v>
      </c>
      <c r="J15" s="84">
        <v>17471914</v>
      </c>
      <c r="K15" s="84">
        <v>17792570</v>
      </c>
    </row>
    <row r="16" spans="1:11">
      <c r="A16" s="28" t="s">
        <v>279</v>
      </c>
      <c r="B16" s="28"/>
      <c r="C16" s="28"/>
      <c r="D16" s="28"/>
      <c r="E16" s="28"/>
      <c r="F16" s="28"/>
      <c r="I16" s="84">
        <v>10367580</v>
      </c>
      <c r="J16" s="84">
        <v>11607301</v>
      </c>
      <c r="K16" s="84">
        <v>11601030</v>
      </c>
    </row>
    <row r="17" spans="1:15">
      <c r="A17" s="28" t="s">
        <v>280</v>
      </c>
      <c r="B17" s="28"/>
      <c r="C17" s="28"/>
      <c r="D17" s="28"/>
      <c r="E17" s="28"/>
      <c r="F17" s="28"/>
      <c r="I17" s="84">
        <v>304457</v>
      </c>
      <c r="J17" s="84">
        <v>254958</v>
      </c>
      <c r="K17" s="84">
        <v>213881</v>
      </c>
    </row>
    <row r="18" spans="1:15">
      <c r="A18" s="35" t="s">
        <v>38</v>
      </c>
      <c r="B18" s="168">
        <f>SUM(B3:B17)</f>
        <v>311214895</v>
      </c>
      <c r="C18" s="168">
        <f t="shared" ref="C18:H18" si="0">SUM(C3:C17)</f>
        <v>306409771.60000002</v>
      </c>
      <c r="D18" s="168">
        <f t="shared" si="0"/>
        <v>291101892.43000001</v>
      </c>
      <c r="E18" s="168">
        <f t="shared" si="0"/>
        <v>269134110</v>
      </c>
      <c r="F18" s="168">
        <f t="shared" si="0"/>
        <v>279550549.32999998</v>
      </c>
      <c r="G18" s="168">
        <f t="shared" si="0"/>
        <v>274172174</v>
      </c>
      <c r="H18" s="168">
        <f t="shared" si="0"/>
        <v>259957536</v>
      </c>
      <c r="I18" s="168">
        <f t="shared" ref="I18:K18" si="1">SUM(I3:I17)</f>
        <v>289372127</v>
      </c>
      <c r="J18" s="168">
        <f t="shared" si="1"/>
        <v>262715160</v>
      </c>
      <c r="K18" s="168">
        <f t="shared" si="1"/>
        <v>278235868</v>
      </c>
    </row>
    <row r="19" spans="1:15">
      <c r="A19" s="31"/>
      <c r="C19" s="29"/>
      <c r="G19" s="33"/>
      <c r="H19" s="33"/>
      <c r="I19" s="33"/>
      <c r="J19" s="33"/>
    </row>
    <row r="20" spans="1:15">
      <c r="A20" s="34" t="s">
        <v>1</v>
      </c>
    </row>
    <row r="21" spans="1:15" ht="17.25" customHeight="1">
      <c r="A21" s="356" t="s">
        <v>50</v>
      </c>
      <c r="B21" s="356"/>
      <c r="C21" s="356"/>
      <c r="D21" s="356"/>
      <c r="E21" s="356"/>
      <c r="F21" s="356"/>
      <c r="G21" s="356"/>
      <c r="H21" s="356"/>
      <c r="I21" s="356"/>
      <c r="J21" s="356"/>
      <c r="K21" s="356"/>
      <c r="L21" s="356"/>
      <c r="M21" s="356"/>
      <c r="N21" s="356"/>
      <c r="O21" s="356"/>
    </row>
    <row r="22" spans="1:15" ht="17.25" customHeight="1">
      <c r="A22" s="356" t="s">
        <v>49</v>
      </c>
      <c r="B22" s="356"/>
      <c r="C22" s="356"/>
      <c r="D22" s="356"/>
      <c r="E22" s="356"/>
      <c r="F22" s="356"/>
      <c r="G22" s="356"/>
      <c r="H22" s="356"/>
      <c r="I22" s="356"/>
      <c r="J22" s="356"/>
      <c r="K22" s="356"/>
      <c r="L22" s="356"/>
      <c r="M22" s="356"/>
      <c r="N22" s="356"/>
      <c r="O22" s="356"/>
    </row>
    <row r="23" spans="1:15" ht="17.25" customHeight="1">
      <c r="A23" s="358" t="s">
        <v>367</v>
      </c>
      <c r="B23" s="358"/>
      <c r="C23" s="358"/>
      <c r="D23" s="358"/>
      <c r="E23" s="358"/>
      <c r="F23" s="358"/>
      <c r="G23" s="358"/>
      <c r="H23" s="358"/>
      <c r="I23" s="358"/>
      <c r="J23" s="358"/>
      <c r="K23" s="358"/>
      <c r="L23" s="358"/>
      <c r="M23" s="358"/>
      <c r="N23" s="358"/>
      <c r="O23" s="358"/>
    </row>
    <row r="24" spans="1:15" ht="17.25" customHeight="1">
      <c r="A24" s="357" t="s">
        <v>368</v>
      </c>
      <c r="B24" s="357"/>
      <c r="C24" s="357"/>
      <c r="D24" s="357"/>
      <c r="E24" s="357"/>
      <c r="F24" s="357"/>
      <c r="G24" s="357"/>
      <c r="H24" s="357"/>
      <c r="I24" s="357"/>
      <c r="J24" s="357"/>
      <c r="K24" s="357"/>
      <c r="L24" s="357"/>
      <c r="M24" s="357"/>
      <c r="N24" s="357"/>
      <c r="O24" s="357"/>
    </row>
    <row r="25" spans="1:15" ht="17.25" customHeight="1">
      <c r="A25" s="359" t="s">
        <v>456</v>
      </c>
      <c r="B25" s="359"/>
      <c r="C25" s="359"/>
      <c r="D25" s="359"/>
      <c r="E25" s="359"/>
      <c r="F25" s="359"/>
      <c r="G25" s="359"/>
      <c r="H25" s="359"/>
      <c r="I25" s="359"/>
      <c r="J25" s="359"/>
      <c r="K25" s="359"/>
      <c r="L25" s="359"/>
      <c r="M25" s="359"/>
      <c r="N25" s="359"/>
      <c r="O25" s="359"/>
    </row>
    <row r="26" spans="1:15" ht="26.25" customHeight="1">
      <c r="A26" s="101" t="s">
        <v>84</v>
      </c>
      <c r="B26" s="83"/>
      <c r="C26" s="86"/>
      <c r="D26" s="83"/>
      <c r="E26" s="83"/>
      <c r="F26" s="83"/>
      <c r="G26" s="85"/>
      <c r="H26" s="141"/>
      <c r="I26" s="141"/>
      <c r="J26" s="141"/>
      <c r="K26" s="85"/>
    </row>
    <row r="27" spans="1:15" ht="17.25" customHeight="1">
      <c r="A27" s="32" t="str">
        <f>subtitle</f>
        <v>Total: $278.2 million includes $40.2 million in obligations to capital projects, plus General and Administrative (G&amp;A) costs ($11.6 million), and Columbia River System Operations Review/Environmental Impact Statement costs ($213,900)</v>
      </c>
      <c r="B27" s="83"/>
      <c r="C27" s="86"/>
      <c r="D27" s="83"/>
      <c r="E27" s="83"/>
      <c r="F27" s="83"/>
      <c r="G27" s="85"/>
      <c r="H27" s="141"/>
      <c r="I27" s="141"/>
      <c r="J27" s="141"/>
      <c r="K27" s="85"/>
    </row>
    <row r="28" spans="1:15">
      <c r="E28" s="88" t="s">
        <v>98</v>
      </c>
    </row>
    <row r="29" spans="1:15">
      <c r="E29" s="87" t="str">
        <f t="shared" ref="E29:E39" si="2">PROPER(A3)</f>
        <v>Blue Mountain</v>
      </c>
      <c r="F29" s="89">
        <f t="shared" ref="F29:F41" si="3">K3</f>
        <v>14608802</v>
      </c>
    </row>
    <row r="30" spans="1:15">
      <c r="E30" s="87" t="str">
        <f t="shared" si="2"/>
        <v>Columbia Cascade</v>
      </c>
      <c r="F30" s="89">
        <f t="shared" si="3"/>
        <v>20804476</v>
      </c>
    </row>
    <row r="31" spans="1:15">
      <c r="B31" s="28"/>
      <c r="C31" s="28"/>
      <c r="E31" s="87" t="str">
        <f t="shared" si="2"/>
        <v>Columbia Gorge</v>
      </c>
      <c r="F31" s="89">
        <f t="shared" si="3"/>
        <v>9721637</v>
      </c>
    </row>
    <row r="32" spans="1:15">
      <c r="B32" s="28"/>
      <c r="C32" s="28"/>
      <c r="E32" s="87" t="str">
        <f t="shared" si="2"/>
        <v>Columbia Plateau</v>
      </c>
      <c r="F32" s="89">
        <f t="shared" si="3"/>
        <v>76390650</v>
      </c>
    </row>
    <row r="33" spans="2:6">
      <c r="B33" s="28"/>
      <c r="C33" s="28"/>
      <c r="E33" s="87" t="str">
        <f t="shared" si="2"/>
        <v>Columbia Estuary</v>
      </c>
      <c r="F33" s="89">
        <f t="shared" si="3"/>
        <v>7170541</v>
      </c>
    </row>
    <row r="34" spans="2:6">
      <c r="B34" s="28"/>
      <c r="C34" s="28"/>
      <c r="E34" s="87" t="str">
        <f t="shared" si="2"/>
        <v>Intermountain</v>
      </c>
      <c r="F34" s="89">
        <f t="shared" si="3"/>
        <v>18810502</v>
      </c>
    </row>
    <row r="35" spans="2:6">
      <c r="B35" s="28"/>
      <c r="C35" s="28"/>
      <c r="E35" s="87" t="str">
        <f t="shared" si="2"/>
        <v>Lower Columbia</v>
      </c>
      <c r="F35" s="89">
        <f t="shared" si="3"/>
        <v>37143967</v>
      </c>
    </row>
    <row r="36" spans="2:6">
      <c r="E36" s="87" t="str">
        <f t="shared" si="2"/>
        <v>Middle Snake</v>
      </c>
      <c r="F36" s="89">
        <f t="shared" si="3"/>
        <v>4131290</v>
      </c>
    </row>
    <row r="37" spans="2:6">
      <c r="E37" s="87" t="str">
        <f t="shared" si="2"/>
        <v>Mountain Columbia</v>
      </c>
      <c r="F37" s="89">
        <f t="shared" si="3"/>
        <v>19968805</v>
      </c>
    </row>
    <row r="38" spans="2:6">
      <c r="E38" s="87" t="str">
        <f t="shared" si="2"/>
        <v>Mountain Snake</v>
      </c>
      <c r="F38" s="89">
        <f t="shared" si="3"/>
        <v>25975173</v>
      </c>
    </row>
    <row r="39" spans="2:6">
      <c r="E39" s="87" t="str">
        <f t="shared" si="2"/>
        <v>Upper Snake</v>
      </c>
      <c r="F39" s="89">
        <f t="shared" si="3"/>
        <v>8862776</v>
      </c>
    </row>
    <row r="40" spans="2:6">
      <c r="E40" s="87" t="s">
        <v>52</v>
      </c>
      <c r="F40" s="89">
        <f t="shared" si="3"/>
        <v>5039768</v>
      </c>
    </row>
    <row r="41" spans="2:6">
      <c r="E41" s="87" t="s">
        <v>4</v>
      </c>
      <c r="F41" s="89">
        <f t="shared" si="3"/>
        <v>17792570</v>
      </c>
    </row>
    <row r="43" spans="2:6">
      <c r="E43" s="39"/>
    </row>
    <row r="44" spans="2:6">
      <c r="E44" s="39"/>
    </row>
    <row r="45" spans="2:6">
      <c r="E45" s="39"/>
    </row>
    <row r="46" spans="2:6">
      <c r="E46" s="39"/>
    </row>
    <row r="47" spans="2:6">
      <c r="E47" s="39"/>
    </row>
    <row r="48" spans="2:6">
      <c r="E48" s="39"/>
    </row>
    <row r="49" spans="1:6">
      <c r="E49" s="39"/>
    </row>
    <row r="63" spans="1:6">
      <c r="E63" s="28"/>
      <c r="F63" s="28"/>
    </row>
    <row r="64" spans="1:6">
      <c r="A64" s="31"/>
      <c r="B64" s="28"/>
      <c r="C64" s="28"/>
      <c r="D64" s="28"/>
      <c r="E64" s="28"/>
      <c r="F64" s="28"/>
    </row>
    <row r="65" spans="1:6">
      <c r="A65" s="31"/>
      <c r="B65" s="28"/>
      <c r="C65" s="28"/>
      <c r="D65" s="28"/>
      <c r="E65" s="28"/>
      <c r="F65" s="28"/>
    </row>
    <row r="66" spans="1:6">
      <c r="A66" s="31"/>
      <c r="B66" s="28"/>
      <c r="C66" s="28"/>
      <c r="D66" s="28"/>
      <c r="E66" s="28"/>
      <c r="F66" s="28"/>
    </row>
    <row r="67" spans="1:6">
      <c r="A67" s="32"/>
      <c r="B67" s="28"/>
      <c r="C67" s="28"/>
      <c r="D67" s="28"/>
      <c r="E67" s="28"/>
      <c r="F67" s="28"/>
    </row>
    <row r="68" spans="1:6">
      <c r="A68" s="31"/>
      <c r="B68" s="28"/>
      <c r="C68" s="28"/>
      <c r="D68" s="28"/>
      <c r="E68" s="28"/>
      <c r="F68" s="28"/>
    </row>
    <row r="69" spans="1:6">
      <c r="A69" s="31"/>
      <c r="B69" s="28"/>
      <c r="C69" s="28"/>
      <c r="D69" s="28"/>
      <c r="E69" s="28"/>
      <c r="F69" s="28"/>
    </row>
    <row r="70" spans="1:6">
      <c r="A70" s="31"/>
      <c r="B70" s="28"/>
      <c r="C70" s="28"/>
      <c r="D70" s="28"/>
      <c r="E70" s="28"/>
      <c r="F70" s="28"/>
    </row>
    <row r="71" spans="1:6">
      <c r="A71" s="31"/>
      <c r="B71" s="28"/>
      <c r="C71" s="28"/>
      <c r="D71" s="28"/>
      <c r="E71" s="28"/>
      <c r="F71" s="28"/>
    </row>
    <row r="72" spans="1:6">
      <c r="A72" s="31"/>
      <c r="B72" s="28"/>
      <c r="C72" s="28"/>
      <c r="D72" s="28"/>
      <c r="E72" s="28"/>
      <c r="F72" s="28"/>
    </row>
    <row r="73" spans="1:6">
      <c r="A73" s="31"/>
      <c r="B73" s="28"/>
      <c r="C73" s="28"/>
      <c r="D73" s="28"/>
      <c r="E73" s="28"/>
      <c r="F73" s="28"/>
    </row>
    <row r="74" spans="1:6">
      <c r="A74" s="31"/>
      <c r="B74" s="28"/>
      <c r="C74" s="28"/>
      <c r="D74" s="28"/>
      <c r="E74" s="28"/>
      <c r="F74" s="28"/>
    </row>
    <row r="75" spans="1:6">
      <c r="A75" s="31"/>
      <c r="B75" s="28"/>
      <c r="C75" s="28"/>
      <c r="D75" s="28"/>
    </row>
    <row r="76" spans="1:6">
      <c r="E76" s="28"/>
      <c r="F76" s="28"/>
    </row>
    <row r="77" spans="1:6">
      <c r="A77" s="31"/>
      <c r="B77" s="28"/>
      <c r="C77" s="28"/>
      <c r="D77" s="28"/>
      <c r="E77" s="28"/>
      <c r="F77" s="28"/>
    </row>
    <row r="78" spans="1:6">
      <c r="A78" s="31"/>
      <c r="B78" s="28"/>
      <c r="C78" s="28"/>
      <c r="D78" s="28"/>
      <c r="E78" s="28"/>
      <c r="F78" s="28"/>
    </row>
    <row r="79" spans="1:6">
      <c r="A79" s="31"/>
      <c r="B79" s="28"/>
      <c r="C79" s="28"/>
      <c r="D79" s="28"/>
    </row>
  </sheetData>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F04A-3322-414A-BC92-58B9AEE60C67}">
  <sheetPr>
    <pageSetUpPr fitToPage="1"/>
  </sheetPr>
  <dimension ref="A1:L76"/>
  <sheetViews>
    <sheetView topLeftCell="A64" workbookViewId="0">
      <selection activeCell="A74" sqref="A74"/>
    </sheetView>
  </sheetViews>
  <sheetFormatPr defaultColWidth="9.109375" defaultRowHeight="14.4"/>
  <cols>
    <col min="1" max="1" width="29.109375" style="76" customWidth="1"/>
    <col min="2" max="2" width="49" style="76" bestFit="1" customWidth="1"/>
    <col min="3" max="3" width="16.5546875" style="76" bestFit="1" customWidth="1"/>
    <col min="4" max="5" width="9.109375" style="76"/>
    <col min="6" max="6" width="10.109375" style="76" bestFit="1" customWidth="1"/>
    <col min="7" max="16384" width="9.109375" style="76"/>
  </cols>
  <sheetData>
    <row r="1" spans="1:4" ht="15.6">
      <c r="A1" s="205" t="str">
        <f>"Figure 8A:Costs by Subbasin, FY" &amp; C3</f>
        <v>Figure 8A:Costs by Subbasin, FY2020</v>
      </c>
    </row>
    <row r="3" spans="1:4" s="178" customFormat="1">
      <c r="A3" s="211" t="s">
        <v>51</v>
      </c>
      <c r="B3" s="211" t="s">
        <v>395</v>
      </c>
      <c r="C3" s="212">
        <v>2020</v>
      </c>
    </row>
    <row r="4" spans="1:4">
      <c r="A4" s="177" t="s">
        <v>308</v>
      </c>
      <c r="B4" s="177" t="s">
        <v>309</v>
      </c>
      <c r="C4" s="233">
        <v>0</v>
      </c>
    </row>
    <row r="5" spans="1:4">
      <c r="A5" s="177" t="s">
        <v>308</v>
      </c>
      <c r="B5" s="177" t="s">
        <v>313</v>
      </c>
      <c r="C5" s="233">
        <v>17229</v>
      </c>
    </row>
    <row r="6" spans="1:4">
      <c r="A6" s="177" t="s">
        <v>345</v>
      </c>
      <c r="B6" s="177" t="s">
        <v>350</v>
      </c>
      <c r="C6" s="233">
        <v>26782</v>
      </c>
    </row>
    <row r="7" spans="1:4">
      <c r="A7" s="177" t="s">
        <v>334</v>
      </c>
      <c r="B7" s="177" t="s">
        <v>339</v>
      </c>
      <c r="C7" s="233">
        <v>39667</v>
      </c>
    </row>
    <row r="8" spans="1:4">
      <c r="A8" s="177" t="s">
        <v>308</v>
      </c>
      <c r="B8" s="177" t="s">
        <v>307</v>
      </c>
      <c r="C8" s="233">
        <v>56671</v>
      </c>
    </row>
    <row r="9" spans="1:4">
      <c r="A9" s="177" t="s">
        <v>316</v>
      </c>
      <c r="B9" s="177" t="s">
        <v>318</v>
      </c>
      <c r="C9" s="233">
        <v>62879</v>
      </c>
    </row>
    <row r="10" spans="1:4">
      <c r="A10" s="177" t="s">
        <v>316</v>
      </c>
      <c r="B10" s="177" t="s">
        <v>320</v>
      </c>
      <c r="C10" s="233">
        <v>86814</v>
      </c>
    </row>
    <row r="11" spans="1:4">
      <c r="A11" s="177" t="s">
        <v>316</v>
      </c>
      <c r="B11" s="177" t="s">
        <v>317</v>
      </c>
      <c r="C11" s="233">
        <v>97552</v>
      </c>
    </row>
    <row r="12" spans="1:4">
      <c r="A12" s="177" t="s">
        <v>302</v>
      </c>
      <c r="B12" s="177" t="s">
        <v>305</v>
      </c>
      <c r="C12" s="233">
        <v>110180</v>
      </c>
    </row>
    <row r="13" spans="1:4">
      <c r="A13" s="177" t="s">
        <v>295</v>
      </c>
      <c r="B13" s="177" t="s">
        <v>294</v>
      </c>
      <c r="C13" s="233">
        <v>113812</v>
      </c>
    </row>
    <row r="14" spans="1:4">
      <c r="A14" s="177" t="s">
        <v>329</v>
      </c>
      <c r="B14" s="177" t="s">
        <v>331</v>
      </c>
      <c r="C14" s="233">
        <v>123847</v>
      </c>
    </row>
    <row r="15" spans="1:4">
      <c r="A15" s="177" t="s">
        <v>302</v>
      </c>
      <c r="B15" s="177" t="s">
        <v>306</v>
      </c>
      <c r="C15" s="233">
        <v>276255</v>
      </c>
    </row>
    <row r="16" spans="1:4">
      <c r="A16" s="177" t="s">
        <v>295</v>
      </c>
      <c r="B16" s="177" t="s">
        <v>297</v>
      </c>
      <c r="C16" s="233">
        <v>298503</v>
      </c>
    </row>
    <row r="17" spans="1:3">
      <c r="A17" s="177" t="s">
        <v>316</v>
      </c>
      <c r="B17" s="177" t="s">
        <v>319</v>
      </c>
      <c r="C17" s="233">
        <v>371864</v>
      </c>
    </row>
    <row r="18" spans="1:3">
      <c r="A18" s="177" t="s">
        <v>345</v>
      </c>
      <c r="B18" s="177" t="s">
        <v>349</v>
      </c>
      <c r="C18" s="233">
        <v>391797</v>
      </c>
    </row>
    <row r="19" spans="1:3">
      <c r="A19" s="177" t="s">
        <v>308</v>
      </c>
      <c r="B19" s="177" t="s">
        <v>310</v>
      </c>
      <c r="C19" s="233">
        <v>417485</v>
      </c>
    </row>
    <row r="20" spans="1:3">
      <c r="A20" s="177" t="s">
        <v>345</v>
      </c>
      <c r="B20" s="177" t="s">
        <v>346</v>
      </c>
      <c r="C20" s="233">
        <v>460445</v>
      </c>
    </row>
    <row r="21" spans="1:3">
      <c r="A21" s="177" t="s">
        <v>345</v>
      </c>
      <c r="B21" s="177" t="s">
        <v>344</v>
      </c>
      <c r="C21" s="233">
        <v>564146</v>
      </c>
    </row>
    <row r="22" spans="1:3">
      <c r="A22" s="177" t="s">
        <v>352</v>
      </c>
      <c r="B22" s="177" t="s">
        <v>356</v>
      </c>
      <c r="C22" s="233">
        <v>651168</v>
      </c>
    </row>
    <row r="23" spans="1:3">
      <c r="A23" s="177" t="s">
        <v>359</v>
      </c>
      <c r="B23" s="177" t="s">
        <v>362</v>
      </c>
      <c r="C23" s="233">
        <v>663968</v>
      </c>
    </row>
    <row r="24" spans="1:3">
      <c r="A24" s="177" t="s">
        <v>334</v>
      </c>
      <c r="B24" s="177" t="s">
        <v>342</v>
      </c>
      <c r="C24" s="233">
        <v>740132</v>
      </c>
    </row>
    <row r="25" spans="1:3">
      <c r="A25" s="177" t="s">
        <v>308</v>
      </c>
      <c r="B25" s="177" t="s">
        <v>312</v>
      </c>
      <c r="C25" s="233">
        <v>798453</v>
      </c>
    </row>
    <row r="26" spans="1:3">
      <c r="A26" s="177" t="s">
        <v>308</v>
      </c>
      <c r="B26" s="177" t="s">
        <v>311</v>
      </c>
      <c r="C26" s="233">
        <v>956371</v>
      </c>
    </row>
    <row r="27" spans="1:3">
      <c r="A27" s="177" t="s">
        <v>359</v>
      </c>
      <c r="B27" s="177" t="s">
        <v>358</v>
      </c>
      <c r="C27" s="233">
        <v>963718</v>
      </c>
    </row>
    <row r="28" spans="1:3">
      <c r="A28" s="177" t="s">
        <v>329</v>
      </c>
      <c r="B28" s="177" t="s">
        <v>330</v>
      </c>
      <c r="C28" s="233">
        <v>976127</v>
      </c>
    </row>
    <row r="29" spans="1:3">
      <c r="A29" s="177" t="s">
        <v>352</v>
      </c>
      <c r="B29" s="177" t="s">
        <v>355</v>
      </c>
      <c r="C29" s="233">
        <v>1066181</v>
      </c>
    </row>
    <row r="30" spans="1:3">
      <c r="A30" s="177" t="s">
        <v>359</v>
      </c>
      <c r="B30" s="177" t="s">
        <v>360</v>
      </c>
      <c r="C30" s="233">
        <v>1125091</v>
      </c>
    </row>
    <row r="31" spans="1:3">
      <c r="A31" s="177" t="s">
        <v>329</v>
      </c>
      <c r="B31" s="177" t="s">
        <v>328</v>
      </c>
      <c r="C31" s="233">
        <v>1276023</v>
      </c>
    </row>
    <row r="32" spans="1:3">
      <c r="A32" s="177" t="s">
        <v>323</v>
      </c>
      <c r="B32" s="177" t="s">
        <v>324</v>
      </c>
      <c r="C32" s="233">
        <v>1736157</v>
      </c>
    </row>
    <row r="33" spans="1:3">
      <c r="A33" s="177" t="s">
        <v>308</v>
      </c>
      <c r="B33" s="177" t="s">
        <v>314</v>
      </c>
      <c r="C33" s="233">
        <v>1885081</v>
      </c>
    </row>
    <row r="34" spans="1:3">
      <c r="A34" s="177" t="s">
        <v>323</v>
      </c>
      <c r="B34" s="177" t="s">
        <v>327</v>
      </c>
      <c r="C34" s="233">
        <v>2077580</v>
      </c>
    </row>
    <row r="35" spans="1:3">
      <c r="A35" s="177" t="s">
        <v>345</v>
      </c>
      <c r="B35" s="177" t="s">
        <v>345</v>
      </c>
      <c r="C35" s="233">
        <v>2340670</v>
      </c>
    </row>
    <row r="36" spans="1:3">
      <c r="A36" s="177" t="s">
        <v>334</v>
      </c>
      <c r="B36" s="177" t="s">
        <v>337</v>
      </c>
      <c r="C36" s="233">
        <v>2425481</v>
      </c>
    </row>
    <row r="37" spans="1:3">
      <c r="A37" s="177" t="s">
        <v>345</v>
      </c>
      <c r="B37" s="177" t="s">
        <v>347</v>
      </c>
      <c r="C37" s="233">
        <v>2467141</v>
      </c>
    </row>
    <row r="38" spans="1:3">
      <c r="A38" s="177" t="s">
        <v>352</v>
      </c>
      <c r="B38" s="177" t="s">
        <v>351</v>
      </c>
      <c r="C38" s="233">
        <v>2697368</v>
      </c>
    </row>
    <row r="39" spans="1:3">
      <c r="A39" s="177" t="s">
        <v>323</v>
      </c>
      <c r="B39" s="177" t="s">
        <v>322</v>
      </c>
      <c r="C39" s="233">
        <v>3083783</v>
      </c>
    </row>
    <row r="40" spans="1:3">
      <c r="A40" s="177" t="s">
        <v>345</v>
      </c>
      <c r="B40" s="177" t="s">
        <v>348</v>
      </c>
      <c r="C40" s="233">
        <v>3470656</v>
      </c>
    </row>
    <row r="41" spans="1:3">
      <c r="A41" s="177" t="s">
        <v>334</v>
      </c>
      <c r="B41" s="177" t="s">
        <v>343</v>
      </c>
      <c r="C41" s="233">
        <v>4084647</v>
      </c>
    </row>
    <row r="42" spans="1:3">
      <c r="A42" s="177" t="s">
        <v>302</v>
      </c>
      <c r="B42" s="177" t="s">
        <v>304</v>
      </c>
      <c r="C42" s="233">
        <v>4390636</v>
      </c>
    </row>
    <row r="43" spans="1:3">
      <c r="A43" s="177" t="s">
        <v>302</v>
      </c>
      <c r="B43" s="177" t="s">
        <v>303</v>
      </c>
      <c r="C43" s="233">
        <v>4492830</v>
      </c>
    </row>
    <row r="44" spans="1:3">
      <c r="A44" s="177" t="s">
        <v>334</v>
      </c>
      <c r="B44" s="177" t="s">
        <v>338</v>
      </c>
      <c r="C44" s="233">
        <v>4701192</v>
      </c>
    </row>
    <row r="45" spans="1:3">
      <c r="A45" s="177" t="s">
        <v>329</v>
      </c>
      <c r="B45" s="177" t="s">
        <v>332</v>
      </c>
      <c r="C45" s="233">
        <v>4794544</v>
      </c>
    </row>
    <row r="46" spans="1:3">
      <c r="A46" s="177" t="s">
        <v>52</v>
      </c>
      <c r="B46" s="177" t="s">
        <v>52</v>
      </c>
      <c r="C46" s="233">
        <v>5039768</v>
      </c>
    </row>
    <row r="47" spans="1:3">
      <c r="A47" s="177" t="s">
        <v>352</v>
      </c>
      <c r="B47" s="177" t="s">
        <v>353</v>
      </c>
      <c r="C47" s="233">
        <v>5113491</v>
      </c>
    </row>
    <row r="48" spans="1:3">
      <c r="A48" s="177" t="s">
        <v>352</v>
      </c>
      <c r="B48" s="177" t="s">
        <v>354</v>
      </c>
      <c r="C48" s="233">
        <v>5192007</v>
      </c>
    </row>
    <row r="49" spans="1:3">
      <c r="A49" s="177" t="s">
        <v>323</v>
      </c>
      <c r="B49" s="177" t="s">
        <v>325</v>
      </c>
      <c r="C49" s="233">
        <v>5651060</v>
      </c>
    </row>
    <row r="50" spans="1:3">
      <c r="A50" s="177" t="s">
        <v>352</v>
      </c>
      <c r="B50" s="177" t="s">
        <v>357</v>
      </c>
      <c r="C50" s="233">
        <v>6084261</v>
      </c>
    </row>
    <row r="51" spans="1:3">
      <c r="A51" s="177" t="s">
        <v>323</v>
      </c>
      <c r="B51" s="177" t="s">
        <v>326</v>
      </c>
      <c r="C51" s="233">
        <v>6261922</v>
      </c>
    </row>
    <row r="52" spans="1:3">
      <c r="A52" s="177" t="s">
        <v>334</v>
      </c>
      <c r="B52" s="177" t="s">
        <v>341</v>
      </c>
      <c r="C52" s="233">
        <v>6293622</v>
      </c>
    </row>
    <row r="53" spans="1:3">
      <c r="A53" s="177" t="s">
        <v>334</v>
      </c>
      <c r="B53" s="177" t="s">
        <v>336</v>
      </c>
      <c r="C53" s="233">
        <v>7947325</v>
      </c>
    </row>
    <row r="54" spans="1:3">
      <c r="A54" s="177" t="s">
        <v>334</v>
      </c>
      <c r="B54" s="177" t="s">
        <v>340</v>
      </c>
      <c r="C54" s="233">
        <v>8134508</v>
      </c>
    </row>
    <row r="55" spans="1:3">
      <c r="A55" s="177" t="s">
        <v>295</v>
      </c>
      <c r="B55" s="177" t="s">
        <v>296</v>
      </c>
      <c r="C55" s="233">
        <v>8450461</v>
      </c>
    </row>
    <row r="56" spans="1:3">
      <c r="A56" s="177" t="s">
        <v>302</v>
      </c>
      <c r="B56" s="177" t="s">
        <v>301</v>
      </c>
      <c r="C56" s="233">
        <v>10698904</v>
      </c>
    </row>
    <row r="57" spans="1:3">
      <c r="A57" s="177" t="s">
        <v>359</v>
      </c>
      <c r="B57" s="177" t="s">
        <v>361</v>
      </c>
      <c r="C57" s="233">
        <v>11856025</v>
      </c>
    </row>
    <row r="58" spans="1:3">
      <c r="A58" s="177" t="s">
        <v>299</v>
      </c>
      <c r="B58" s="177" t="s">
        <v>300</v>
      </c>
      <c r="C58" s="233">
        <v>12695998</v>
      </c>
    </row>
    <row r="59" spans="1:3">
      <c r="A59" s="177" t="s">
        <v>299</v>
      </c>
      <c r="B59" s="177" t="s">
        <v>298</v>
      </c>
      <c r="C59" s="233">
        <v>13279175</v>
      </c>
    </row>
    <row r="60" spans="1:3">
      <c r="A60" s="177" t="s">
        <v>316</v>
      </c>
      <c r="B60" s="177" t="s">
        <v>321</v>
      </c>
      <c r="C60" s="233">
        <v>14303365</v>
      </c>
    </row>
    <row r="61" spans="1:3">
      <c r="A61" s="177" t="s">
        <v>334</v>
      </c>
      <c r="B61" s="177" t="s">
        <v>335</v>
      </c>
      <c r="C61" s="233">
        <v>16903087</v>
      </c>
    </row>
    <row r="62" spans="1:3">
      <c r="A62" s="177" t="s">
        <v>316</v>
      </c>
      <c r="B62" s="177" t="s">
        <v>315</v>
      </c>
      <c r="C62" s="233">
        <v>22221493</v>
      </c>
    </row>
    <row r="63" spans="1:3">
      <c r="A63" s="177" t="s">
        <v>334</v>
      </c>
      <c r="B63" s="177" t="s">
        <v>333</v>
      </c>
      <c r="C63" s="233">
        <v>25120989</v>
      </c>
    </row>
    <row r="64" spans="1:3" ht="17.399999999999999">
      <c r="A64" s="177" t="s">
        <v>293</v>
      </c>
      <c r="B64" s="177"/>
      <c r="C64" s="233">
        <v>17792570</v>
      </c>
    </row>
    <row r="65" spans="1:12">
      <c r="A65" s="177" t="s">
        <v>279</v>
      </c>
      <c r="B65" s="177"/>
      <c r="C65" s="233">
        <v>11601030</v>
      </c>
    </row>
    <row r="66" spans="1:12">
      <c r="A66" s="177" t="s">
        <v>280</v>
      </c>
      <c r="B66" s="177"/>
      <c r="C66" s="233">
        <v>213881</v>
      </c>
    </row>
    <row r="67" spans="1:12">
      <c r="A67" s="176" t="s">
        <v>38</v>
      </c>
      <c r="B67" s="175"/>
      <c r="C67" s="234">
        <f>SUM(C4:C66)</f>
        <v>278235868</v>
      </c>
    </row>
    <row r="68" spans="1:12">
      <c r="B68" s="31"/>
      <c r="C68" s="174"/>
    </row>
    <row r="69" spans="1:12">
      <c r="A69" s="34" t="s">
        <v>1</v>
      </c>
      <c r="B69" s="173"/>
    </row>
    <row r="70" spans="1:12">
      <c r="A70" s="360" t="s">
        <v>50</v>
      </c>
      <c r="B70" s="360"/>
      <c r="C70" s="360"/>
      <c r="D70" s="360"/>
      <c r="E70" s="360"/>
      <c r="F70" s="360"/>
      <c r="G70" s="360"/>
      <c r="H70" s="360"/>
    </row>
    <row r="71" spans="1:12">
      <c r="A71" s="360" t="s">
        <v>49</v>
      </c>
      <c r="B71" s="360"/>
      <c r="C71" s="360"/>
      <c r="D71" s="360"/>
      <c r="E71" s="360"/>
      <c r="F71" s="360"/>
      <c r="G71" s="360"/>
      <c r="H71" s="360"/>
    </row>
    <row r="72" spans="1:12">
      <c r="A72" s="169" t="s">
        <v>244</v>
      </c>
      <c r="B72" s="169"/>
      <c r="C72" s="169"/>
      <c r="D72" s="169"/>
      <c r="E72" s="169"/>
      <c r="F72" s="169"/>
      <c r="G72" s="169"/>
      <c r="H72" s="169"/>
    </row>
    <row r="73" spans="1:12">
      <c r="A73" s="169" t="s">
        <v>455</v>
      </c>
      <c r="B73" s="169"/>
      <c r="C73" s="169"/>
      <c r="D73" s="169"/>
      <c r="E73" s="169"/>
      <c r="F73" s="169"/>
      <c r="G73" s="169"/>
      <c r="H73" s="169"/>
      <c r="I73" s="169"/>
      <c r="J73" s="169"/>
      <c r="K73" s="169"/>
      <c r="L73" s="169"/>
    </row>
    <row r="75" spans="1:12">
      <c r="A75" s="34" t="s">
        <v>84</v>
      </c>
    </row>
    <row r="76" spans="1:12">
      <c r="A76" s="32" t="str">
        <f>subtitle</f>
        <v>Total: $278.2 million includes $40.2 million in obligations to capital projects, plus General and Administrative (G&amp;A) costs ($11.6 million), and Columbia River System Operations Review/Environmental Impact Statement costs ($213,900)</v>
      </c>
    </row>
  </sheetData>
  <sortState xmlns:xlrd2="http://schemas.microsoft.com/office/spreadsheetml/2017/richdata2" ref="A4:L63">
    <sortCondition ref="C4:C63"/>
  </sortState>
  <pageMargins left="0.7" right="0.7" top="0.75" bottom="0.75" header="0.3" footer="0.3"/>
  <pageSetup scale="65" fitToHeight="0" orientation="portrait" horizontalDpi="90" verticalDpi="9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3"/>
  <sheetViews>
    <sheetView zoomScale="85" zoomScaleNormal="85" workbookViewId="0">
      <selection activeCell="A20" sqref="A20"/>
    </sheetView>
  </sheetViews>
  <sheetFormatPr defaultColWidth="9.109375" defaultRowHeight="14.4"/>
  <cols>
    <col min="1" max="1" width="55.33203125" style="76" customWidth="1"/>
    <col min="2" max="2" width="16.44140625" style="76" customWidth="1"/>
    <col min="3" max="16384" width="9.109375" style="76"/>
  </cols>
  <sheetData>
    <row r="1" spans="1:3" ht="22.5" customHeight="1">
      <c r="A1" s="383" t="str">
        <f>"Figure 9: Costs by Work Element Location, FY"&amp;B3</f>
        <v>Figure 9: Costs by Work Element Location, FY2020</v>
      </c>
      <c r="B1" s="383"/>
    </row>
    <row r="2" spans="1:3" ht="22.5" customHeight="1">
      <c r="A2" s="79"/>
      <c r="B2" s="95"/>
    </row>
    <row r="3" spans="1:3" ht="15.6">
      <c r="A3" s="209" t="s">
        <v>157</v>
      </c>
      <c r="B3" s="210">
        <v>2020</v>
      </c>
      <c r="C3" s="79" t="s">
        <v>88</v>
      </c>
    </row>
    <row r="4" spans="1:3" ht="15.6">
      <c r="A4" s="81" t="s">
        <v>96</v>
      </c>
      <c r="B4" s="121">
        <v>95340357</v>
      </c>
      <c r="C4" s="206">
        <f t="shared" ref="C4:C10" si="0">B4/SUM(B$4:B$12)</f>
        <v>0.34292380264155153</v>
      </c>
    </row>
    <row r="5" spans="1:3" ht="15.6">
      <c r="A5" s="81" t="s">
        <v>95</v>
      </c>
      <c r="B5" s="121">
        <v>56073082</v>
      </c>
      <c r="C5" s="206">
        <f t="shared" si="0"/>
        <v>0.20168578249892158</v>
      </c>
    </row>
    <row r="6" spans="1:3" ht="15.6">
      <c r="A6" s="81" t="s">
        <v>94</v>
      </c>
      <c r="B6" s="121">
        <v>86038839</v>
      </c>
      <c r="C6" s="206">
        <f t="shared" si="0"/>
        <v>0.30946775083655526</v>
      </c>
    </row>
    <row r="7" spans="1:3" ht="15.6">
      <c r="A7" s="81" t="s">
        <v>89</v>
      </c>
      <c r="B7" s="121">
        <v>1251555</v>
      </c>
      <c r="C7" s="206">
        <f t="shared" si="0"/>
        <v>4.5016403684648154E-3</v>
      </c>
    </row>
    <row r="8" spans="1:3" ht="15.6">
      <c r="A8" s="81" t="s">
        <v>93</v>
      </c>
      <c r="B8" s="121">
        <v>7382483</v>
      </c>
      <c r="C8" s="206">
        <f t="shared" si="0"/>
        <v>2.6553594122755479E-2</v>
      </c>
    </row>
    <row r="9" spans="1:3" ht="15.6">
      <c r="A9" s="81" t="s">
        <v>92</v>
      </c>
      <c r="B9" s="121">
        <v>1833581</v>
      </c>
      <c r="C9" s="206">
        <f t="shared" si="0"/>
        <v>6.5950935024430279E-3</v>
      </c>
    </row>
    <row r="10" spans="1:3" ht="15.6">
      <c r="A10" s="81" t="s">
        <v>91</v>
      </c>
      <c r="B10" s="121">
        <v>708490</v>
      </c>
      <c r="C10" s="206">
        <f t="shared" si="0"/>
        <v>2.5483236331233041E-3</v>
      </c>
    </row>
    <row r="11" spans="1:3" ht="15.6">
      <c r="A11" s="79" t="s">
        <v>281</v>
      </c>
      <c r="B11" s="122">
        <v>17792570</v>
      </c>
      <c r="C11" s="206"/>
    </row>
    <row r="12" spans="1:3" ht="15.6">
      <c r="A12" s="81" t="s">
        <v>279</v>
      </c>
      <c r="B12" s="121">
        <v>11601030</v>
      </c>
      <c r="C12" s="206"/>
    </row>
    <row r="13" spans="1:3" ht="15.6">
      <c r="A13" s="79" t="s">
        <v>280</v>
      </c>
      <c r="B13" s="122">
        <v>213881</v>
      </c>
      <c r="C13" s="206"/>
    </row>
    <row r="14" spans="1:3" ht="16.2" thickBot="1">
      <c r="A14" s="79"/>
      <c r="B14" s="80">
        <f t="shared" ref="B14" si="1">SUM(B4:B13)</f>
        <v>278235868</v>
      </c>
    </row>
    <row r="15" spans="1:3" ht="16.2" thickTop="1">
      <c r="A15" s="79"/>
      <c r="B15" s="78"/>
    </row>
    <row r="16" spans="1:3" ht="15.6">
      <c r="A16" s="77" t="s">
        <v>1</v>
      </c>
    </row>
    <row r="17" spans="1:6" s="192" customFormat="1">
      <c r="A17" s="235" t="s">
        <v>90</v>
      </c>
      <c r="B17" s="235"/>
      <c r="C17" s="235"/>
    </row>
    <row r="18" spans="1:6" s="192" customFormat="1">
      <c r="A18" s="235" t="s">
        <v>221</v>
      </c>
      <c r="B18" s="235"/>
      <c r="C18" s="235"/>
    </row>
    <row r="19" spans="1:6" s="192" customFormat="1">
      <c r="A19" s="235" t="s">
        <v>369</v>
      </c>
      <c r="B19" s="235"/>
      <c r="C19" s="235"/>
    </row>
    <row r="20" spans="1:6" s="192" customFormat="1">
      <c r="A20" s="236" t="s">
        <v>457</v>
      </c>
      <c r="B20" s="236"/>
      <c r="C20" s="236"/>
      <c r="D20" s="193"/>
      <c r="E20" s="193"/>
      <c r="F20" s="193"/>
    </row>
    <row r="21" spans="1:6" ht="17.25" customHeight="1">
      <c r="A21" s="170"/>
    </row>
    <row r="22" spans="1:6" ht="15.6">
      <c r="A22" s="202" t="s">
        <v>84</v>
      </c>
    </row>
    <row r="23" spans="1:6">
      <c r="A23" s="21" t="str">
        <f>subtitle</f>
        <v>Total: $278.2 million includes $40.2 million in obligations to capital projects, plus General and Administrative (G&amp;A) costs ($11.6 million), and Columbia River System Operations Review/Environmental Impact Statement costs ($213,900)</v>
      </c>
    </row>
  </sheetData>
  <mergeCells count="1">
    <mergeCell ref="A1:B1"/>
  </mergeCells>
  <pageMargins left="0.7" right="0.7" top="0.75" bottom="0.75" header="0.3" footer="0.3"/>
  <pageSetup scale="95"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38B8-5E60-423F-9E98-E098BEAD26D2}">
  <sheetPr>
    <pageSetUpPr fitToPage="1"/>
  </sheetPr>
  <dimension ref="A1:P170"/>
  <sheetViews>
    <sheetView topLeftCell="A65" zoomScaleNormal="100" workbookViewId="0">
      <selection activeCell="A76" sqref="A76"/>
    </sheetView>
  </sheetViews>
  <sheetFormatPr defaultColWidth="9.109375" defaultRowHeight="13.8"/>
  <cols>
    <col min="1" max="1" width="12.44140625" style="245" bestFit="1" customWidth="1"/>
    <col min="2" max="2" width="66.109375" style="238" customWidth="1"/>
    <col min="3" max="3" width="13.6640625" style="194" customWidth="1"/>
    <col min="4" max="5" width="13.6640625" style="194" bestFit="1" customWidth="1"/>
    <col min="6" max="8" width="13.6640625" style="241" bestFit="1" customWidth="1"/>
    <col min="9" max="9" width="13.6640625" style="241" customWidth="1"/>
    <col min="10" max="10" width="13.6640625" style="241" bestFit="1" customWidth="1"/>
    <col min="11" max="11" width="13.6640625" style="241" customWidth="1"/>
    <col min="12" max="12" width="13.6640625" style="241" bestFit="1" customWidth="1"/>
    <col min="13" max="16384" width="9.109375" style="241"/>
  </cols>
  <sheetData>
    <row r="1" spans="1:12" ht="27.75" customHeight="1">
      <c r="A1" s="258" t="str">
        <f>"Figure 10: Costs by Contractor Type, FY"&amp;L2</f>
        <v>Figure 10: Costs by Contractor Type, FY2020</v>
      </c>
      <c r="B1" s="258"/>
      <c r="C1" s="258"/>
      <c r="D1" s="258"/>
      <c r="E1" s="258"/>
      <c r="F1" s="258"/>
      <c r="G1" s="258"/>
      <c r="H1" s="258"/>
      <c r="I1" s="258"/>
      <c r="J1" s="258"/>
      <c r="K1" s="258"/>
      <c r="L1" s="258"/>
    </row>
    <row r="2" spans="1:12" s="244" customFormat="1" ht="32.25" customHeight="1">
      <c r="A2" s="242" t="s">
        <v>155</v>
      </c>
      <c r="B2" s="242" t="s">
        <v>154</v>
      </c>
      <c r="C2" s="243">
        <v>2011</v>
      </c>
      <c r="D2" s="243">
        <v>2012</v>
      </c>
      <c r="E2" s="243">
        <v>2013</v>
      </c>
      <c r="F2" s="243">
        <v>2014</v>
      </c>
      <c r="G2" s="243">
        <v>2015</v>
      </c>
      <c r="H2" s="243">
        <v>2016</v>
      </c>
      <c r="I2" s="243">
        <v>2017</v>
      </c>
      <c r="J2" s="243">
        <v>2018</v>
      </c>
      <c r="K2" s="243">
        <v>2019</v>
      </c>
      <c r="L2" s="243">
        <v>2020</v>
      </c>
    </row>
    <row r="3" spans="1:12">
      <c r="A3" s="245" t="s">
        <v>153</v>
      </c>
      <c r="B3" s="238" t="s">
        <v>151</v>
      </c>
      <c r="C3" s="194">
        <v>16437276</v>
      </c>
      <c r="D3" s="194">
        <v>15281324</v>
      </c>
      <c r="E3" s="194">
        <v>16789765.34</v>
      </c>
      <c r="F3" s="194">
        <v>18302893.870000001</v>
      </c>
      <c r="G3" s="194">
        <v>18662085.170000002</v>
      </c>
      <c r="H3" s="194">
        <v>20288062</v>
      </c>
      <c r="I3" s="194">
        <v>18817913.82</v>
      </c>
      <c r="J3" s="194">
        <v>15144232</v>
      </c>
      <c r="K3" s="194">
        <v>15844777.719999999</v>
      </c>
      <c r="L3" s="194">
        <f t="shared" ref="L3:L11" si="0">VLOOKUP(B3,lkp_10,2,FALSE)</f>
        <v>16857123</v>
      </c>
    </row>
    <row r="4" spans="1:12">
      <c r="B4" s="260" t="s">
        <v>401</v>
      </c>
      <c r="C4" s="194">
        <v>0</v>
      </c>
      <c r="D4" s="194">
        <v>0</v>
      </c>
      <c r="E4" s="194">
        <v>0</v>
      </c>
      <c r="F4" s="194">
        <v>0</v>
      </c>
      <c r="G4" s="194">
        <v>0</v>
      </c>
      <c r="H4" s="194">
        <v>0</v>
      </c>
      <c r="I4" s="194">
        <v>0</v>
      </c>
      <c r="J4" s="194">
        <v>0</v>
      </c>
      <c r="K4" s="194">
        <v>0</v>
      </c>
      <c r="L4" s="194">
        <v>7529</v>
      </c>
    </row>
    <row r="5" spans="1:12">
      <c r="B5" s="238" t="s">
        <v>152</v>
      </c>
      <c r="C5" s="194">
        <v>10011126</v>
      </c>
      <c r="D5" s="194">
        <v>10226671.5</v>
      </c>
      <c r="E5" s="194">
        <v>7294105.1900000004</v>
      </c>
      <c r="F5" s="194">
        <v>6823152.6100000003</v>
      </c>
      <c r="G5" s="194">
        <v>7869433</v>
      </c>
      <c r="H5" s="194">
        <v>6916950</v>
      </c>
      <c r="I5" s="194">
        <v>7239871.330000001</v>
      </c>
      <c r="J5" s="194">
        <v>7262514</v>
      </c>
      <c r="K5" s="194">
        <v>6843743.7699999996</v>
      </c>
      <c r="L5" s="194">
        <f t="shared" si="0"/>
        <v>6717704</v>
      </c>
    </row>
    <row r="6" spans="1:12">
      <c r="B6" s="238" t="s">
        <v>146</v>
      </c>
      <c r="C6" s="194">
        <v>2385971</v>
      </c>
      <c r="D6" s="194">
        <v>3135563.61</v>
      </c>
      <c r="E6" s="194">
        <v>2209566.7000000002</v>
      </c>
      <c r="F6" s="194">
        <v>1704163.07</v>
      </c>
      <c r="G6" s="194">
        <v>1705065.54</v>
      </c>
      <c r="H6" s="194">
        <v>1809300</v>
      </c>
      <c r="I6" s="194">
        <v>2014355.6099999999</v>
      </c>
      <c r="J6" s="194">
        <v>1665717</v>
      </c>
      <c r="K6" s="194">
        <v>1931626.73</v>
      </c>
      <c r="L6" s="194">
        <f t="shared" si="0"/>
        <v>1611234</v>
      </c>
    </row>
    <row r="7" spans="1:12">
      <c r="B7" s="238" t="s">
        <v>150</v>
      </c>
      <c r="C7" s="194">
        <v>2842702</v>
      </c>
      <c r="D7" s="194">
        <v>2472045.7200000002</v>
      </c>
      <c r="E7" s="194">
        <v>2845423.81</v>
      </c>
      <c r="F7" s="194">
        <v>3425748.4</v>
      </c>
      <c r="G7" s="194">
        <v>2718120.18</v>
      </c>
      <c r="H7" s="194">
        <v>3027580</v>
      </c>
      <c r="I7" s="194">
        <v>2289092.34</v>
      </c>
      <c r="J7" s="194">
        <v>2636188</v>
      </c>
      <c r="K7" s="194">
        <v>1743822.97</v>
      </c>
      <c r="L7" s="194">
        <f t="shared" si="0"/>
        <v>1554790</v>
      </c>
    </row>
    <row r="8" spans="1:12">
      <c r="B8" s="238" t="s">
        <v>228</v>
      </c>
      <c r="C8" s="194">
        <v>750143</v>
      </c>
      <c r="D8" s="194">
        <v>573644.63</v>
      </c>
      <c r="E8" s="194">
        <v>381426.58</v>
      </c>
      <c r="F8" s="194">
        <v>379050.12</v>
      </c>
      <c r="G8" s="194">
        <v>625655.61</v>
      </c>
      <c r="H8" s="194">
        <v>793662.02</v>
      </c>
      <c r="I8" s="194">
        <v>392411.07</v>
      </c>
      <c r="J8" s="194">
        <v>736525</v>
      </c>
      <c r="K8" s="194">
        <v>1043403.94</v>
      </c>
      <c r="L8" s="194">
        <f t="shared" si="0"/>
        <v>1033555</v>
      </c>
    </row>
    <row r="9" spans="1:12">
      <c r="B9" s="238" t="s">
        <v>147</v>
      </c>
      <c r="C9" s="194">
        <v>1124508</v>
      </c>
      <c r="D9" s="194">
        <v>851567.22</v>
      </c>
      <c r="E9" s="194">
        <v>819257.58</v>
      </c>
      <c r="F9" s="194">
        <v>813991.96</v>
      </c>
      <c r="G9" s="194">
        <v>309565.11</v>
      </c>
      <c r="H9" s="194">
        <v>962585</v>
      </c>
      <c r="I9" s="194">
        <v>814089.25</v>
      </c>
      <c r="J9" s="194">
        <v>915292</v>
      </c>
      <c r="K9" s="194">
        <v>512494.07</v>
      </c>
      <c r="L9" s="194">
        <f t="shared" si="0"/>
        <v>481619</v>
      </c>
    </row>
    <row r="10" spans="1:12">
      <c r="B10" s="238" t="s">
        <v>149</v>
      </c>
      <c r="C10" s="194">
        <v>160153</v>
      </c>
      <c r="D10" s="194">
        <v>237485.58</v>
      </c>
      <c r="E10" s="194">
        <v>181861.7</v>
      </c>
      <c r="F10" s="194">
        <v>312773.18</v>
      </c>
      <c r="G10" s="194">
        <v>714662.68</v>
      </c>
      <c r="H10" s="194">
        <v>263562</v>
      </c>
      <c r="I10" s="194">
        <v>272941</v>
      </c>
      <c r="J10" s="194">
        <v>255321</v>
      </c>
      <c r="K10" s="194">
        <v>105320.74</v>
      </c>
      <c r="L10" s="194">
        <f t="shared" si="0"/>
        <v>141696</v>
      </c>
    </row>
    <row r="11" spans="1:12">
      <c r="B11" s="238" t="s">
        <v>148</v>
      </c>
      <c r="C11" s="194">
        <v>358523</v>
      </c>
      <c r="D11" s="194">
        <v>358213.68</v>
      </c>
      <c r="E11" s="194">
        <v>604601.54</v>
      </c>
      <c r="F11" s="194">
        <v>171313.17</v>
      </c>
      <c r="G11" s="194">
        <v>309498.65000000002</v>
      </c>
      <c r="H11" s="194">
        <v>1278361</v>
      </c>
      <c r="I11" s="194">
        <v>272192</v>
      </c>
      <c r="J11" s="194">
        <v>116413</v>
      </c>
      <c r="K11" s="194">
        <v>66974.570000000007</v>
      </c>
      <c r="L11" s="194">
        <f t="shared" si="0"/>
        <v>-32873</v>
      </c>
    </row>
    <row r="12" spans="1:12">
      <c r="B12" s="238" t="s">
        <v>107</v>
      </c>
      <c r="C12" s="194">
        <v>904925</v>
      </c>
      <c r="E12" s="194">
        <v>178002</v>
      </c>
      <c r="F12" s="194">
        <v>50000</v>
      </c>
      <c r="G12" s="194">
        <v>50000</v>
      </c>
      <c r="H12" s="194"/>
      <c r="I12" s="194"/>
      <c r="J12" s="194"/>
      <c r="K12" s="194"/>
      <c r="L12" s="194"/>
    </row>
    <row r="13" spans="1:12">
      <c r="A13" s="385" t="s">
        <v>145</v>
      </c>
      <c r="B13" s="385"/>
      <c r="C13" s="246">
        <f t="shared" ref="C13:L13" si="1">SUM(C3:C12)</f>
        <v>34975327</v>
      </c>
      <c r="D13" s="246">
        <f t="shared" si="1"/>
        <v>33136515.939999994</v>
      </c>
      <c r="E13" s="246">
        <f t="shared" si="1"/>
        <v>31304010.439999994</v>
      </c>
      <c r="F13" s="246">
        <f t="shared" si="1"/>
        <v>31983086.380000003</v>
      </c>
      <c r="G13" s="246">
        <f t="shared" si="1"/>
        <v>32964085.939999998</v>
      </c>
      <c r="H13" s="246">
        <f t="shared" si="1"/>
        <v>35340062.019999996</v>
      </c>
      <c r="I13" s="246">
        <f t="shared" si="1"/>
        <v>32112866.420000002</v>
      </c>
      <c r="J13" s="246">
        <f t="shared" si="1"/>
        <v>28732202</v>
      </c>
      <c r="K13" s="246">
        <v>28092164.509999998</v>
      </c>
      <c r="L13" s="246">
        <f t="shared" si="1"/>
        <v>28372377</v>
      </c>
    </row>
    <row r="14" spans="1:12">
      <c r="F14" s="194"/>
      <c r="G14" s="194"/>
      <c r="H14" s="194"/>
      <c r="I14" s="194"/>
      <c r="J14" s="194"/>
      <c r="K14" s="194"/>
      <c r="L14" s="194"/>
    </row>
    <row r="15" spans="1:12">
      <c r="A15" s="245" t="s">
        <v>97</v>
      </c>
      <c r="B15" s="238" t="s">
        <v>144</v>
      </c>
      <c r="C15" s="194">
        <v>10238326</v>
      </c>
      <c r="D15" s="194">
        <v>15805508.949999999</v>
      </c>
      <c r="E15" s="194">
        <v>13248074.52</v>
      </c>
      <c r="F15" s="194">
        <v>14244565.92</v>
      </c>
      <c r="G15" s="194">
        <v>14416087.09</v>
      </c>
      <c r="H15" s="194">
        <v>15246156</v>
      </c>
      <c r="I15" s="194">
        <v>14664698.560000001</v>
      </c>
      <c r="J15" s="194">
        <v>15400007</v>
      </c>
      <c r="K15" s="194">
        <v>13814905.16</v>
      </c>
      <c r="L15" s="194">
        <f>VLOOKUP(B15,lkp_10,2,FALSE)</f>
        <v>13304458</v>
      </c>
    </row>
    <row r="16" spans="1:12">
      <c r="B16" s="238" t="s">
        <v>143</v>
      </c>
      <c r="D16" s="194">
        <v>59516.38</v>
      </c>
      <c r="E16" s="194">
        <v>76366.52</v>
      </c>
      <c r="F16" s="194">
        <v>112610.87</v>
      </c>
      <c r="G16" s="194">
        <v>88522.53</v>
      </c>
      <c r="H16" s="194">
        <v>55535</v>
      </c>
      <c r="I16" s="194">
        <v>18413</v>
      </c>
      <c r="J16" s="194">
        <v>30354</v>
      </c>
      <c r="K16" s="194">
        <v>24640.92</v>
      </c>
      <c r="L16" s="194">
        <f>VLOOKUP(B16,lkp_10,2,FALSE)</f>
        <v>33404</v>
      </c>
    </row>
    <row r="17" spans="1:12">
      <c r="B17" s="238" t="s">
        <v>284</v>
      </c>
      <c r="F17" s="194"/>
      <c r="G17" s="194"/>
      <c r="H17" s="194"/>
      <c r="I17" s="194"/>
      <c r="J17" s="194">
        <v>20658</v>
      </c>
      <c r="K17" s="194">
        <v>-134</v>
      </c>
      <c r="L17" s="194">
        <f>VLOOKUP(B17,lkp_10,2,FALSE)</f>
        <v>0</v>
      </c>
    </row>
    <row r="18" spans="1:12">
      <c r="B18" s="247" t="s">
        <v>142</v>
      </c>
      <c r="C18" s="248">
        <f t="shared" ref="C18:L18" si="2">SUM(C15:C17)</f>
        <v>10238326</v>
      </c>
      <c r="D18" s="248">
        <f t="shared" si="2"/>
        <v>15865025.33</v>
      </c>
      <c r="E18" s="248">
        <f t="shared" si="2"/>
        <v>13324441.039999999</v>
      </c>
      <c r="F18" s="248">
        <f t="shared" si="2"/>
        <v>14357176.789999999</v>
      </c>
      <c r="G18" s="248">
        <f t="shared" si="2"/>
        <v>14504609.619999999</v>
      </c>
      <c r="H18" s="248">
        <f t="shared" si="2"/>
        <v>15301691</v>
      </c>
      <c r="I18" s="248">
        <f t="shared" si="2"/>
        <v>14683111.560000001</v>
      </c>
      <c r="J18" s="248">
        <f t="shared" si="2"/>
        <v>15451019</v>
      </c>
      <c r="K18" s="248">
        <v>13839412.08</v>
      </c>
      <c r="L18" s="248">
        <f t="shared" si="2"/>
        <v>13337862</v>
      </c>
    </row>
    <row r="19" spans="1:12" ht="7.5" customHeight="1">
      <c r="F19" s="194"/>
      <c r="G19" s="194"/>
      <c r="H19" s="194"/>
      <c r="I19" s="194"/>
      <c r="J19" s="194"/>
      <c r="K19" s="194"/>
      <c r="L19" s="194"/>
    </row>
    <row r="20" spans="1:12">
      <c r="B20" s="238" t="s">
        <v>141</v>
      </c>
      <c r="C20" s="194">
        <v>10847630</v>
      </c>
      <c r="D20" s="194">
        <v>17836560.809999999</v>
      </c>
      <c r="E20" s="194">
        <v>18281035.739999998</v>
      </c>
      <c r="F20" s="194">
        <v>13726829.310000001</v>
      </c>
      <c r="G20" s="194">
        <v>15455053.789999999</v>
      </c>
      <c r="H20" s="194">
        <v>11875775</v>
      </c>
      <c r="I20" s="194">
        <v>12451687.119999999</v>
      </c>
      <c r="J20" s="194">
        <v>11779934</v>
      </c>
      <c r="K20" s="194">
        <v>11128381.119999999</v>
      </c>
      <c r="L20" s="194">
        <f>VLOOKUP(B20,lkp_10,2,FALSE)</f>
        <v>15378235</v>
      </c>
    </row>
    <row r="21" spans="1:12">
      <c r="B21" s="238" t="s">
        <v>140</v>
      </c>
      <c r="F21" s="194"/>
      <c r="G21" s="194"/>
      <c r="H21" s="194"/>
      <c r="I21" s="194"/>
      <c r="J21" s="194"/>
      <c r="K21" s="194"/>
      <c r="L21" s="194"/>
    </row>
    <row r="22" spans="1:12">
      <c r="B22" s="238" t="s">
        <v>139</v>
      </c>
      <c r="C22" s="194">
        <v>2551533</v>
      </c>
      <c r="D22" s="194">
        <v>2487432.84</v>
      </c>
      <c r="E22" s="194">
        <v>2905499.55</v>
      </c>
      <c r="F22" s="194">
        <v>1368456.31</v>
      </c>
      <c r="G22" s="194">
        <v>2742180.2</v>
      </c>
      <c r="H22" s="194">
        <v>3352210</v>
      </c>
      <c r="I22" s="194">
        <v>4013413.03</v>
      </c>
      <c r="J22" s="194">
        <v>4107184</v>
      </c>
      <c r="K22" s="194">
        <v>2658008.98</v>
      </c>
      <c r="L22" s="194">
        <f>VLOOKUP(B22,lkp_10,2,FALSE)</f>
        <v>2871776</v>
      </c>
    </row>
    <row r="23" spans="1:12">
      <c r="B23" s="247" t="s">
        <v>138</v>
      </c>
      <c r="C23" s="248">
        <f t="shared" ref="C23:L23" si="3">SUM(C20:C22)</f>
        <v>13399163</v>
      </c>
      <c r="D23" s="248">
        <f t="shared" si="3"/>
        <v>20323993.649999999</v>
      </c>
      <c r="E23" s="248">
        <f t="shared" si="3"/>
        <v>21186535.289999999</v>
      </c>
      <c r="F23" s="248">
        <f t="shared" si="3"/>
        <v>15095285.620000001</v>
      </c>
      <c r="G23" s="248">
        <f t="shared" si="3"/>
        <v>18197233.989999998</v>
      </c>
      <c r="H23" s="248">
        <f t="shared" si="3"/>
        <v>15227985</v>
      </c>
      <c r="I23" s="248">
        <f t="shared" si="3"/>
        <v>16465100.149999999</v>
      </c>
      <c r="J23" s="248">
        <f t="shared" si="3"/>
        <v>15887118</v>
      </c>
      <c r="K23" s="248">
        <v>13786390.1</v>
      </c>
      <c r="L23" s="248">
        <f t="shared" si="3"/>
        <v>18250011</v>
      </c>
    </row>
    <row r="24" spans="1:12" ht="6" customHeight="1">
      <c r="F24" s="194"/>
      <c r="G24" s="194"/>
      <c r="H24" s="194"/>
      <c r="I24" s="194"/>
      <c r="J24" s="194"/>
      <c r="K24" s="194"/>
      <c r="L24" s="194"/>
    </row>
    <row r="25" spans="1:12">
      <c r="B25" s="238" t="s">
        <v>137</v>
      </c>
      <c r="C25" s="194">
        <v>9148722</v>
      </c>
      <c r="D25" s="194">
        <v>11855753.15</v>
      </c>
      <c r="E25" s="194">
        <v>10691474.27</v>
      </c>
      <c r="F25" s="194">
        <v>12164790.199999999</v>
      </c>
      <c r="G25" s="194">
        <v>11894739.43</v>
      </c>
      <c r="H25" s="194">
        <v>12793663</v>
      </c>
      <c r="I25" s="194">
        <v>10976873.369999997</v>
      </c>
      <c r="J25" s="194">
        <v>11026037</v>
      </c>
      <c r="K25" s="194">
        <v>11069042.779999999</v>
      </c>
      <c r="L25" s="194">
        <f>VLOOKUP(B25,lkp_10,2,FALSE)</f>
        <v>11813405</v>
      </c>
    </row>
    <row r="26" spans="1:12">
      <c r="B26" s="238" t="s">
        <v>136</v>
      </c>
      <c r="C26" s="194">
        <v>43689</v>
      </c>
      <c r="F26" s="194"/>
      <c r="G26" s="194"/>
      <c r="H26" s="194"/>
      <c r="I26" s="194"/>
      <c r="J26" s="194"/>
      <c r="K26" s="194"/>
      <c r="L26" s="194"/>
    </row>
    <row r="27" spans="1:12">
      <c r="B27" s="247" t="s">
        <v>135</v>
      </c>
      <c r="C27" s="248">
        <f t="shared" ref="C27:L27" si="4">SUM(C25:C26)</f>
        <v>9192411</v>
      </c>
      <c r="D27" s="248">
        <f t="shared" si="4"/>
        <v>11855753.15</v>
      </c>
      <c r="E27" s="248">
        <f t="shared" si="4"/>
        <v>10691474.27</v>
      </c>
      <c r="F27" s="248">
        <f t="shared" si="4"/>
        <v>12164790.199999999</v>
      </c>
      <c r="G27" s="248">
        <f t="shared" si="4"/>
        <v>11894739.43</v>
      </c>
      <c r="H27" s="248">
        <f t="shared" si="4"/>
        <v>12793663</v>
      </c>
      <c r="I27" s="248">
        <f t="shared" si="4"/>
        <v>10976873.369999997</v>
      </c>
      <c r="J27" s="248">
        <f t="shared" si="4"/>
        <v>11026037</v>
      </c>
      <c r="K27" s="248">
        <v>11069042.779999999</v>
      </c>
      <c r="L27" s="248">
        <f t="shared" si="4"/>
        <v>11813405</v>
      </c>
    </row>
    <row r="28" spans="1:12" ht="6.75" customHeight="1">
      <c r="F28" s="194"/>
      <c r="G28" s="194"/>
      <c r="H28" s="194"/>
      <c r="I28" s="194"/>
      <c r="J28" s="194"/>
      <c r="K28" s="194"/>
      <c r="L28" s="194"/>
    </row>
    <row r="29" spans="1:12">
      <c r="B29" s="238" t="s">
        <v>134</v>
      </c>
      <c r="C29" s="194">
        <v>2414914</v>
      </c>
      <c r="D29" s="194">
        <v>2382531.36</v>
      </c>
      <c r="E29" s="194">
        <v>2777167.37</v>
      </c>
      <c r="F29" s="194">
        <v>3063650.19</v>
      </c>
      <c r="G29" s="194">
        <v>3051536.75</v>
      </c>
      <c r="H29" s="194">
        <v>3810995</v>
      </c>
      <c r="I29" s="194">
        <v>3076776</v>
      </c>
      <c r="J29" s="194">
        <v>3185901</v>
      </c>
      <c r="K29" s="194">
        <v>2087883.66</v>
      </c>
      <c r="L29" s="194">
        <f>VLOOKUP(B29,lkp_10,2,FALSE)</f>
        <v>3809330</v>
      </c>
    </row>
    <row r="30" spans="1:12">
      <c r="B30" s="247" t="s">
        <v>133</v>
      </c>
      <c r="C30" s="248">
        <f t="shared" ref="C30:L30" si="5">SUM(C29:C29)</f>
        <v>2414914</v>
      </c>
      <c r="D30" s="248">
        <f t="shared" si="5"/>
        <v>2382531.36</v>
      </c>
      <c r="E30" s="248">
        <f t="shared" si="5"/>
        <v>2777167.37</v>
      </c>
      <c r="F30" s="248">
        <f t="shared" si="5"/>
        <v>3063650.19</v>
      </c>
      <c r="G30" s="248">
        <f t="shared" si="5"/>
        <v>3051536.75</v>
      </c>
      <c r="H30" s="248">
        <f t="shared" si="5"/>
        <v>3810995</v>
      </c>
      <c r="I30" s="248">
        <f t="shared" si="5"/>
        <v>3076776</v>
      </c>
      <c r="J30" s="248">
        <f t="shared" si="5"/>
        <v>3185901</v>
      </c>
      <c r="K30" s="248">
        <v>2087883.66</v>
      </c>
      <c r="L30" s="248">
        <f t="shared" si="5"/>
        <v>3809330</v>
      </c>
    </row>
    <row r="31" spans="1:12" ht="18" customHeight="1">
      <c r="A31" s="384" t="s">
        <v>132</v>
      </c>
      <c r="B31" s="384"/>
      <c r="C31" s="246">
        <f t="shared" ref="C31:L31" si="6">SUM(C30,C27,C23,C18)</f>
        <v>35244814</v>
      </c>
      <c r="D31" s="246">
        <f t="shared" si="6"/>
        <v>50427303.489999995</v>
      </c>
      <c r="E31" s="246">
        <f t="shared" si="6"/>
        <v>47979617.969999999</v>
      </c>
      <c r="F31" s="246">
        <f t="shared" si="6"/>
        <v>44680902.799999997</v>
      </c>
      <c r="G31" s="246">
        <f t="shared" si="6"/>
        <v>47648119.789999999</v>
      </c>
      <c r="H31" s="246">
        <f t="shared" si="6"/>
        <v>47134334</v>
      </c>
      <c r="I31" s="246">
        <f t="shared" si="6"/>
        <v>45201861.079999998</v>
      </c>
      <c r="J31" s="246">
        <f t="shared" si="6"/>
        <v>45550075</v>
      </c>
      <c r="K31" s="246">
        <v>40782728.619999997</v>
      </c>
      <c r="L31" s="246">
        <f t="shared" si="6"/>
        <v>47210608</v>
      </c>
    </row>
    <row r="32" spans="1:12">
      <c r="B32" s="245"/>
      <c r="F32" s="194"/>
      <c r="G32" s="194"/>
      <c r="H32" s="194"/>
      <c r="I32" s="194"/>
      <c r="J32" s="194"/>
      <c r="K32" s="194"/>
      <c r="L32" s="194"/>
    </row>
    <row r="33" spans="1:12">
      <c r="A33" s="245" t="s">
        <v>131</v>
      </c>
      <c r="B33" s="238" t="s">
        <v>112</v>
      </c>
      <c r="C33" s="194">
        <v>32944242</v>
      </c>
      <c r="D33" s="194">
        <v>25813515.890000001</v>
      </c>
      <c r="E33" s="194">
        <v>25447028.68</v>
      </c>
      <c r="F33" s="194">
        <v>23930423.989999998</v>
      </c>
      <c r="G33" s="194">
        <v>27481990.550000001</v>
      </c>
      <c r="H33" s="194">
        <v>27344154</v>
      </c>
      <c r="I33" s="194">
        <v>23095849.280000001</v>
      </c>
      <c r="J33" s="194">
        <v>30088177</v>
      </c>
      <c r="K33" s="194">
        <v>23060163.939999994</v>
      </c>
      <c r="L33" s="194">
        <f t="shared" ref="L33:L51" si="7">VLOOKUP(B33,lkp_10,2,FALSE)</f>
        <v>24699925.880000006</v>
      </c>
    </row>
    <row r="34" spans="1:12">
      <c r="B34" s="238" t="s">
        <v>127</v>
      </c>
      <c r="C34" s="194">
        <v>16189398</v>
      </c>
      <c r="D34" s="194">
        <v>21993515.789999999</v>
      </c>
      <c r="E34" s="194">
        <v>16872697.670000002</v>
      </c>
      <c r="F34" s="194">
        <v>15116518.9</v>
      </c>
      <c r="G34" s="194">
        <v>14293923.970000001</v>
      </c>
      <c r="H34" s="194">
        <v>15137000</v>
      </c>
      <c r="I34" s="194">
        <v>20566434.849999998</v>
      </c>
      <c r="J34" s="194">
        <v>16674160</v>
      </c>
      <c r="K34" s="194">
        <v>16547621.699999996</v>
      </c>
      <c r="L34" s="194">
        <f t="shared" si="7"/>
        <v>15721688.430000002</v>
      </c>
    </row>
    <row r="35" spans="1:12">
      <c r="B35" s="238" t="s">
        <v>120</v>
      </c>
      <c r="C35" s="194">
        <v>15349520</v>
      </c>
      <c r="D35" s="194">
        <v>16073605.48</v>
      </c>
      <c r="E35" s="194">
        <v>15800876.02</v>
      </c>
      <c r="F35" s="194">
        <v>15294864.880000001</v>
      </c>
      <c r="G35" s="194">
        <v>16713068.199999999</v>
      </c>
      <c r="H35" s="194">
        <v>16526287</v>
      </c>
      <c r="I35" s="194">
        <v>18138282.009999998</v>
      </c>
      <c r="J35" s="194">
        <v>16731875</v>
      </c>
      <c r="K35" s="194">
        <v>15000943.699999999</v>
      </c>
      <c r="L35" s="194">
        <f t="shared" si="7"/>
        <v>14435811.690000001</v>
      </c>
    </row>
    <row r="36" spans="1:12">
      <c r="B36" s="238" t="s">
        <v>115</v>
      </c>
      <c r="C36" s="194">
        <v>11365123</v>
      </c>
      <c r="D36" s="194">
        <v>9951477.0299999993</v>
      </c>
      <c r="E36" s="194">
        <v>12122356.76</v>
      </c>
      <c r="F36" s="194">
        <v>12088601.689999999</v>
      </c>
      <c r="G36" s="194">
        <v>11248947.369999999</v>
      </c>
      <c r="H36" s="194">
        <v>10584971</v>
      </c>
      <c r="I36" s="194">
        <v>11987367.720000001</v>
      </c>
      <c r="J36" s="194">
        <v>13963980</v>
      </c>
      <c r="K36" s="194">
        <v>14080297.659999996</v>
      </c>
      <c r="L36" s="194">
        <f t="shared" si="7"/>
        <v>13264626.269999998</v>
      </c>
    </row>
    <row r="37" spans="1:12">
      <c r="B37" s="238" t="s">
        <v>121</v>
      </c>
      <c r="C37" s="194">
        <v>8537716</v>
      </c>
      <c r="D37" s="194">
        <v>12321474</v>
      </c>
      <c r="E37" s="194">
        <v>15094787.6</v>
      </c>
      <c r="F37" s="194">
        <v>21941730.670000002</v>
      </c>
      <c r="G37" s="194">
        <v>11586883.73</v>
      </c>
      <c r="H37" s="194">
        <v>15188307</v>
      </c>
      <c r="I37" s="194">
        <v>11041579.77</v>
      </c>
      <c r="J37" s="194">
        <v>12755152</v>
      </c>
      <c r="K37" s="194">
        <v>10441818.99</v>
      </c>
      <c r="L37" s="194">
        <f t="shared" si="7"/>
        <v>9704134.8000000007</v>
      </c>
    </row>
    <row r="38" spans="1:12">
      <c r="B38" s="238" t="s">
        <v>128</v>
      </c>
      <c r="C38" s="194">
        <v>7660904</v>
      </c>
      <c r="D38" s="194">
        <v>8747388.2599999998</v>
      </c>
      <c r="E38" s="194">
        <v>7939587.2699999996</v>
      </c>
      <c r="F38" s="194">
        <v>8553076.3699999992</v>
      </c>
      <c r="G38" s="194">
        <v>9041925.8399999999</v>
      </c>
      <c r="H38" s="194">
        <v>9140737</v>
      </c>
      <c r="I38" s="194">
        <v>9740397.0799999982</v>
      </c>
      <c r="J38" s="194">
        <v>8413360</v>
      </c>
      <c r="K38" s="194">
        <v>8244084.9399999976</v>
      </c>
      <c r="L38" s="194">
        <f t="shared" si="7"/>
        <v>8724318.0399999991</v>
      </c>
    </row>
    <row r="39" spans="1:12">
      <c r="B39" s="238" t="s">
        <v>124</v>
      </c>
      <c r="C39" s="194">
        <v>6859314</v>
      </c>
      <c r="D39" s="194">
        <v>7223658.5800000001</v>
      </c>
      <c r="E39" s="194">
        <v>11203329.99</v>
      </c>
      <c r="F39" s="194">
        <v>5691055.3700000001</v>
      </c>
      <c r="G39" s="194">
        <v>12065436.449999999</v>
      </c>
      <c r="H39" s="194">
        <v>6615140</v>
      </c>
      <c r="I39" s="194">
        <v>8271585.4100000001</v>
      </c>
      <c r="J39" s="194">
        <v>8173784</v>
      </c>
      <c r="K39" s="194">
        <v>7077489.7400000012</v>
      </c>
      <c r="L39" s="194">
        <f t="shared" si="7"/>
        <v>7546706.6000000006</v>
      </c>
    </row>
    <row r="40" spans="1:12">
      <c r="B40" s="238" t="s">
        <v>122</v>
      </c>
      <c r="C40" s="194">
        <v>2066331</v>
      </c>
      <c r="D40" s="194">
        <v>2575344.41</v>
      </c>
      <c r="E40" s="194">
        <v>2709447.93</v>
      </c>
      <c r="F40" s="194">
        <v>2962457.34</v>
      </c>
      <c r="G40" s="194">
        <v>3133721.78</v>
      </c>
      <c r="H40" s="194">
        <v>3359054</v>
      </c>
      <c r="I40" s="194">
        <v>4505004.3800000008</v>
      </c>
      <c r="J40" s="194">
        <v>4568749</v>
      </c>
      <c r="K40" s="194">
        <v>4048020.7299999995</v>
      </c>
      <c r="L40" s="194">
        <f t="shared" si="7"/>
        <v>4047469.5899999994</v>
      </c>
    </row>
    <row r="41" spans="1:12">
      <c r="B41" s="238" t="s">
        <v>118</v>
      </c>
      <c r="C41" s="194">
        <v>2830660</v>
      </c>
      <c r="D41" s="194">
        <v>2837601.3</v>
      </c>
      <c r="E41" s="194">
        <v>4009231.03</v>
      </c>
      <c r="F41" s="194">
        <v>3551517.74</v>
      </c>
      <c r="G41" s="194">
        <v>3477187.41</v>
      </c>
      <c r="H41" s="194">
        <v>3422313</v>
      </c>
      <c r="I41" s="194">
        <v>3912663.8599999994</v>
      </c>
      <c r="J41" s="194">
        <v>3607056</v>
      </c>
      <c r="K41" s="194">
        <v>3891274.99</v>
      </c>
      <c r="L41" s="194">
        <f t="shared" si="7"/>
        <v>4618923.32</v>
      </c>
    </row>
    <row r="42" spans="1:12">
      <c r="B42" s="238" t="s">
        <v>116</v>
      </c>
      <c r="C42" s="194">
        <v>2803647</v>
      </c>
      <c r="D42" s="194">
        <v>2932795.66</v>
      </c>
      <c r="E42" s="194">
        <v>2709869.99</v>
      </c>
      <c r="F42" s="194">
        <v>3314938.77</v>
      </c>
      <c r="G42" s="194">
        <v>2989703.16</v>
      </c>
      <c r="H42" s="194">
        <v>3403933</v>
      </c>
      <c r="I42" s="194">
        <v>3673493.3099999996</v>
      </c>
      <c r="J42" s="194">
        <v>5267198</v>
      </c>
      <c r="K42" s="194">
        <v>3464330.9700000007</v>
      </c>
      <c r="L42" s="194">
        <f t="shared" si="7"/>
        <v>3740162.64</v>
      </c>
    </row>
    <row r="43" spans="1:12">
      <c r="B43" s="238" t="s">
        <v>129</v>
      </c>
      <c r="C43" s="194">
        <v>2340704</v>
      </c>
      <c r="D43" s="194">
        <v>2668551.16</v>
      </c>
      <c r="E43" s="194">
        <v>2714055.36</v>
      </c>
      <c r="F43" s="194">
        <v>2606885.94</v>
      </c>
      <c r="G43" s="194">
        <v>2686195.65</v>
      </c>
      <c r="H43" s="194">
        <v>2722811</v>
      </c>
      <c r="I43" s="194">
        <v>2717874.71</v>
      </c>
      <c r="J43" s="194">
        <v>2726337</v>
      </c>
      <c r="K43" s="194">
        <v>2742503.0500000003</v>
      </c>
      <c r="L43" s="194">
        <f t="shared" si="7"/>
        <v>2722870.8299999996</v>
      </c>
    </row>
    <row r="44" spans="1:12">
      <c r="B44" s="238" t="s">
        <v>117</v>
      </c>
      <c r="C44" s="194">
        <v>841382</v>
      </c>
      <c r="D44" s="194">
        <v>1147875</v>
      </c>
      <c r="E44" s="194">
        <v>694692.43</v>
      </c>
      <c r="F44" s="194">
        <v>626509.31000000006</v>
      </c>
      <c r="G44" s="194">
        <v>1086909.6599999999</v>
      </c>
      <c r="H44" s="194">
        <v>936944</v>
      </c>
      <c r="I44" s="194">
        <v>1023666</v>
      </c>
      <c r="J44" s="194">
        <v>1028574</v>
      </c>
      <c r="K44" s="194">
        <v>1221590.6500000001</v>
      </c>
      <c r="L44" s="194">
        <f t="shared" si="7"/>
        <v>973600.29999999993</v>
      </c>
    </row>
    <row r="45" spans="1:12">
      <c r="B45" s="238" t="s">
        <v>130</v>
      </c>
      <c r="C45" s="194">
        <v>658775</v>
      </c>
      <c r="D45" s="194">
        <v>831696.91</v>
      </c>
      <c r="E45" s="194">
        <v>610971.79</v>
      </c>
      <c r="F45" s="194">
        <v>761026.25</v>
      </c>
      <c r="G45" s="194">
        <v>1081654.73</v>
      </c>
      <c r="H45" s="194">
        <v>797849</v>
      </c>
      <c r="I45" s="194">
        <v>811009.52</v>
      </c>
      <c r="J45" s="194">
        <v>828953</v>
      </c>
      <c r="K45" s="194">
        <v>738429.14999999991</v>
      </c>
      <c r="L45" s="194">
        <f t="shared" si="7"/>
        <v>851605.42999999993</v>
      </c>
    </row>
    <row r="46" spans="1:12">
      <c r="B46" s="238" t="s">
        <v>119</v>
      </c>
      <c r="C46" s="194">
        <v>430107</v>
      </c>
      <c r="D46" s="194">
        <v>453174.96</v>
      </c>
      <c r="E46" s="194">
        <v>755838.51</v>
      </c>
      <c r="F46" s="194">
        <v>664291.94999999995</v>
      </c>
      <c r="G46" s="194">
        <v>684144.2</v>
      </c>
      <c r="H46" s="194">
        <v>632232</v>
      </c>
      <c r="I46" s="194">
        <v>613878.14000000013</v>
      </c>
      <c r="J46" s="194">
        <v>629823</v>
      </c>
      <c r="K46" s="194">
        <v>566427.66</v>
      </c>
      <c r="L46" s="194">
        <f t="shared" si="7"/>
        <v>553284.52999999991</v>
      </c>
    </row>
    <row r="47" spans="1:12">
      <c r="B47" s="238" t="s">
        <v>114</v>
      </c>
      <c r="C47" s="194">
        <v>427731</v>
      </c>
      <c r="D47" s="194">
        <v>403540.21</v>
      </c>
      <c r="E47" s="194">
        <v>389914</v>
      </c>
      <c r="F47" s="194">
        <v>448433.02</v>
      </c>
      <c r="G47" s="194">
        <v>542524.98</v>
      </c>
      <c r="H47" s="194">
        <v>466896</v>
      </c>
      <c r="I47" s="194">
        <v>537684</v>
      </c>
      <c r="J47" s="194">
        <v>506008</v>
      </c>
      <c r="K47" s="194">
        <v>507759.98</v>
      </c>
      <c r="L47" s="194">
        <f t="shared" si="7"/>
        <v>504365.08999999997</v>
      </c>
    </row>
    <row r="48" spans="1:12">
      <c r="B48" s="238" t="s">
        <v>113</v>
      </c>
      <c r="C48" s="194">
        <v>148610</v>
      </c>
      <c r="D48" s="194">
        <v>162735.01</v>
      </c>
      <c r="E48" s="194">
        <v>206529.12</v>
      </c>
      <c r="F48" s="194">
        <v>340149.56</v>
      </c>
      <c r="G48" s="194">
        <v>393094.87</v>
      </c>
      <c r="H48" s="194">
        <v>381505</v>
      </c>
      <c r="I48" s="194">
        <v>316905</v>
      </c>
      <c r="J48" s="194">
        <v>396708</v>
      </c>
      <c r="K48" s="194">
        <v>371180.75</v>
      </c>
      <c r="L48" s="194">
        <f t="shared" si="7"/>
        <v>391429.16</v>
      </c>
    </row>
    <row r="49" spans="1:12">
      <c r="B49" s="238" t="s">
        <v>123</v>
      </c>
      <c r="C49" s="194">
        <v>34325</v>
      </c>
      <c r="D49" s="194">
        <v>118229.05</v>
      </c>
      <c r="E49" s="194">
        <v>364936.65</v>
      </c>
      <c r="F49" s="194">
        <v>453801.49</v>
      </c>
      <c r="G49" s="194">
        <v>633054.71999999997</v>
      </c>
      <c r="H49" s="194">
        <v>661308</v>
      </c>
      <c r="I49" s="194">
        <v>614064.73</v>
      </c>
      <c r="J49" s="194">
        <v>545674</v>
      </c>
      <c r="K49" s="194">
        <v>282488.83999999997</v>
      </c>
      <c r="L49" s="194">
        <f t="shared" si="7"/>
        <v>206252.25</v>
      </c>
    </row>
    <row r="50" spans="1:12" ht="16.5" customHeight="1">
      <c r="B50" s="238" t="s">
        <v>126</v>
      </c>
      <c r="C50" s="194">
        <v>124703</v>
      </c>
      <c r="D50" s="194">
        <v>158296.26999999999</v>
      </c>
      <c r="E50" s="194">
        <v>110571.35</v>
      </c>
      <c r="F50" s="194">
        <v>140397.85999999999</v>
      </c>
      <c r="G50" s="194">
        <v>134869.24</v>
      </c>
      <c r="H50" s="194">
        <v>163102</v>
      </c>
      <c r="I50" s="194">
        <v>234021</v>
      </c>
      <c r="J50" s="194">
        <v>138705</v>
      </c>
      <c r="K50" s="194">
        <v>132666.63</v>
      </c>
      <c r="L50" s="194">
        <f t="shared" si="7"/>
        <v>136493.07</v>
      </c>
    </row>
    <row r="51" spans="1:12" ht="16.5" customHeight="1">
      <c r="B51" s="238" t="s">
        <v>125</v>
      </c>
      <c r="E51" s="194">
        <v>68133.8</v>
      </c>
      <c r="F51" s="194">
        <v>52779.89</v>
      </c>
      <c r="G51" s="194">
        <v>140868.88</v>
      </c>
      <c r="H51" s="194">
        <v>124210</v>
      </c>
      <c r="I51" s="194">
        <v>102394</v>
      </c>
      <c r="J51" s="194">
        <v>130034</v>
      </c>
      <c r="K51" s="194">
        <v>104183.70999999999</v>
      </c>
      <c r="L51" s="194">
        <f t="shared" si="7"/>
        <v>119555.17</v>
      </c>
    </row>
    <row r="52" spans="1:12">
      <c r="B52" s="238" t="s">
        <v>229</v>
      </c>
      <c r="F52" s="194"/>
      <c r="G52" s="194"/>
      <c r="H52" s="194">
        <v>4650</v>
      </c>
      <c r="I52" s="194">
        <v>-4650</v>
      </c>
      <c r="J52" s="194"/>
      <c r="K52" s="194"/>
      <c r="L52" s="194"/>
    </row>
    <row r="53" spans="1:12">
      <c r="A53" s="384" t="s">
        <v>111</v>
      </c>
      <c r="B53" s="384"/>
      <c r="C53" s="246">
        <f t="shared" ref="C53:L53" si="8">SUM(C33:C52)</f>
        <v>111613192</v>
      </c>
      <c r="D53" s="246">
        <f t="shared" si="8"/>
        <v>116414474.96999997</v>
      </c>
      <c r="E53" s="246">
        <f t="shared" si="8"/>
        <v>119824855.95000002</v>
      </c>
      <c r="F53" s="246">
        <f t="shared" si="8"/>
        <v>118539460.98999999</v>
      </c>
      <c r="G53" s="246">
        <f t="shared" si="8"/>
        <v>119416105.39000002</v>
      </c>
      <c r="H53" s="246">
        <f t="shared" si="8"/>
        <v>117613403</v>
      </c>
      <c r="I53" s="246">
        <f t="shared" si="8"/>
        <v>121899504.76999998</v>
      </c>
      <c r="J53" s="246">
        <f t="shared" si="8"/>
        <v>127174307</v>
      </c>
      <c r="K53" s="246">
        <v>112523277.77999997</v>
      </c>
      <c r="L53" s="246">
        <f t="shared" si="8"/>
        <v>112963223.09</v>
      </c>
    </row>
    <row r="54" spans="1:12">
      <c r="B54" s="249"/>
      <c r="F54" s="194"/>
      <c r="G54" s="194"/>
      <c r="H54" s="194"/>
      <c r="I54" s="194"/>
      <c r="J54" s="194"/>
      <c r="K54" s="194"/>
      <c r="L54" s="194"/>
    </row>
    <row r="55" spans="1:12" ht="27.6">
      <c r="A55" s="142" t="s">
        <v>110</v>
      </c>
      <c r="B55" s="250" t="s">
        <v>109</v>
      </c>
      <c r="C55" s="246">
        <v>13908430</v>
      </c>
      <c r="D55" s="246">
        <v>14053990.26</v>
      </c>
      <c r="E55" s="246">
        <v>12711728.189999999</v>
      </c>
      <c r="F55" s="246">
        <v>13671164.91</v>
      </c>
      <c r="G55" s="246">
        <v>13923765.529999999</v>
      </c>
      <c r="H55" s="246">
        <v>13908920</v>
      </c>
      <c r="I55" s="246">
        <v>14114665.6</v>
      </c>
      <c r="J55" s="246">
        <v>13517548</v>
      </c>
      <c r="K55" s="246">
        <v>16836697.550000001</v>
      </c>
      <c r="L55" s="246">
        <f>VLOOKUP(B55,lkp_10,2,FALSE)</f>
        <v>12198315</v>
      </c>
    </row>
    <row r="56" spans="1:12">
      <c r="F56" s="194"/>
      <c r="G56" s="194"/>
      <c r="H56" s="194"/>
      <c r="I56" s="194"/>
      <c r="J56" s="194"/>
      <c r="K56" s="194"/>
      <c r="L56" s="194"/>
    </row>
    <row r="57" spans="1:12">
      <c r="A57" s="239" t="s">
        <v>108</v>
      </c>
      <c r="B57" s="250" t="s">
        <v>230</v>
      </c>
      <c r="C57" s="246">
        <v>3662199</v>
      </c>
      <c r="D57" s="246">
        <v>3384748.36</v>
      </c>
      <c r="E57" s="246">
        <v>2800349.96</v>
      </c>
      <c r="F57" s="246">
        <v>3123239.52</v>
      </c>
      <c r="G57" s="246">
        <v>3143475.74</v>
      </c>
      <c r="H57" s="246">
        <v>3036343</v>
      </c>
      <c r="I57" s="246">
        <v>3102343.58</v>
      </c>
      <c r="J57" s="246">
        <v>3019916</v>
      </c>
      <c r="K57" s="246">
        <v>2897182.59</v>
      </c>
      <c r="L57" s="246">
        <f>VLOOKUP(B57,lkp_10,2,FALSE)</f>
        <v>2789751</v>
      </c>
    </row>
    <row r="58" spans="1:12">
      <c r="F58" s="194"/>
      <c r="G58" s="194"/>
      <c r="H58" s="194"/>
      <c r="I58" s="194"/>
      <c r="J58" s="194"/>
      <c r="K58" s="194"/>
      <c r="L58" s="194"/>
    </row>
    <row r="59" spans="1:12">
      <c r="A59" s="245" t="s">
        <v>107</v>
      </c>
      <c r="B59" s="238" t="s">
        <v>106</v>
      </c>
      <c r="C59" s="194">
        <v>51870632</v>
      </c>
      <c r="D59" s="194">
        <v>37603354.659999996</v>
      </c>
      <c r="E59" s="194">
        <v>36314947.420000002</v>
      </c>
      <c r="F59" s="194">
        <v>21464270.649999999</v>
      </c>
      <c r="G59" s="194">
        <v>24068856.09</v>
      </c>
      <c r="H59" s="194">
        <v>25183984.759999998</v>
      </c>
      <c r="I59" s="194">
        <v>24010159.039999999</v>
      </c>
      <c r="J59" s="194">
        <v>22142181</v>
      </c>
      <c r="K59" s="194">
        <v>26273412.68</v>
      </c>
      <c r="L59" s="194">
        <f t="shared" ref="L59:L64" si="9">VLOOKUP(B59,lkp_10,2,FALSE)</f>
        <v>40817153</v>
      </c>
    </row>
    <row r="60" spans="1:12" ht="16.8">
      <c r="B60" s="238" t="s">
        <v>103</v>
      </c>
      <c r="C60" s="194">
        <v>52203712</v>
      </c>
      <c r="D60" s="194">
        <v>38048399.530000001</v>
      </c>
      <c r="E60" s="194">
        <v>23741722.07</v>
      </c>
      <c r="F60" s="194">
        <v>20104220.399999999</v>
      </c>
      <c r="G60" s="194">
        <v>22112085.41</v>
      </c>
      <c r="H60" s="194">
        <v>18204478</v>
      </c>
      <c r="I60" s="194">
        <v>8998595</v>
      </c>
      <c r="J60" s="194">
        <v>26702585</v>
      </c>
      <c r="K60" s="194">
        <v>12768517.42</v>
      </c>
      <c r="L60" s="194">
        <f t="shared" si="9"/>
        <v>12846602</v>
      </c>
    </row>
    <row r="61" spans="1:12">
      <c r="B61" s="238" t="s">
        <v>105</v>
      </c>
      <c r="C61" s="251">
        <v>5933917</v>
      </c>
      <c r="D61" s="251">
        <v>8235814.3799999999</v>
      </c>
      <c r="E61" s="251">
        <v>7854727.4900000002</v>
      </c>
      <c r="F61" s="251">
        <v>8969539.379999999</v>
      </c>
      <c r="G61" s="251">
        <v>10995773.41</v>
      </c>
      <c r="H61" s="251">
        <v>7743398.8499999996</v>
      </c>
      <c r="I61" s="251">
        <v>4497166.07</v>
      </c>
      <c r="J61" s="251">
        <v>6471900</v>
      </c>
      <c r="K61" s="251">
        <v>5682822.5</v>
      </c>
      <c r="L61" s="194">
        <f t="shared" si="9"/>
        <v>5002530</v>
      </c>
    </row>
    <row r="62" spans="1:12">
      <c r="B62" s="238" t="s">
        <v>101</v>
      </c>
      <c r="C62" s="194">
        <v>4778134</v>
      </c>
      <c r="D62" s="194">
        <v>4833194.43</v>
      </c>
      <c r="E62" s="194">
        <v>5528549.8099999996</v>
      </c>
      <c r="F62" s="194">
        <v>4191459.14</v>
      </c>
      <c r="G62" s="194">
        <v>5148896.25</v>
      </c>
      <c r="H62" s="194">
        <v>4792260</v>
      </c>
      <c r="I62" s="194">
        <v>4538278</v>
      </c>
      <c r="J62" s="194">
        <v>4643486</v>
      </c>
      <c r="K62" s="194">
        <v>4504494.53</v>
      </c>
      <c r="L62" s="194">
        <f t="shared" si="9"/>
        <v>2996964</v>
      </c>
    </row>
    <row r="63" spans="1:12">
      <c r="B63" s="238" t="s">
        <v>102</v>
      </c>
      <c r="C63" s="194">
        <v>935038</v>
      </c>
      <c r="D63" s="194">
        <v>1802447.45</v>
      </c>
      <c r="E63" s="194">
        <v>1810123.48</v>
      </c>
      <c r="F63" s="194">
        <v>1862081.77</v>
      </c>
      <c r="G63" s="194">
        <v>2058244.58</v>
      </c>
      <c r="H63" s="194">
        <v>1989826</v>
      </c>
      <c r="I63" s="194">
        <v>2318310.46</v>
      </c>
      <c r="J63" s="194">
        <v>1690830</v>
      </c>
      <c r="K63" s="194">
        <v>1322507.22</v>
      </c>
      <c r="L63" s="194">
        <f t="shared" si="9"/>
        <v>1352094</v>
      </c>
    </row>
    <row r="64" spans="1:12" ht="16.5" customHeight="1">
      <c r="B64" s="238" t="s">
        <v>370</v>
      </c>
      <c r="C64" s="194">
        <v>-5658821</v>
      </c>
      <c r="D64" s="194">
        <v>-3141637.28</v>
      </c>
      <c r="F64" s="194"/>
      <c r="G64" s="194">
        <v>-1875149.14</v>
      </c>
      <c r="H64" s="194">
        <v>-774836</v>
      </c>
      <c r="I64" s="194">
        <v>-836214</v>
      </c>
      <c r="J64" s="194">
        <v>-944940</v>
      </c>
      <c r="K64" s="194">
        <v>-830904.81</v>
      </c>
      <c r="L64" s="194">
        <f t="shared" si="9"/>
        <v>-128660</v>
      </c>
    </row>
    <row r="65" spans="1:16">
      <c r="B65" s="238" t="s">
        <v>104</v>
      </c>
      <c r="C65" s="194">
        <v>1748321</v>
      </c>
      <c r="D65" s="194">
        <v>1611165.69</v>
      </c>
      <c r="E65" s="194">
        <v>1231259.69</v>
      </c>
      <c r="F65" s="194">
        <v>544683.72</v>
      </c>
      <c r="G65" s="194">
        <v>-53709.74</v>
      </c>
      <c r="H65" s="194"/>
      <c r="I65" s="194"/>
      <c r="J65" s="194"/>
      <c r="K65" s="194"/>
      <c r="L65" s="194"/>
    </row>
    <row r="66" spans="1:16">
      <c r="A66" s="384" t="s">
        <v>100</v>
      </c>
      <c r="B66" s="384"/>
      <c r="C66" s="246">
        <f t="shared" ref="C66:L66" si="10">SUM(C59:C65)</f>
        <v>111810933</v>
      </c>
      <c r="D66" s="246">
        <f t="shared" si="10"/>
        <v>88992738.859999999</v>
      </c>
      <c r="E66" s="246">
        <f t="shared" si="10"/>
        <v>76481329.960000008</v>
      </c>
      <c r="F66" s="246">
        <f t="shared" si="10"/>
        <v>57136255.059999995</v>
      </c>
      <c r="G66" s="246">
        <f t="shared" si="10"/>
        <v>62454996.859999992</v>
      </c>
      <c r="H66" s="246">
        <f t="shared" si="10"/>
        <v>57139111.609999999</v>
      </c>
      <c r="I66" s="246">
        <f t="shared" si="10"/>
        <v>43526294.57</v>
      </c>
      <c r="J66" s="246">
        <f t="shared" si="10"/>
        <v>60706042</v>
      </c>
      <c r="K66" s="246">
        <v>49720849.539999999</v>
      </c>
      <c r="L66" s="246">
        <f t="shared" si="10"/>
        <v>62886683</v>
      </c>
    </row>
    <row r="67" spans="1:16">
      <c r="B67" s="245"/>
      <c r="C67" s="248"/>
      <c r="D67" s="248"/>
      <c r="E67" s="248"/>
      <c r="F67" s="248"/>
      <c r="G67" s="248"/>
      <c r="H67" s="248"/>
      <c r="I67" s="248"/>
      <c r="J67" s="248"/>
      <c r="K67" s="248"/>
      <c r="L67" s="248"/>
    </row>
    <row r="68" spans="1:16">
      <c r="A68" s="171" t="s">
        <v>285</v>
      </c>
      <c r="B68" s="171"/>
      <c r="C68" s="252"/>
      <c r="D68" s="252"/>
      <c r="E68" s="252"/>
      <c r="F68" s="252"/>
      <c r="G68" s="252"/>
      <c r="H68" s="252"/>
      <c r="I68" s="252"/>
      <c r="J68" s="252">
        <v>10367580</v>
      </c>
      <c r="K68" s="252">
        <v>11607301</v>
      </c>
      <c r="L68" s="252">
        <f>VLOOKUP(A68,lkp_10,2,FALSE)</f>
        <v>11601030</v>
      </c>
      <c r="M68"/>
      <c r="N68"/>
      <c r="O68"/>
      <c r="P68"/>
    </row>
    <row r="69" spans="1:16">
      <c r="A69" s="90" t="s">
        <v>280</v>
      </c>
      <c r="B69" s="90"/>
      <c r="C69" s="253"/>
      <c r="D69" s="253"/>
      <c r="E69" s="253"/>
      <c r="F69" s="253"/>
      <c r="G69" s="253"/>
      <c r="H69" s="253"/>
      <c r="I69" s="253"/>
      <c r="J69" s="253">
        <v>304457</v>
      </c>
      <c r="K69" s="253">
        <v>254958</v>
      </c>
      <c r="L69" s="253">
        <f>VLOOKUP(A69,lkp_10,2,FALSE)</f>
        <v>213881</v>
      </c>
      <c r="M69"/>
      <c r="N69"/>
      <c r="O69"/>
      <c r="P69"/>
    </row>
    <row r="70" spans="1:16">
      <c r="A70" s="90"/>
      <c r="B70" s="90"/>
      <c r="F70" s="194"/>
      <c r="G70" s="194"/>
      <c r="H70" s="194"/>
      <c r="I70" s="194"/>
      <c r="J70" s="194"/>
      <c r="K70" s="194"/>
      <c r="L70" s="194"/>
    </row>
    <row r="71" spans="1:16">
      <c r="A71" s="384" t="s">
        <v>99</v>
      </c>
      <c r="B71" s="384"/>
      <c r="C71" s="246">
        <f t="shared" ref="C71:L71" si="11">C13+C31+C53+C55+C57+C66+C68+C69</f>
        <v>311214895</v>
      </c>
      <c r="D71" s="246">
        <f t="shared" si="11"/>
        <v>306409771.88</v>
      </c>
      <c r="E71" s="246">
        <f t="shared" si="11"/>
        <v>291101892.47000003</v>
      </c>
      <c r="F71" s="246">
        <f t="shared" si="11"/>
        <v>269134109.66000003</v>
      </c>
      <c r="G71" s="246">
        <f t="shared" si="11"/>
        <v>279550549.25</v>
      </c>
      <c r="H71" s="246">
        <f t="shared" si="11"/>
        <v>274172173.63</v>
      </c>
      <c r="I71" s="246">
        <f t="shared" si="11"/>
        <v>259957536.01999998</v>
      </c>
      <c r="J71" s="246">
        <f t="shared" si="11"/>
        <v>289372127</v>
      </c>
      <c r="K71" s="246">
        <v>262715159.58999997</v>
      </c>
      <c r="L71" s="246">
        <f t="shared" si="11"/>
        <v>278235868.09000003</v>
      </c>
    </row>
    <row r="73" spans="1:16">
      <c r="A73" s="245" t="s">
        <v>1</v>
      </c>
    </row>
    <row r="74" spans="1:16" ht="16.5" customHeight="1">
      <c r="A74" s="241" t="s">
        <v>398</v>
      </c>
      <c r="B74" s="241"/>
      <c r="C74" s="241"/>
      <c r="D74" s="241"/>
      <c r="E74" s="241"/>
    </row>
    <row r="75" spans="1:16">
      <c r="A75" s="241" t="s">
        <v>399</v>
      </c>
      <c r="B75" s="241"/>
      <c r="C75" s="241"/>
      <c r="D75" s="241"/>
      <c r="E75" s="241"/>
    </row>
    <row r="76" spans="1:16">
      <c r="A76" s="241" t="s">
        <v>454</v>
      </c>
      <c r="B76" s="241"/>
      <c r="C76" s="241"/>
      <c r="D76" s="241"/>
      <c r="E76" s="241"/>
    </row>
    <row r="77" spans="1:16" ht="35.25" customHeight="1">
      <c r="A77" s="254"/>
      <c r="B77" s="254"/>
      <c r="C77" s="254"/>
      <c r="D77" s="254"/>
      <c r="E77" s="254"/>
      <c r="F77" s="254"/>
      <c r="G77" s="254"/>
    </row>
    <row r="78" spans="1:16">
      <c r="G78" s="255" t="s">
        <v>84</v>
      </c>
      <c r="H78" s="241" t="str">
        <f>subtitle</f>
        <v>Total: $278.2 million includes $40.2 million in obligations to capital projects, plus General and Administrative (G&amp;A) costs ($11.6 million), and Columbia River System Operations Review/Environmental Impact Statement costs ($213,900)</v>
      </c>
    </row>
    <row r="79" spans="1:16">
      <c r="A79" s="259" t="s">
        <v>397</v>
      </c>
      <c r="B79" s="256"/>
    </row>
    <row r="81" spans="1:6">
      <c r="A81" s="238" t="s">
        <v>156</v>
      </c>
      <c r="B81" s="257" t="s">
        <v>161</v>
      </c>
      <c r="C81" s="194">
        <v>16857123</v>
      </c>
      <c r="D81" s="257"/>
      <c r="E81" s="241"/>
      <c r="F81" s="194"/>
    </row>
    <row r="82" spans="1:6">
      <c r="A82" s="238" t="s">
        <v>156</v>
      </c>
      <c r="B82" s="257" t="s">
        <v>162</v>
      </c>
      <c r="C82" s="194">
        <v>6717704</v>
      </c>
      <c r="D82" s="257"/>
      <c r="E82" s="241"/>
      <c r="F82" s="194"/>
    </row>
    <row r="83" spans="1:6">
      <c r="A83" s="238" t="s">
        <v>156</v>
      </c>
      <c r="B83" s="257" t="s">
        <v>164</v>
      </c>
      <c r="C83" s="194">
        <v>1611234</v>
      </c>
      <c r="D83" s="257"/>
      <c r="E83" s="241"/>
      <c r="F83" s="194"/>
    </row>
    <row r="84" spans="1:6">
      <c r="A84" s="238" t="s">
        <v>156</v>
      </c>
      <c r="B84" s="257" t="s">
        <v>163</v>
      </c>
      <c r="C84" s="194">
        <v>1554790</v>
      </c>
      <c r="D84" s="257"/>
      <c r="E84" s="241"/>
      <c r="F84" s="194"/>
    </row>
    <row r="85" spans="1:6">
      <c r="A85" s="238" t="s">
        <v>156</v>
      </c>
      <c r="B85" s="257" t="s">
        <v>286</v>
      </c>
      <c r="C85" s="194">
        <v>1033555</v>
      </c>
      <c r="D85" s="257"/>
      <c r="E85" s="241"/>
      <c r="F85" s="194"/>
    </row>
    <row r="86" spans="1:6">
      <c r="A86" s="238" t="s">
        <v>156</v>
      </c>
      <c r="B86" s="257" t="s">
        <v>231</v>
      </c>
      <c r="C86" s="194">
        <v>481619</v>
      </c>
      <c r="D86" s="257"/>
      <c r="E86" s="241"/>
      <c r="F86" s="194"/>
    </row>
    <row r="87" spans="1:6">
      <c r="A87" s="238" t="s">
        <v>156</v>
      </c>
      <c r="B87" s="257" t="s">
        <v>165</v>
      </c>
      <c r="C87" s="194">
        <v>116352</v>
      </c>
      <c r="D87" s="257"/>
      <c r="E87" s="241"/>
      <c r="F87" s="194"/>
    </row>
    <row r="88" spans="1:6">
      <c r="A88" s="238" t="s">
        <v>157</v>
      </c>
      <c r="B88" s="257" t="s">
        <v>166</v>
      </c>
      <c r="C88" s="194">
        <v>13304458</v>
      </c>
      <c r="D88" s="257"/>
      <c r="E88" s="241"/>
      <c r="F88" s="194"/>
    </row>
    <row r="89" spans="1:6">
      <c r="A89" s="238" t="s">
        <v>157</v>
      </c>
      <c r="B89" s="257" t="s">
        <v>167</v>
      </c>
      <c r="C89" s="194">
        <v>15378235</v>
      </c>
      <c r="D89" s="257"/>
      <c r="F89" s="194"/>
    </row>
    <row r="90" spans="1:6">
      <c r="A90" s="238" t="s">
        <v>157</v>
      </c>
      <c r="B90" s="257" t="s">
        <v>168</v>
      </c>
      <c r="C90" s="194">
        <v>11813405</v>
      </c>
      <c r="D90" s="257"/>
    </row>
    <row r="91" spans="1:6">
      <c r="A91" s="238" t="s">
        <v>157</v>
      </c>
      <c r="B91" s="257" t="s">
        <v>170</v>
      </c>
      <c r="C91" s="194">
        <v>2871776</v>
      </c>
    </row>
    <row r="92" spans="1:6">
      <c r="A92" s="238" t="s">
        <v>157</v>
      </c>
      <c r="B92" s="257" t="s">
        <v>169</v>
      </c>
      <c r="C92" s="194">
        <v>3809330</v>
      </c>
    </row>
    <row r="93" spans="1:6">
      <c r="A93" s="238" t="s">
        <v>158</v>
      </c>
      <c r="B93" s="257" t="s">
        <v>171</v>
      </c>
      <c r="C93" s="194">
        <v>24699925.880000006</v>
      </c>
      <c r="D93" s="241"/>
    </row>
    <row r="94" spans="1:6">
      <c r="A94" s="238" t="s">
        <v>158</v>
      </c>
      <c r="B94" s="257" t="s">
        <v>174</v>
      </c>
      <c r="C94" s="194">
        <v>15721688.430000002</v>
      </c>
      <c r="D94" s="257"/>
    </row>
    <row r="95" spans="1:6">
      <c r="A95" s="238" t="s">
        <v>158</v>
      </c>
      <c r="B95" s="257" t="s">
        <v>173</v>
      </c>
      <c r="C95" s="194">
        <v>14435811.690000001</v>
      </c>
      <c r="D95" s="241"/>
    </row>
    <row r="96" spans="1:6">
      <c r="A96" s="238" t="s">
        <v>158</v>
      </c>
      <c r="B96" s="257" t="s">
        <v>175</v>
      </c>
      <c r="C96" s="194">
        <v>13264626.269999998</v>
      </c>
      <c r="D96" s="241"/>
    </row>
    <row r="97" spans="1:4">
      <c r="A97" s="238" t="s">
        <v>158</v>
      </c>
      <c r="B97" s="257" t="s">
        <v>172</v>
      </c>
      <c r="C97" s="194">
        <v>9704134.8000000007</v>
      </c>
      <c r="D97" s="241"/>
    </row>
    <row r="98" spans="1:4">
      <c r="A98" s="238" t="s">
        <v>158</v>
      </c>
      <c r="B98" s="257" t="s">
        <v>176</v>
      </c>
      <c r="C98" s="194">
        <v>8724318.0399999991</v>
      </c>
      <c r="D98" s="241"/>
    </row>
    <row r="99" spans="1:4">
      <c r="A99" s="238" t="s">
        <v>158</v>
      </c>
      <c r="B99" s="257" t="s">
        <v>177</v>
      </c>
      <c r="C99" s="194">
        <v>7546706.6000000006</v>
      </c>
      <c r="D99" s="241"/>
    </row>
    <row r="100" spans="1:4">
      <c r="A100" s="238" t="s">
        <v>158</v>
      </c>
      <c r="B100" s="257" t="s">
        <v>180</v>
      </c>
      <c r="C100" s="194">
        <v>4047469.5899999994</v>
      </c>
      <c r="D100" s="257"/>
    </row>
    <row r="101" spans="1:4">
      <c r="A101" s="238" t="s">
        <v>158</v>
      </c>
      <c r="B101" s="257" t="s">
        <v>178</v>
      </c>
      <c r="C101" s="194">
        <v>4618923.32</v>
      </c>
      <c r="D101" s="241"/>
    </row>
    <row r="102" spans="1:4">
      <c r="A102" s="238" t="s">
        <v>158</v>
      </c>
      <c r="B102" s="257" t="s">
        <v>179</v>
      </c>
      <c r="C102" s="194">
        <v>3740162.64</v>
      </c>
      <c r="D102" s="241"/>
    </row>
    <row r="103" spans="1:4">
      <c r="A103" s="238" t="s">
        <v>158</v>
      </c>
      <c r="B103" s="257" t="s">
        <v>181</v>
      </c>
      <c r="C103" s="194">
        <v>2722870.8299999996</v>
      </c>
      <c r="D103" s="241"/>
    </row>
    <row r="104" spans="1:4">
      <c r="A104" s="238" t="s">
        <v>158</v>
      </c>
      <c r="B104" s="257" t="s">
        <v>224</v>
      </c>
      <c r="C104" s="194">
        <v>973600.29999999993</v>
      </c>
      <c r="D104" s="241"/>
    </row>
    <row r="105" spans="1:4">
      <c r="A105" s="238" t="s">
        <v>158</v>
      </c>
      <c r="B105" s="257" t="s">
        <v>225</v>
      </c>
      <c r="C105" s="194">
        <v>851605.42999999993</v>
      </c>
      <c r="D105" s="241"/>
    </row>
    <row r="106" spans="1:4" ht="12.6" customHeight="1">
      <c r="A106" s="238" t="s">
        <v>158</v>
      </c>
      <c r="B106" s="257" t="s">
        <v>182</v>
      </c>
      <c r="C106" s="194">
        <v>1911379</v>
      </c>
      <c r="D106" s="241"/>
    </row>
    <row r="107" spans="1:4">
      <c r="A107" s="238" t="s">
        <v>159</v>
      </c>
      <c r="B107" s="257" t="s">
        <v>183</v>
      </c>
      <c r="C107" s="194">
        <v>12198315</v>
      </c>
      <c r="D107" s="241"/>
    </row>
    <row r="108" spans="1:4">
      <c r="A108" s="238" t="s">
        <v>160</v>
      </c>
      <c r="B108" s="257" t="s">
        <v>160</v>
      </c>
      <c r="C108" s="194">
        <v>2789751</v>
      </c>
      <c r="D108" s="241"/>
    </row>
    <row r="109" spans="1:4">
      <c r="A109" s="238" t="s">
        <v>52</v>
      </c>
      <c r="B109" s="257" t="s">
        <v>184</v>
      </c>
      <c r="C109" s="194">
        <v>40817153</v>
      </c>
      <c r="D109" s="257"/>
    </row>
    <row r="110" spans="1:4">
      <c r="A110" s="238" t="s">
        <v>52</v>
      </c>
      <c r="B110" s="257" t="s">
        <v>185</v>
      </c>
      <c r="C110" s="194">
        <v>12846602</v>
      </c>
      <c r="D110" s="241"/>
    </row>
    <row r="111" spans="1:4">
      <c r="A111" s="238" t="s">
        <v>52</v>
      </c>
      <c r="B111" s="257" t="s">
        <v>186</v>
      </c>
      <c r="C111" s="194">
        <v>5002530</v>
      </c>
      <c r="D111" s="241"/>
    </row>
    <row r="112" spans="1:4">
      <c r="A112" s="238" t="s">
        <v>52</v>
      </c>
      <c r="B112" s="257" t="s">
        <v>187</v>
      </c>
      <c r="C112" s="251">
        <v>2996964</v>
      </c>
      <c r="D112" s="241"/>
    </row>
    <row r="113" spans="1:3">
      <c r="A113" s="238" t="s">
        <v>52</v>
      </c>
      <c r="B113" s="257" t="s">
        <v>232</v>
      </c>
      <c r="C113" s="194">
        <v>1352094</v>
      </c>
    </row>
    <row r="114" spans="1:3">
      <c r="B114" s="257"/>
    </row>
    <row r="115" spans="1:3">
      <c r="B115" s="257"/>
    </row>
    <row r="119" spans="1:3">
      <c r="B119" s="238" t="s">
        <v>400</v>
      </c>
    </row>
    <row r="121" spans="1:3">
      <c r="B121" t="s">
        <v>285</v>
      </c>
      <c r="C121">
        <v>11601030</v>
      </c>
    </row>
    <row r="122" spans="1:3">
      <c r="B122" t="s">
        <v>151</v>
      </c>
      <c r="C122">
        <v>16857123</v>
      </c>
    </row>
    <row r="123" spans="1:3">
      <c r="B123" t="s">
        <v>130</v>
      </c>
      <c r="C123">
        <v>851605.42999999993</v>
      </c>
    </row>
    <row r="124" spans="1:3">
      <c r="B124" t="s">
        <v>370</v>
      </c>
      <c r="C124">
        <v>-128660</v>
      </c>
    </row>
    <row r="125" spans="1:3">
      <c r="B125" t="s">
        <v>129</v>
      </c>
      <c r="C125">
        <v>2722870.8299999996</v>
      </c>
    </row>
    <row r="126" spans="1:3">
      <c r="B126" t="s">
        <v>104</v>
      </c>
      <c r="C126">
        <v>0</v>
      </c>
    </row>
    <row r="127" spans="1:3">
      <c r="B127" t="s">
        <v>128</v>
      </c>
      <c r="C127">
        <v>8724318.0399999991</v>
      </c>
    </row>
    <row r="128" spans="1:3">
      <c r="B128" t="s">
        <v>127</v>
      </c>
      <c r="C128">
        <v>15721688.430000002</v>
      </c>
    </row>
    <row r="129" spans="2:3">
      <c r="B129" t="s">
        <v>126</v>
      </c>
      <c r="C129">
        <v>136493.07</v>
      </c>
    </row>
    <row r="130" spans="2:3">
      <c r="B130" t="s">
        <v>125</v>
      </c>
      <c r="C130">
        <v>119555.17</v>
      </c>
    </row>
    <row r="131" spans="2:3">
      <c r="B131" t="s">
        <v>124</v>
      </c>
      <c r="C131">
        <v>7546706.6000000006</v>
      </c>
    </row>
    <row r="132" spans="2:3">
      <c r="B132" t="s">
        <v>123</v>
      </c>
      <c r="C132">
        <v>206252.25</v>
      </c>
    </row>
    <row r="133" spans="2:3">
      <c r="B133" t="s">
        <v>280</v>
      </c>
      <c r="C133">
        <v>213881</v>
      </c>
    </row>
    <row r="134" spans="2:3">
      <c r="B134" t="s">
        <v>401</v>
      </c>
      <c r="C134">
        <v>7529</v>
      </c>
    </row>
    <row r="135" spans="2:3">
      <c r="B135" t="s">
        <v>229</v>
      </c>
      <c r="C135">
        <v>0</v>
      </c>
    </row>
    <row r="136" spans="2:3">
      <c r="B136" t="s">
        <v>141</v>
      </c>
      <c r="C136">
        <v>15378235</v>
      </c>
    </row>
    <row r="137" spans="2:3">
      <c r="B137" t="s">
        <v>140</v>
      </c>
      <c r="C137">
        <v>0</v>
      </c>
    </row>
    <row r="138" spans="2:3">
      <c r="B138" t="s">
        <v>139</v>
      </c>
      <c r="C138">
        <v>2871776</v>
      </c>
    </row>
    <row r="139" spans="2:3">
      <c r="B139" t="s">
        <v>122</v>
      </c>
      <c r="C139">
        <v>4047469.5899999994</v>
      </c>
    </row>
    <row r="140" spans="2:3">
      <c r="B140" t="s">
        <v>121</v>
      </c>
      <c r="C140">
        <v>9704134.8000000007</v>
      </c>
    </row>
    <row r="141" spans="2:3">
      <c r="B141" t="s">
        <v>371</v>
      </c>
      <c r="C141">
        <v>12846602</v>
      </c>
    </row>
    <row r="142" spans="2:3">
      <c r="B142" t="s">
        <v>105</v>
      </c>
      <c r="C142">
        <v>5002530</v>
      </c>
    </row>
    <row r="143" spans="2:3">
      <c r="B143" t="s">
        <v>134</v>
      </c>
      <c r="C143">
        <v>3809330</v>
      </c>
    </row>
    <row r="144" spans="2:3">
      <c r="B144" t="s">
        <v>101</v>
      </c>
      <c r="C144">
        <v>2996964</v>
      </c>
    </row>
    <row r="145" spans="2:3">
      <c r="B145" t="s">
        <v>152</v>
      </c>
      <c r="C145">
        <v>6717704</v>
      </c>
    </row>
    <row r="146" spans="2:3">
      <c r="B146" t="s">
        <v>120</v>
      </c>
      <c r="C146">
        <v>14435811.690000001</v>
      </c>
    </row>
    <row r="147" spans="2:3">
      <c r="B147" t="s">
        <v>284</v>
      </c>
      <c r="C147">
        <v>0</v>
      </c>
    </row>
    <row r="148" spans="2:3">
      <c r="B148" t="s">
        <v>144</v>
      </c>
      <c r="C148">
        <v>13304458</v>
      </c>
    </row>
    <row r="149" spans="2:3">
      <c r="B149" t="s">
        <v>143</v>
      </c>
      <c r="C149">
        <v>33404</v>
      </c>
    </row>
    <row r="150" spans="2:3">
      <c r="B150" t="s">
        <v>107</v>
      </c>
      <c r="C150">
        <v>0</v>
      </c>
    </row>
    <row r="151" spans="2:3">
      <c r="B151" t="s">
        <v>228</v>
      </c>
      <c r="C151">
        <v>1033555</v>
      </c>
    </row>
    <row r="152" spans="2:3">
      <c r="B152" t="s">
        <v>109</v>
      </c>
      <c r="C152">
        <v>12198315</v>
      </c>
    </row>
    <row r="153" spans="2:3">
      <c r="B153" t="s">
        <v>106</v>
      </c>
      <c r="C153">
        <v>40817153</v>
      </c>
    </row>
    <row r="154" spans="2:3">
      <c r="B154" t="s">
        <v>119</v>
      </c>
      <c r="C154">
        <v>553284.52999999991</v>
      </c>
    </row>
    <row r="155" spans="2:3">
      <c r="B155" t="s">
        <v>118</v>
      </c>
      <c r="C155">
        <v>4618923.32</v>
      </c>
    </row>
    <row r="156" spans="2:3">
      <c r="B156" t="s">
        <v>117</v>
      </c>
      <c r="C156">
        <v>973600.29999999993</v>
      </c>
    </row>
    <row r="157" spans="2:3">
      <c r="B157" t="s">
        <v>116</v>
      </c>
      <c r="C157">
        <v>3740162.64</v>
      </c>
    </row>
    <row r="158" spans="2:3">
      <c r="B158" t="s">
        <v>115</v>
      </c>
      <c r="C158">
        <v>13264626.269999998</v>
      </c>
    </row>
    <row r="159" spans="2:3">
      <c r="B159" t="s">
        <v>230</v>
      </c>
      <c r="C159">
        <v>2789751</v>
      </c>
    </row>
    <row r="160" spans="2:3">
      <c r="B160" t="s">
        <v>114</v>
      </c>
      <c r="C160">
        <v>504365.08999999997</v>
      </c>
    </row>
    <row r="161" spans="2:3">
      <c r="B161" t="s">
        <v>113</v>
      </c>
      <c r="C161">
        <v>391429.16</v>
      </c>
    </row>
    <row r="162" spans="2:3">
      <c r="B162" t="s">
        <v>148</v>
      </c>
      <c r="C162">
        <v>-32873</v>
      </c>
    </row>
    <row r="163" spans="2:3">
      <c r="B163" t="s">
        <v>149</v>
      </c>
      <c r="C163">
        <v>141696</v>
      </c>
    </row>
    <row r="164" spans="2:3">
      <c r="B164" t="s">
        <v>150</v>
      </c>
      <c r="C164">
        <v>1554790</v>
      </c>
    </row>
    <row r="165" spans="2:3">
      <c r="B165" s="238" t="s">
        <v>147</v>
      </c>
      <c r="C165" s="194">
        <v>481619</v>
      </c>
    </row>
    <row r="166" spans="2:3">
      <c r="B166" s="238" t="s">
        <v>146</v>
      </c>
      <c r="C166" s="194">
        <v>1611234</v>
      </c>
    </row>
    <row r="167" spans="2:3">
      <c r="B167" s="238" t="s">
        <v>102</v>
      </c>
      <c r="C167" s="194">
        <v>1352094</v>
      </c>
    </row>
    <row r="168" spans="2:3">
      <c r="B168" s="238" t="s">
        <v>136</v>
      </c>
      <c r="C168" s="194">
        <v>0</v>
      </c>
    </row>
    <row r="169" spans="2:3">
      <c r="B169" s="238" t="s">
        <v>137</v>
      </c>
      <c r="C169" s="194">
        <v>11813405</v>
      </c>
    </row>
    <row r="170" spans="2:3">
      <c r="B170" s="238" t="s">
        <v>112</v>
      </c>
      <c r="C170" s="194">
        <v>24699925.880000006</v>
      </c>
    </row>
  </sheetData>
  <mergeCells count="5">
    <mergeCell ref="A71:B71"/>
    <mergeCell ref="A13:B13"/>
    <mergeCell ref="A31:B31"/>
    <mergeCell ref="A53:B53"/>
    <mergeCell ref="A66:B66"/>
  </mergeCells>
  <pageMargins left="0.25" right="0.25" top="0.75" bottom="0.75" header="0.3" footer="0.3"/>
  <pageSetup scale="36"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62"/>
  <sheetViews>
    <sheetView tabSelected="1" topLeftCell="A13" zoomScale="85" zoomScaleNormal="85" workbookViewId="0">
      <selection activeCell="A50" sqref="A50"/>
    </sheetView>
  </sheetViews>
  <sheetFormatPr defaultRowHeight="12.6"/>
  <cols>
    <col min="1" max="1" width="58" customWidth="1"/>
    <col min="2" max="11" width="15.5546875" customWidth="1"/>
  </cols>
  <sheetData>
    <row r="1" spans="1:11" ht="15">
      <c r="A1" s="207" t="str">
        <f>"Figure 11: Costs of Land Purchases for Fish and Wildlife Habitat, FY"&amp;K3</f>
        <v>Figure 11: Costs of Land Purchases for Fish and Wildlife Habitat, FY2020</v>
      </c>
    </row>
    <row r="3" spans="1:11" ht="13.8">
      <c r="A3" s="91" t="s">
        <v>53</v>
      </c>
      <c r="B3" s="92">
        <v>2011</v>
      </c>
      <c r="C3" s="92">
        <v>2012</v>
      </c>
      <c r="D3" s="92">
        <v>2013</v>
      </c>
      <c r="E3" s="92">
        <v>2014</v>
      </c>
      <c r="F3" s="92">
        <v>2015</v>
      </c>
      <c r="G3" s="92">
        <v>2016</v>
      </c>
      <c r="H3" s="92">
        <v>2017</v>
      </c>
      <c r="I3" s="92">
        <v>2018</v>
      </c>
      <c r="J3" s="92">
        <v>2019</v>
      </c>
      <c r="K3" s="92">
        <v>2020</v>
      </c>
    </row>
    <row r="4" spans="1:11" ht="16.5" customHeight="1">
      <c r="A4" s="93" t="s">
        <v>54</v>
      </c>
      <c r="B4" s="84"/>
      <c r="C4" s="84">
        <v>5306043</v>
      </c>
      <c r="D4" s="84">
        <v>1711234.64</v>
      </c>
      <c r="E4" s="84">
        <v>693095.5</v>
      </c>
      <c r="F4" s="84">
        <v>144278.15999999992</v>
      </c>
      <c r="G4" s="84">
        <v>40307.800000000003</v>
      </c>
      <c r="H4" s="84">
        <v>99543</v>
      </c>
      <c r="I4" s="84">
        <v>170178</v>
      </c>
      <c r="J4" s="84">
        <v>492294</v>
      </c>
      <c r="K4" s="84">
        <v>204337</v>
      </c>
    </row>
    <row r="5" spans="1:11" ht="13.8">
      <c r="A5" s="93" t="s">
        <v>55</v>
      </c>
      <c r="B5" s="84">
        <v>720811</v>
      </c>
      <c r="C5" s="84">
        <v>1743906.48</v>
      </c>
      <c r="D5" s="84">
        <v>1611629.5</v>
      </c>
      <c r="E5" s="84">
        <v>283048.12</v>
      </c>
      <c r="F5" s="84"/>
      <c r="G5" s="84"/>
      <c r="H5" s="84"/>
      <c r="I5" s="84"/>
      <c r="J5" s="84"/>
      <c r="K5" s="84"/>
    </row>
    <row r="6" spans="1:11" ht="13.8">
      <c r="A6" s="93" t="s">
        <v>222</v>
      </c>
      <c r="B6" s="84"/>
      <c r="C6" s="84"/>
      <c r="D6" s="84"/>
      <c r="E6" s="84"/>
      <c r="F6" s="84"/>
      <c r="G6" s="84"/>
      <c r="H6" s="84"/>
      <c r="I6" s="84"/>
      <c r="J6" s="84">
        <v>1387</v>
      </c>
      <c r="K6" s="84"/>
    </row>
    <row r="7" spans="1:11" ht="13.8">
      <c r="A7" s="93" t="s">
        <v>56</v>
      </c>
      <c r="B7" s="84">
        <v>1750665</v>
      </c>
      <c r="C7" s="84">
        <v>5384783</v>
      </c>
      <c r="D7" s="84"/>
      <c r="E7" s="84">
        <v>14000000</v>
      </c>
      <c r="F7" s="84"/>
      <c r="G7" s="84">
        <v>1877580.5</v>
      </c>
      <c r="H7" s="84"/>
      <c r="I7" s="84">
        <v>7369712</v>
      </c>
      <c r="J7" s="84">
        <v>1580664</v>
      </c>
      <c r="K7" s="84">
        <v>3892087</v>
      </c>
    </row>
    <row r="8" spans="1:11" ht="13.8">
      <c r="A8" s="93" t="s">
        <v>57</v>
      </c>
      <c r="B8" s="84"/>
      <c r="C8" s="84"/>
      <c r="D8" s="84"/>
      <c r="E8" s="84"/>
      <c r="F8" s="84">
        <v>7980000</v>
      </c>
      <c r="G8" s="84">
        <v>680000</v>
      </c>
      <c r="H8" s="84">
        <v>2438220</v>
      </c>
      <c r="I8" s="84"/>
      <c r="J8" s="84"/>
      <c r="K8" s="84"/>
    </row>
    <row r="9" spans="1:11" ht="13.8">
      <c r="A9" s="93" t="s">
        <v>282</v>
      </c>
      <c r="B9" s="84"/>
      <c r="C9" s="84">
        <v>928718</v>
      </c>
      <c r="D9" s="84">
        <v>348570</v>
      </c>
      <c r="E9" s="84"/>
      <c r="F9" s="84"/>
      <c r="G9" s="84">
        <v>85217</v>
      </c>
      <c r="H9" s="84">
        <v>72676</v>
      </c>
      <c r="I9" s="84">
        <v>203432</v>
      </c>
      <c r="J9" s="84">
        <v>166061</v>
      </c>
      <c r="K9" s="84">
        <v>184205</v>
      </c>
    </row>
    <row r="10" spans="1:11" ht="13.8">
      <c r="A10" s="93" t="s">
        <v>283</v>
      </c>
      <c r="B10" s="84"/>
      <c r="C10" s="84">
        <v>420929</v>
      </c>
      <c r="D10" s="84"/>
      <c r="E10" s="84"/>
      <c r="F10" s="84"/>
      <c r="G10" s="84"/>
      <c r="H10" s="84"/>
      <c r="I10" s="84"/>
      <c r="J10" s="84"/>
      <c r="K10" s="84"/>
    </row>
    <row r="11" spans="1:11" ht="13.8">
      <c r="A11" s="93" t="s">
        <v>453</v>
      </c>
      <c r="B11" s="84"/>
      <c r="C11" s="84">
        <v>946738.51</v>
      </c>
      <c r="D11" s="84"/>
      <c r="E11" s="84"/>
      <c r="F11" s="84"/>
      <c r="G11" s="84"/>
      <c r="H11" s="84">
        <v>500</v>
      </c>
      <c r="I11" s="84">
        <v>500</v>
      </c>
      <c r="J11" s="84"/>
      <c r="K11" s="84">
        <v>627892</v>
      </c>
    </row>
    <row r="12" spans="1:11" ht="13.8">
      <c r="A12" s="93" t="s">
        <v>188</v>
      </c>
      <c r="B12" s="84">
        <v>9750112</v>
      </c>
      <c r="C12" s="84">
        <v>1349403</v>
      </c>
      <c r="D12" s="84">
        <v>642763</v>
      </c>
      <c r="E12" s="84">
        <v>1610425</v>
      </c>
      <c r="F12" s="84">
        <v>154274</v>
      </c>
      <c r="G12" s="84"/>
      <c r="H12" s="84"/>
      <c r="I12" s="84">
        <v>10733065</v>
      </c>
      <c r="J12" s="84"/>
      <c r="K12" s="84"/>
    </row>
    <row r="13" spans="1:11" ht="13.8">
      <c r="A13" s="93" t="s">
        <v>58</v>
      </c>
      <c r="B13" s="84">
        <v>20851010</v>
      </c>
      <c r="C13" s="84"/>
      <c r="D13" s="84">
        <v>3412000</v>
      </c>
      <c r="E13" s="84"/>
      <c r="F13" s="84"/>
      <c r="G13" s="84"/>
      <c r="H13" s="84"/>
      <c r="I13" s="84"/>
      <c r="J13" s="84"/>
      <c r="K13" s="84"/>
    </row>
    <row r="14" spans="1:11" ht="13.8">
      <c r="A14" s="93" t="s">
        <v>59</v>
      </c>
      <c r="B14" s="84">
        <v>5788</v>
      </c>
      <c r="C14" s="84">
        <v>820.08</v>
      </c>
      <c r="D14" s="84">
        <v>5000</v>
      </c>
      <c r="E14" s="84">
        <v>5000</v>
      </c>
      <c r="F14" s="84">
        <v>5729</v>
      </c>
      <c r="G14" s="84">
        <v>5899.13</v>
      </c>
      <c r="H14" s="84">
        <v>5980</v>
      </c>
      <c r="I14" s="84">
        <v>5980</v>
      </c>
      <c r="J14" s="84">
        <v>5000</v>
      </c>
      <c r="K14" s="84">
        <v>9037</v>
      </c>
    </row>
    <row r="15" spans="1:11" ht="13.8">
      <c r="A15" s="93" t="s">
        <v>189</v>
      </c>
      <c r="B15" s="84">
        <v>9716071</v>
      </c>
      <c r="C15" s="84">
        <v>1954790.5</v>
      </c>
      <c r="D15" s="84">
        <v>12908339</v>
      </c>
      <c r="E15" s="84">
        <v>1316455</v>
      </c>
      <c r="F15" s="84">
        <v>12003446.75</v>
      </c>
      <c r="G15" s="84">
        <v>10868814</v>
      </c>
      <c r="H15" s="84">
        <v>5038680</v>
      </c>
      <c r="I15" s="84">
        <v>6978254</v>
      </c>
      <c r="J15" s="84">
        <v>9629687</v>
      </c>
      <c r="K15" s="84">
        <v>5592447</v>
      </c>
    </row>
    <row r="16" spans="1:11" ht="13.8">
      <c r="A16" s="93" t="s">
        <v>60</v>
      </c>
      <c r="B16" s="84"/>
      <c r="C16" s="84"/>
      <c r="D16" s="84">
        <v>600000</v>
      </c>
      <c r="E16" s="84"/>
      <c r="F16" s="84"/>
      <c r="G16" s="84"/>
      <c r="H16" s="84"/>
      <c r="I16" s="84"/>
      <c r="J16" s="84"/>
      <c r="K16" s="84"/>
    </row>
    <row r="17" spans="1:15" ht="13.8">
      <c r="A17" s="93" t="s">
        <v>61</v>
      </c>
      <c r="B17" s="84">
        <v>4068146</v>
      </c>
      <c r="C17" s="84">
        <v>6370225.5</v>
      </c>
      <c r="D17" s="84">
        <v>1596594</v>
      </c>
      <c r="E17" s="84">
        <v>2196196.7799999998</v>
      </c>
      <c r="F17" s="84">
        <v>490964.5</v>
      </c>
      <c r="G17" s="84">
        <v>1815933.75</v>
      </c>
      <c r="H17" s="84">
        <v>476466</v>
      </c>
      <c r="I17" s="84">
        <v>524163</v>
      </c>
      <c r="J17" s="84">
        <v>440084</v>
      </c>
      <c r="K17" s="84">
        <v>1698152</v>
      </c>
    </row>
    <row r="18" spans="1:15" ht="13.8">
      <c r="A18" s="93" t="s">
        <v>62</v>
      </c>
      <c r="B18" s="84">
        <v>1996948</v>
      </c>
      <c r="C18" s="84">
        <v>3666163</v>
      </c>
      <c r="D18" s="84"/>
      <c r="E18" s="84"/>
      <c r="F18" s="84"/>
      <c r="G18" s="84">
        <v>786320</v>
      </c>
      <c r="H18" s="84"/>
      <c r="I18" s="84"/>
      <c r="J18" s="84"/>
      <c r="K18" s="84"/>
    </row>
    <row r="19" spans="1:15" ht="13.8">
      <c r="A19" s="93" t="s">
        <v>63</v>
      </c>
      <c r="B19" s="84"/>
      <c r="C19" s="84">
        <v>3156008</v>
      </c>
      <c r="D19" s="84"/>
      <c r="E19" s="84"/>
      <c r="F19" s="84"/>
      <c r="G19" s="84"/>
      <c r="H19" s="84"/>
      <c r="I19" s="84"/>
      <c r="J19" s="84"/>
      <c r="K19" s="84"/>
    </row>
    <row r="20" spans="1:15" ht="13.8">
      <c r="A20" s="93" t="s">
        <v>64</v>
      </c>
      <c r="B20" s="84"/>
      <c r="C20" s="84">
        <v>15381.84</v>
      </c>
      <c r="D20" s="84"/>
      <c r="E20" s="84"/>
      <c r="F20" s="84">
        <v>1333393</v>
      </c>
      <c r="G20" s="84">
        <v>1783866</v>
      </c>
      <c r="H20" s="84"/>
      <c r="I20" s="84">
        <v>491757</v>
      </c>
      <c r="J20" s="84">
        <v>280574</v>
      </c>
      <c r="K20" s="84"/>
    </row>
    <row r="21" spans="1:15" ht="13.8">
      <c r="A21" s="93" t="s">
        <v>190</v>
      </c>
      <c r="B21" s="84"/>
      <c r="C21" s="84">
        <v>2365285.0499999998</v>
      </c>
      <c r="D21" s="84">
        <v>572468.53</v>
      </c>
      <c r="E21" s="84"/>
      <c r="F21" s="84"/>
      <c r="G21" s="84"/>
      <c r="H21" s="84"/>
      <c r="I21" s="84"/>
      <c r="J21" s="84">
        <v>171567</v>
      </c>
      <c r="K21" s="84"/>
    </row>
    <row r="22" spans="1:15" ht="13.8">
      <c r="A22" s="93" t="s">
        <v>65</v>
      </c>
      <c r="B22" s="84">
        <v>3344161</v>
      </c>
      <c r="C22" s="84">
        <v>4437146.2</v>
      </c>
      <c r="D22" s="84">
        <v>333123.40000000002</v>
      </c>
      <c r="E22" s="84"/>
      <c r="F22" s="84"/>
      <c r="G22" s="84">
        <v>260540</v>
      </c>
      <c r="H22" s="84">
        <v>866530</v>
      </c>
      <c r="I22" s="84">
        <v>225545</v>
      </c>
      <c r="J22" s="84">
        <v>1200</v>
      </c>
      <c r="K22" s="84">
        <v>638445</v>
      </c>
    </row>
    <row r="23" spans="1:15" ht="13.8">
      <c r="A23" s="240" t="s">
        <v>99</v>
      </c>
      <c r="B23" s="168">
        <f t="shared" ref="B23:K23" si="0">SUM(B4:B22)</f>
        <v>52203712</v>
      </c>
      <c r="C23" s="168">
        <f t="shared" si="0"/>
        <v>38046341.160000004</v>
      </c>
      <c r="D23" s="168">
        <f t="shared" si="0"/>
        <v>23741722.07</v>
      </c>
      <c r="E23" s="168">
        <f t="shared" si="0"/>
        <v>20104220.399999999</v>
      </c>
      <c r="F23" s="168">
        <f t="shared" si="0"/>
        <v>22112085.41</v>
      </c>
      <c r="G23" s="168">
        <f t="shared" si="0"/>
        <v>18204478.18</v>
      </c>
      <c r="H23" s="168">
        <f t="shared" si="0"/>
        <v>8998595</v>
      </c>
      <c r="I23" s="168">
        <f t="shared" si="0"/>
        <v>26702586</v>
      </c>
      <c r="J23" s="168">
        <f t="shared" si="0"/>
        <v>12768518</v>
      </c>
      <c r="K23" s="168">
        <f t="shared" si="0"/>
        <v>12846602</v>
      </c>
    </row>
    <row r="24" spans="1:15" ht="14.25" customHeight="1"/>
    <row r="25" spans="1:15" ht="13.8">
      <c r="A25" s="94" t="s">
        <v>192</v>
      </c>
    </row>
    <row r="26" spans="1:15" ht="13.8">
      <c r="A26" s="144" t="s">
        <v>191</v>
      </c>
      <c r="B26" s="144"/>
      <c r="C26" s="144"/>
      <c r="D26" s="144"/>
      <c r="E26" s="144"/>
      <c r="F26" s="144"/>
      <c r="G26" s="144"/>
      <c r="H26" s="144"/>
      <c r="I26" s="144"/>
      <c r="J26" s="144"/>
      <c r="K26" s="144"/>
    </row>
    <row r="27" spans="1:15" ht="13.8">
      <c r="A27" s="144" t="s">
        <v>245</v>
      </c>
      <c r="B27" s="144"/>
      <c r="C27" s="144"/>
      <c r="D27" s="144"/>
      <c r="E27" s="144"/>
      <c r="F27" s="144"/>
      <c r="G27" s="144"/>
      <c r="H27" s="144"/>
      <c r="I27" s="144"/>
      <c r="J27" s="144"/>
      <c r="K27" s="144"/>
      <c r="L27" s="144"/>
      <c r="M27" s="144"/>
      <c r="N27" s="144"/>
    </row>
    <row r="28" spans="1:15" ht="13.8">
      <c r="A28" s="144" t="s">
        <v>452</v>
      </c>
      <c r="B28" s="144"/>
      <c r="C28" s="144"/>
      <c r="D28" s="144"/>
      <c r="E28" s="144"/>
      <c r="F28" s="144"/>
      <c r="G28" s="144"/>
      <c r="H28" s="144"/>
      <c r="I28" s="144"/>
      <c r="J28" s="144"/>
      <c r="K28" s="144"/>
      <c r="L28" s="144"/>
      <c r="M28" s="144"/>
      <c r="N28" s="144"/>
      <c r="O28" s="162"/>
    </row>
    <row r="29" spans="1:15" ht="13.8" customHeight="1">
      <c r="L29" s="237"/>
      <c r="M29" s="237"/>
      <c r="N29" s="143"/>
    </row>
    <row r="31" spans="1:15" ht="13.8">
      <c r="A31" s="94" t="s">
        <v>396</v>
      </c>
    </row>
    <row r="32" spans="1:15" ht="13.8">
      <c r="A32" s="93" t="s">
        <v>189</v>
      </c>
      <c r="B32" s="84">
        <v>5592447</v>
      </c>
    </row>
    <row r="33" spans="1:2" ht="13.8">
      <c r="A33" s="93" t="s">
        <v>56</v>
      </c>
      <c r="B33" s="84">
        <v>3892087</v>
      </c>
    </row>
    <row r="34" spans="1:2" ht="13.8">
      <c r="A34" s="93" t="s">
        <v>61</v>
      </c>
      <c r="B34" s="84">
        <v>1698152</v>
      </c>
    </row>
    <row r="35" spans="1:2" ht="13.8">
      <c r="A35" s="93" t="s">
        <v>65</v>
      </c>
      <c r="B35" s="84">
        <v>638445</v>
      </c>
    </row>
    <row r="36" spans="1:2" ht="13.8">
      <c r="A36" s="93" t="s">
        <v>453</v>
      </c>
      <c r="B36" s="84">
        <v>627892</v>
      </c>
    </row>
    <row r="37" spans="1:2" ht="13.8">
      <c r="A37" s="93" t="s">
        <v>54</v>
      </c>
      <c r="B37" s="84">
        <v>204337</v>
      </c>
    </row>
    <row r="38" spans="1:2" ht="13.8">
      <c r="A38" s="93" t="s">
        <v>282</v>
      </c>
      <c r="B38" s="84">
        <v>184205</v>
      </c>
    </row>
    <row r="39" spans="1:2" ht="13.8">
      <c r="A39" s="93"/>
      <c r="B39" s="84"/>
    </row>
    <row r="40" spans="1:2" ht="13.8">
      <c r="A40" s="93"/>
      <c r="B40" s="84"/>
    </row>
    <row r="41" spans="1:2" ht="13.8">
      <c r="A41" s="208" t="s">
        <v>84</v>
      </c>
      <c r="B41" s="84"/>
    </row>
    <row r="42" spans="1:2" ht="13.8">
      <c r="A42" s="93" t="str">
        <f>"Total: $" &amp; TEXT(K23,"#0.0,,") &amp; " million"</f>
        <v>Total: $12.8 million</v>
      </c>
      <c r="B42" s="84"/>
    </row>
    <row r="43" spans="1:2" ht="13.8">
      <c r="B43" s="84"/>
    </row>
    <row r="44" spans="1:2" ht="13.8">
      <c r="A44" s="93"/>
      <c r="B44" s="84"/>
    </row>
    <row r="45" spans="1:2" ht="13.8">
      <c r="A45" s="93"/>
      <c r="B45" s="84"/>
    </row>
    <row r="46" spans="1:2" ht="13.8">
      <c r="A46" s="93"/>
      <c r="B46" s="84"/>
    </row>
    <row r="47" spans="1:2" ht="13.8">
      <c r="A47" s="93"/>
      <c r="B47" s="84"/>
    </row>
    <row r="48" spans="1:2" ht="13.8">
      <c r="A48" s="93"/>
      <c r="B48" s="84"/>
    </row>
    <row r="49" spans="1:2" ht="13.8">
      <c r="A49" s="93"/>
      <c r="B49" s="84"/>
    </row>
    <row r="50" spans="1:2" ht="13.8">
      <c r="A50" s="93"/>
      <c r="B50" s="84"/>
    </row>
    <row r="51" spans="1:2" ht="13.8">
      <c r="A51" s="93"/>
      <c r="B51" s="84"/>
    </row>
    <row r="52" spans="1:2" ht="13.8">
      <c r="A52" s="93"/>
    </row>
    <row r="53" spans="1:2" ht="13.8">
      <c r="A53" s="93"/>
    </row>
    <row r="54" spans="1:2" ht="13.8">
      <c r="A54" s="93"/>
    </row>
    <row r="55" spans="1:2" ht="13.8">
      <c r="A55" s="93"/>
    </row>
    <row r="56" spans="1:2" ht="13.8">
      <c r="A56" s="93"/>
    </row>
    <row r="57" spans="1:2" ht="13.8">
      <c r="A57" s="93"/>
    </row>
    <row r="58" spans="1:2" ht="13.8">
      <c r="A58" s="93"/>
    </row>
    <row r="59" spans="1:2" ht="13.8">
      <c r="A59" s="93"/>
    </row>
    <row r="60" spans="1:2" ht="13.8">
      <c r="A60" s="93"/>
    </row>
    <row r="61" spans="1:2" ht="13.8">
      <c r="A61" s="93"/>
    </row>
    <row r="62" spans="1:2" ht="13.8">
      <c r="A62" s="93"/>
    </row>
  </sheetData>
  <sortState xmlns:xlrd2="http://schemas.microsoft.com/office/spreadsheetml/2017/richdata2" ref="A4:O22">
    <sortCondition ref="A4:A22"/>
  </sortState>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S54"/>
  <sheetViews>
    <sheetView zoomScale="70" zoomScaleNormal="70" workbookViewId="0">
      <selection activeCell="A21" sqref="A21"/>
    </sheetView>
  </sheetViews>
  <sheetFormatPr defaultColWidth="9.109375" defaultRowHeight="13.2"/>
  <cols>
    <col min="1" max="1" width="33.33203125" style="40" customWidth="1"/>
    <col min="2" max="2" width="9.33203125" style="40" customWidth="1"/>
    <col min="3" max="3" width="10.109375" style="40" customWidth="1"/>
    <col min="4" max="29" width="9.33203125" style="40" customWidth="1"/>
    <col min="30" max="30" width="10.33203125" style="40" customWidth="1"/>
    <col min="31" max="31" width="11.5546875" style="40" customWidth="1"/>
    <col min="32" max="36" width="10.33203125" style="40" bestFit="1" customWidth="1"/>
    <col min="37" max="37" width="10.33203125" style="40" customWidth="1"/>
    <col min="38" max="38" width="9.109375" style="40"/>
    <col min="39" max="40" width="9.44140625" style="40" bestFit="1" customWidth="1"/>
    <col min="41" max="16384" width="9.109375" style="40"/>
  </cols>
  <sheetData>
    <row r="1" spans="1:42">
      <c r="A1" s="195" t="s">
        <v>372</v>
      </c>
      <c r="B1" s="196"/>
      <c r="C1" s="196"/>
      <c r="D1" s="196"/>
    </row>
    <row r="3" spans="1:42" s="103" customFormat="1" ht="15">
      <c r="A3" s="20" t="s">
        <v>277</v>
      </c>
    </row>
    <row r="4" spans="1:42" s="103" customFormat="1"/>
    <row r="5" spans="1:42" s="103" customFormat="1">
      <c r="B5" s="106" t="s">
        <v>71</v>
      </c>
      <c r="C5" s="106">
        <v>1981</v>
      </c>
      <c r="D5" s="106">
        <v>1982</v>
      </c>
      <c r="E5" s="106">
        <v>1983</v>
      </c>
      <c r="F5" s="106">
        <v>1984</v>
      </c>
      <c r="G5" s="106">
        <v>1985</v>
      </c>
      <c r="H5" s="106">
        <v>1986</v>
      </c>
      <c r="I5" s="106">
        <v>1987</v>
      </c>
      <c r="J5" s="106">
        <v>1988</v>
      </c>
      <c r="K5" s="106">
        <v>1989</v>
      </c>
      <c r="L5" s="106">
        <v>1990</v>
      </c>
      <c r="M5" s="106">
        <v>1991</v>
      </c>
      <c r="N5" s="106">
        <v>1992</v>
      </c>
      <c r="O5" s="106">
        <v>1993</v>
      </c>
      <c r="P5" s="106">
        <v>1994</v>
      </c>
      <c r="Q5" s="106">
        <v>1995</v>
      </c>
      <c r="R5" s="106">
        <v>1996</v>
      </c>
      <c r="S5" s="106">
        <v>1997</v>
      </c>
      <c r="T5" s="106">
        <v>1998</v>
      </c>
      <c r="U5" s="106">
        <v>1999</v>
      </c>
      <c r="V5" s="106">
        <v>2000</v>
      </c>
      <c r="W5" s="106">
        <v>2001</v>
      </c>
      <c r="X5" s="106">
        <v>2002</v>
      </c>
      <c r="Y5" s="106">
        <v>2003</v>
      </c>
      <c r="Z5" s="106">
        <v>2004</v>
      </c>
      <c r="AA5" s="106">
        <v>2005</v>
      </c>
      <c r="AB5" s="106">
        <v>2006</v>
      </c>
      <c r="AC5" s="106">
        <v>2007</v>
      </c>
      <c r="AD5" s="106">
        <v>2008</v>
      </c>
      <c r="AE5" s="106">
        <v>2009</v>
      </c>
      <c r="AF5" s="106">
        <v>2010</v>
      </c>
      <c r="AG5" s="106">
        <v>2011</v>
      </c>
      <c r="AH5" s="106">
        <v>2012</v>
      </c>
      <c r="AI5" s="106">
        <v>2013</v>
      </c>
      <c r="AJ5" s="106">
        <v>2014</v>
      </c>
      <c r="AK5" s="106">
        <v>2015</v>
      </c>
      <c r="AL5" s="106">
        <v>2016</v>
      </c>
      <c r="AM5" s="106">
        <v>2017</v>
      </c>
      <c r="AN5" s="105">
        <v>2018</v>
      </c>
      <c r="AO5" s="103" t="s">
        <v>289</v>
      </c>
    </row>
    <row r="6" spans="1:42" s="103" customFormat="1">
      <c r="A6" s="103" t="s">
        <v>70</v>
      </c>
      <c r="B6" s="104">
        <f>B18</f>
        <v>0</v>
      </c>
      <c r="C6" s="104">
        <f t="shared" ref="C6:AN6" si="0">B6+C18</f>
        <v>0</v>
      </c>
      <c r="D6" s="104">
        <f t="shared" si="0"/>
        <v>0</v>
      </c>
      <c r="E6" s="104">
        <f t="shared" si="0"/>
        <v>0</v>
      </c>
      <c r="F6" s="104">
        <f t="shared" si="0"/>
        <v>12</v>
      </c>
      <c r="G6" s="104">
        <f t="shared" si="0"/>
        <v>29</v>
      </c>
      <c r="H6" s="104">
        <f t="shared" si="0"/>
        <v>103</v>
      </c>
      <c r="I6" s="104">
        <f t="shared" si="0"/>
        <v>114</v>
      </c>
      <c r="J6" s="104">
        <f t="shared" si="0"/>
        <v>154</v>
      </c>
      <c r="K6" s="104">
        <f t="shared" si="0"/>
        <v>194</v>
      </c>
      <c r="L6" s="104">
        <f t="shared" si="0"/>
        <v>234</v>
      </c>
      <c r="M6" s="104">
        <f t="shared" si="0"/>
        <v>274</v>
      </c>
      <c r="N6" s="104">
        <f t="shared" si="0"/>
        <v>333</v>
      </c>
      <c r="O6" s="104">
        <f t="shared" si="0"/>
        <v>437</v>
      </c>
      <c r="P6" s="104">
        <f t="shared" si="0"/>
        <v>548.70000000000005</v>
      </c>
      <c r="Q6" s="104">
        <f t="shared" si="0"/>
        <v>612.20000000000005</v>
      </c>
      <c r="R6" s="104">
        <f t="shared" si="0"/>
        <v>612.20000000000005</v>
      </c>
      <c r="S6" s="104">
        <f t="shared" si="0"/>
        <v>612.20000000000005</v>
      </c>
      <c r="T6" s="104">
        <f t="shared" si="0"/>
        <v>617.6</v>
      </c>
      <c r="U6" s="104">
        <f t="shared" si="0"/>
        <v>665.2</v>
      </c>
      <c r="V6" s="104">
        <f t="shared" si="0"/>
        <v>730</v>
      </c>
      <c r="W6" s="104">
        <f t="shared" si="0"/>
        <v>2119.6</v>
      </c>
      <c r="X6" s="104">
        <f t="shared" si="0"/>
        <v>2267.4</v>
      </c>
      <c r="Y6" s="104">
        <f t="shared" si="0"/>
        <v>2438.5</v>
      </c>
      <c r="Z6" s="104">
        <f t="shared" si="0"/>
        <v>2629.5</v>
      </c>
      <c r="AA6" s="104">
        <f t="shared" si="0"/>
        <v>2740.3</v>
      </c>
      <c r="AB6" s="104">
        <f t="shared" si="0"/>
        <v>2908.4776403128003</v>
      </c>
      <c r="AC6" s="104">
        <f t="shared" si="0"/>
        <v>3029.1676403128004</v>
      </c>
      <c r="AD6" s="104">
        <f t="shared" si="0"/>
        <v>3304.1151715013721</v>
      </c>
      <c r="AE6" s="104">
        <f t="shared" si="0"/>
        <v>3544.4265926055655</v>
      </c>
      <c r="AF6" s="104">
        <f t="shared" si="0"/>
        <v>3854.4929987687915</v>
      </c>
      <c r="AG6" s="104">
        <f t="shared" si="0"/>
        <v>3925.1834749287914</v>
      </c>
      <c r="AH6" s="104">
        <f t="shared" si="0"/>
        <v>3963.6334749287912</v>
      </c>
      <c r="AI6" s="104">
        <f t="shared" si="0"/>
        <v>4049.4374749287913</v>
      </c>
      <c r="AJ6" s="104">
        <f t="shared" si="0"/>
        <v>4245.589253548791</v>
      </c>
      <c r="AK6" s="104">
        <f t="shared" si="0"/>
        <v>4313.070576635243</v>
      </c>
      <c r="AL6" s="104">
        <f t="shared" si="0"/>
        <v>4363.3616128404046</v>
      </c>
      <c r="AM6" s="104">
        <f t="shared" si="0"/>
        <v>4342.8256128404046</v>
      </c>
      <c r="AN6" s="104">
        <f t="shared" si="0"/>
        <v>4367.086273836534</v>
      </c>
    </row>
    <row r="7" spans="1:42" s="103" customFormat="1">
      <c r="A7" s="103" t="s">
        <v>69</v>
      </c>
      <c r="B7" s="104">
        <f t="shared" ref="B7:B10" si="1">B19</f>
        <v>0</v>
      </c>
      <c r="C7" s="104">
        <f t="shared" ref="C7:AN7" si="2">B7+C19</f>
        <v>3</v>
      </c>
      <c r="D7" s="104">
        <f t="shared" si="2"/>
        <v>17</v>
      </c>
      <c r="E7" s="104">
        <f t="shared" si="2"/>
        <v>18</v>
      </c>
      <c r="F7" s="104">
        <f t="shared" si="2"/>
        <v>26</v>
      </c>
      <c r="G7" s="104">
        <f t="shared" si="2"/>
        <v>53</v>
      </c>
      <c r="H7" s="104">
        <f t="shared" si="2"/>
        <v>72</v>
      </c>
      <c r="I7" s="104">
        <f t="shared" si="2"/>
        <v>81</v>
      </c>
      <c r="J7" s="104">
        <f t="shared" si="2"/>
        <v>91</v>
      </c>
      <c r="K7" s="104">
        <f t="shared" si="2"/>
        <v>106</v>
      </c>
      <c r="L7" s="104">
        <f t="shared" si="2"/>
        <v>121</v>
      </c>
      <c r="M7" s="104">
        <f t="shared" si="2"/>
        <v>136</v>
      </c>
      <c r="N7" s="104">
        <f t="shared" si="2"/>
        <v>159</v>
      </c>
      <c r="O7" s="104">
        <f t="shared" si="2"/>
        <v>204</v>
      </c>
      <c r="P7" s="104">
        <f t="shared" si="2"/>
        <v>266</v>
      </c>
      <c r="Q7" s="104">
        <f t="shared" si="2"/>
        <v>273.10000000000002</v>
      </c>
      <c r="R7" s="104">
        <f t="shared" si="2"/>
        <v>354.8</v>
      </c>
      <c r="S7" s="104">
        <f t="shared" si="2"/>
        <v>462.6</v>
      </c>
      <c r="T7" s="104">
        <f t="shared" si="2"/>
        <v>579.1</v>
      </c>
      <c r="U7" s="104">
        <f t="shared" si="2"/>
        <v>776.90000000000009</v>
      </c>
      <c r="V7" s="104">
        <f t="shared" si="2"/>
        <v>970.00000000000011</v>
      </c>
      <c r="W7" s="104">
        <f t="shared" si="2"/>
        <v>1085.9000000000001</v>
      </c>
      <c r="X7" s="104">
        <f t="shared" si="2"/>
        <v>1098.5</v>
      </c>
      <c r="Y7" s="104">
        <f t="shared" si="2"/>
        <v>1177.7</v>
      </c>
      <c r="Z7" s="104">
        <f t="shared" si="2"/>
        <v>1199.4000000000001</v>
      </c>
      <c r="AA7" s="104">
        <f t="shared" si="2"/>
        <v>1381.5</v>
      </c>
      <c r="AB7" s="104">
        <f t="shared" si="2"/>
        <v>1778.9380996800001</v>
      </c>
      <c r="AC7" s="104">
        <f t="shared" si="2"/>
        <v>2061.5630996800001</v>
      </c>
      <c r="AD7" s="104">
        <f t="shared" si="2"/>
        <v>2335.0825265371427</v>
      </c>
      <c r="AE7" s="104">
        <f t="shared" si="2"/>
        <v>2477.8965265371426</v>
      </c>
      <c r="AF7" s="104">
        <f t="shared" si="2"/>
        <v>2577.3274901139166</v>
      </c>
      <c r="AG7" s="104">
        <f t="shared" si="2"/>
        <v>2734.0094936139167</v>
      </c>
      <c r="AH7" s="104">
        <f t="shared" si="2"/>
        <v>2886.2094936139165</v>
      </c>
      <c r="AI7" s="104">
        <f t="shared" si="2"/>
        <v>3021.7174936139163</v>
      </c>
      <c r="AJ7" s="104">
        <f t="shared" si="2"/>
        <v>3144.4618380929487</v>
      </c>
      <c r="AK7" s="104">
        <f t="shared" si="2"/>
        <v>3340.2572852013359</v>
      </c>
      <c r="AL7" s="104">
        <f t="shared" si="2"/>
        <v>3416.8991706426264</v>
      </c>
      <c r="AM7" s="104">
        <f t="shared" si="2"/>
        <v>3426.4991706426263</v>
      </c>
      <c r="AN7" s="104">
        <f t="shared" si="2"/>
        <v>3429.3991706426264</v>
      </c>
    </row>
    <row r="8" spans="1:42" s="103" customFormat="1">
      <c r="A8" s="103" t="s">
        <v>68</v>
      </c>
      <c r="B8" s="104">
        <f t="shared" si="1"/>
        <v>15</v>
      </c>
      <c r="C8" s="104">
        <f t="shared" ref="C8:AN8" si="3">B8+C20</f>
        <v>21.1</v>
      </c>
      <c r="D8" s="104">
        <f t="shared" si="3"/>
        <v>32.6</v>
      </c>
      <c r="E8" s="104">
        <f t="shared" si="3"/>
        <v>46.8</v>
      </c>
      <c r="F8" s="104">
        <f t="shared" si="3"/>
        <v>62.8</v>
      </c>
      <c r="G8" s="104">
        <f t="shared" si="3"/>
        <v>82.699999999999989</v>
      </c>
      <c r="H8" s="104">
        <f t="shared" si="3"/>
        <v>106.39999999999999</v>
      </c>
      <c r="I8" s="104">
        <f t="shared" si="3"/>
        <v>136.1</v>
      </c>
      <c r="J8" s="104">
        <f t="shared" si="3"/>
        <v>155.1</v>
      </c>
      <c r="K8" s="104">
        <f t="shared" si="3"/>
        <v>178.7</v>
      </c>
      <c r="L8" s="104">
        <f t="shared" si="3"/>
        <v>202.1</v>
      </c>
      <c r="M8" s="104">
        <f t="shared" si="3"/>
        <v>226.4</v>
      </c>
      <c r="N8" s="104">
        <f t="shared" si="3"/>
        <v>254.8</v>
      </c>
      <c r="O8" s="104">
        <f t="shared" si="3"/>
        <v>285.3</v>
      </c>
      <c r="P8" s="104">
        <f t="shared" si="3"/>
        <v>320.2</v>
      </c>
      <c r="Q8" s="104">
        <f t="shared" si="3"/>
        <v>356.3</v>
      </c>
      <c r="R8" s="104">
        <f t="shared" si="3"/>
        <v>391.7</v>
      </c>
      <c r="S8" s="104">
        <f t="shared" si="3"/>
        <v>427.6</v>
      </c>
      <c r="T8" s="104">
        <f t="shared" si="3"/>
        <v>463.98</v>
      </c>
      <c r="U8" s="104">
        <f t="shared" si="3"/>
        <v>502.88</v>
      </c>
      <c r="V8" s="104">
        <f t="shared" si="3"/>
        <v>540.48</v>
      </c>
      <c r="W8" s="104">
        <f t="shared" si="3"/>
        <v>582.98</v>
      </c>
      <c r="X8" s="104">
        <f t="shared" si="3"/>
        <v>633.89</v>
      </c>
      <c r="Y8" s="104">
        <f t="shared" si="3"/>
        <v>686.44499999999994</v>
      </c>
      <c r="Z8" s="104">
        <f t="shared" si="3"/>
        <v>743.64499999999998</v>
      </c>
      <c r="AA8" s="104">
        <f t="shared" si="3"/>
        <v>801.56499999999994</v>
      </c>
      <c r="AB8" s="104">
        <f t="shared" si="3"/>
        <v>862.21499999999992</v>
      </c>
      <c r="AC8" s="104">
        <f t="shared" si="3"/>
        <v>922.4799999999999</v>
      </c>
      <c r="AD8" s="104">
        <f t="shared" si="3"/>
        <v>984.70249999999987</v>
      </c>
      <c r="AE8" s="104">
        <f t="shared" si="3"/>
        <v>1048.9724999999999</v>
      </c>
      <c r="AF8" s="104">
        <f t="shared" si="3"/>
        <v>1118.6734873599999</v>
      </c>
      <c r="AG8" s="104">
        <f t="shared" si="3"/>
        <v>1192.9385881399999</v>
      </c>
      <c r="AH8" s="104">
        <f t="shared" si="3"/>
        <v>1265.9485881399999</v>
      </c>
      <c r="AI8" s="104">
        <f t="shared" si="3"/>
        <v>1344.4485881399999</v>
      </c>
      <c r="AJ8" s="104">
        <f t="shared" si="3"/>
        <v>1434.7485881399998</v>
      </c>
      <c r="AK8" s="104">
        <f t="shared" si="3"/>
        <v>1519.6140736399998</v>
      </c>
      <c r="AL8" s="104">
        <f t="shared" si="3"/>
        <v>1607.7994219599998</v>
      </c>
      <c r="AM8" s="104">
        <f t="shared" si="3"/>
        <v>1693.0222221549998</v>
      </c>
      <c r="AN8" s="104">
        <f t="shared" si="3"/>
        <v>1782.8988112399998</v>
      </c>
    </row>
    <row r="9" spans="1:42" s="103" customFormat="1">
      <c r="A9" s="103" t="s">
        <v>67</v>
      </c>
      <c r="B9" s="104">
        <f t="shared" si="1"/>
        <v>2.2999999999999998</v>
      </c>
      <c r="C9" s="104">
        <f t="shared" ref="C9:AN9" si="4">B9+C21</f>
        <v>4.5999999999999996</v>
      </c>
      <c r="D9" s="104">
        <f t="shared" si="4"/>
        <v>9.1999999999999993</v>
      </c>
      <c r="E9" s="104">
        <f t="shared" si="4"/>
        <v>18.299999999999997</v>
      </c>
      <c r="F9" s="104">
        <f t="shared" si="4"/>
        <v>37.9</v>
      </c>
      <c r="G9" s="104">
        <f t="shared" si="4"/>
        <v>53.8</v>
      </c>
      <c r="H9" s="104">
        <f t="shared" si="4"/>
        <v>73.400000000000006</v>
      </c>
      <c r="I9" s="104">
        <f t="shared" si="4"/>
        <v>95.600000000000009</v>
      </c>
      <c r="J9" s="104">
        <f t="shared" si="4"/>
        <v>114.4</v>
      </c>
      <c r="K9" s="104">
        <f t="shared" si="4"/>
        <v>137.4</v>
      </c>
      <c r="L9" s="104">
        <f t="shared" si="4"/>
        <v>170.2</v>
      </c>
      <c r="M9" s="104">
        <f t="shared" si="4"/>
        <v>203.2</v>
      </c>
      <c r="N9" s="104">
        <f t="shared" si="4"/>
        <v>270.2</v>
      </c>
      <c r="O9" s="104">
        <f t="shared" si="4"/>
        <v>319.8</v>
      </c>
      <c r="P9" s="104">
        <f t="shared" si="4"/>
        <v>375.7</v>
      </c>
      <c r="Q9" s="104">
        <f t="shared" si="4"/>
        <v>447.1</v>
      </c>
      <c r="R9" s="104">
        <f t="shared" si="4"/>
        <v>515.6</v>
      </c>
      <c r="S9" s="104">
        <f t="shared" si="4"/>
        <v>597.80000000000007</v>
      </c>
      <c r="T9" s="104">
        <f t="shared" si="4"/>
        <v>702.7</v>
      </c>
      <c r="U9" s="104">
        <f t="shared" si="4"/>
        <v>810.90000000000009</v>
      </c>
      <c r="V9" s="104">
        <f t="shared" si="4"/>
        <v>919.10000000000014</v>
      </c>
      <c r="W9" s="104">
        <f t="shared" si="4"/>
        <v>1020.2000000000002</v>
      </c>
      <c r="X9" s="104">
        <f t="shared" si="4"/>
        <v>1157.3000000000002</v>
      </c>
      <c r="Y9" s="104">
        <f t="shared" si="4"/>
        <v>1298.0000000000002</v>
      </c>
      <c r="Z9" s="104">
        <f t="shared" si="4"/>
        <v>1435.9000000000003</v>
      </c>
      <c r="AA9" s="104">
        <f t="shared" si="4"/>
        <v>1571.7000000000003</v>
      </c>
      <c r="AB9" s="104">
        <f t="shared" si="4"/>
        <v>1709.6000000000004</v>
      </c>
      <c r="AC9" s="104">
        <f t="shared" si="4"/>
        <v>1849.0820000000003</v>
      </c>
      <c r="AD9" s="104">
        <f t="shared" si="4"/>
        <v>1997.9794339400003</v>
      </c>
      <c r="AE9" s="104">
        <f t="shared" si="4"/>
        <v>2175.8388767700003</v>
      </c>
      <c r="AF9" s="104">
        <f t="shared" si="4"/>
        <v>2375.4210898000001</v>
      </c>
      <c r="AG9" s="104">
        <f t="shared" si="4"/>
        <v>2596.47471404</v>
      </c>
      <c r="AH9" s="104">
        <f t="shared" si="4"/>
        <v>2845.4047140399998</v>
      </c>
      <c r="AI9" s="104">
        <f t="shared" si="4"/>
        <v>3084.4047140399998</v>
      </c>
      <c r="AJ9" s="104">
        <f t="shared" si="4"/>
        <v>3316.2061960399997</v>
      </c>
      <c r="AK9" s="104">
        <f t="shared" si="4"/>
        <v>3574.3834078699997</v>
      </c>
      <c r="AL9" s="104">
        <f t="shared" si="4"/>
        <v>3832.5255977999996</v>
      </c>
      <c r="AM9" s="104">
        <f t="shared" si="4"/>
        <v>4087.2298052899996</v>
      </c>
      <c r="AN9" s="104">
        <f t="shared" si="4"/>
        <v>4345.9344566299997</v>
      </c>
    </row>
    <row r="10" spans="1:42" s="103" customFormat="1">
      <c r="A10" s="103" t="s">
        <v>66</v>
      </c>
      <c r="B10" s="104">
        <f t="shared" si="1"/>
        <v>24</v>
      </c>
      <c r="C10" s="104">
        <f t="shared" ref="C10:AN10" si="5">B10+C22</f>
        <v>32.799999999999997</v>
      </c>
      <c r="D10" s="104">
        <f t="shared" si="5"/>
        <v>45.199999999999996</v>
      </c>
      <c r="E10" s="104">
        <f t="shared" si="5"/>
        <v>61.099999999999994</v>
      </c>
      <c r="F10" s="104">
        <f t="shared" si="5"/>
        <v>77.699999999999989</v>
      </c>
      <c r="G10" s="104">
        <f t="shared" si="5"/>
        <v>97.399999999999991</v>
      </c>
      <c r="H10" s="104">
        <f t="shared" si="5"/>
        <v>119.5</v>
      </c>
      <c r="I10" s="104">
        <f t="shared" si="5"/>
        <v>148</v>
      </c>
      <c r="J10" s="104">
        <f t="shared" si="5"/>
        <v>179</v>
      </c>
      <c r="K10" s="104">
        <f t="shared" si="5"/>
        <v>210.9</v>
      </c>
      <c r="L10" s="104">
        <f t="shared" si="5"/>
        <v>245.2</v>
      </c>
      <c r="M10" s="104">
        <f t="shared" si="5"/>
        <v>283.39999999999998</v>
      </c>
      <c r="N10" s="104">
        <f t="shared" si="5"/>
        <v>325.29999999999995</v>
      </c>
      <c r="O10" s="104">
        <f t="shared" si="5"/>
        <v>378.9</v>
      </c>
      <c r="P10" s="104">
        <f t="shared" si="5"/>
        <v>440.2</v>
      </c>
      <c r="Q10" s="104">
        <f t="shared" si="5"/>
        <v>503.79999999999995</v>
      </c>
      <c r="R10" s="104">
        <f t="shared" si="5"/>
        <v>576.9</v>
      </c>
      <c r="S10" s="104">
        <f t="shared" si="5"/>
        <v>653.19999999999993</v>
      </c>
      <c r="T10" s="104">
        <f t="shared" si="5"/>
        <v>727.3</v>
      </c>
      <c r="U10" s="104">
        <f t="shared" si="5"/>
        <v>803.4</v>
      </c>
      <c r="V10" s="104">
        <f t="shared" si="5"/>
        <v>879.69999999999993</v>
      </c>
      <c r="W10" s="104">
        <f t="shared" si="5"/>
        <v>957.9</v>
      </c>
      <c r="X10" s="104">
        <f t="shared" si="5"/>
        <v>1036.0999999999999</v>
      </c>
      <c r="Y10" s="104">
        <f t="shared" si="5"/>
        <v>1116.5999999999999</v>
      </c>
      <c r="Z10" s="104">
        <f t="shared" si="5"/>
        <v>1202</v>
      </c>
      <c r="AA10" s="104">
        <f t="shared" si="5"/>
        <v>1291.7</v>
      </c>
      <c r="AB10" s="104">
        <f t="shared" si="5"/>
        <v>1379.2</v>
      </c>
      <c r="AC10" s="104">
        <f t="shared" si="5"/>
        <v>1492.1100000000001</v>
      </c>
      <c r="AD10" s="104">
        <f t="shared" si="5"/>
        <v>1608.3100000000002</v>
      </c>
      <c r="AE10" s="104">
        <f t="shared" si="5"/>
        <v>1728.3100000000002</v>
      </c>
      <c r="AF10" s="104">
        <f t="shared" si="5"/>
        <v>1851.8261102145098</v>
      </c>
      <c r="AG10" s="104">
        <f t="shared" si="5"/>
        <v>1978.9986920591759</v>
      </c>
      <c r="AH10" s="104">
        <f t="shared" si="5"/>
        <v>2110.4986920591759</v>
      </c>
      <c r="AI10" s="104">
        <f t="shared" si="5"/>
        <v>2253.898692059176</v>
      </c>
      <c r="AJ10" s="104">
        <f t="shared" si="5"/>
        <v>2395.1986920591762</v>
      </c>
      <c r="AK10" s="104">
        <f t="shared" si="5"/>
        <v>2545.7774713522472</v>
      </c>
      <c r="AL10" s="104">
        <f t="shared" si="5"/>
        <v>2693.99445848705</v>
      </c>
      <c r="AM10" s="104">
        <f t="shared" si="5"/>
        <v>2815.371941085838</v>
      </c>
      <c r="AN10" s="104">
        <f t="shared" si="5"/>
        <v>2920.4450397831351</v>
      </c>
    </row>
    <row r="11" spans="1:42" s="103" customFormat="1">
      <c r="A11" s="105" t="s">
        <v>223</v>
      </c>
      <c r="B11" s="104">
        <f>SUM(B6:B10)</f>
        <v>41.3</v>
      </c>
      <c r="C11" s="104">
        <v>76.599999999999994</v>
      </c>
      <c r="D11" s="104">
        <v>168.4</v>
      </c>
      <c r="E11" s="104">
        <v>247.8</v>
      </c>
      <c r="F11" s="104">
        <v>312.39999999999998</v>
      </c>
      <c r="G11" s="104">
        <v>448.8</v>
      </c>
      <c r="H11" s="104">
        <v>602.20000000000005</v>
      </c>
      <c r="I11" s="104">
        <v>757.4</v>
      </c>
      <c r="J11" s="104">
        <v>860.5</v>
      </c>
      <c r="K11" s="104">
        <v>975.7</v>
      </c>
      <c r="L11" s="104">
        <v>1107.5999999999999</v>
      </c>
      <c r="M11" s="104">
        <v>1241.5999999999999</v>
      </c>
      <c r="N11" s="104">
        <v>1431.1</v>
      </c>
      <c r="O11" s="104">
        <v>1763.3</v>
      </c>
      <c r="P11" s="104">
        <v>2087.6999999999998</v>
      </c>
      <c r="Q11" s="104">
        <v>2337.4</v>
      </c>
      <c r="R11" s="104">
        <v>2594.1</v>
      </c>
      <c r="S11" s="104">
        <v>2805.5</v>
      </c>
      <c r="T11" s="104">
        <v>3090.7</v>
      </c>
      <c r="U11" s="104">
        <v>3512</v>
      </c>
      <c r="V11" s="104">
        <v>3992</v>
      </c>
      <c r="W11" s="104">
        <v>5719.3</v>
      </c>
      <c r="X11" s="104">
        <v>6146.1</v>
      </c>
      <c r="Y11" s="104">
        <v>6670.2</v>
      </c>
      <c r="Z11" s="104">
        <v>7163.4</v>
      </c>
      <c r="AA11" s="104">
        <v>7738.7</v>
      </c>
      <c r="AB11" s="104">
        <v>8590.4</v>
      </c>
      <c r="AC11" s="104">
        <v>9306.4</v>
      </c>
      <c r="AD11" s="104">
        <v>10182.1</v>
      </c>
      <c r="AE11" s="104">
        <v>10927.4</v>
      </c>
      <c r="AF11" s="104">
        <v>11729.7</v>
      </c>
      <c r="AG11" s="104">
        <v>12435.3</v>
      </c>
      <c r="AH11" s="104">
        <f t="shared" ref="AH11:AN11" si="6">SUM(AH6:AH10)</f>
        <v>13071.694962781883</v>
      </c>
      <c r="AI11" s="104">
        <f t="shared" si="6"/>
        <v>13753.906962781883</v>
      </c>
      <c r="AJ11" s="104">
        <f t="shared" si="6"/>
        <v>14536.204567880915</v>
      </c>
      <c r="AK11" s="104">
        <f t="shared" si="6"/>
        <v>15293.102814698825</v>
      </c>
      <c r="AL11" s="104">
        <f t="shared" si="6"/>
        <v>15914.58026173008</v>
      </c>
      <c r="AM11" s="104">
        <f t="shared" si="6"/>
        <v>16364.948752013866</v>
      </c>
      <c r="AN11" s="104">
        <f t="shared" si="6"/>
        <v>16845.763752132294</v>
      </c>
      <c r="AP11" s="103">
        <v>16845.763752132294</v>
      </c>
    </row>
    <row r="12" spans="1:42" s="103" customFormat="1">
      <c r="A12" s="10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row>
    <row r="13" spans="1:42" s="103" customFormat="1">
      <c r="A13" s="103" t="s">
        <v>290</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row>
    <row r="14" spans="1:42" s="103" customFormat="1">
      <c r="A14" s="172" t="s">
        <v>291</v>
      </c>
      <c r="B14" s="104">
        <f>B24</f>
        <v>30</v>
      </c>
      <c r="C14" s="104">
        <f>B14+C24</f>
        <v>47.9</v>
      </c>
      <c r="D14" s="104">
        <f t="shared" ref="D14:AN14" si="7">C14+D24</f>
        <v>109.6</v>
      </c>
      <c r="E14" s="104">
        <f t="shared" si="7"/>
        <v>164.7</v>
      </c>
      <c r="F14" s="104">
        <f t="shared" si="7"/>
        <v>173.7</v>
      </c>
      <c r="G14" s="104">
        <f t="shared" si="7"/>
        <v>230.29999999999998</v>
      </c>
      <c r="H14" s="104">
        <f t="shared" si="7"/>
        <v>247.39999999999998</v>
      </c>
      <c r="I14" s="104">
        <f t="shared" si="7"/>
        <v>330.7</v>
      </c>
      <c r="J14" s="104">
        <f t="shared" si="7"/>
        <v>346</v>
      </c>
      <c r="K14" s="104">
        <f t="shared" si="7"/>
        <v>359.6</v>
      </c>
      <c r="L14" s="104">
        <f t="shared" si="7"/>
        <v>380.3</v>
      </c>
      <c r="M14" s="104">
        <f t="shared" si="7"/>
        <v>402</v>
      </c>
      <c r="N14" s="104">
        <f t="shared" si="7"/>
        <v>414.1</v>
      </c>
      <c r="O14" s="104">
        <f t="shared" si="7"/>
        <v>517.20000000000005</v>
      </c>
      <c r="P14" s="104">
        <f t="shared" si="7"/>
        <v>577.1</v>
      </c>
      <c r="Q14" s="104">
        <f t="shared" si="7"/>
        <v>648.9</v>
      </c>
      <c r="R14" s="104">
        <f t="shared" si="7"/>
        <v>720</v>
      </c>
      <c r="S14" s="104">
        <f t="shared" si="7"/>
        <v>705.5</v>
      </c>
      <c r="T14" s="104">
        <f t="shared" si="7"/>
        <v>727.5</v>
      </c>
      <c r="U14" s="104">
        <f t="shared" si="7"/>
        <v>756.3</v>
      </c>
      <c r="V14" s="104">
        <f t="shared" si="7"/>
        <v>817.19999999999993</v>
      </c>
      <c r="W14" s="104">
        <f t="shared" si="7"/>
        <v>839.9</v>
      </c>
      <c r="X14" s="104">
        <f t="shared" si="7"/>
        <v>854.8</v>
      </c>
      <c r="Y14" s="104">
        <f t="shared" si="7"/>
        <v>934.8</v>
      </c>
      <c r="Z14" s="104">
        <f t="shared" si="7"/>
        <v>1019.1999999999999</v>
      </c>
      <c r="AA14" s="104">
        <f t="shared" si="7"/>
        <v>1085.1999999999998</v>
      </c>
      <c r="AB14" s="104">
        <f t="shared" si="7"/>
        <v>1481.4999999999998</v>
      </c>
      <c r="AC14" s="104">
        <f t="shared" si="7"/>
        <v>1578.1059999999998</v>
      </c>
      <c r="AD14" s="104">
        <f t="shared" si="7"/>
        <v>1642.2773130699998</v>
      </c>
      <c r="AE14" s="104">
        <f t="shared" si="7"/>
        <v>1805.9887742999997</v>
      </c>
      <c r="AF14" s="104">
        <f t="shared" si="7"/>
        <v>1903.6048668099997</v>
      </c>
      <c r="AG14" s="104">
        <f t="shared" si="7"/>
        <v>2097.5427319999999</v>
      </c>
      <c r="AH14" s="104">
        <f t="shared" si="7"/>
        <v>2269.8730289999999</v>
      </c>
      <c r="AI14" s="104">
        <f t="shared" si="7"/>
        <v>2425.5630289999999</v>
      </c>
      <c r="AJ14" s="104">
        <f t="shared" si="7"/>
        <v>2564.71637732</v>
      </c>
      <c r="AK14" s="104">
        <f t="shared" si="7"/>
        <v>2668.8422863199999</v>
      </c>
      <c r="AL14" s="104">
        <f t="shared" si="7"/>
        <v>2720.2148798200001</v>
      </c>
      <c r="AM14" s="104">
        <f t="shared" si="7"/>
        <v>2785.8487883600001</v>
      </c>
      <c r="AN14" s="104">
        <f t="shared" si="7"/>
        <v>2869.0654863600002</v>
      </c>
    </row>
    <row r="15" spans="1:42" s="103" customFormat="1">
      <c r="A15" s="103" t="s">
        <v>292</v>
      </c>
      <c r="B15" s="104">
        <f>B25</f>
        <v>0</v>
      </c>
      <c r="C15" s="104">
        <f>B15+C25</f>
        <v>0</v>
      </c>
      <c r="D15" s="104">
        <f t="shared" ref="D15:AN15" si="8">C15+D25</f>
        <v>0</v>
      </c>
      <c r="E15" s="104">
        <f t="shared" si="8"/>
        <v>0</v>
      </c>
      <c r="F15" s="104">
        <f t="shared" si="8"/>
        <v>0</v>
      </c>
      <c r="G15" s="104">
        <f t="shared" si="8"/>
        <v>0</v>
      </c>
      <c r="H15" s="104">
        <f t="shared" si="8"/>
        <v>0</v>
      </c>
      <c r="I15" s="104">
        <f t="shared" si="8"/>
        <v>0</v>
      </c>
      <c r="J15" s="104">
        <f t="shared" si="8"/>
        <v>0</v>
      </c>
      <c r="K15" s="104">
        <f t="shared" si="8"/>
        <v>0</v>
      </c>
      <c r="L15" s="104">
        <f t="shared" si="8"/>
        <v>0</v>
      </c>
      <c r="M15" s="104">
        <f t="shared" si="8"/>
        <v>0</v>
      </c>
      <c r="N15" s="104">
        <f t="shared" si="8"/>
        <v>0</v>
      </c>
      <c r="O15" s="104">
        <f t="shared" si="8"/>
        <v>0</v>
      </c>
      <c r="P15" s="104">
        <f t="shared" si="8"/>
        <v>0</v>
      </c>
      <c r="Q15" s="104">
        <f t="shared" si="8"/>
        <v>-45.2</v>
      </c>
      <c r="R15" s="104">
        <f t="shared" si="8"/>
        <v>-70.7</v>
      </c>
      <c r="S15" s="104">
        <f t="shared" si="8"/>
        <v>-100.4</v>
      </c>
      <c r="T15" s="104">
        <f t="shared" si="8"/>
        <v>-136.10000000000002</v>
      </c>
      <c r="U15" s="104">
        <f t="shared" si="8"/>
        <v>-182.10000000000002</v>
      </c>
      <c r="V15" s="104">
        <f t="shared" si="8"/>
        <v>-232.50000000000003</v>
      </c>
      <c r="W15" s="104">
        <f t="shared" si="8"/>
        <v>-815.6</v>
      </c>
      <c r="X15" s="104">
        <f t="shared" si="8"/>
        <v>-882</v>
      </c>
      <c r="Y15" s="104">
        <f t="shared" si="8"/>
        <v>-1034.3</v>
      </c>
      <c r="Z15" s="104">
        <f t="shared" si="8"/>
        <v>-1111.3</v>
      </c>
      <c r="AA15" s="104">
        <f t="shared" si="8"/>
        <v>-1169</v>
      </c>
      <c r="AB15" s="104">
        <f t="shared" si="8"/>
        <v>-1245.3528333016243</v>
      </c>
      <c r="AC15" s="104">
        <f t="shared" si="8"/>
        <v>-1311.4528333016242</v>
      </c>
      <c r="AD15" s="104">
        <f t="shared" si="8"/>
        <v>-1411.9625633399057</v>
      </c>
      <c r="AE15" s="104">
        <f t="shared" si="8"/>
        <v>-1511.461221851521</v>
      </c>
      <c r="AF15" s="104">
        <f t="shared" si="8"/>
        <v>-1634.3040526929101</v>
      </c>
      <c r="AG15" s="104">
        <f t="shared" si="8"/>
        <v>-1719.6532810194801</v>
      </c>
      <c r="AH15" s="104">
        <f t="shared" si="8"/>
        <v>-1796.6351772504802</v>
      </c>
      <c r="AI15" s="104">
        <f t="shared" si="8"/>
        <v>-1880.7293692504802</v>
      </c>
      <c r="AJ15" s="104">
        <f t="shared" si="8"/>
        <v>-1984.5819430441002</v>
      </c>
      <c r="AK15" s="104">
        <f t="shared" si="8"/>
        <v>-2062.300201343689</v>
      </c>
      <c r="AL15" s="104">
        <f t="shared" si="8"/>
        <v>-2134.9278487874799</v>
      </c>
      <c r="AM15" s="104">
        <f t="shared" si="8"/>
        <v>-2188.65618192584</v>
      </c>
      <c r="AN15" s="104">
        <f t="shared" si="8"/>
        <v>-2258.7561819258399</v>
      </c>
    </row>
    <row r="16" spans="1:42" s="103" customFormat="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row>
    <row r="17" spans="1:45" s="103" customFormat="1">
      <c r="A17" s="145" t="s">
        <v>271</v>
      </c>
      <c r="B17" s="146"/>
      <c r="C17" s="146"/>
      <c r="D17" s="146"/>
      <c r="E17" s="146"/>
      <c r="F17" s="146"/>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row>
    <row r="18" spans="1:45" s="103" customFormat="1">
      <c r="A18" s="103" t="s">
        <v>259</v>
      </c>
      <c r="B18" s="104">
        <v>0</v>
      </c>
      <c r="C18" s="104">
        <v>0</v>
      </c>
      <c r="D18" s="104">
        <v>0</v>
      </c>
      <c r="E18" s="104">
        <v>0</v>
      </c>
      <c r="F18" s="104">
        <v>12</v>
      </c>
      <c r="G18" s="104">
        <v>17</v>
      </c>
      <c r="H18" s="104">
        <v>74</v>
      </c>
      <c r="I18" s="104">
        <v>11</v>
      </c>
      <c r="J18" s="104">
        <v>40</v>
      </c>
      <c r="K18" s="104">
        <v>40</v>
      </c>
      <c r="L18" s="104">
        <v>40</v>
      </c>
      <c r="M18" s="104">
        <v>40</v>
      </c>
      <c r="N18" s="104">
        <v>59</v>
      </c>
      <c r="O18" s="104">
        <v>104</v>
      </c>
      <c r="P18" s="104">
        <v>111.7</v>
      </c>
      <c r="Q18" s="104">
        <v>63.5</v>
      </c>
      <c r="R18" s="104">
        <v>0</v>
      </c>
      <c r="S18" s="104">
        <v>0</v>
      </c>
      <c r="T18" s="104">
        <v>5.4</v>
      </c>
      <c r="U18" s="104">
        <v>47.6</v>
      </c>
      <c r="V18" s="104">
        <v>64.8</v>
      </c>
      <c r="W18" s="104">
        <v>1389.6</v>
      </c>
      <c r="X18" s="104">
        <v>147.80000000000001</v>
      </c>
      <c r="Y18" s="104">
        <v>171.1</v>
      </c>
      <c r="Z18" s="104">
        <v>191</v>
      </c>
      <c r="AA18" s="104">
        <v>110.8</v>
      </c>
      <c r="AB18" s="104">
        <v>168.17764031279995</v>
      </c>
      <c r="AC18" s="104">
        <v>120.69</v>
      </c>
      <c r="AD18" s="104">
        <v>274.94753118857147</v>
      </c>
      <c r="AE18" s="104">
        <v>240.31142110419358</v>
      </c>
      <c r="AF18" s="104">
        <v>310.06640616322585</v>
      </c>
      <c r="AG18" s="104">
        <v>70.690476160000003</v>
      </c>
      <c r="AH18" s="104">
        <v>38.450000000000003</v>
      </c>
      <c r="AI18" s="104">
        <v>85.804000000000002</v>
      </c>
      <c r="AJ18" s="104">
        <v>196.15177862000002</v>
      </c>
      <c r="AK18" s="104">
        <v>67.48132308645161</v>
      </c>
      <c r="AL18" s="104">
        <v>50.291036205161291</v>
      </c>
      <c r="AM18" s="104">
        <v>-20.536000000000001</v>
      </c>
      <c r="AN18" s="108">
        <v>24.260660996129033</v>
      </c>
      <c r="AO18" s="103" t="s">
        <v>288</v>
      </c>
    </row>
    <row r="19" spans="1:45" s="103" customFormat="1">
      <c r="A19" s="103" t="s">
        <v>260</v>
      </c>
      <c r="B19" s="104">
        <v>0</v>
      </c>
      <c r="C19" s="104">
        <v>3</v>
      </c>
      <c r="D19" s="104">
        <v>14</v>
      </c>
      <c r="E19" s="104">
        <v>1</v>
      </c>
      <c r="F19" s="104">
        <v>8</v>
      </c>
      <c r="G19" s="104">
        <v>27</v>
      </c>
      <c r="H19" s="104">
        <v>19</v>
      </c>
      <c r="I19" s="104">
        <v>9</v>
      </c>
      <c r="J19" s="104">
        <v>10</v>
      </c>
      <c r="K19" s="104">
        <v>15</v>
      </c>
      <c r="L19" s="104">
        <v>15</v>
      </c>
      <c r="M19" s="104">
        <v>15</v>
      </c>
      <c r="N19" s="104">
        <v>23</v>
      </c>
      <c r="O19" s="104">
        <v>45</v>
      </c>
      <c r="P19" s="104">
        <v>62</v>
      </c>
      <c r="Q19" s="104">
        <v>7.1</v>
      </c>
      <c r="R19" s="104">
        <v>81.7</v>
      </c>
      <c r="S19" s="104">
        <v>107.8</v>
      </c>
      <c r="T19" s="104">
        <v>116.5</v>
      </c>
      <c r="U19" s="104">
        <v>197.8</v>
      </c>
      <c r="V19" s="104">
        <v>193.1</v>
      </c>
      <c r="W19" s="104">
        <v>115.9</v>
      </c>
      <c r="X19" s="104">
        <v>12.6</v>
      </c>
      <c r="Y19" s="104">
        <v>79.2</v>
      </c>
      <c r="Z19" s="104">
        <v>21.7</v>
      </c>
      <c r="AA19" s="104">
        <v>182.1</v>
      </c>
      <c r="AB19" s="104">
        <v>397.43809968000011</v>
      </c>
      <c r="AC19" s="104">
        <v>282.625</v>
      </c>
      <c r="AD19" s="104">
        <v>273.51942685714278</v>
      </c>
      <c r="AE19" s="104">
        <v>142.81399999999999</v>
      </c>
      <c r="AF19" s="104">
        <v>99.430963576774104</v>
      </c>
      <c r="AG19" s="104">
        <v>156.68200350000001</v>
      </c>
      <c r="AH19" s="104">
        <v>152.19999999999999</v>
      </c>
      <c r="AI19" s="104">
        <v>135.50800000000001</v>
      </c>
      <c r="AJ19" s="104">
        <v>122.74434447903229</v>
      </c>
      <c r="AK19" s="104">
        <v>195.79544710838707</v>
      </c>
      <c r="AL19" s="104">
        <v>76.641885441290313</v>
      </c>
      <c r="AM19" s="104">
        <v>9.6</v>
      </c>
      <c r="AN19" s="108">
        <v>2.9</v>
      </c>
      <c r="AO19" s="103" t="s">
        <v>288</v>
      </c>
    </row>
    <row r="20" spans="1:45" s="103" customFormat="1">
      <c r="A20" s="103" t="s">
        <v>261</v>
      </c>
      <c r="B20" s="104">
        <v>15</v>
      </c>
      <c r="C20" s="104">
        <v>6.1</v>
      </c>
      <c r="D20" s="104">
        <v>11.5</v>
      </c>
      <c r="E20" s="104">
        <v>14.2</v>
      </c>
      <c r="F20" s="104">
        <v>16</v>
      </c>
      <c r="G20" s="104">
        <v>19.899999999999999</v>
      </c>
      <c r="H20" s="104">
        <v>23.7</v>
      </c>
      <c r="I20" s="104">
        <v>29.7</v>
      </c>
      <c r="J20" s="104">
        <v>19</v>
      </c>
      <c r="K20" s="104">
        <v>23.6</v>
      </c>
      <c r="L20" s="104">
        <v>23.4</v>
      </c>
      <c r="M20" s="104">
        <v>24.3</v>
      </c>
      <c r="N20" s="104">
        <v>28.4</v>
      </c>
      <c r="O20" s="104">
        <v>30.5</v>
      </c>
      <c r="P20" s="104">
        <v>34.9</v>
      </c>
      <c r="Q20" s="104">
        <v>36.1</v>
      </c>
      <c r="R20" s="104">
        <v>35.4</v>
      </c>
      <c r="S20" s="104">
        <v>35.900000000000006</v>
      </c>
      <c r="T20" s="104">
        <v>36.380000000000003</v>
      </c>
      <c r="U20" s="104">
        <v>38.9</v>
      </c>
      <c r="V20" s="104">
        <v>37.6</v>
      </c>
      <c r="W20" s="104">
        <v>42.5</v>
      </c>
      <c r="X20" s="104">
        <v>50.910000000000004</v>
      </c>
      <c r="Y20" s="104">
        <v>52.555</v>
      </c>
      <c r="Z20" s="104">
        <v>57.199999999999996</v>
      </c>
      <c r="AA20" s="104">
        <v>57.92</v>
      </c>
      <c r="AB20" s="104">
        <v>60.650000000000006</v>
      </c>
      <c r="AC20" s="104">
        <v>60.265000000000001</v>
      </c>
      <c r="AD20" s="104">
        <v>62.222499999999997</v>
      </c>
      <c r="AE20" s="104">
        <v>64.27</v>
      </c>
      <c r="AF20" s="104">
        <v>69.700987359999999</v>
      </c>
      <c r="AG20" s="104">
        <v>74.265100779999997</v>
      </c>
      <c r="AH20" s="104">
        <v>73.010000000000005</v>
      </c>
      <c r="AI20" s="104">
        <v>78.5</v>
      </c>
      <c r="AJ20" s="104">
        <v>90.3</v>
      </c>
      <c r="AK20" s="104">
        <v>84.865485499999991</v>
      </c>
      <c r="AL20" s="104">
        <v>88.185348320000003</v>
      </c>
      <c r="AM20" s="104">
        <v>85.222800195000005</v>
      </c>
      <c r="AN20" s="108">
        <v>89.876589085000006</v>
      </c>
      <c r="AO20" s="103" t="s">
        <v>288</v>
      </c>
    </row>
    <row r="21" spans="1:45" s="103" customFormat="1">
      <c r="A21" s="103" t="s">
        <v>262</v>
      </c>
      <c r="B21" s="104">
        <v>2.2999999999999998</v>
      </c>
      <c r="C21" s="108">
        <v>2.2999999999999998</v>
      </c>
      <c r="D21" s="108">
        <v>4.5999999999999996</v>
      </c>
      <c r="E21" s="108">
        <v>9.1</v>
      </c>
      <c r="F21" s="108">
        <v>19.600000000000001</v>
      </c>
      <c r="G21" s="108">
        <v>15.9</v>
      </c>
      <c r="H21" s="108">
        <v>19.600000000000001</v>
      </c>
      <c r="I21" s="108">
        <v>22.2</v>
      </c>
      <c r="J21" s="108">
        <v>18.8</v>
      </c>
      <c r="K21" s="108">
        <v>23</v>
      </c>
      <c r="L21" s="108">
        <v>32.799999999999997</v>
      </c>
      <c r="M21" s="108">
        <v>33</v>
      </c>
      <c r="N21" s="108">
        <v>67</v>
      </c>
      <c r="O21" s="108">
        <v>49.6</v>
      </c>
      <c r="P21" s="108">
        <v>55.9</v>
      </c>
      <c r="Q21" s="108">
        <v>71.400000000000006</v>
      </c>
      <c r="R21" s="108">
        <v>68.5</v>
      </c>
      <c r="S21" s="108">
        <v>82.2</v>
      </c>
      <c r="T21" s="108">
        <v>104.9</v>
      </c>
      <c r="U21" s="108">
        <v>108.2</v>
      </c>
      <c r="V21" s="108">
        <v>108.2</v>
      </c>
      <c r="W21" s="108">
        <v>101.1</v>
      </c>
      <c r="X21" s="108">
        <v>137.1</v>
      </c>
      <c r="Y21" s="108">
        <v>140.69999999999999</v>
      </c>
      <c r="Z21" s="108">
        <v>137.9</v>
      </c>
      <c r="AA21" s="108">
        <v>135.80000000000001</v>
      </c>
      <c r="AB21" s="108">
        <v>137.9</v>
      </c>
      <c r="AC21" s="108">
        <v>139.482</v>
      </c>
      <c r="AD21" s="108">
        <v>148.89743393999996</v>
      </c>
      <c r="AE21" s="108">
        <v>177.85944282999998</v>
      </c>
      <c r="AF21" s="108">
        <v>199.58221303000002</v>
      </c>
      <c r="AG21" s="108">
        <v>221.05362423999992</v>
      </c>
      <c r="AH21" s="108">
        <v>248.93</v>
      </c>
      <c r="AI21" s="108">
        <v>239</v>
      </c>
      <c r="AJ21" s="108">
        <v>231.80148199999996</v>
      </c>
      <c r="AK21" s="108">
        <v>258.17721182999998</v>
      </c>
      <c r="AL21" s="108">
        <v>258.14218992999997</v>
      </c>
      <c r="AM21" s="108">
        <v>254.70420748999999</v>
      </c>
      <c r="AN21" s="108">
        <v>258.70465134000005</v>
      </c>
      <c r="AO21" s="103" t="s">
        <v>288</v>
      </c>
    </row>
    <row r="22" spans="1:45" s="103" customFormat="1">
      <c r="A22" s="103" t="s">
        <v>263</v>
      </c>
      <c r="B22" s="108">
        <v>24</v>
      </c>
      <c r="C22" s="108">
        <v>8.8000000000000007</v>
      </c>
      <c r="D22" s="108">
        <v>12.399999999999999</v>
      </c>
      <c r="E22" s="108">
        <v>15.899999999999999</v>
      </c>
      <c r="F22" s="108">
        <v>16.599999999999998</v>
      </c>
      <c r="G22" s="108">
        <v>19.7</v>
      </c>
      <c r="H22" s="108">
        <v>22.1</v>
      </c>
      <c r="I22" s="108">
        <v>28.5</v>
      </c>
      <c r="J22" s="108">
        <v>31</v>
      </c>
      <c r="K22" s="108">
        <v>31.9</v>
      </c>
      <c r="L22" s="108">
        <v>34.299999999999997</v>
      </c>
      <c r="M22" s="108">
        <v>38.199999999999996</v>
      </c>
      <c r="N22" s="108">
        <v>41.9</v>
      </c>
      <c r="O22" s="108">
        <v>53.6</v>
      </c>
      <c r="P22" s="108">
        <v>61.3</v>
      </c>
      <c r="Q22" s="108">
        <v>63.599999999999994</v>
      </c>
      <c r="R22" s="108">
        <v>73.100000000000009</v>
      </c>
      <c r="S22" s="108">
        <v>76.3</v>
      </c>
      <c r="T22" s="108">
        <v>74.099999999999994</v>
      </c>
      <c r="U22" s="108">
        <v>76.100000000000009</v>
      </c>
      <c r="V22" s="108">
        <v>76.3</v>
      </c>
      <c r="W22" s="108">
        <v>78.2</v>
      </c>
      <c r="X22" s="108">
        <v>78.2</v>
      </c>
      <c r="Y22" s="108">
        <v>80.5</v>
      </c>
      <c r="Z22" s="108">
        <v>85.399999999999991</v>
      </c>
      <c r="AA22" s="108">
        <v>89.7</v>
      </c>
      <c r="AB22" s="108">
        <v>87.5</v>
      </c>
      <c r="AC22" s="108">
        <v>112.91000000000001</v>
      </c>
      <c r="AD22" s="108">
        <v>116.20000000000002</v>
      </c>
      <c r="AE22" s="108">
        <v>120.00000000000001</v>
      </c>
      <c r="AF22" s="108">
        <v>123.51611021450958</v>
      </c>
      <c r="AG22" s="108">
        <v>127.17258184466625</v>
      </c>
      <c r="AH22" s="108">
        <v>131.5</v>
      </c>
      <c r="AI22" s="108">
        <v>143.4</v>
      </c>
      <c r="AJ22" s="108">
        <v>141.30000000000001</v>
      </c>
      <c r="AK22" s="108">
        <v>150.57877929307099</v>
      </c>
      <c r="AL22" s="108">
        <v>148.21698713480282</v>
      </c>
      <c r="AM22" s="108">
        <v>121.37748259878786</v>
      </c>
      <c r="AN22" s="108">
        <v>105.07309869729694</v>
      </c>
      <c r="AO22" s="103" t="s">
        <v>288</v>
      </c>
    </row>
    <row r="23" spans="1:45" s="103" customFormat="1">
      <c r="A23" s="103" t="s">
        <v>290</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row>
    <row r="24" spans="1:45" s="103" customFormat="1">
      <c r="A24" s="172" t="s">
        <v>291</v>
      </c>
      <c r="B24" s="104">
        <v>30</v>
      </c>
      <c r="C24" s="104">
        <v>17.899999999999999</v>
      </c>
      <c r="D24" s="104">
        <v>61.7</v>
      </c>
      <c r="E24" s="104">
        <v>55.1</v>
      </c>
      <c r="F24" s="104">
        <v>9</v>
      </c>
      <c r="G24" s="104">
        <v>56.599999999999994</v>
      </c>
      <c r="H24" s="104">
        <v>17.100000000000001</v>
      </c>
      <c r="I24" s="104">
        <v>83.3</v>
      </c>
      <c r="J24" s="104">
        <v>15.3</v>
      </c>
      <c r="K24" s="104">
        <v>13.600000000000001</v>
      </c>
      <c r="L24" s="104">
        <v>20.7</v>
      </c>
      <c r="M24" s="104">
        <v>21.7</v>
      </c>
      <c r="N24" s="104">
        <v>12.1</v>
      </c>
      <c r="O24" s="104">
        <v>103.1</v>
      </c>
      <c r="P24" s="104">
        <v>59.9</v>
      </c>
      <c r="Q24" s="104">
        <v>71.8</v>
      </c>
      <c r="R24" s="104">
        <v>71.099999999999994</v>
      </c>
      <c r="S24" s="104">
        <v>-14.5</v>
      </c>
      <c r="T24" s="104">
        <v>22</v>
      </c>
      <c r="U24" s="104">
        <v>28.799999999999997</v>
      </c>
      <c r="V24" s="104">
        <v>60.9</v>
      </c>
      <c r="W24" s="104">
        <v>22.7</v>
      </c>
      <c r="X24" s="104">
        <v>14.9</v>
      </c>
      <c r="Y24" s="104">
        <v>80</v>
      </c>
      <c r="Z24" s="104">
        <v>84.4</v>
      </c>
      <c r="AA24" s="104">
        <v>66</v>
      </c>
      <c r="AB24" s="104">
        <v>396.3</v>
      </c>
      <c r="AC24" s="104">
        <v>96.605999999999995</v>
      </c>
      <c r="AD24" s="104">
        <v>64.171313069999997</v>
      </c>
      <c r="AE24" s="104">
        <v>163.71146123</v>
      </c>
      <c r="AF24" s="104">
        <v>97.616092509999987</v>
      </c>
      <c r="AG24" s="104">
        <v>193.93786518999997</v>
      </c>
      <c r="AH24" s="104">
        <v>172.330297</v>
      </c>
      <c r="AI24" s="104">
        <v>155.69</v>
      </c>
      <c r="AJ24" s="104">
        <v>139.15334831999999</v>
      </c>
      <c r="AK24" s="104">
        <v>104.12590900000001</v>
      </c>
      <c r="AL24" s="104">
        <v>51.372593500000008</v>
      </c>
      <c r="AM24" s="104">
        <v>65.633908539999993</v>
      </c>
      <c r="AN24" s="104">
        <v>83.216698000000008</v>
      </c>
    </row>
    <row r="25" spans="1:45" s="103" customFormat="1">
      <c r="A25" s="103" t="s">
        <v>292</v>
      </c>
      <c r="B25" s="108">
        <v>0</v>
      </c>
      <c r="C25" s="108">
        <v>0</v>
      </c>
      <c r="D25" s="108">
        <v>0</v>
      </c>
      <c r="E25" s="108">
        <v>0</v>
      </c>
      <c r="F25" s="108">
        <v>0</v>
      </c>
      <c r="G25" s="108">
        <v>0</v>
      </c>
      <c r="H25" s="108">
        <v>0</v>
      </c>
      <c r="I25" s="108">
        <v>0</v>
      </c>
      <c r="J25" s="108">
        <v>0</v>
      </c>
      <c r="K25" s="108">
        <v>0</v>
      </c>
      <c r="L25" s="108">
        <v>0</v>
      </c>
      <c r="M25" s="108">
        <v>0</v>
      </c>
      <c r="N25" s="108">
        <v>0</v>
      </c>
      <c r="O25" s="108">
        <v>0</v>
      </c>
      <c r="P25" s="108">
        <v>0</v>
      </c>
      <c r="Q25" s="108">
        <v>-45.2</v>
      </c>
      <c r="R25" s="108">
        <v>-25.5</v>
      </c>
      <c r="S25" s="108">
        <v>-29.7</v>
      </c>
      <c r="T25" s="108">
        <v>-35.700000000000003</v>
      </c>
      <c r="U25" s="108">
        <v>-46</v>
      </c>
      <c r="V25" s="108">
        <v>-50.4</v>
      </c>
      <c r="W25" s="108">
        <v>-583.1</v>
      </c>
      <c r="X25" s="108">
        <v>-66.400000000000006</v>
      </c>
      <c r="Y25" s="108">
        <v>-152.30000000000001</v>
      </c>
      <c r="Z25" s="108">
        <v>-77</v>
      </c>
      <c r="AA25" s="108">
        <v>-57.7</v>
      </c>
      <c r="AB25" s="108">
        <v>-76.352833301624401</v>
      </c>
      <c r="AC25" s="108">
        <v>-66.099999999999994</v>
      </c>
      <c r="AD25" s="108">
        <v>-100.50973003828143</v>
      </c>
      <c r="AE25" s="108">
        <v>-99.498658511615204</v>
      </c>
      <c r="AF25" s="108">
        <v>-122.842830841389</v>
      </c>
      <c r="AG25" s="108">
        <v>-85.34922832657</v>
      </c>
      <c r="AH25" s="108">
        <v>-76.981896231000007</v>
      </c>
      <c r="AI25" s="108">
        <v>-84.094192000000007</v>
      </c>
      <c r="AJ25" s="108">
        <v>-103.85257379362</v>
      </c>
      <c r="AK25" s="108">
        <v>-77.718258299588697</v>
      </c>
      <c r="AL25" s="108">
        <v>-72.627647443790963</v>
      </c>
      <c r="AM25" s="108">
        <v>-53.72833313836</v>
      </c>
      <c r="AN25" s="108">
        <v>-70.099999999999994</v>
      </c>
    </row>
    <row r="26" spans="1:45" s="103" customFormat="1">
      <c r="AJ26" s="107"/>
      <c r="AK26" s="107"/>
    </row>
    <row r="27" spans="1:45">
      <c r="AG27" s="149" t="s">
        <v>265</v>
      </c>
    </row>
    <row r="28" spans="1:45">
      <c r="AG28" s="105" t="str">
        <f>"Total: "&amp;TEXT(AN11,"$#,0.0,")&amp;" billion does not reflect $"&amp;TEXT(AN14,"#0.00,")&amp;" billion in obligations to capital projects or $"&amp;TEXT(ABS(AN15),"#0.00,")&amp;" billion in credits"</f>
        <v>Total: $16.8 billion does not reflect $2.87 billion in obligations to capital projects or $2.26 billion in credits</v>
      </c>
      <c r="AS28" s="105" t="s">
        <v>264</v>
      </c>
    </row>
    <row r="29" spans="1:45">
      <c r="C29" s="104"/>
    </row>
    <row r="30" spans="1:45">
      <c r="C30" s="104"/>
    </row>
    <row r="31" spans="1:45">
      <c r="C31" s="104"/>
    </row>
    <row r="32" spans="1:45">
      <c r="C32" s="104"/>
    </row>
    <row r="33" spans="3:43">
      <c r="C33" s="104"/>
    </row>
    <row r="34" spans="3:43" ht="14.4">
      <c r="C34" s="104"/>
      <c r="AQ34" s="155" t="s">
        <v>268</v>
      </c>
    </row>
    <row r="35" spans="3:43" ht="14.4">
      <c r="C35" s="104"/>
      <c r="AQ35" s="155" t="s">
        <v>266</v>
      </c>
    </row>
    <row r="36" spans="3:43" ht="14.4">
      <c r="C36" s="197"/>
      <c r="AQ36" s="155" t="s">
        <v>267</v>
      </c>
    </row>
    <row r="54" spans="33:33" ht="14.4">
      <c r="AG54" s="156" t="s">
        <v>258</v>
      </c>
    </row>
  </sheetData>
  <pageMargins left="0.75" right="0.75" top="1" bottom="1"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12FF2-5CB5-4C50-B12B-0FAA12DF915E}">
  <sheetPr>
    <pageSetUpPr fitToPage="1"/>
  </sheetPr>
  <dimension ref="A1:IT88"/>
  <sheetViews>
    <sheetView zoomScaleNormal="100" workbookViewId="0">
      <pane xSplit="1" topLeftCell="AM1" activePane="topRight" state="frozen"/>
      <selection activeCell="A24" sqref="A24"/>
      <selection pane="topRight" activeCell="AO18" sqref="AO18"/>
    </sheetView>
  </sheetViews>
  <sheetFormatPr defaultColWidth="8.88671875" defaultRowHeight="18.600000000000001"/>
  <cols>
    <col min="1" max="1" width="90.44140625" style="267" customWidth="1"/>
    <col min="2" max="22" width="11.5546875" style="267" hidden="1" customWidth="1"/>
    <col min="23" max="23" width="13.5546875" style="267" hidden="1" customWidth="1"/>
    <col min="24" max="24" width="11.5546875" style="267" hidden="1" customWidth="1"/>
    <col min="25" max="25" width="12.109375" style="267" hidden="1" customWidth="1"/>
    <col min="26" max="27" width="11.5546875" style="267" hidden="1" customWidth="1"/>
    <col min="28" max="28" width="11.5546875" style="267" customWidth="1"/>
    <col min="29" max="29" width="12.33203125" style="263" customWidth="1"/>
    <col min="30" max="30" width="13.33203125" style="264" customWidth="1"/>
    <col min="31" max="31" width="16.5546875" style="265" customWidth="1"/>
    <col min="32" max="32" width="17.44140625" style="265" customWidth="1"/>
    <col min="33" max="33" width="14.6640625" style="265" customWidth="1"/>
    <col min="34" max="42" width="14.5546875" style="265" customWidth="1"/>
    <col min="43" max="257" width="8.88671875" style="265"/>
    <col min="258" max="258" width="90.44140625" style="265" customWidth="1"/>
    <col min="259" max="279" width="11.5546875" style="265" customWidth="1"/>
    <col min="280" max="280" width="13.5546875" style="265" customWidth="1"/>
    <col min="281" max="281" width="11.5546875" style="265" customWidth="1"/>
    <col min="282" max="282" width="12.109375" style="265" customWidth="1"/>
    <col min="283" max="285" width="11.5546875" style="265" customWidth="1"/>
    <col min="286" max="286" width="12.33203125" style="265" customWidth="1"/>
    <col min="287" max="287" width="13.33203125" style="265" customWidth="1"/>
    <col min="288" max="288" width="16.5546875" style="265" customWidth="1"/>
    <col min="289" max="289" width="17.44140625" style="265" customWidth="1"/>
    <col min="290" max="290" width="14.6640625" style="265" customWidth="1"/>
    <col min="291" max="293" width="14.5546875" style="265" customWidth="1"/>
    <col min="294" max="294" width="20" style="265" bestFit="1" customWidth="1"/>
    <col min="295" max="295" width="20.88671875" style="265" customWidth="1"/>
    <col min="296" max="296" width="99" style="265" bestFit="1" customWidth="1"/>
    <col min="297" max="297" width="25.88671875" style="265" bestFit="1" customWidth="1"/>
    <col min="298" max="513" width="8.88671875" style="265"/>
    <col min="514" max="514" width="90.44140625" style="265" customWidth="1"/>
    <col min="515" max="535" width="11.5546875" style="265" customWidth="1"/>
    <col min="536" max="536" width="13.5546875" style="265" customWidth="1"/>
    <col min="537" max="537" width="11.5546875" style="265" customWidth="1"/>
    <col min="538" max="538" width="12.109375" style="265" customWidth="1"/>
    <col min="539" max="541" width="11.5546875" style="265" customWidth="1"/>
    <col min="542" max="542" width="12.33203125" style="265" customWidth="1"/>
    <col min="543" max="543" width="13.33203125" style="265" customWidth="1"/>
    <col min="544" max="544" width="16.5546875" style="265" customWidth="1"/>
    <col min="545" max="545" width="17.44140625" style="265" customWidth="1"/>
    <col min="546" max="546" width="14.6640625" style="265" customWidth="1"/>
    <col min="547" max="549" width="14.5546875" style="265" customWidth="1"/>
    <col min="550" max="550" width="20" style="265" bestFit="1" customWidth="1"/>
    <col min="551" max="551" width="20.88671875" style="265" customWidth="1"/>
    <col min="552" max="552" width="99" style="265" bestFit="1" customWidth="1"/>
    <col min="553" max="553" width="25.88671875" style="265" bestFit="1" customWidth="1"/>
    <col min="554" max="769" width="8.88671875" style="265"/>
    <col min="770" max="770" width="90.44140625" style="265" customWidth="1"/>
    <col min="771" max="791" width="11.5546875" style="265" customWidth="1"/>
    <col min="792" max="792" width="13.5546875" style="265" customWidth="1"/>
    <col min="793" max="793" width="11.5546875" style="265" customWidth="1"/>
    <col min="794" max="794" width="12.109375" style="265" customWidth="1"/>
    <col min="795" max="797" width="11.5546875" style="265" customWidth="1"/>
    <col min="798" max="798" width="12.33203125" style="265" customWidth="1"/>
    <col min="799" max="799" width="13.33203125" style="265" customWidth="1"/>
    <col min="800" max="800" width="16.5546875" style="265" customWidth="1"/>
    <col min="801" max="801" width="17.44140625" style="265" customWidth="1"/>
    <col min="802" max="802" width="14.6640625" style="265" customWidth="1"/>
    <col min="803" max="805" width="14.5546875" style="265" customWidth="1"/>
    <col min="806" max="806" width="20" style="265" bestFit="1" customWidth="1"/>
    <col min="807" max="807" width="20.88671875" style="265" customWidth="1"/>
    <col min="808" max="808" width="99" style="265" bestFit="1" customWidth="1"/>
    <col min="809" max="809" width="25.88671875" style="265" bestFit="1" customWidth="1"/>
    <col min="810" max="1025" width="8.88671875" style="265"/>
    <col min="1026" max="1026" width="90.44140625" style="265" customWidth="1"/>
    <col min="1027" max="1047" width="11.5546875" style="265" customWidth="1"/>
    <col min="1048" max="1048" width="13.5546875" style="265" customWidth="1"/>
    <col min="1049" max="1049" width="11.5546875" style="265" customWidth="1"/>
    <col min="1050" max="1050" width="12.109375" style="265" customWidth="1"/>
    <col min="1051" max="1053" width="11.5546875" style="265" customWidth="1"/>
    <col min="1054" max="1054" width="12.33203125" style="265" customWidth="1"/>
    <col min="1055" max="1055" width="13.33203125" style="265" customWidth="1"/>
    <col min="1056" max="1056" width="16.5546875" style="265" customWidth="1"/>
    <col min="1057" max="1057" width="17.44140625" style="265" customWidth="1"/>
    <col min="1058" max="1058" width="14.6640625" style="265" customWidth="1"/>
    <col min="1059" max="1061" width="14.5546875" style="265" customWidth="1"/>
    <col min="1062" max="1062" width="20" style="265" bestFit="1" customWidth="1"/>
    <col min="1063" max="1063" width="20.88671875" style="265" customWidth="1"/>
    <col min="1064" max="1064" width="99" style="265" bestFit="1" customWidth="1"/>
    <col min="1065" max="1065" width="25.88671875" style="265" bestFit="1" customWidth="1"/>
    <col min="1066" max="1281" width="8.88671875" style="265"/>
    <col min="1282" max="1282" width="90.44140625" style="265" customWidth="1"/>
    <col min="1283" max="1303" width="11.5546875" style="265" customWidth="1"/>
    <col min="1304" max="1304" width="13.5546875" style="265" customWidth="1"/>
    <col min="1305" max="1305" width="11.5546875" style="265" customWidth="1"/>
    <col min="1306" max="1306" width="12.109375" style="265" customWidth="1"/>
    <col min="1307" max="1309" width="11.5546875" style="265" customWidth="1"/>
    <col min="1310" max="1310" width="12.33203125" style="265" customWidth="1"/>
    <col min="1311" max="1311" width="13.33203125" style="265" customWidth="1"/>
    <col min="1312" max="1312" width="16.5546875" style="265" customWidth="1"/>
    <col min="1313" max="1313" width="17.44140625" style="265" customWidth="1"/>
    <col min="1314" max="1314" width="14.6640625" style="265" customWidth="1"/>
    <col min="1315" max="1317" width="14.5546875" style="265" customWidth="1"/>
    <col min="1318" max="1318" width="20" style="265" bestFit="1" customWidth="1"/>
    <col min="1319" max="1319" width="20.88671875" style="265" customWidth="1"/>
    <col min="1320" max="1320" width="99" style="265" bestFit="1" customWidth="1"/>
    <col min="1321" max="1321" width="25.88671875" style="265" bestFit="1" customWidth="1"/>
    <col min="1322" max="1537" width="8.88671875" style="265"/>
    <col min="1538" max="1538" width="90.44140625" style="265" customWidth="1"/>
    <col min="1539" max="1559" width="11.5546875" style="265" customWidth="1"/>
    <col min="1560" max="1560" width="13.5546875" style="265" customWidth="1"/>
    <col min="1561" max="1561" width="11.5546875" style="265" customWidth="1"/>
    <col min="1562" max="1562" width="12.109375" style="265" customWidth="1"/>
    <col min="1563" max="1565" width="11.5546875" style="265" customWidth="1"/>
    <col min="1566" max="1566" width="12.33203125" style="265" customWidth="1"/>
    <col min="1567" max="1567" width="13.33203125" style="265" customWidth="1"/>
    <col min="1568" max="1568" width="16.5546875" style="265" customWidth="1"/>
    <col min="1569" max="1569" width="17.44140625" style="265" customWidth="1"/>
    <col min="1570" max="1570" width="14.6640625" style="265" customWidth="1"/>
    <col min="1571" max="1573" width="14.5546875" style="265" customWidth="1"/>
    <col min="1574" max="1574" width="20" style="265" bestFit="1" customWidth="1"/>
    <col min="1575" max="1575" width="20.88671875" style="265" customWidth="1"/>
    <col min="1576" max="1576" width="99" style="265" bestFit="1" customWidth="1"/>
    <col min="1577" max="1577" width="25.88671875" style="265" bestFit="1" customWidth="1"/>
    <col min="1578" max="1793" width="8.88671875" style="265"/>
    <col min="1794" max="1794" width="90.44140625" style="265" customWidth="1"/>
    <col min="1795" max="1815" width="11.5546875" style="265" customWidth="1"/>
    <col min="1816" max="1816" width="13.5546875" style="265" customWidth="1"/>
    <col min="1817" max="1817" width="11.5546875" style="265" customWidth="1"/>
    <col min="1818" max="1818" width="12.109375" style="265" customWidth="1"/>
    <col min="1819" max="1821" width="11.5546875" style="265" customWidth="1"/>
    <col min="1822" max="1822" width="12.33203125" style="265" customWidth="1"/>
    <col min="1823" max="1823" width="13.33203125" style="265" customWidth="1"/>
    <col min="1824" max="1824" width="16.5546875" style="265" customWidth="1"/>
    <col min="1825" max="1825" width="17.44140625" style="265" customWidth="1"/>
    <col min="1826" max="1826" width="14.6640625" style="265" customWidth="1"/>
    <col min="1827" max="1829" width="14.5546875" style="265" customWidth="1"/>
    <col min="1830" max="1830" width="20" style="265" bestFit="1" customWidth="1"/>
    <col min="1831" max="1831" width="20.88671875" style="265" customWidth="1"/>
    <col min="1832" max="1832" width="99" style="265" bestFit="1" customWidth="1"/>
    <col min="1833" max="1833" width="25.88671875" style="265" bestFit="1" customWidth="1"/>
    <col min="1834" max="2049" width="8.88671875" style="265"/>
    <col min="2050" max="2050" width="90.44140625" style="265" customWidth="1"/>
    <col min="2051" max="2071" width="11.5546875" style="265" customWidth="1"/>
    <col min="2072" max="2072" width="13.5546875" style="265" customWidth="1"/>
    <col min="2073" max="2073" width="11.5546875" style="265" customWidth="1"/>
    <col min="2074" max="2074" width="12.109375" style="265" customWidth="1"/>
    <col min="2075" max="2077" width="11.5546875" style="265" customWidth="1"/>
    <col min="2078" max="2078" width="12.33203125" style="265" customWidth="1"/>
    <col min="2079" max="2079" width="13.33203125" style="265" customWidth="1"/>
    <col min="2080" max="2080" width="16.5546875" style="265" customWidth="1"/>
    <col min="2081" max="2081" width="17.44140625" style="265" customWidth="1"/>
    <col min="2082" max="2082" width="14.6640625" style="265" customWidth="1"/>
    <col min="2083" max="2085" width="14.5546875" style="265" customWidth="1"/>
    <col min="2086" max="2086" width="20" style="265" bestFit="1" customWidth="1"/>
    <col min="2087" max="2087" width="20.88671875" style="265" customWidth="1"/>
    <col min="2088" max="2088" width="99" style="265" bestFit="1" customWidth="1"/>
    <col min="2089" max="2089" width="25.88671875" style="265" bestFit="1" customWidth="1"/>
    <col min="2090" max="2305" width="8.88671875" style="265"/>
    <col min="2306" max="2306" width="90.44140625" style="265" customWidth="1"/>
    <col min="2307" max="2327" width="11.5546875" style="265" customWidth="1"/>
    <col min="2328" max="2328" width="13.5546875" style="265" customWidth="1"/>
    <col min="2329" max="2329" width="11.5546875" style="265" customWidth="1"/>
    <col min="2330" max="2330" width="12.109375" style="265" customWidth="1"/>
    <col min="2331" max="2333" width="11.5546875" style="265" customWidth="1"/>
    <col min="2334" max="2334" width="12.33203125" style="265" customWidth="1"/>
    <col min="2335" max="2335" width="13.33203125" style="265" customWidth="1"/>
    <col min="2336" max="2336" width="16.5546875" style="265" customWidth="1"/>
    <col min="2337" max="2337" width="17.44140625" style="265" customWidth="1"/>
    <col min="2338" max="2338" width="14.6640625" style="265" customWidth="1"/>
    <col min="2339" max="2341" width="14.5546875" style="265" customWidth="1"/>
    <col min="2342" max="2342" width="20" style="265" bestFit="1" customWidth="1"/>
    <col min="2343" max="2343" width="20.88671875" style="265" customWidth="1"/>
    <col min="2344" max="2344" width="99" style="265" bestFit="1" customWidth="1"/>
    <col min="2345" max="2345" width="25.88671875" style="265" bestFit="1" customWidth="1"/>
    <col min="2346" max="2561" width="8.88671875" style="265"/>
    <col min="2562" max="2562" width="90.44140625" style="265" customWidth="1"/>
    <col min="2563" max="2583" width="11.5546875" style="265" customWidth="1"/>
    <col min="2584" max="2584" width="13.5546875" style="265" customWidth="1"/>
    <col min="2585" max="2585" width="11.5546875" style="265" customWidth="1"/>
    <col min="2586" max="2586" width="12.109375" style="265" customWidth="1"/>
    <col min="2587" max="2589" width="11.5546875" style="265" customWidth="1"/>
    <col min="2590" max="2590" width="12.33203125" style="265" customWidth="1"/>
    <col min="2591" max="2591" width="13.33203125" style="265" customWidth="1"/>
    <col min="2592" max="2592" width="16.5546875" style="265" customWidth="1"/>
    <col min="2593" max="2593" width="17.44140625" style="265" customWidth="1"/>
    <col min="2594" max="2594" width="14.6640625" style="265" customWidth="1"/>
    <col min="2595" max="2597" width="14.5546875" style="265" customWidth="1"/>
    <col min="2598" max="2598" width="20" style="265" bestFit="1" customWidth="1"/>
    <col min="2599" max="2599" width="20.88671875" style="265" customWidth="1"/>
    <col min="2600" max="2600" width="99" style="265" bestFit="1" customWidth="1"/>
    <col min="2601" max="2601" width="25.88671875" style="265" bestFit="1" customWidth="1"/>
    <col min="2602" max="2817" width="8.88671875" style="265"/>
    <col min="2818" max="2818" width="90.44140625" style="265" customWidth="1"/>
    <col min="2819" max="2839" width="11.5546875" style="265" customWidth="1"/>
    <col min="2840" max="2840" width="13.5546875" style="265" customWidth="1"/>
    <col min="2841" max="2841" width="11.5546875" style="265" customWidth="1"/>
    <col min="2842" max="2842" width="12.109375" style="265" customWidth="1"/>
    <col min="2843" max="2845" width="11.5546875" style="265" customWidth="1"/>
    <col min="2846" max="2846" width="12.33203125" style="265" customWidth="1"/>
    <col min="2847" max="2847" width="13.33203125" style="265" customWidth="1"/>
    <col min="2848" max="2848" width="16.5546875" style="265" customWidth="1"/>
    <col min="2849" max="2849" width="17.44140625" style="265" customWidth="1"/>
    <col min="2850" max="2850" width="14.6640625" style="265" customWidth="1"/>
    <col min="2851" max="2853" width="14.5546875" style="265" customWidth="1"/>
    <col min="2854" max="2854" width="20" style="265" bestFit="1" customWidth="1"/>
    <col min="2855" max="2855" width="20.88671875" style="265" customWidth="1"/>
    <col min="2856" max="2856" width="99" style="265" bestFit="1" customWidth="1"/>
    <col min="2857" max="2857" width="25.88671875" style="265" bestFit="1" customWidth="1"/>
    <col min="2858" max="3073" width="8.88671875" style="265"/>
    <col min="3074" max="3074" width="90.44140625" style="265" customWidth="1"/>
    <col min="3075" max="3095" width="11.5546875" style="265" customWidth="1"/>
    <col min="3096" max="3096" width="13.5546875" style="265" customWidth="1"/>
    <col min="3097" max="3097" width="11.5546875" style="265" customWidth="1"/>
    <col min="3098" max="3098" width="12.109375" style="265" customWidth="1"/>
    <col min="3099" max="3101" width="11.5546875" style="265" customWidth="1"/>
    <col min="3102" max="3102" width="12.33203125" style="265" customWidth="1"/>
    <col min="3103" max="3103" width="13.33203125" style="265" customWidth="1"/>
    <col min="3104" max="3104" width="16.5546875" style="265" customWidth="1"/>
    <col min="3105" max="3105" width="17.44140625" style="265" customWidth="1"/>
    <col min="3106" max="3106" width="14.6640625" style="265" customWidth="1"/>
    <col min="3107" max="3109" width="14.5546875" style="265" customWidth="1"/>
    <col min="3110" max="3110" width="20" style="265" bestFit="1" customWidth="1"/>
    <col min="3111" max="3111" width="20.88671875" style="265" customWidth="1"/>
    <col min="3112" max="3112" width="99" style="265" bestFit="1" customWidth="1"/>
    <col min="3113" max="3113" width="25.88671875" style="265" bestFit="1" customWidth="1"/>
    <col min="3114" max="3329" width="8.88671875" style="265"/>
    <col min="3330" max="3330" width="90.44140625" style="265" customWidth="1"/>
    <col min="3331" max="3351" width="11.5546875" style="265" customWidth="1"/>
    <col min="3352" max="3352" width="13.5546875" style="265" customWidth="1"/>
    <col min="3353" max="3353" width="11.5546875" style="265" customWidth="1"/>
    <col min="3354" max="3354" width="12.109375" style="265" customWidth="1"/>
    <col min="3355" max="3357" width="11.5546875" style="265" customWidth="1"/>
    <col min="3358" max="3358" width="12.33203125" style="265" customWidth="1"/>
    <col min="3359" max="3359" width="13.33203125" style="265" customWidth="1"/>
    <col min="3360" max="3360" width="16.5546875" style="265" customWidth="1"/>
    <col min="3361" max="3361" width="17.44140625" style="265" customWidth="1"/>
    <col min="3362" max="3362" width="14.6640625" style="265" customWidth="1"/>
    <col min="3363" max="3365" width="14.5546875" style="265" customWidth="1"/>
    <col min="3366" max="3366" width="20" style="265" bestFit="1" customWidth="1"/>
    <col min="3367" max="3367" width="20.88671875" style="265" customWidth="1"/>
    <col min="3368" max="3368" width="99" style="265" bestFit="1" customWidth="1"/>
    <col min="3369" max="3369" width="25.88671875" style="265" bestFit="1" customWidth="1"/>
    <col min="3370" max="3585" width="8.88671875" style="265"/>
    <col min="3586" max="3586" width="90.44140625" style="265" customWidth="1"/>
    <col min="3587" max="3607" width="11.5546875" style="265" customWidth="1"/>
    <col min="3608" max="3608" width="13.5546875" style="265" customWidth="1"/>
    <col min="3609" max="3609" width="11.5546875" style="265" customWidth="1"/>
    <col min="3610" max="3610" width="12.109375" style="265" customWidth="1"/>
    <col min="3611" max="3613" width="11.5546875" style="265" customWidth="1"/>
    <col min="3614" max="3614" width="12.33203125" style="265" customWidth="1"/>
    <col min="3615" max="3615" width="13.33203125" style="265" customWidth="1"/>
    <col min="3616" max="3616" width="16.5546875" style="265" customWidth="1"/>
    <col min="3617" max="3617" width="17.44140625" style="265" customWidth="1"/>
    <col min="3618" max="3618" width="14.6640625" style="265" customWidth="1"/>
    <col min="3619" max="3621" width="14.5546875" style="265" customWidth="1"/>
    <col min="3622" max="3622" width="20" style="265" bestFit="1" customWidth="1"/>
    <col min="3623" max="3623" width="20.88671875" style="265" customWidth="1"/>
    <col min="3624" max="3624" width="99" style="265" bestFit="1" customWidth="1"/>
    <col min="3625" max="3625" width="25.88671875" style="265" bestFit="1" customWidth="1"/>
    <col min="3626" max="3841" width="8.88671875" style="265"/>
    <col min="3842" max="3842" width="90.44140625" style="265" customWidth="1"/>
    <col min="3843" max="3863" width="11.5546875" style="265" customWidth="1"/>
    <col min="3864" max="3864" width="13.5546875" style="265" customWidth="1"/>
    <col min="3865" max="3865" width="11.5546875" style="265" customWidth="1"/>
    <col min="3866" max="3866" width="12.109375" style="265" customWidth="1"/>
    <col min="3867" max="3869" width="11.5546875" style="265" customWidth="1"/>
    <col min="3870" max="3870" width="12.33203125" style="265" customWidth="1"/>
    <col min="3871" max="3871" width="13.33203125" style="265" customWidth="1"/>
    <col min="3872" max="3872" width="16.5546875" style="265" customWidth="1"/>
    <col min="3873" max="3873" width="17.44140625" style="265" customWidth="1"/>
    <col min="3874" max="3874" width="14.6640625" style="265" customWidth="1"/>
    <col min="3875" max="3877" width="14.5546875" style="265" customWidth="1"/>
    <col min="3878" max="3878" width="20" style="265" bestFit="1" customWidth="1"/>
    <col min="3879" max="3879" width="20.88671875" style="265" customWidth="1"/>
    <col min="3880" max="3880" width="99" style="265" bestFit="1" customWidth="1"/>
    <col min="3881" max="3881" width="25.88671875" style="265" bestFit="1" customWidth="1"/>
    <col min="3882" max="4097" width="8.88671875" style="265"/>
    <col min="4098" max="4098" width="90.44140625" style="265" customWidth="1"/>
    <col min="4099" max="4119" width="11.5546875" style="265" customWidth="1"/>
    <col min="4120" max="4120" width="13.5546875" style="265" customWidth="1"/>
    <col min="4121" max="4121" width="11.5546875" style="265" customWidth="1"/>
    <col min="4122" max="4122" width="12.109375" style="265" customWidth="1"/>
    <col min="4123" max="4125" width="11.5546875" style="265" customWidth="1"/>
    <col min="4126" max="4126" width="12.33203125" style="265" customWidth="1"/>
    <col min="4127" max="4127" width="13.33203125" style="265" customWidth="1"/>
    <col min="4128" max="4128" width="16.5546875" style="265" customWidth="1"/>
    <col min="4129" max="4129" width="17.44140625" style="265" customWidth="1"/>
    <col min="4130" max="4130" width="14.6640625" style="265" customWidth="1"/>
    <col min="4131" max="4133" width="14.5546875" style="265" customWidth="1"/>
    <col min="4134" max="4134" width="20" style="265" bestFit="1" customWidth="1"/>
    <col min="4135" max="4135" width="20.88671875" style="265" customWidth="1"/>
    <col min="4136" max="4136" width="99" style="265" bestFit="1" customWidth="1"/>
    <col min="4137" max="4137" width="25.88671875" style="265" bestFit="1" customWidth="1"/>
    <col min="4138" max="4353" width="8.88671875" style="265"/>
    <col min="4354" max="4354" width="90.44140625" style="265" customWidth="1"/>
    <col min="4355" max="4375" width="11.5546875" style="265" customWidth="1"/>
    <col min="4376" max="4376" width="13.5546875" style="265" customWidth="1"/>
    <col min="4377" max="4377" width="11.5546875" style="265" customWidth="1"/>
    <col min="4378" max="4378" width="12.109375" style="265" customWidth="1"/>
    <col min="4379" max="4381" width="11.5546875" style="265" customWidth="1"/>
    <col min="4382" max="4382" width="12.33203125" style="265" customWidth="1"/>
    <col min="4383" max="4383" width="13.33203125" style="265" customWidth="1"/>
    <col min="4384" max="4384" width="16.5546875" style="265" customWidth="1"/>
    <col min="4385" max="4385" width="17.44140625" style="265" customWidth="1"/>
    <col min="4386" max="4386" width="14.6640625" style="265" customWidth="1"/>
    <col min="4387" max="4389" width="14.5546875" style="265" customWidth="1"/>
    <col min="4390" max="4390" width="20" style="265" bestFit="1" customWidth="1"/>
    <col min="4391" max="4391" width="20.88671875" style="265" customWidth="1"/>
    <col min="4392" max="4392" width="99" style="265" bestFit="1" customWidth="1"/>
    <col min="4393" max="4393" width="25.88671875" style="265" bestFit="1" customWidth="1"/>
    <col min="4394" max="4609" width="8.88671875" style="265"/>
    <col min="4610" max="4610" width="90.44140625" style="265" customWidth="1"/>
    <col min="4611" max="4631" width="11.5546875" style="265" customWidth="1"/>
    <col min="4632" max="4632" width="13.5546875" style="265" customWidth="1"/>
    <col min="4633" max="4633" width="11.5546875" style="265" customWidth="1"/>
    <col min="4634" max="4634" width="12.109375" style="265" customWidth="1"/>
    <col min="4635" max="4637" width="11.5546875" style="265" customWidth="1"/>
    <col min="4638" max="4638" width="12.33203125" style="265" customWidth="1"/>
    <col min="4639" max="4639" width="13.33203125" style="265" customWidth="1"/>
    <col min="4640" max="4640" width="16.5546875" style="265" customWidth="1"/>
    <col min="4641" max="4641" width="17.44140625" style="265" customWidth="1"/>
    <col min="4642" max="4642" width="14.6640625" style="265" customWidth="1"/>
    <col min="4643" max="4645" width="14.5546875" style="265" customWidth="1"/>
    <col min="4646" max="4646" width="20" style="265" bestFit="1" customWidth="1"/>
    <col min="4647" max="4647" width="20.88671875" style="265" customWidth="1"/>
    <col min="4648" max="4648" width="99" style="265" bestFit="1" customWidth="1"/>
    <col min="4649" max="4649" width="25.88671875" style="265" bestFit="1" customWidth="1"/>
    <col min="4650" max="4865" width="8.88671875" style="265"/>
    <col min="4866" max="4866" width="90.44140625" style="265" customWidth="1"/>
    <col min="4867" max="4887" width="11.5546875" style="265" customWidth="1"/>
    <col min="4888" max="4888" width="13.5546875" style="265" customWidth="1"/>
    <col min="4889" max="4889" width="11.5546875" style="265" customWidth="1"/>
    <col min="4890" max="4890" width="12.109375" style="265" customWidth="1"/>
    <col min="4891" max="4893" width="11.5546875" style="265" customWidth="1"/>
    <col min="4894" max="4894" width="12.33203125" style="265" customWidth="1"/>
    <col min="4895" max="4895" width="13.33203125" style="265" customWidth="1"/>
    <col min="4896" max="4896" width="16.5546875" style="265" customWidth="1"/>
    <col min="4897" max="4897" width="17.44140625" style="265" customWidth="1"/>
    <col min="4898" max="4898" width="14.6640625" style="265" customWidth="1"/>
    <col min="4899" max="4901" width="14.5546875" style="265" customWidth="1"/>
    <col min="4902" max="4902" width="20" style="265" bestFit="1" customWidth="1"/>
    <col min="4903" max="4903" width="20.88671875" style="265" customWidth="1"/>
    <col min="4904" max="4904" width="99" style="265" bestFit="1" customWidth="1"/>
    <col min="4905" max="4905" width="25.88671875" style="265" bestFit="1" customWidth="1"/>
    <col min="4906" max="5121" width="8.88671875" style="265"/>
    <col min="5122" max="5122" width="90.44140625" style="265" customWidth="1"/>
    <col min="5123" max="5143" width="11.5546875" style="265" customWidth="1"/>
    <col min="5144" max="5144" width="13.5546875" style="265" customWidth="1"/>
    <col min="5145" max="5145" width="11.5546875" style="265" customWidth="1"/>
    <col min="5146" max="5146" width="12.109375" style="265" customWidth="1"/>
    <col min="5147" max="5149" width="11.5546875" style="265" customWidth="1"/>
    <col min="5150" max="5150" width="12.33203125" style="265" customWidth="1"/>
    <col min="5151" max="5151" width="13.33203125" style="265" customWidth="1"/>
    <col min="5152" max="5152" width="16.5546875" style="265" customWidth="1"/>
    <col min="5153" max="5153" width="17.44140625" style="265" customWidth="1"/>
    <col min="5154" max="5154" width="14.6640625" style="265" customWidth="1"/>
    <col min="5155" max="5157" width="14.5546875" style="265" customWidth="1"/>
    <col min="5158" max="5158" width="20" style="265" bestFit="1" customWidth="1"/>
    <col min="5159" max="5159" width="20.88671875" style="265" customWidth="1"/>
    <col min="5160" max="5160" width="99" style="265" bestFit="1" customWidth="1"/>
    <col min="5161" max="5161" width="25.88671875" style="265" bestFit="1" customWidth="1"/>
    <col min="5162" max="5377" width="8.88671875" style="265"/>
    <col min="5378" max="5378" width="90.44140625" style="265" customWidth="1"/>
    <col min="5379" max="5399" width="11.5546875" style="265" customWidth="1"/>
    <col min="5400" max="5400" width="13.5546875" style="265" customWidth="1"/>
    <col min="5401" max="5401" width="11.5546875" style="265" customWidth="1"/>
    <col min="5402" max="5402" width="12.109375" style="265" customWidth="1"/>
    <col min="5403" max="5405" width="11.5546875" style="265" customWidth="1"/>
    <col min="5406" max="5406" width="12.33203125" style="265" customWidth="1"/>
    <col min="5407" max="5407" width="13.33203125" style="265" customWidth="1"/>
    <col min="5408" max="5408" width="16.5546875" style="265" customWidth="1"/>
    <col min="5409" max="5409" width="17.44140625" style="265" customWidth="1"/>
    <col min="5410" max="5410" width="14.6640625" style="265" customWidth="1"/>
    <col min="5411" max="5413" width="14.5546875" style="265" customWidth="1"/>
    <col min="5414" max="5414" width="20" style="265" bestFit="1" customWidth="1"/>
    <col min="5415" max="5415" width="20.88671875" style="265" customWidth="1"/>
    <col min="5416" max="5416" width="99" style="265" bestFit="1" customWidth="1"/>
    <col min="5417" max="5417" width="25.88671875" style="265" bestFit="1" customWidth="1"/>
    <col min="5418" max="5633" width="8.88671875" style="265"/>
    <col min="5634" max="5634" width="90.44140625" style="265" customWidth="1"/>
    <col min="5635" max="5655" width="11.5546875" style="265" customWidth="1"/>
    <col min="5656" max="5656" width="13.5546875" style="265" customWidth="1"/>
    <col min="5657" max="5657" width="11.5546875" style="265" customWidth="1"/>
    <col min="5658" max="5658" width="12.109375" style="265" customWidth="1"/>
    <col min="5659" max="5661" width="11.5546875" style="265" customWidth="1"/>
    <col min="5662" max="5662" width="12.33203125" style="265" customWidth="1"/>
    <col min="5663" max="5663" width="13.33203125" style="265" customWidth="1"/>
    <col min="5664" max="5664" width="16.5546875" style="265" customWidth="1"/>
    <col min="5665" max="5665" width="17.44140625" style="265" customWidth="1"/>
    <col min="5666" max="5666" width="14.6640625" style="265" customWidth="1"/>
    <col min="5667" max="5669" width="14.5546875" style="265" customWidth="1"/>
    <col min="5670" max="5670" width="20" style="265" bestFit="1" customWidth="1"/>
    <col min="5671" max="5671" width="20.88671875" style="265" customWidth="1"/>
    <col min="5672" max="5672" width="99" style="265" bestFit="1" customWidth="1"/>
    <col min="5673" max="5673" width="25.88671875" style="265" bestFit="1" customWidth="1"/>
    <col min="5674" max="5889" width="8.88671875" style="265"/>
    <col min="5890" max="5890" width="90.44140625" style="265" customWidth="1"/>
    <col min="5891" max="5911" width="11.5546875" style="265" customWidth="1"/>
    <col min="5912" max="5912" width="13.5546875" style="265" customWidth="1"/>
    <col min="5913" max="5913" width="11.5546875" style="265" customWidth="1"/>
    <col min="5914" max="5914" width="12.109375" style="265" customWidth="1"/>
    <col min="5915" max="5917" width="11.5546875" style="265" customWidth="1"/>
    <col min="5918" max="5918" width="12.33203125" style="265" customWidth="1"/>
    <col min="5919" max="5919" width="13.33203125" style="265" customWidth="1"/>
    <col min="5920" max="5920" width="16.5546875" style="265" customWidth="1"/>
    <col min="5921" max="5921" width="17.44140625" style="265" customWidth="1"/>
    <col min="5922" max="5922" width="14.6640625" style="265" customWidth="1"/>
    <col min="5923" max="5925" width="14.5546875" style="265" customWidth="1"/>
    <col min="5926" max="5926" width="20" style="265" bestFit="1" customWidth="1"/>
    <col min="5927" max="5927" width="20.88671875" style="265" customWidth="1"/>
    <col min="5928" max="5928" width="99" style="265" bestFit="1" customWidth="1"/>
    <col min="5929" max="5929" width="25.88671875" style="265" bestFit="1" customWidth="1"/>
    <col min="5930" max="6145" width="8.88671875" style="265"/>
    <col min="6146" max="6146" width="90.44140625" style="265" customWidth="1"/>
    <col min="6147" max="6167" width="11.5546875" style="265" customWidth="1"/>
    <col min="6168" max="6168" width="13.5546875" style="265" customWidth="1"/>
    <col min="6169" max="6169" width="11.5546875" style="265" customWidth="1"/>
    <col min="6170" max="6170" width="12.109375" style="265" customWidth="1"/>
    <col min="6171" max="6173" width="11.5546875" style="265" customWidth="1"/>
    <col min="6174" max="6174" width="12.33203125" style="265" customWidth="1"/>
    <col min="6175" max="6175" width="13.33203125" style="265" customWidth="1"/>
    <col min="6176" max="6176" width="16.5546875" style="265" customWidth="1"/>
    <col min="6177" max="6177" width="17.44140625" style="265" customWidth="1"/>
    <col min="6178" max="6178" width="14.6640625" style="265" customWidth="1"/>
    <col min="6179" max="6181" width="14.5546875" style="265" customWidth="1"/>
    <col min="6182" max="6182" width="20" style="265" bestFit="1" customWidth="1"/>
    <col min="6183" max="6183" width="20.88671875" style="265" customWidth="1"/>
    <col min="6184" max="6184" width="99" style="265" bestFit="1" customWidth="1"/>
    <col min="6185" max="6185" width="25.88671875" style="265" bestFit="1" customWidth="1"/>
    <col min="6186" max="6401" width="8.88671875" style="265"/>
    <col min="6402" max="6402" width="90.44140625" style="265" customWidth="1"/>
    <col min="6403" max="6423" width="11.5546875" style="265" customWidth="1"/>
    <col min="6424" max="6424" width="13.5546875" style="265" customWidth="1"/>
    <col min="6425" max="6425" width="11.5546875" style="265" customWidth="1"/>
    <col min="6426" max="6426" width="12.109375" style="265" customWidth="1"/>
    <col min="6427" max="6429" width="11.5546875" style="265" customWidth="1"/>
    <col min="6430" max="6430" width="12.33203125" style="265" customWidth="1"/>
    <col min="6431" max="6431" width="13.33203125" style="265" customWidth="1"/>
    <col min="6432" max="6432" width="16.5546875" style="265" customWidth="1"/>
    <col min="6433" max="6433" width="17.44140625" style="265" customWidth="1"/>
    <col min="6434" max="6434" width="14.6640625" style="265" customWidth="1"/>
    <col min="6435" max="6437" width="14.5546875" style="265" customWidth="1"/>
    <col min="6438" max="6438" width="20" style="265" bestFit="1" customWidth="1"/>
    <col min="6439" max="6439" width="20.88671875" style="265" customWidth="1"/>
    <col min="6440" max="6440" width="99" style="265" bestFit="1" customWidth="1"/>
    <col min="6441" max="6441" width="25.88671875" style="265" bestFit="1" customWidth="1"/>
    <col min="6442" max="6657" width="8.88671875" style="265"/>
    <col min="6658" max="6658" width="90.44140625" style="265" customWidth="1"/>
    <col min="6659" max="6679" width="11.5546875" style="265" customWidth="1"/>
    <col min="6680" max="6680" width="13.5546875" style="265" customWidth="1"/>
    <col min="6681" max="6681" width="11.5546875" style="265" customWidth="1"/>
    <col min="6682" max="6682" width="12.109375" style="265" customWidth="1"/>
    <col min="6683" max="6685" width="11.5546875" style="265" customWidth="1"/>
    <col min="6686" max="6686" width="12.33203125" style="265" customWidth="1"/>
    <col min="6687" max="6687" width="13.33203125" style="265" customWidth="1"/>
    <col min="6688" max="6688" width="16.5546875" style="265" customWidth="1"/>
    <col min="6689" max="6689" width="17.44140625" style="265" customWidth="1"/>
    <col min="6690" max="6690" width="14.6640625" style="265" customWidth="1"/>
    <col min="6691" max="6693" width="14.5546875" style="265" customWidth="1"/>
    <col min="6694" max="6694" width="20" style="265" bestFit="1" customWidth="1"/>
    <col min="6695" max="6695" width="20.88671875" style="265" customWidth="1"/>
    <col min="6696" max="6696" width="99" style="265" bestFit="1" customWidth="1"/>
    <col min="6697" max="6697" width="25.88671875" style="265" bestFit="1" customWidth="1"/>
    <col min="6698" max="6913" width="8.88671875" style="265"/>
    <col min="6914" max="6914" width="90.44140625" style="265" customWidth="1"/>
    <col min="6915" max="6935" width="11.5546875" style="265" customWidth="1"/>
    <col min="6936" max="6936" width="13.5546875" style="265" customWidth="1"/>
    <col min="6937" max="6937" width="11.5546875" style="265" customWidth="1"/>
    <col min="6938" max="6938" width="12.109375" style="265" customWidth="1"/>
    <col min="6939" max="6941" width="11.5546875" style="265" customWidth="1"/>
    <col min="6942" max="6942" width="12.33203125" style="265" customWidth="1"/>
    <col min="6943" max="6943" width="13.33203125" style="265" customWidth="1"/>
    <col min="6944" max="6944" width="16.5546875" style="265" customWidth="1"/>
    <col min="6945" max="6945" width="17.44140625" style="265" customWidth="1"/>
    <col min="6946" max="6946" width="14.6640625" style="265" customWidth="1"/>
    <col min="6947" max="6949" width="14.5546875" style="265" customWidth="1"/>
    <col min="6950" max="6950" width="20" style="265" bestFit="1" customWidth="1"/>
    <col min="6951" max="6951" width="20.88671875" style="265" customWidth="1"/>
    <col min="6952" max="6952" width="99" style="265" bestFit="1" customWidth="1"/>
    <col min="6953" max="6953" width="25.88671875" style="265" bestFit="1" customWidth="1"/>
    <col min="6954" max="7169" width="8.88671875" style="265"/>
    <col min="7170" max="7170" width="90.44140625" style="265" customWidth="1"/>
    <col min="7171" max="7191" width="11.5546875" style="265" customWidth="1"/>
    <col min="7192" max="7192" width="13.5546875" style="265" customWidth="1"/>
    <col min="7193" max="7193" width="11.5546875" style="265" customWidth="1"/>
    <col min="7194" max="7194" width="12.109375" style="265" customWidth="1"/>
    <col min="7195" max="7197" width="11.5546875" style="265" customWidth="1"/>
    <col min="7198" max="7198" width="12.33203125" style="265" customWidth="1"/>
    <col min="7199" max="7199" width="13.33203125" style="265" customWidth="1"/>
    <col min="7200" max="7200" width="16.5546875" style="265" customWidth="1"/>
    <col min="7201" max="7201" width="17.44140625" style="265" customWidth="1"/>
    <col min="7202" max="7202" width="14.6640625" style="265" customWidth="1"/>
    <col min="7203" max="7205" width="14.5546875" style="265" customWidth="1"/>
    <col min="7206" max="7206" width="20" style="265" bestFit="1" customWidth="1"/>
    <col min="7207" max="7207" width="20.88671875" style="265" customWidth="1"/>
    <col min="7208" max="7208" width="99" style="265" bestFit="1" customWidth="1"/>
    <col min="7209" max="7209" width="25.88671875" style="265" bestFit="1" customWidth="1"/>
    <col min="7210" max="7425" width="8.88671875" style="265"/>
    <col min="7426" max="7426" width="90.44140625" style="265" customWidth="1"/>
    <col min="7427" max="7447" width="11.5546875" style="265" customWidth="1"/>
    <col min="7448" max="7448" width="13.5546875" style="265" customWidth="1"/>
    <col min="7449" max="7449" width="11.5546875" style="265" customWidth="1"/>
    <col min="7450" max="7450" width="12.109375" style="265" customWidth="1"/>
    <col min="7451" max="7453" width="11.5546875" style="265" customWidth="1"/>
    <col min="7454" max="7454" width="12.33203125" style="265" customWidth="1"/>
    <col min="7455" max="7455" width="13.33203125" style="265" customWidth="1"/>
    <col min="7456" max="7456" width="16.5546875" style="265" customWidth="1"/>
    <col min="7457" max="7457" width="17.44140625" style="265" customWidth="1"/>
    <col min="7458" max="7458" width="14.6640625" style="265" customWidth="1"/>
    <col min="7459" max="7461" width="14.5546875" style="265" customWidth="1"/>
    <col min="7462" max="7462" width="20" style="265" bestFit="1" customWidth="1"/>
    <col min="7463" max="7463" width="20.88671875" style="265" customWidth="1"/>
    <col min="7464" max="7464" width="99" style="265" bestFit="1" customWidth="1"/>
    <col min="7465" max="7465" width="25.88671875" style="265" bestFit="1" customWidth="1"/>
    <col min="7466" max="7681" width="8.88671875" style="265"/>
    <col min="7682" max="7682" width="90.44140625" style="265" customWidth="1"/>
    <col min="7683" max="7703" width="11.5546875" style="265" customWidth="1"/>
    <col min="7704" max="7704" width="13.5546875" style="265" customWidth="1"/>
    <col min="7705" max="7705" width="11.5546875" style="265" customWidth="1"/>
    <col min="7706" max="7706" width="12.109375" style="265" customWidth="1"/>
    <col min="7707" max="7709" width="11.5546875" style="265" customWidth="1"/>
    <col min="7710" max="7710" width="12.33203125" style="265" customWidth="1"/>
    <col min="7711" max="7711" width="13.33203125" style="265" customWidth="1"/>
    <col min="7712" max="7712" width="16.5546875" style="265" customWidth="1"/>
    <col min="7713" max="7713" width="17.44140625" style="265" customWidth="1"/>
    <col min="7714" max="7714" width="14.6640625" style="265" customWidth="1"/>
    <col min="7715" max="7717" width="14.5546875" style="265" customWidth="1"/>
    <col min="7718" max="7718" width="20" style="265" bestFit="1" customWidth="1"/>
    <col min="7719" max="7719" width="20.88671875" style="265" customWidth="1"/>
    <col min="7720" max="7720" width="99" style="265" bestFit="1" customWidth="1"/>
    <col min="7721" max="7721" width="25.88671875" style="265" bestFit="1" customWidth="1"/>
    <col min="7722" max="7937" width="8.88671875" style="265"/>
    <col min="7938" max="7938" width="90.44140625" style="265" customWidth="1"/>
    <col min="7939" max="7959" width="11.5546875" style="265" customWidth="1"/>
    <col min="7960" max="7960" width="13.5546875" style="265" customWidth="1"/>
    <col min="7961" max="7961" width="11.5546875" style="265" customWidth="1"/>
    <col min="7962" max="7962" width="12.109375" style="265" customWidth="1"/>
    <col min="7963" max="7965" width="11.5546875" style="265" customWidth="1"/>
    <col min="7966" max="7966" width="12.33203125" style="265" customWidth="1"/>
    <col min="7967" max="7967" width="13.33203125" style="265" customWidth="1"/>
    <col min="7968" max="7968" width="16.5546875" style="265" customWidth="1"/>
    <col min="7969" max="7969" width="17.44140625" style="265" customWidth="1"/>
    <col min="7970" max="7970" width="14.6640625" style="265" customWidth="1"/>
    <col min="7971" max="7973" width="14.5546875" style="265" customWidth="1"/>
    <col min="7974" max="7974" width="20" style="265" bestFit="1" customWidth="1"/>
    <col min="7975" max="7975" width="20.88671875" style="265" customWidth="1"/>
    <col min="7976" max="7976" width="99" style="265" bestFit="1" customWidth="1"/>
    <col min="7977" max="7977" width="25.88671875" style="265" bestFit="1" customWidth="1"/>
    <col min="7978" max="8193" width="8.88671875" style="265"/>
    <col min="8194" max="8194" width="90.44140625" style="265" customWidth="1"/>
    <col min="8195" max="8215" width="11.5546875" style="265" customWidth="1"/>
    <col min="8216" max="8216" width="13.5546875" style="265" customWidth="1"/>
    <col min="8217" max="8217" width="11.5546875" style="265" customWidth="1"/>
    <col min="8218" max="8218" width="12.109375" style="265" customWidth="1"/>
    <col min="8219" max="8221" width="11.5546875" style="265" customWidth="1"/>
    <col min="8222" max="8222" width="12.33203125" style="265" customWidth="1"/>
    <col min="8223" max="8223" width="13.33203125" style="265" customWidth="1"/>
    <col min="8224" max="8224" width="16.5546875" style="265" customWidth="1"/>
    <col min="8225" max="8225" width="17.44140625" style="265" customWidth="1"/>
    <col min="8226" max="8226" width="14.6640625" style="265" customWidth="1"/>
    <col min="8227" max="8229" width="14.5546875" style="265" customWidth="1"/>
    <col min="8230" max="8230" width="20" style="265" bestFit="1" customWidth="1"/>
    <col min="8231" max="8231" width="20.88671875" style="265" customWidth="1"/>
    <col min="8232" max="8232" width="99" style="265" bestFit="1" customWidth="1"/>
    <col min="8233" max="8233" width="25.88671875" style="265" bestFit="1" customWidth="1"/>
    <col min="8234" max="8449" width="8.88671875" style="265"/>
    <col min="8450" max="8450" width="90.44140625" style="265" customWidth="1"/>
    <col min="8451" max="8471" width="11.5546875" style="265" customWidth="1"/>
    <col min="8472" max="8472" width="13.5546875" style="265" customWidth="1"/>
    <col min="8473" max="8473" width="11.5546875" style="265" customWidth="1"/>
    <col min="8474" max="8474" width="12.109375" style="265" customWidth="1"/>
    <col min="8475" max="8477" width="11.5546875" style="265" customWidth="1"/>
    <col min="8478" max="8478" width="12.33203125" style="265" customWidth="1"/>
    <col min="8479" max="8479" width="13.33203125" style="265" customWidth="1"/>
    <col min="8480" max="8480" width="16.5546875" style="265" customWidth="1"/>
    <col min="8481" max="8481" width="17.44140625" style="265" customWidth="1"/>
    <col min="8482" max="8482" width="14.6640625" style="265" customWidth="1"/>
    <col min="8483" max="8485" width="14.5546875" style="265" customWidth="1"/>
    <col min="8486" max="8486" width="20" style="265" bestFit="1" customWidth="1"/>
    <col min="8487" max="8487" width="20.88671875" style="265" customWidth="1"/>
    <col min="8488" max="8488" width="99" style="265" bestFit="1" customWidth="1"/>
    <col min="8489" max="8489" width="25.88671875" style="265" bestFit="1" customWidth="1"/>
    <col min="8490" max="8705" width="8.88671875" style="265"/>
    <col min="8706" max="8706" width="90.44140625" style="265" customWidth="1"/>
    <col min="8707" max="8727" width="11.5546875" style="265" customWidth="1"/>
    <col min="8728" max="8728" width="13.5546875" style="265" customWidth="1"/>
    <col min="8729" max="8729" width="11.5546875" style="265" customWidth="1"/>
    <col min="8730" max="8730" width="12.109375" style="265" customWidth="1"/>
    <col min="8731" max="8733" width="11.5546875" style="265" customWidth="1"/>
    <col min="8734" max="8734" width="12.33203125" style="265" customWidth="1"/>
    <col min="8735" max="8735" width="13.33203125" style="265" customWidth="1"/>
    <col min="8736" max="8736" width="16.5546875" style="265" customWidth="1"/>
    <col min="8737" max="8737" width="17.44140625" style="265" customWidth="1"/>
    <col min="8738" max="8738" width="14.6640625" style="265" customWidth="1"/>
    <col min="8739" max="8741" width="14.5546875" style="265" customWidth="1"/>
    <col min="8742" max="8742" width="20" style="265" bestFit="1" customWidth="1"/>
    <col min="8743" max="8743" width="20.88671875" style="265" customWidth="1"/>
    <col min="8744" max="8744" width="99" style="265" bestFit="1" customWidth="1"/>
    <col min="8745" max="8745" width="25.88671875" style="265" bestFit="1" customWidth="1"/>
    <col min="8746" max="8961" width="8.88671875" style="265"/>
    <col min="8962" max="8962" width="90.44140625" style="265" customWidth="1"/>
    <col min="8963" max="8983" width="11.5546875" style="265" customWidth="1"/>
    <col min="8984" max="8984" width="13.5546875" style="265" customWidth="1"/>
    <col min="8985" max="8985" width="11.5546875" style="265" customWidth="1"/>
    <col min="8986" max="8986" width="12.109375" style="265" customWidth="1"/>
    <col min="8987" max="8989" width="11.5546875" style="265" customWidth="1"/>
    <col min="8990" max="8990" width="12.33203125" style="265" customWidth="1"/>
    <col min="8991" max="8991" width="13.33203125" style="265" customWidth="1"/>
    <col min="8992" max="8992" width="16.5546875" style="265" customWidth="1"/>
    <col min="8993" max="8993" width="17.44140625" style="265" customWidth="1"/>
    <col min="8994" max="8994" width="14.6640625" style="265" customWidth="1"/>
    <col min="8995" max="8997" width="14.5546875" style="265" customWidth="1"/>
    <col min="8998" max="8998" width="20" style="265" bestFit="1" customWidth="1"/>
    <col min="8999" max="8999" width="20.88671875" style="265" customWidth="1"/>
    <col min="9000" max="9000" width="99" style="265" bestFit="1" customWidth="1"/>
    <col min="9001" max="9001" width="25.88671875" style="265" bestFit="1" customWidth="1"/>
    <col min="9002" max="9217" width="8.88671875" style="265"/>
    <col min="9218" max="9218" width="90.44140625" style="265" customWidth="1"/>
    <col min="9219" max="9239" width="11.5546875" style="265" customWidth="1"/>
    <col min="9240" max="9240" width="13.5546875" style="265" customWidth="1"/>
    <col min="9241" max="9241" width="11.5546875" style="265" customWidth="1"/>
    <col min="9242" max="9242" width="12.109375" style="265" customWidth="1"/>
    <col min="9243" max="9245" width="11.5546875" style="265" customWidth="1"/>
    <col min="9246" max="9246" width="12.33203125" style="265" customWidth="1"/>
    <col min="9247" max="9247" width="13.33203125" style="265" customWidth="1"/>
    <col min="9248" max="9248" width="16.5546875" style="265" customWidth="1"/>
    <col min="9249" max="9249" width="17.44140625" style="265" customWidth="1"/>
    <col min="9250" max="9250" width="14.6640625" style="265" customWidth="1"/>
    <col min="9251" max="9253" width="14.5546875" style="265" customWidth="1"/>
    <col min="9254" max="9254" width="20" style="265" bestFit="1" customWidth="1"/>
    <col min="9255" max="9255" width="20.88671875" style="265" customWidth="1"/>
    <col min="9256" max="9256" width="99" style="265" bestFit="1" customWidth="1"/>
    <col min="9257" max="9257" width="25.88671875" style="265" bestFit="1" customWidth="1"/>
    <col min="9258" max="9473" width="8.88671875" style="265"/>
    <col min="9474" max="9474" width="90.44140625" style="265" customWidth="1"/>
    <col min="9475" max="9495" width="11.5546875" style="265" customWidth="1"/>
    <col min="9496" max="9496" width="13.5546875" style="265" customWidth="1"/>
    <col min="9497" max="9497" width="11.5546875" style="265" customWidth="1"/>
    <col min="9498" max="9498" width="12.109375" style="265" customWidth="1"/>
    <col min="9499" max="9501" width="11.5546875" style="265" customWidth="1"/>
    <col min="9502" max="9502" width="12.33203125" style="265" customWidth="1"/>
    <col min="9503" max="9503" width="13.33203125" style="265" customWidth="1"/>
    <col min="9504" max="9504" width="16.5546875" style="265" customWidth="1"/>
    <col min="9505" max="9505" width="17.44140625" style="265" customWidth="1"/>
    <col min="9506" max="9506" width="14.6640625" style="265" customWidth="1"/>
    <col min="9507" max="9509" width="14.5546875" style="265" customWidth="1"/>
    <col min="9510" max="9510" width="20" style="265" bestFit="1" customWidth="1"/>
    <col min="9511" max="9511" width="20.88671875" style="265" customWidth="1"/>
    <col min="9512" max="9512" width="99" style="265" bestFit="1" customWidth="1"/>
    <col min="9513" max="9513" width="25.88671875" style="265" bestFit="1" customWidth="1"/>
    <col min="9514" max="9729" width="8.88671875" style="265"/>
    <col min="9730" max="9730" width="90.44140625" style="265" customWidth="1"/>
    <col min="9731" max="9751" width="11.5546875" style="265" customWidth="1"/>
    <col min="9752" max="9752" width="13.5546875" style="265" customWidth="1"/>
    <col min="9753" max="9753" width="11.5546875" style="265" customWidth="1"/>
    <col min="9754" max="9754" width="12.109375" style="265" customWidth="1"/>
    <col min="9755" max="9757" width="11.5546875" style="265" customWidth="1"/>
    <col min="9758" max="9758" width="12.33203125" style="265" customWidth="1"/>
    <col min="9759" max="9759" width="13.33203125" style="265" customWidth="1"/>
    <col min="9760" max="9760" width="16.5546875" style="265" customWidth="1"/>
    <col min="9761" max="9761" width="17.44140625" style="265" customWidth="1"/>
    <col min="9762" max="9762" width="14.6640625" style="265" customWidth="1"/>
    <col min="9763" max="9765" width="14.5546875" style="265" customWidth="1"/>
    <col min="9766" max="9766" width="20" style="265" bestFit="1" customWidth="1"/>
    <col min="9767" max="9767" width="20.88671875" style="265" customWidth="1"/>
    <col min="9768" max="9768" width="99" style="265" bestFit="1" customWidth="1"/>
    <col min="9769" max="9769" width="25.88671875" style="265" bestFit="1" customWidth="1"/>
    <col min="9770" max="9985" width="8.88671875" style="265"/>
    <col min="9986" max="9986" width="90.44140625" style="265" customWidth="1"/>
    <col min="9987" max="10007" width="11.5546875" style="265" customWidth="1"/>
    <col min="10008" max="10008" width="13.5546875" style="265" customWidth="1"/>
    <col min="10009" max="10009" width="11.5546875" style="265" customWidth="1"/>
    <col min="10010" max="10010" width="12.109375" style="265" customWidth="1"/>
    <col min="10011" max="10013" width="11.5546875" style="265" customWidth="1"/>
    <col min="10014" max="10014" width="12.33203125" style="265" customWidth="1"/>
    <col min="10015" max="10015" width="13.33203125" style="265" customWidth="1"/>
    <col min="10016" max="10016" width="16.5546875" style="265" customWidth="1"/>
    <col min="10017" max="10017" width="17.44140625" style="265" customWidth="1"/>
    <col min="10018" max="10018" width="14.6640625" style="265" customWidth="1"/>
    <col min="10019" max="10021" width="14.5546875" style="265" customWidth="1"/>
    <col min="10022" max="10022" width="20" style="265" bestFit="1" customWidth="1"/>
    <col min="10023" max="10023" width="20.88671875" style="265" customWidth="1"/>
    <col min="10024" max="10024" width="99" style="265" bestFit="1" customWidth="1"/>
    <col min="10025" max="10025" width="25.88671875" style="265" bestFit="1" customWidth="1"/>
    <col min="10026" max="10241" width="8.88671875" style="265"/>
    <col min="10242" max="10242" width="90.44140625" style="265" customWidth="1"/>
    <col min="10243" max="10263" width="11.5546875" style="265" customWidth="1"/>
    <col min="10264" max="10264" width="13.5546875" style="265" customWidth="1"/>
    <col min="10265" max="10265" width="11.5546875" style="265" customWidth="1"/>
    <col min="10266" max="10266" width="12.109375" style="265" customWidth="1"/>
    <col min="10267" max="10269" width="11.5546875" style="265" customWidth="1"/>
    <col min="10270" max="10270" width="12.33203125" style="265" customWidth="1"/>
    <col min="10271" max="10271" width="13.33203125" style="265" customWidth="1"/>
    <col min="10272" max="10272" width="16.5546875" style="265" customWidth="1"/>
    <col min="10273" max="10273" width="17.44140625" style="265" customWidth="1"/>
    <col min="10274" max="10274" width="14.6640625" style="265" customWidth="1"/>
    <col min="10275" max="10277" width="14.5546875" style="265" customWidth="1"/>
    <col min="10278" max="10278" width="20" style="265" bestFit="1" customWidth="1"/>
    <col min="10279" max="10279" width="20.88671875" style="265" customWidth="1"/>
    <col min="10280" max="10280" width="99" style="265" bestFit="1" customWidth="1"/>
    <col min="10281" max="10281" width="25.88671875" style="265" bestFit="1" customWidth="1"/>
    <col min="10282" max="10497" width="8.88671875" style="265"/>
    <col min="10498" max="10498" width="90.44140625" style="265" customWidth="1"/>
    <col min="10499" max="10519" width="11.5546875" style="265" customWidth="1"/>
    <col min="10520" max="10520" width="13.5546875" style="265" customWidth="1"/>
    <col min="10521" max="10521" width="11.5546875" style="265" customWidth="1"/>
    <col min="10522" max="10522" width="12.109375" style="265" customWidth="1"/>
    <col min="10523" max="10525" width="11.5546875" style="265" customWidth="1"/>
    <col min="10526" max="10526" width="12.33203125" style="265" customWidth="1"/>
    <col min="10527" max="10527" width="13.33203125" style="265" customWidth="1"/>
    <col min="10528" max="10528" width="16.5546875" style="265" customWidth="1"/>
    <col min="10529" max="10529" width="17.44140625" style="265" customWidth="1"/>
    <col min="10530" max="10530" width="14.6640625" style="265" customWidth="1"/>
    <col min="10531" max="10533" width="14.5546875" style="265" customWidth="1"/>
    <col min="10534" max="10534" width="20" style="265" bestFit="1" customWidth="1"/>
    <col min="10535" max="10535" width="20.88671875" style="265" customWidth="1"/>
    <col min="10536" max="10536" width="99" style="265" bestFit="1" customWidth="1"/>
    <col min="10537" max="10537" width="25.88671875" style="265" bestFit="1" customWidth="1"/>
    <col min="10538" max="10753" width="8.88671875" style="265"/>
    <col min="10754" max="10754" width="90.44140625" style="265" customWidth="1"/>
    <col min="10755" max="10775" width="11.5546875" style="265" customWidth="1"/>
    <col min="10776" max="10776" width="13.5546875" style="265" customWidth="1"/>
    <col min="10777" max="10777" width="11.5546875" style="265" customWidth="1"/>
    <col min="10778" max="10778" width="12.109375" style="265" customWidth="1"/>
    <col min="10779" max="10781" width="11.5546875" style="265" customWidth="1"/>
    <col min="10782" max="10782" width="12.33203125" style="265" customWidth="1"/>
    <col min="10783" max="10783" width="13.33203125" style="265" customWidth="1"/>
    <col min="10784" max="10784" width="16.5546875" style="265" customWidth="1"/>
    <col min="10785" max="10785" width="17.44140625" style="265" customWidth="1"/>
    <col min="10786" max="10786" width="14.6640625" style="265" customWidth="1"/>
    <col min="10787" max="10789" width="14.5546875" style="265" customWidth="1"/>
    <col min="10790" max="10790" width="20" style="265" bestFit="1" customWidth="1"/>
    <col min="10791" max="10791" width="20.88671875" style="265" customWidth="1"/>
    <col min="10792" max="10792" width="99" style="265" bestFit="1" customWidth="1"/>
    <col min="10793" max="10793" width="25.88671875" style="265" bestFit="1" customWidth="1"/>
    <col min="10794" max="11009" width="8.88671875" style="265"/>
    <col min="11010" max="11010" width="90.44140625" style="265" customWidth="1"/>
    <col min="11011" max="11031" width="11.5546875" style="265" customWidth="1"/>
    <col min="11032" max="11032" width="13.5546875" style="265" customWidth="1"/>
    <col min="11033" max="11033" width="11.5546875" style="265" customWidth="1"/>
    <col min="11034" max="11034" width="12.109375" style="265" customWidth="1"/>
    <col min="11035" max="11037" width="11.5546875" style="265" customWidth="1"/>
    <col min="11038" max="11038" width="12.33203125" style="265" customWidth="1"/>
    <col min="11039" max="11039" width="13.33203125" style="265" customWidth="1"/>
    <col min="11040" max="11040" width="16.5546875" style="265" customWidth="1"/>
    <col min="11041" max="11041" width="17.44140625" style="265" customWidth="1"/>
    <col min="11042" max="11042" width="14.6640625" style="265" customWidth="1"/>
    <col min="11043" max="11045" width="14.5546875" style="265" customWidth="1"/>
    <col min="11046" max="11046" width="20" style="265" bestFit="1" customWidth="1"/>
    <col min="11047" max="11047" width="20.88671875" style="265" customWidth="1"/>
    <col min="11048" max="11048" width="99" style="265" bestFit="1" customWidth="1"/>
    <col min="11049" max="11049" width="25.88671875" style="265" bestFit="1" customWidth="1"/>
    <col min="11050" max="11265" width="8.88671875" style="265"/>
    <col min="11266" max="11266" width="90.44140625" style="265" customWidth="1"/>
    <col min="11267" max="11287" width="11.5546875" style="265" customWidth="1"/>
    <col min="11288" max="11288" width="13.5546875" style="265" customWidth="1"/>
    <col min="11289" max="11289" width="11.5546875" style="265" customWidth="1"/>
    <col min="11290" max="11290" width="12.109375" style="265" customWidth="1"/>
    <col min="11291" max="11293" width="11.5546875" style="265" customWidth="1"/>
    <col min="11294" max="11294" width="12.33203125" style="265" customWidth="1"/>
    <col min="11295" max="11295" width="13.33203125" style="265" customWidth="1"/>
    <col min="11296" max="11296" width="16.5546875" style="265" customWidth="1"/>
    <col min="11297" max="11297" width="17.44140625" style="265" customWidth="1"/>
    <col min="11298" max="11298" width="14.6640625" style="265" customWidth="1"/>
    <col min="11299" max="11301" width="14.5546875" style="265" customWidth="1"/>
    <col min="11302" max="11302" width="20" style="265" bestFit="1" customWidth="1"/>
    <col min="11303" max="11303" width="20.88671875" style="265" customWidth="1"/>
    <col min="11304" max="11304" width="99" style="265" bestFit="1" customWidth="1"/>
    <col min="11305" max="11305" width="25.88671875" style="265" bestFit="1" customWidth="1"/>
    <col min="11306" max="11521" width="8.88671875" style="265"/>
    <col min="11522" max="11522" width="90.44140625" style="265" customWidth="1"/>
    <col min="11523" max="11543" width="11.5546875" style="265" customWidth="1"/>
    <col min="11544" max="11544" width="13.5546875" style="265" customWidth="1"/>
    <col min="11545" max="11545" width="11.5546875" style="265" customWidth="1"/>
    <col min="11546" max="11546" width="12.109375" style="265" customWidth="1"/>
    <col min="11547" max="11549" width="11.5546875" style="265" customWidth="1"/>
    <col min="11550" max="11550" width="12.33203125" style="265" customWidth="1"/>
    <col min="11551" max="11551" width="13.33203125" style="265" customWidth="1"/>
    <col min="11552" max="11552" width="16.5546875" style="265" customWidth="1"/>
    <col min="11553" max="11553" width="17.44140625" style="265" customWidth="1"/>
    <col min="11554" max="11554" width="14.6640625" style="265" customWidth="1"/>
    <col min="11555" max="11557" width="14.5546875" style="265" customWidth="1"/>
    <col min="11558" max="11558" width="20" style="265" bestFit="1" customWidth="1"/>
    <col min="11559" max="11559" width="20.88671875" style="265" customWidth="1"/>
    <col min="11560" max="11560" width="99" style="265" bestFit="1" customWidth="1"/>
    <col min="11561" max="11561" width="25.88671875" style="265" bestFit="1" customWidth="1"/>
    <col min="11562" max="11777" width="8.88671875" style="265"/>
    <col min="11778" max="11778" width="90.44140625" style="265" customWidth="1"/>
    <col min="11779" max="11799" width="11.5546875" style="265" customWidth="1"/>
    <col min="11800" max="11800" width="13.5546875" style="265" customWidth="1"/>
    <col min="11801" max="11801" width="11.5546875" style="265" customWidth="1"/>
    <col min="11802" max="11802" width="12.109375" style="265" customWidth="1"/>
    <col min="11803" max="11805" width="11.5546875" style="265" customWidth="1"/>
    <col min="11806" max="11806" width="12.33203125" style="265" customWidth="1"/>
    <col min="11807" max="11807" width="13.33203125" style="265" customWidth="1"/>
    <col min="11808" max="11808" width="16.5546875" style="265" customWidth="1"/>
    <col min="11809" max="11809" width="17.44140625" style="265" customWidth="1"/>
    <col min="11810" max="11810" width="14.6640625" style="265" customWidth="1"/>
    <col min="11811" max="11813" width="14.5546875" style="265" customWidth="1"/>
    <col min="11814" max="11814" width="20" style="265" bestFit="1" customWidth="1"/>
    <col min="11815" max="11815" width="20.88671875" style="265" customWidth="1"/>
    <col min="11816" max="11816" width="99" style="265" bestFit="1" customWidth="1"/>
    <col min="11817" max="11817" width="25.88671875" style="265" bestFit="1" customWidth="1"/>
    <col min="11818" max="12033" width="8.88671875" style="265"/>
    <col min="12034" max="12034" width="90.44140625" style="265" customWidth="1"/>
    <col min="12035" max="12055" width="11.5546875" style="265" customWidth="1"/>
    <col min="12056" max="12056" width="13.5546875" style="265" customWidth="1"/>
    <col min="12057" max="12057" width="11.5546875" style="265" customWidth="1"/>
    <col min="12058" max="12058" width="12.109375" style="265" customWidth="1"/>
    <col min="12059" max="12061" width="11.5546875" style="265" customWidth="1"/>
    <col min="12062" max="12062" width="12.33203125" style="265" customWidth="1"/>
    <col min="12063" max="12063" width="13.33203125" style="265" customWidth="1"/>
    <col min="12064" max="12064" width="16.5546875" style="265" customWidth="1"/>
    <col min="12065" max="12065" width="17.44140625" style="265" customWidth="1"/>
    <col min="12066" max="12066" width="14.6640625" style="265" customWidth="1"/>
    <col min="12067" max="12069" width="14.5546875" style="265" customWidth="1"/>
    <col min="12070" max="12070" width="20" style="265" bestFit="1" customWidth="1"/>
    <col min="12071" max="12071" width="20.88671875" style="265" customWidth="1"/>
    <col min="12072" max="12072" width="99" style="265" bestFit="1" customWidth="1"/>
    <col min="12073" max="12073" width="25.88671875" style="265" bestFit="1" customWidth="1"/>
    <col min="12074" max="12289" width="8.88671875" style="265"/>
    <col min="12290" max="12290" width="90.44140625" style="265" customWidth="1"/>
    <col min="12291" max="12311" width="11.5546875" style="265" customWidth="1"/>
    <col min="12312" max="12312" width="13.5546875" style="265" customWidth="1"/>
    <col min="12313" max="12313" width="11.5546875" style="265" customWidth="1"/>
    <col min="12314" max="12314" width="12.109375" style="265" customWidth="1"/>
    <col min="12315" max="12317" width="11.5546875" style="265" customWidth="1"/>
    <col min="12318" max="12318" width="12.33203125" style="265" customWidth="1"/>
    <col min="12319" max="12319" width="13.33203125" style="265" customWidth="1"/>
    <col min="12320" max="12320" width="16.5546875" style="265" customWidth="1"/>
    <col min="12321" max="12321" width="17.44140625" style="265" customWidth="1"/>
    <col min="12322" max="12322" width="14.6640625" style="265" customWidth="1"/>
    <col min="12323" max="12325" width="14.5546875" style="265" customWidth="1"/>
    <col min="12326" max="12326" width="20" style="265" bestFit="1" customWidth="1"/>
    <col min="12327" max="12327" width="20.88671875" style="265" customWidth="1"/>
    <col min="12328" max="12328" width="99" style="265" bestFit="1" customWidth="1"/>
    <col min="12329" max="12329" width="25.88671875" style="265" bestFit="1" customWidth="1"/>
    <col min="12330" max="12545" width="8.88671875" style="265"/>
    <col min="12546" max="12546" width="90.44140625" style="265" customWidth="1"/>
    <col min="12547" max="12567" width="11.5546875" style="265" customWidth="1"/>
    <col min="12568" max="12568" width="13.5546875" style="265" customWidth="1"/>
    <col min="12569" max="12569" width="11.5546875" style="265" customWidth="1"/>
    <col min="12570" max="12570" width="12.109375" style="265" customWidth="1"/>
    <col min="12571" max="12573" width="11.5546875" style="265" customWidth="1"/>
    <col min="12574" max="12574" width="12.33203125" style="265" customWidth="1"/>
    <col min="12575" max="12575" width="13.33203125" style="265" customWidth="1"/>
    <col min="12576" max="12576" width="16.5546875" style="265" customWidth="1"/>
    <col min="12577" max="12577" width="17.44140625" style="265" customWidth="1"/>
    <col min="12578" max="12578" width="14.6640625" style="265" customWidth="1"/>
    <col min="12579" max="12581" width="14.5546875" style="265" customWidth="1"/>
    <col min="12582" max="12582" width="20" style="265" bestFit="1" customWidth="1"/>
    <col min="12583" max="12583" width="20.88671875" style="265" customWidth="1"/>
    <col min="12584" max="12584" width="99" style="265" bestFit="1" customWidth="1"/>
    <col min="12585" max="12585" width="25.88671875" style="265" bestFit="1" customWidth="1"/>
    <col min="12586" max="12801" width="8.88671875" style="265"/>
    <col min="12802" max="12802" width="90.44140625" style="265" customWidth="1"/>
    <col min="12803" max="12823" width="11.5546875" style="265" customWidth="1"/>
    <col min="12824" max="12824" width="13.5546875" style="265" customWidth="1"/>
    <col min="12825" max="12825" width="11.5546875" style="265" customWidth="1"/>
    <col min="12826" max="12826" width="12.109375" style="265" customWidth="1"/>
    <col min="12827" max="12829" width="11.5546875" style="265" customWidth="1"/>
    <col min="12830" max="12830" width="12.33203125" style="265" customWidth="1"/>
    <col min="12831" max="12831" width="13.33203125" style="265" customWidth="1"/>
    <col min="12832" max="12832" width="16.5546875" style="265" customWidth="1"/>
    <col min="12833" max="12833" width="17.44140625" style="265" customWidth="1"/>
    <col min="12834" max="12834" width="14.6640625" style="265" customWidth="1"/>
    <col min="12835" max="12837" width="14.5546875" style="265" customWidth="1"/>
    <col min="12838" max="12838" width="20" style="265" bestFit="1" customWidth="1"/>
    <col min="12839" max="12839" width="20.88671875" style="265" customWidth="1"/>
    <col min="12840" max="12840" width="99" style="265" bestFit="1" customWidth="1"/>
    <col min="12841" max="12841" width="25.88671875" style="265" bestFit="1" customWidth="1"/>
    <col min="12842" max="13057" width="8.88671875" style="265"/>
    <col min="13058" max="13058" width="90.44140625" style="265" customWidth="1"/>
    <col min="13059" max="13079" width="11.5546875" style="265" customWidth="1"/>
    <col min="13080" max="13080" width="13.5546875" style="265" customWidth="1"/>
    <col min="13081" max="13081" width="11.5546875" style="265" customWidth="1"/>
    <col min="13082" max="13082" width="12.109375" style="265" customWidth="1"/>
    <col min="13083" max="13085" width="11.5546875" style="265" customWidth="1"/>
    <col min="13086" max="13086" width="12.33203125" style="265" customWidth="1"/>
    <col min="13087" max="13087" width="13.33203125" style="265" customWidth="1"/>
    <col min="13088" max="13088" width="16.5546875" style="265" customWidth="1"/>
    <col min="13089" max="13089" width="17.44140625" style="265" customWidth="1"/>
    <col min="13090" max="13090" width="14.6640625" style="265" customWidth="1"/>
    <col min="13091" max="13093" width="14.5546875" style="265" customWidth="1"/>
    <col min="13094" max="13094" width="20" style="265" bestFit="1" customWidth="1"/>
    <col min="13095" max="13095" width="20.88671875" style="265" customWidth="1"/>
    <col min="13096" max="13096" width="99" style="265" bestFit="1" customWidth="1"/>
    <col min="13097" max="13097" width="25.88671875" style="265" bestFit="1" customWidth="1"/>
    <col min="13098" max="13313" width="8.88671875" style="265"/>
    <col min="13314" max="13314" width="90.44140625" style="265" customWidth="1"/>
    <col min="13315" max="13335" width="11.5546875" style="265" customWidth="1"/>
    <col min="13336" max="13336" width="13.5546875" style="265" customWidth="1"/>
    <col min="13337" max="13337" width="11.5546875" style="265" customWidth="1"/>
    <col min="13338" max="13338" width="12.109375" style="265" customWidth="1"/>
    <col min="13339" max="13341" width="11.5546875" style="265" customWidth="1"/>
    <col min="13342" max="13342" width="12.33203125" style="265" customWidth="1"/>
    <col min="13343" max="13343" width="13.33203125" style="265" customWidth="1"/>
    <col min="13344" max="13344" width="16.5546875" style="265" customWidth="1"/>
    <col min="13345" max="13345" width="17.44140625" style="265" customWidth="1"/>
    <col min="13346" max="13346" width="14.6640625" style="265" customWidth="1"/>
    <col min="13347" max="13349" width="14.5546875" style="265" customWidth="1"/>
    <col min="13350" max="13350" width="20" style="265" bestFit="1" customWidth="1"/>
    <col min="13351" max="13351" width="20.88671875" style="265" customWidth="1"/>
    <col min="13352" max="13352" width="99" style="265" bestFit="1" customWidth="1"/>
    <col min="13353" max="13353" width="25.88671875" style="265" bestFit="1" customWidth="1"/>
    <col min="13354" max="13569" width="8.88671875" style="265"/>
    <col min="13570" max="13570" width="90.44140625" style="265" customWidth="1"/>
    <col min="13571" max="13591" width="11.5546875" style="265" customWidth="1"/>
    <col min="13592" max="13592" width="13.5546875" style="265" customWidth="1"/>
    <col min="13593" max="13593" width="11.5546875" style="265" customWidth="1"/>
    <col min="13594" max="13594" width="12.109375" style="265" customWidth="1"/>
    <col min="13595" max="13597" width="11.5546875" style="265" customWidth="1"/>
    <col min="13598" max="13598" width="12.33203125" style="265" customWidth="1"/>
    <col min="13599" max="13599" width="13.33203125" style="265" customWidth="1"/>
    <col min="13600" max="13600" width="16.5546875" style="265" customWidth="1"/>
    <col min="13601" max="13601" width="17.44140625" style="265" customWidth="1"/>
    <col min="13602" max="13602" width="14.6640625" style="265" customWidth="1"/>
    <col min="13603" max="13605" width="14.5546875" style="265" customWidth="1"/>
    <col min="13606" max="13606" width="20" style="265" bestFit="1" customWidth="1"/>
    <col min="13607" max="13607" width="20.88671875" style="265" customWidth="1"/>
    <col min="13608" max="13608" width="99" style="265" bestFit="1" customWidth="1"/>
    <col min="13609" max="13609" width="25.88671875" style="265" bestFit="1" customWidth="1"/>
    <col min="13610" max="13825" width="8.88671875" style="265"/>
    <col min="13826" max="13826" width="90.44140625" style="265" customWidth="1"/>
    <col min="13827" max="13847" width="11.5546875" style="265" customWidth="1"/>
    <col min="13848" max="13848" width="13.5546875" style="265" customWidth="1"/>
    <col min="13849" max="13849" width="11.5546875" style="265" customWidth="1"/>
    <col min="13850" max="13850" width="12.109375" style="265" customWidth="1"/>
    <col min="13851" max="13853" width="11.5546875" style="265" customWidth="1"/>
    <col min="13854" max="13854" width="12.33203125" style="265" customWidth="1"/>
    <col min="13855" max="13855" width="13.33203125" style="265" customWidth="1"/>
    <col min="13856" max="13856" width="16.5546875" style="265" customWidth="1"/>
    <col min="13857" max="13857" width="17.44140625" style="265" customWidth="1"/>
    <col min="13858" max="13858" width="14.6640625" style="265" customWidth="1"/>
    <col min="13859" max="13861" width="14.5546875" style="265" customWidth="1"/>
    <col min="13862" max="13862" width="20" style="265" bestFit="1" customWidth="1"/>
    <col min="13863" max="13863" width="20.88671875" style="265" customWidth="1"/>
    <col min="13864" max="13864" width="99" style="265" bestFit="1" customWidth="1"/>
    <col min="13865" max="13865" width="25.88671875" style="265" bestFit="1" customWidth="1"/>
    <col min="13866" max="14081" width="8.88671875" style="265"/>
    <col min="14082" max="14082" width="90.44140625" style="265" customWidth="1"/>
    <col min="14083" max="14103" width="11.5546875" style="265" customWidth="1"/>
    <col min="14104" max="14104" width="13.5546875" style="265" customWidth="1"/>
    <col min="14105" max="14105" width="11.5546875" style="265" customWidth="1"/>
    <col min="14106" max="14106" width="12.109375" style="265" customWidth="1"/>
    <col min="14107" max="14109" width="11.5546875" style="265" customWidth="1"/>
    <col min="14110" max="14110" width="12.33203125" style="265" customWidth="1"/>
    <col min="14111" max="14111" width="13.33203125" style="265" customWidth="1"/>
    <col min="14112" max="14112" width="16.5546875" style="265" customWidth="1"/>
    <col min="14113" max="14113" width="17.44140625" style="265" customWidth="1"/>
    <col min="14114" max="14114" width="14.6640625" style="265" customWidth="1"/>
    <col min="14115" max="14117" width="14.5546875" style="265" customWidth="1"/>
    <col min="14118" max="14118" width="20" style="265" bestFit="1" customWidth="1"/>
    <col min="14119" max="14119" width="20.88671875" style="265" customWidth="1"/>
    <col min="14120" max="14120" width="99" style="265" bestFit="1" customWidth="1"/>
    <col min="14121" max="14121" width="25.88671875" style="265" bestFit="1" customWidth="1"/>
    <col min="14122" max="14337" width="8.88671875" style="265"/>
    <col min="14338" max="14338" width="90.44140625" style="265" customWidth="1"/>
    <col min="14339" max="14359" width="11.5546875" style="265" customWidth="1"/>
    <col min="14360" max="14360" width="13.5546875" style="265" customWidth="1"/>
    <col min="14361" max="14361" width="11.5546875" style="265" customWidth="1"/>
    <col min="14362" max="14362" width="12.109375" style="265" customWidth="1"/>
    <col min="14363" max="14365" width="11.5546875" style="265" customWidth="1"/>
    <col min="14366" max="14366" width="12.33203125" style="265" customWidth="1"/>
    <col min="14367" max="14367" width="13.33203125" style="265" customWidth="1"/>
    <col min="14368" max="14368" width="16.5546875" style="265" customWidth="1"/>
    <col min="14369" max="14369" width="17.44140625" style="265" customWidth="1"/>
    <col min="14370" max="14370" width="14.6640625" style="265" customWidth="1"/>
    <col min="14371" max="14373" width="14.5546875" style="265" customWidth="1"/>
    <col min="14374" max="14374" width="20" style="265" bestFit="1" customWidth="1"/>
    <col min="14375" max="14375" width="20.88671875" style="265" customWidth="1"/>
    <col min="14376" max="14376" width="99" style="265" bestFit="1" customWidth="1"/>
    <col min="14377" max="14377" width="25.88671875" style="265" bestFit="1" customWidth="1"/>
    <col min="14378" max="14593" width="8.88671875" style="265"/>
    <col min="14594" max="14594" width="90.44140625" style="265" customWidth="1"/>
    <col min="14595" max="14615" width="11.5546875" style="265" customWidth="1"/>
    <col min="14616" max="14616" width="13.5546875" style="265" customWidth="1"/>
    <col min="14617" max="14617" width="11.5546875" style="265" customWidth="1"/>
    <col min="14618" max="14618" width="12.109375" style="265" customWidth="1"/>
    <col min="14619" max="14621" width="11.5546875" style="265" customWidth="1"/>
    <col min="14622" max="14622" width="12.33203125" style="265" customWidth="1"/>
    <col min="14623" max="14623" width="13.33203125" style="265" customWidth="1"/>
    <col min="14624" max="14624" width="16.5546875" style="265" customWidth="1"/>
    <col min="14625" max="14625" width="17.44140625" style="265" customWidth="1"/>
    <col min="14626" max="14626" width="14.6640625" style="265" customWidth="1"/>
    <col min="14627" max="14629" width="14.5546875" style="265" customWidth="1"/>
    <col min="14630" max="14630" width="20" style="265" bestFit="1" customWidth="1"/>
    <col min="14631" max="14631" width="20.88671875" style="265" customWidth="1"/>
    <col min="14632" max="14632" width="99" style="265" bestFit="1" customWidth="1"/>
    <col min="14633" max="14633" width="25.88671875" style="265" bestFit="1" customWidth="1"/>
    <col min="14634" max="14849" width="8.88671875" style="265"/>
    <col min="14850" max="14850" width="90.44140625" style="265" customWidth="1"/>
    <col min="14851" max="14871" width="11.5546875" style="265" customWidth="1"/>
    <col min="14872" max="14872" width="13.5546875" style="265" customWidth="1"/>
    <col min="14873" max="14873" width="11.5546875" style="265" customWidth="1"/>
    <col min="14874" max="14874" width="12.109375" style="265" customWidth="1"/>
    <col min="14875" max="14877" width="11.5546875" style="265" customWidth="1"/>
    <col min="14878" max="14878" width="12.33203125" style="265" customWidth="1"/>
    <col min="14879" max="14879" width="13.33203125" style="265" customWidth="1"/>
    <col min="14880" max="14880" width="16.5546875" style="265" customWidth="1"/>
    <col min="14881" max="14881" width="17.44140625" style="265" customWidth="1"/>
    <col min="14882" max="14882" width="14.6640625" style="265" customWidth="1"/>
    <col min="14883" max="14885" width="14.5546875" style="265" customWidth="1"/>
    <col min="14886" max="14886" width="20" style="265" bestFit="1" customWidth="1"/>
    <col min="14887" max="14887" width="20.88671875" style="265" customWidth="1"/>
    <col min="14888" max="14888" width="99" style="265" bestFit="1" customWidth="1"/>
    <col min="14889" max="14889" width="25.88671875" style="265" bestFit="1" customWidth="1"/>
    <col min="14890" max="15105" width="8.88671875" style="265"/>
    <col min="15106" max="15106" width="90.44140625" style="265" customWidth="1"/>
    <col min="15107" max="15127" width="11.5546875" style="265" customWidth="1"/>
    <col min="15128" max="15128" width="13.5546875" style="265" customWidth="1"/>
    <col min="15129" max="15129" width="11.5546875" style="265" customWidth="1"/>
    <col min="15130" max="15130" width="12.109375" style="265" customWidth="1"/>
    <col min="15131" max="15133" width="11.5546875" style="265" customWidth="1"/>
    <col min="15134" max="15134" width="12.33203125" style="265" customWidth="1"/>
    <col min="15135" max="15135" width="13.33203125" style="265" customWidth="1"/>
    <col min="15136" max="15136" width="16.5546875" style="265" customWidth="1"/>
    <col min="15137" max="15137" width="17.44140625" style="265" customWidth="1"/>
    <col min="15138" max="15138" width="14.6640625" style="265" customWidth="1"/>
    <col min="15139" max="15141" width="14.5546875" style="265" customWidth="1"/>
    <col min="15142" max="15142" width="20" style="265" bestFit="1" customWidth="1"/>
    <col min="15143" max="15143" width="20.88671875" style="265" customWidth="1"/>
    <col min="15144" max="15144" width="99" style="265" bestFit="1" customWidth="1"/>
    <col min="15145" max="15145" width="25.88671875" style="265" bestFit="1" customWidth="1"/>
    <col min="15146" max="15361" width="8.88671875" style="265"/>
    <col min="15362" max="15362" width="90.44140625" style="265" customWidth="1"/>
    <col min="15363" max="15383" width="11.5546875" style="265" customWidth="1"/>
    <col min="15384" max="15384" width="13.5546875" style="265" customWidth="1"/>
    <col min="15385" max="15385" width="11.5546875" style="265" customWidth="1"/>
    <col min="15386" max="15386" width="12.109375" style="265" customWidth="1"/>
    <col min="15387" max="15389" width="11.5546875" style="265" customWidth="1"/>
    <col min="15390" max="15390" width="12.33203125" style="265" customWidth="1"/>
    <col min="15391" max="15391" width="13.33203125" style="265" customWidth="1"/>
    <col min="15392" max="15392" width="16.5546875" style="265" customWidth="1"/>
    <col min="15393" max="15393" width="17.44140625" style="265" customWidth="1"/>
    <col min="15394" max="15394" width="14.6640625" style="265" customWidth="1"/>
    <col min="15395" max="15397" width="14.5546875" style="265" customWidth="1"/>
    <col min="15398" max="15398" width="20" style="265" bestFit="1" customWidth="1"/>
    <col min="15399" max="15399" width="20.88671875" style="265" customWidth="1"/>
    <col min="15400" max="15400" width="99" style="265" bestFit="1" customWidth="1"/>
    <col min="15401" max="15401" width="25.88671875" style="265" bestFit="1" customWidth="1"/>
    <col min="15402" max="15617" width="8.88671875" style="265"/>
    <col min="15618" max="15618" width="90.44140625" style="265" customWidth="1"/>
    <col min="15619" max="15639" width="11.5546875" style="265" customWidth="1"/>
    <col min="15640" max="15640" width="13.5546875" style="265" customWidth="1"/>
    <col min="15641" max="15641" width="11.5546875" style="265" customWidth="1"/>
    <col min="15642" max="15642" width="12.109375" style="265" customWidth="1"/>
    <col min="15643" max="15645" width="11.5546875" style="265" customWidth="1"/>
    <col min="15646" max="15646" width="12.33203125" style="265" customWidth="1"/>
    <col min="15647" max="15647" width="13.33203125" style="265" customWidth="1"/>
    <col min="15648" max="15648" width="16.5546875" style="265" customWidth="1"/>
    <col min="15649" max="15649" width="17.44140625" style="265" customWidth="1"/>
    <col min="15650" max="15650" width="14.6640625" style="265" customWidth="1"/>
    <col min="15651" max="15653" width="14.5546875" style="265" customWidth="1"/>
    <col min="15654" max="15654" width="20" style="265" bestFit="1" customWidth="1"/>
    <col min="15655" max="15655" width="20.88671875" style="265" customWidth="1"/>
    <col min="15656" max="15656" width="99" style="265" bestFit="1" customWidth="1"/>
    <col min="15657" max="15657" width="25.88671875" style="265" bestFit="1" customWidth="1"/>
    <col min="15658" max="15873" width="8.88671875" style="265"/>
    <col min="15874" max="15874" width="90.44140625" style="265" customWidth="1"/>
    <col min="15875" max="15895" width="11.5546875" style="265" customWidth="1"/>
    <col min="15896" max="15896" width="13.5546875" style="265" customWidth="1"/>
    <col min="15897" max="15897" width="11.5546875" style="265" customWidth="1"/>
    <col min="15898" max="15898" width="12.109375" style="265" customWidth="1"/>
    <col min="15899" max="15901" width="11.5546875" style="265" customWidth="1"/>
    <col min="15902" max="15902" width="12.33203125" style="265" customWidth="1"/>
    <col min="15903" max="15903" width="13.33203125" style="265" customWidth="1"/>
    <col min="15904" max="15904" width="16.5546875" style="265" customWidth="1"/>
    <col min="15905" max="15905" width="17.44140625" style="265" customWidth="1"/>
    <col min="15906" max="15906" width="14.6640625" style="265" customWidth="1"/>
    <col min="15907" max="15909" width="14.5546875" style="265" customWidth="1"/>
    <col min="15910" max="15910" width="20" style="265" bestFit="1" customWidth="1"/>
    <col min="15911" max="15911" width="20.88671875" style="265" customWidth="1"/>
    <col min="15912" max="15912" width="99" style="265" bestFit="1" customWidth="1"/>
    <col min="15913" max="15913" width="25.88671875" style="265" bestFit="1" customWidth="1"/>
    <col min="15914" max="16129" width="8.88671875" style="265"/>
    <col min="16130" max="16130" width="90.44140625" style="265" customWidth="1"/>
    <col min="16131" max="16151" width="11.5546875" style="265" customWidth="1"/>
    <col min="16152" max="16152" width="13.5546875" style="265" customWidth="1"/>
    <col min="16153" max="16153" width="11.5546875" style="265" customWidth="1"/>
    <col min="16154" max="16154" width="12.109375" style="265" customWidth="1"/>
    <col min="16155" max="16157" width="11.5546875" style="265" customWidth="1"/>
    <col min="16158" max="16158" width="12.33203125" style="265" customWidth="1"/>
    <col min="16159" max="16159" width="13.33203125" style="265" customWidth="1"/>
    <col min="16160" max="16160" width="16.5546875" style="265" customWidth="1"/>
    <col min="16161" max="16161" width="17.44140625" style="265" customWidth="1"/>
    <col min="16162" max="16162" width="14.6640625" style="265" customWidth="1"/>
    <col min="16163" max="16165" width="14.5546875" style="265" customWidth="1"/>
    <col min="16166" max="16166" width="20" style="265" bestFit="1" customWidth="1"/>
    <col min="16167" max="16167" width="20.88671875" style="265" customWidth="1"/>
    <col min="16168" max="16168" width="99" style="265" bestFit="1" customWidth="1"/>
    <col min="16169" max="16169" width="25.88671875" style="265" bestFit="1" customWidth="1"/>
    <col min="16170" max="16384" width="8.88671875" style="265"/>
  </cols>
  <sheetData>
    <row r="1" spans="1:254" ht="25.2" thickBot="1">
      <c r="A1" s="387" t="s">
        <v>450</v>
      </c>
      <c r="B1" s="387"/>
      <c r="C1" s="387"/>
      <c r="D1" s="387"/>
      <c r="E1" s="387"/>
      <c r="F1" s="387"/>
      <c r="G1" s="387"/>
      <c r="H1" s="387"/>
      <c r="I1" s="387"/>
      <c r="J1" s="387"/>
      <c r="K1" s="387"/>
      <c r="L1" s="387"/>
      <c r="M1" s="387"/>
      <c r="N1" s="387"/>
      <c r="O1" s="387"/>
      <c r="P1" s="387"/>
      <c r="Q1" s="388"/>
      <c r="R1" s="388"/>
      <c r="S1" s="388"/>
      <c r="T1" s="388"/>
      <c r="U1" s="388"/>
      <c r="V1" s="388"/>
      <c r="W1" s="388"/>
      <c r="X1" s="388"/>
      <c r="Y1" s="388"/>
      <c r="Z1" s="388"/>
      <c r="AA1" s="262"/>
      <c r="AB1" s="262"/>
    </row>
    <row r="2" spans="1:254" s="274" customFormat="1" ht="34.200000000000003" thickBot="1">
      <c r="A2" s="268" t="s">
        <v>405</v>
      </c>
      <c r="B2" s="269" t="s">
        <v>406</v>
      </c>
      <c r="C2" s="269" t="s">
        <v>407</v>
      </c>
      <c r="D2" s="269" t="s">
        <v>408</v>
      </c>
      <c r="E2" s="269" t="s">
        <v>409</v>
      </c>
      <c r="F2" s="269" t="s">
        <v>410</v>
      </c>
      <c r="G2" s="269" t="s">
        <v>411</v>
      </c>
      <c r="H2" s="269" t="s">
        <v>412</v>
      </c>
      <c r="I2" s="269" t="s">
        <v>413</v>
      </c>
      <c r="J2" s="269" t="s">
        <v>414</v>
      </c>
      <c r="K2" s="269" t="s">
        <v>415</v>
      </c>
      <c r="L2" s="269" t="s">
        <v>416</v>
      </c>
      <c r="M2" s="269" t="s">
        <v>417</v>
      </c>
      <c r="N2" s="270">
        <v>1992</v>
      </c>
      <c r="O2" s="270">
        <v>1993</v>
      </c>
      <c r="P2" s="271">
        <v>1994</v>
      </c>
      <c r="Q2" s="271">
        <v>1995</v>
      </c>
      <c r="R2" s="271">
        <v>1996</v>
      </c>
      <c r="S2" s="271">
        <v>1997</v>
      </c>
      <c r="T2" s="271">
        <v>1998</v>
      </c>
      <c r="U2" s="271">
        <v>1999</v>
      </c>
      <c r="V2" s="271">
        <v>2000</v>
      </c>
      <c r="W2" s="271">
        <v>2001</v>
      </c>
      <c r="X2" s="271">
        <v>2002</v>
      </c>
      <c r="Y2" s="271">
        <v>2003</v>
      </c>
      <c r="Z2" s="271">
        <v>2004</v>
      </c>
      <c r="AA2" s="271">
        <v>2005</v>
      </c>
      <c r="AB2" s="272">
        <v>2006</v>
      </c>
      <c r="AC2" s="272">
        <v>2007</v>
      </c>
      <c r="AD2" s="272">
        <v>2008</v>
      </c>
      <c r="AE2" s="272">
        <v>2009</v>
      </c>
      <c r="AF2" s="272">
        <v>2010</v>
      </c>
      <c r="AG2" s="272">
        <v>2011</v>
      </c>
      <c r="AH2" s="272">
        <v>2012</v>
      </c>
      <c r="AI2" s="272">
        <v>2013</v>
      </c>
      <c r="AJ2" s="272">
        <v>2014</v>
      </c>
      <c r="AK2" s="272">
        <v>2015</v>
      </c>
      <c r="AL2" s="272">
        <v>2016</v>
      </c>
      <c r="AM2" s="272">
        <v>2017</v>
      </c>
      <c r="AN2" s="272">
        <v>2018</v>
      </c>
      <c r="AO2" s="272">
        <v>2019</v>
      </c>
      <c r="AP2" s="272">
        <v>2020</v>
      </c>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c r="CE2" s="273"/>
      <c r="CF2" s="273"/>
      <c r="CG2" s="273"/>
      <c r="CH2" s="273"/>
      <c r="CI2" s="273"/>
      <c r="CJ2" s="273"/>
      <c r="CK2" s="273"/>
      <c r="CL2" s="273"/>
      <c r="CM2" s="273"/>
      <c r="CN2" s="273"/>
      <c r="CO2" s="273"/>
      <c r="CP2" s="273"/>
      <c r="CQ2" s="273"/>
      <c r="CR2" s="273"/>
      <c r="CS2" s="273"/>
      <c r="CT2" s="273"/>
      <c r="CU2" s="273"/>
      <c r="CV2" s="273"/>
      <c r="CW2" s="273"/>
      <c r="CX2" s="273"/>
      <c r="CY2" s="273"/>
      <c r="CZ2" s="273"/>
      <c r="DA2" s="273"/>
      <c r="DB2" s="273"/>
      <c r="DC2" s="273"/>
      <c r="DD2" s="273"/>
      <c r="DE2" s="273"/>
      <c r="DF2" s="273"/>
      <c r="DG2" s="273"/>
      <c r="DH2" s="273"/>
      <c r="DI2" s="273"/>
      <c r="DJ2" s="273"/>
      <c r="DK2" s="273"/>
      <c r="DL2" s="273"/>
      <c r="DM2" s="273"/>
      <c r="DN2" s="273"/>
      <c r="DO2" s="273"/>
      <c r="DP2" s="273"/>
      <c r="DQ2" s="273"/>
      <c r="DR2" s="273"/>
      <c r="DS2" s="273"/>
      <c r="DT2" s="273"/>
      <c r="DU2" s="273"/>
      <c r="DV2" s="273"/>
      <c r="DW2" s="273"/>
      <c r="DX2" s="273"/>
      <c r="DY2" s="273"/>
      <c r="DZ2" s="273"/>
      <c r="EA2" s="273"/>
      <c r="EB2" s="273"/>
      <c r="EC2" s="273"/>
      <c r="ED2" s="273"/>
      <c r="EE2" s="273"/>
      <c r="EF2" s="273"/>
      <c r="EG2" s="273"/>
      <c r="EH2" s="273"/>
      <c r="EI2" s="273"/>
      <c r="EJ2" s="273"/>
      <c r="EK2" s="273"/>
      <c r="EL2" s="273"/>
      <c r="EM2" s="273"/>
      <c r="EN2" s="273"/>
      <c r="EO2" s="273"/>
      <c r="EP2" s="273"/>
      <c r="EQ2" s="273"/>
      <c r="ER2" s="273"/>
      <c r="ES2" s="273"/>
      <c r="ET2" s="273"/>
      <c r="EU2" s="273"/>
      <c r="EV2" s="273"/>
      <c r="EW2" s="273"/>
      <c r="EX2" s="273"/>
      <c r="EY2" s="273"/>
      <c r="EZ2" s="273"/>
      <c r="FA2" s="273"/>
      <c r="FB2" s="273"/>
      <c r="FC2" s="273"/>
      <c r="FD2" s="273"/>
      <c r="FE2" s="273"/>
      <c r="FF2" s="273"/>
      <c r="FG2" s="273"/>
      <c r="FH2" s="273"/>
      <c r="FI2" s="273"/>
      <c r="FJ2" s="273"/>
      <c r="FK2" s="273"/>
      <c r="FL2" s="273"/>
      <c r="FM2" s="273"/>
      <c r="FN2" s="273"/>
      <c r="FO2" s="273"/>
      <c r="FP2" s="273"/>
      <c r="FQ2" s="273"/>
      <c r="FR2" s="273"/>
      <c r="FS2" s="273"/>
      <c r="FT2" s="273"/>
      <c r="FU2" s="273"/>
      <c r="FV2" s="273"/>
      <c r="FW2" s="273"/>
      <c r="FX2" s="273"/>
      <c r="FY2" s="273"/>
      <c r="FZ2" s="273"/>
      <c r="GA2" s="273"/>
      <c r="GB2" s="273"/>
      <c r="GC2" s="273"/>
      <c r="GD2" s="273"/>
      <c r="GE2" s="273"/>
      <c r="GF2" s="273"/>
      <c r="GG2" s="273"/>
      <c r="GH2" s="273"/>
      <c r="GI2" s="273"/>
      <c r="GJ2" s="273"/>
      <c r="GK2" s="273"/>
      <c r="GL2" s="273"/>
      <c r="GM2" s="273"/>
      <c r="GN2" s="273"/>
      <c r="GO2" s="273"/>
      <c r="GP2" s="273"/>
      <c r="GQ2" s="273"/>
      <c r="GR2" s="273"/>
      <c r="GS2" s="273"/>
      <c r="GT2" s="273"/>
      <c r="GU2" s="273"/>
      <c r="GV2" s="273"/>
      <c r="GW2" s="273"/>
      <c r="GX2" s="273"/>
      <c r="GY2" s="273"/>
      <c r="GZ2" s="273"/>
      <c r="HA2" s="273"/>
      <c r="HB2" s="273"/>
      <c r="HC2" s="273"/>
      <c r="HD2" s="273"/>
      <c r="HE2" s="273"/>
      <c r="HF2" s="273"/>
      <c r="HG2" s="273"/>
      <c r="HH2" s="273"/>
      <c r="HI2" s="273"/>
      <c r="HJ2" s="273"/>
      <c r="HK2" s="273"/>
      <c r="HL2" s="273"/>
      <c r="HM2" s="273"/>
      <c r="HN2" s="273"/>
      <c r="HO2" s="273"/>
      <c r="HP2" s="273"/>
      <c r="HQ2" s="273"/>
      <c r="HR2" s="273"/>
      <c r="HS2" s="273"/>
      <c r="HT2" s="273"/>
      <c r="HU2" s="273"/>
      <c r="HV2" s="273"/>
      <c r="HW2" s="273"/>
      <c r="HX2" s="273"/>
      <c r="HY2" s="273"/>
      <c r="HZ2" s="273"/>
      <c r="IA2" s="273"/>
      <c r="IB2" s="273"/>
      <c r="IC2" s="273"/>
      <c r="ID2" s="273"/>
      <c r="IE2" s="273"/>
      <c r="IF2" s="273"/>
      <c r="IG2" s="273"/>
      <c r="IH2" s="273"/>
      <c r="II2" s="273"/>
      <c r="IJ2" s="273"/>
      <c r="IK2" s="273"/>
      <c r="IL2" s="273"/>
      <c r="IM2" s="273"/>
      <c r="IN2" s="273"/>
      <c r="IO2" s="273"/>
      <c r="IP2" s="273"/>
      <c r="IQ2" s="273"/>
      <c r="IR2" s="273"/>
      <c r="IS2" s="273"/>
      <c r="IT2" s="273"/>
    </row>
    <row r="3" spans="1:254" s="281" customFormat="1" ht="18">
      <c r="A3" s="275" t="s">
        <v>445</v>
      </c>
      <c r="B3" s="276"/>
      <c r="C3" s="277"/>
      <c r="D3" s="277"/>
      <c r="E3" s="277"/>
      <c r="F3" s="277"/>
      <c r="G3" s="277"/>
      <c r="H3" s="277"/>
      <c r="I3" s="277"/>
      <c r="J3" s="277"/>
      <c r="K3" s="277"/>
      <c r="L3" s="277"/>
      <c r="M3" s="277"/>
      <c r="N3" s="277"/>
      <c r="O3" s="277"/>
      <c r="P3" s="278"/>
      <c r="Q3" s="278"/>
      <c r="R3" s="278"/>
      <c r="S3" s="278"/>
      <c r="T3" s="278"/>
      <c r="U3" s="278"/>
      <c r="V3" s="278"/>
      <c r="W3" s="278"/>
      <c r="X3" s="278"/>
      <c r="Y3" s="278"/>
      <c r="Z3" s="278"/>
      <c r="AA3" s="278"/>
      <c r="AB3" s="279"/>
      <c r="AC3" s="280"/>
      <c r="AD3" s="280"/>
      <c r="AE3" s="280"/>
      <c r="AF3" s="280"/>
      <c r="AG3" s="280"/>
      <c r="AH3" s="280"/>
      <c r="AI3" s="280"/>
      <c r="AJ3" s="280"/>
      <c r="AK3" s="280"/>
      <c r="AL3" s="280"/>
      <c r="AM3" s="280"/>
      <c r="AN3" s="280"/>
      <c r="AO3" s="280"/>
      <c r="AP3" s="280"/>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c r="CL3" s="273"/>
      <c r="CM3" s="273"/>
      <c r="CN3" s="273"/>
      <c r="CO3" s="273"/>
      <c r="CP3" s="273"/>
      <c r="CQ3" s="273"/>
      <c r="CR3" s="273"/>
      <c r="CS3" s="273"/>
      <c r="CT3" s="273"/>
      <c r="CU3" s="273"/>
      <c r="CV3" s="273"/>
      <c r="CW3" s="273"/>
      <c r="CX3" s="273"/>
      <c r="CY3" s="273"/>
      <c r="CZ3" s="273"/>
      <c r="DA3" s="273"/>
      <c r="DB3" s="273"/>
      <c r="DC3" s="273"/>
      <c r="DD3" s="273"/>
      <c r="DE3" s="273"/>
      <c r="DF3" s="273"/>
      <c r="DG3" s="273"/>
      <c r="DH3" s="273"/>
      <c r="DI3" s="273"/>
      <c r="DJ3" s="273"/>
      <c r="DK3" s="273"/>
      <c r="DL3" s="273"/>
      <c r="DM3" s="273"/>
      <c r="DN3" s="273"/>
      <c r="DO3" s="273"/>
      <c r="DP3" s="273"/>
      <c r="DQ3" s="273"/>
      <c r="DR3" s="273"/>
      <c r="DS3" s="273"/>
      <c r="DT3" s="273"/>
      <c r="DU3" s="273"/>
      <c r="DV3" s="273"/>
      <c r="DW3" s="273"/>
      <c r="DX3" s="273"/>
      <c r="DY3" s="273"/>
      <c r="DZ3" s="273"/>
      <c r="EA3" s="273"/>
      <c r="EB3" s="273"/>
      <c r="EC3" s="273"/>
      <c r="ED3" s="273"/>
      <c r="EE3" s="273"/>
      <c r="EF3" s="273"/>
      <c r="EG3" s="273"/>
      <c r="EH3" s="273"/>
      <c r="EI3" s="273"/>
      <c r="EJ3" s="273"/>
      <c r="EK3" s="273"/>
      <c r="EL3" s="273"/>
      <c r="EM3" s="273"/>
      <c r="EN3" s="273"/>
      <c r="EO3" s="273"/>
      <c r="EP3" s="273"/>
      <c r="EQ3" s="273"/>
      <c r="ER3" s="273"/>
      <c r="ES3" s="273"/>
      <c r="ET3" s="273"/>
      <c r="EU3" s="273"/>
      <c r="EV3" s="273"/>
      <c r="EW3" s="273"/>
      <c r="EX3" s="273"/>
      <c r="EY3" s="273"/>
      <c r="EZ3" s="273"/>
      <c r="FA3" s="273"/>
      <c r="FB3" s="273"/>
      <c r="FC3" s="273"/>
      <c r="FD3" s="273"/>
      <c r="FE3" s="273"/>
      <c r="FF3" s="273"/>
      <c r="FG3" s="273"/>
      <c r="FH3" s="273"/>
      <c r="FI3" s="273"/>
      <c r="FJ3" s="273"/>
      <c r="FK3" s="273"/>
      <c r="FL3" s="273"/>
      <c r="FM3" s="273"/>
      <c r="FN3" s="273"/>
      <c r="FO3" s="273"/>
      <c r="FP3" s="273"/>
      <c r="FQ3" s="273"/>
      <c r="FR3" s="273"/>
      <c r="FS3" s="273"/>
      <c r="FT3" s="273"/>
      <c r="FU3" s="273"/>
      <c r="FV3" s="273"/>
      <c r="FW3" s="273"/>
      <c r="FX3" s="273"/>
      <c r="FY3" s="273"/>
      <c r="FZ3" s="273"/>
      <c r="GA3" s="273"/>
      <c r="GB3" s="273"/>
      <c r="GC3" s="273"/>
      <c r="GD3" s="273"/>
      <c r="GE3" s="273"/>
      <c r="GF3" s="273"/>
      <c r="GG3" s="273"/>
      <c r="GH3" s="273"/>
      <c r="GI3" s="273"/>
      <c r="GJ3" s="273"/>
      <c r="GK3" s="273"/>
      <c r="GL3" s="273"/>
      <c r="GM3" s="273"/>
      <c r="GN3" s="273"/>
      <c r="GO3" s="273"/>
      <c r="GP3" s="273"/>
      <c r="GQ3" s="273"/>
      <c r="GR3" s="273"/>
      <c r="GS3" s="273"/>
      <c r="GT3" s="273"/>
      <c r="GU3" s="273"/>
      <c r="GV3" s="273"/>
      <c r="GW3" s="273"/>
      <c r="GX3" s="273"/>
      <c r="GY3" s="273"/>
      <c r="GZ3" s="273"/>
      <c r="HA3" s="273"/>
      <c r="HB3" s="273"/>
      <c r="HC3" s="273"/>
      <c r="HD3" s="273"/>
      <c r="HE3" s="273"/>
      <c r="HF3" s="273"/>
      <c r="HG3" s="273"/>
      <c r="HH3" s="273"/>
      <c r="HI3" s="273"/>
      <c r="HJ3" s="273"/>
      <c r="HK3" s="273"/>
      <c r="HL3" s="273"/>
      <c r="HM3" s="273"/>
      <c r="HN3" s="273"/>
      <c r="HO3" s="273"/>
      <c r="HP3" s="273"/>
      <c r="HQ3" s="273"/>
      <c r="HR3" s="273"/>
      <c r="HS3" s="273"/>
      <c r="HT3" s="273"/>
      <c r="HU3" s="273"/>
      <c r="HV3" s="273"/>
      <c r="HW3" s="273"/>
      <c r="HX3" s="273"/>
      <c r="HY3" s="273"/>
      <c r="HZ3" s="273"/>
      <c r="IA3" s="273"/>
      <c r="IB3" s="273"/>
      <c r="IC3" s="273"/>
      <c r="ID3" s="273"/>
      <c r="IE3" s="273"/>
      <c r="IF3" s="273"/>
      <c r="IG3" s="273"/>
      <c r="IH3" s="273"/>
      <c r="II3" s="273"/>
      <c r="IJ3" s="273"/>
      <c r="IK3" s="273"/>
      <c r="IL3" s="273"/>
      <c r="IM3" s="273"/>
      <c r="IN3" s="273"/>
      <c r="IO3" s="273"/>
      <c r="IP3" s="273"/>
      <c r="IQ3" s="273"/>
      <c r="IR3" s="273"/>
      <c r="IS3" s="273"/>
      <c r="IT3" s="273"/>
    </row>
    <row r="4" spans="1:254" s="281" customFormat="1" ht="16.2">
      <c r="A4" s="282" t="s">
        <v>418</v>
      </c>
      <c r="B4" s="283">
        <v>0</v>
      </c>
      <c r="C4" s="284">
        <v>0</v>
      </c>
      <c r="D4" s="284">
        <v>0</v>
      </c>
      <c r="E4" s="284">
        <v>0</v>
      </c>
      <c r="F4" s="284">
        <v>0</v>
      </c>
      <c r="G4" s="284">
        <v>10.199999999999999</v>
      </c>
      <c r="H4" s="283">
        <v>8</v>
      </c>
      <c r="I4" s="283">
        <v>4.7</v>
      </c>
      <c r="J4" s="283">
        <v>7.7</v>
      </c>
      <c r="K4" s="283">
        <v>8.3000000000000007</v>
      </c>
      <c r="L4" s="283">
        <v>16.2</v>
      </c>
      <c r="M4" s="283">
        <v>17.7</v>
      </c>
      <c r="N4" s="283">
        <v>11.2</v>
      </c>
      <c r="O4" s="283">
        <v>17.3</v>
      </c>
      <c r="P4" s="285">
        <v>20.5</v>
      </c>
      <c r="Q4" s="285">
        <v>32.5</v>
      </c>
      <c r="R4" s="285">
        <v>26</v>
      </c>
      <c r="S4" s="285">
        <v>28.1</v>
      </c>
      <c r="T4" s="285">
        <v>22</v>
      </c>
      <c r="U4" s="285">
        <v>14.7</v>
      </c>
      <c r="V4" s="285">
        <v>13.9</v>
      </c>
      <c r="W4" s="285">
        <v>16.5</v>
      </c>
      <c r="X4" s="285">
        <v>6.1</v>
      </c>
      <c r="Y4" s="285">
        <v>11.6</v>
      </c>
      <c r="Z4" s="285">
        <v>8.5</v>
      </c>
      <c r="AA4" s="285">
        <v>12.2</v>
      </c>
      <c r="AB4" s="286">
        <v>35.4</v>
      </c>
      <c r="AC4" s="287">
        <v>35.168999999999997</v>
      </c>
      <c r="AD4" s="287">
        <v>25.53447087</v>
      </c>
      <c r="AE4" s="287">
        <v>27.412362430000002</v>
      </c>
      <c r="AF4" s="287">
        <v>39.998391389999995</v>
      </c>
      <c r="AG4" s="287">
        <v>90.166620269999981</v>
      </c>
      <c r="AH4" s="288">
        <v>57.45</v>
      </c>
      <c r="AI4" s="289">
        <v>52.1</v>
      </c>
      <c r="AJ4" s="289">
        <v>37.353348319999995</v>
      </c>
      <c r="AK4" s="289">
        <v>21.373337419999999</v>
      </c>
      <c r="AL4" s="289">
        <v>16.02998393</v>
      </c>
      <c r="AM4" s="289">
        <v>5.4</v>
      </c>
      <c r="AN4" s="289">
        <v>30.668736860000003</v>
      </c>
      <c r="AO4" s="289">
        <v>22.312997709999998</v>
      </c>
      <c r="AP4" s="289">
        <v>40.184699219999999</v>
      </c>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CX4" s="273"/>
      <c r="CY4" s="273"/>
      <c r="CZ4" s="273"/>
      <c r="DA4" s="273"/>
      <c r="DB4" s="273"/>
      <c r="DC4" s="273"/>
      <c r="DD4" s="273"/>
      <c r="DE4" s="273"/>
      <c r="DF4" s="273"/>
      <c r="DG4" s="273"/>
      <c r="DH4" s="273"/>
      <c r="DI4" s="273"/>
      <c r="DJ4" s="273"/>
      <c r="DK4" s="273"/>
      <c r="DL4" s="273"/>
      <c r="DM4" s="273"/>
      <c r="DN4" s="273"/>
      <c r="DO4" s="273"/>
      <c r="DP4" s="273"/>
      <c r="DQ4" s="273"/>
      <c r="DR4" s="273"/>
      <c r="DS4" s="273"/>
      <c r="DT4" s="273"/>
      <c r="DU4" s="273"/>
      <c r="DV4" s="273"/>
      <c r="DW4" s="273"/>
      <c r="DX4" s="273"/>
      <c r="DY4" s="273"/>
      <c r="DZ4" s="273"/>
      <c r="EA4" s="273"/>
      <c r="EB4" s="273"/>
      <c r="EC4" s="273"/>
      <c r="ED4" s="273"/>
      <c r="EE4" s="273"/>
      <c r="EF4" s="273"/>
      <c r="EG4" s="273"/>
      <c r="EH4" s="273"/>
      <c r="EI4" s="273"/>
      <c r="EJ4" s="273"/>
      <c r="EK4" s="273"/>
      <c r="EL4" s="273"/>
      <c r="EM4" s="273"/>
      <c r="EN4" s="273"/>
      <c r="EO4" s="273"/>
      <c r="EP4" s="273"/>
      <c r="EQ4" s="273"/>
      <c r="ER4" s="273"/>
      <c r="ES4" s="273"/>
      <c r="ET4" s="273"/>
      <c r="EU4" s="273"/>
      <c r="EV4" s="273"/>
      <c r="EW4" s="273"/>
      <c r="EX4" s="273"/>
      <c r="EY4" s="273"/>
      <c r="EZ4" s="273"/>
      <c r="FA4" s="273"/>
      <c r="FB4" s="273"/>
      <c r="FC4" s="273"/>
      <c r="FD4" s="273"/>
      <c r="FE4" s="273"/>
      <c r="FF4" s="273"/>
      <c r="FG4" s="273"/>
      <c r="FH4" s="273"/>
      <c r="FI4" s="273"/>
      <c r="FJ4" s="273"/>
      <c r="FK4" s="273"/>
      <c r="FL4" s="273"/>
      <c r="FM4" s="273"/>
      <c r="FN4" s="273"/>
      <c r="FO4" s="273"/>
      <c r="FP4" s="273"/>
      <c r="FQ4" s="273"/>
      <c r="FR4" s="273"/>
      <c r="FS4" s="273"/>
      <c r="FT4" s="273"/>
      <c r="FU4" s="273"/>
      <c r="FV4" s="273"/>
      <c r="FW4" s="273"/>
      <c r="FX4" s="273"/>
      <c r="FY4" s="273"/>
      <c r="FZ4" s="273"/>
      <c r="GA4" s="273"/>
      <c r="GB4" s="273"/>
      <c r="GC4" s="273"/>
      <c r="GD4" s="273"/>
      <c r="GE4" s="273"/>
      <c r="GF4" s="273"/>
      <c r="GG4" s="273"/>
      <c r="GH4" s="273"/>
      <c r="GI4" s="273"/>
      <c r="GJ4" s="273"/>
      <c r="GK4" s="273"/>
      <c r="GL4" s="273"/>
      <c r="GM4" s="273"/>
      <c r="GN4" s="273"/>
      <c r="GO4" s="273"/>
      <c r="GP4" s="273"/>
      <c r="GQ4" s="273"/>
      <c r="GR4" s="273"/>
      <c r="GS4" s="273"/>
      <c r="GT4" s="273"/>
      <c r="GU4" s="273"/>
      <c r="GV4" s="273"/>
      <c r="GW4" s="273"/>
      <c r="GX4" s="273"/>
      <c r="GY4" s="273"/>
      <c r="GZ4" s="273"/>
      <c r="HA4" s="273"/>
      <c r="HB4" s="273"/>
      <c r="HC4" s="273"/>
      <c r="HD4" s="273"/>
      <c r="HE4" s="273"/>
      <c r="HF4" s="273"/>
      <c r="HG4" s="273"/>
      <c r="HH4" s="273"/>
      <c r="HI4" s="273"/>
      <c r="HJ4" s="273"/>
      <c r="HK4" s="273"/>
      <c r="HL4" s="273"/>
      <c r="HM4" s="273"/>
      <c r="HN4" s="273"/>
      <c r="HO4" s="273"/>
      <c r="HP4" s="273"/>
      <c r="HQ4" s="273"/>
      <c r="HR4" s="273"/>
      <c r="HS4" s="273"/>
      <c r="HT4" s="273"/>
      <c r="HU4" s="273"/>
      <c r="HV4" s="273"/>
      <c r="HW4" s="273"/>
      <c r="HX4" s="273"/>
      <c r="HY4" s="273"/>
      <c r="HZ4" s="273"/>
      <c r="IA4" s="273"/>
      <c r="IB4" s="273"/>
      <c r="IC4" s="273"/>
      <c r="ID4" s="273"/>
      <c r="IE4" s="273"/>
      <c r="IF4" s="273"/>
      <c r="IG4" s="273"/>
      <c r="IH4" s="273"/>
      <c r="II4" s="273"/>
      <c r="IJ4" s="273"/>
      <c r="IK4" s="273"/>
      <c r="IL4" s="273"/>
      <c r="IM4" s="273"/>
      <c r="IN4" s="273"/>
      <c r="IO4" s="273"/>
      <c r="IP4" s="273"/>
      <c r="IQ4" s="273"/>
      <c r="IR4" s="273"/>
      <c r="IS4" s="273"/>
      <c r="IT4" s="273"/>
    </row>
    <row r="5" spans="1:254" s="281" customFormat="1" ht="16.2">
      <c r="A5" s="290" t="s">
        <v>419</v>
      </c>
      <c r="B5" s="291">
        <v>0</v>
      </c>
      <c r="C5" s="291">
        <v>0</v>
      </c>
      <c r="D5" s="291">
        <v>0</v>
      </c>
      <c r="E5" s="291">
        <v>0</v>
      </c>
      <c r="F5" s="291">
        <v>0</v>
      </c>
      <c r="G5" s="291">
        <v>0</v>
      </c>
      <c r="H5" s="291">
        <v>0</v>
      </c>
      <c r="I5" s="291">
        <v>0</v>
      </c>
      <c r="J5" s="291">
        <v>0</v>
      </c>
      <c r="K5" s="291">
        <v>0</v>
      </c>
      <c r="L5" s="291">
        <v>0</v>
      </c>
      <c r="M5" s="291">
        <v>0</v>
      </c>
      <c r="N5" s="291">
        <v>0</v>
      </c>
      <c r="O5" s="291">
        <v>0</v>
      </c>
      <c r="P5" s="291">
        <v>0</v>
      </c>
      <c r="Q5" s="291">
        <v>0</v>
      </c>
      <c r="R5" s="291">
        <v>0</v>
      </c>
      <c r="S5" s="291">
        <v>0</v>
      </c>
      <c r="T5" s="291">
        <v>0</v>
      </c>
      <c r="U5" s="291">
        <v>0</v>
      </c>
      <c r="V5" s="291">
        <v>0</v>
      </c>
      <c r="W5" s="291">
        <v>0</v>
      </c>
      <c r="X5" s="291">
        <v>0</v>
      </c>
      <c r="Y5" s="291">
        <v>0</v>
      </c>
      <c r="Z5" s="291">
        <v>0</v>
      </c>
      <c r="AA5" s="291">
        <v>0</v>
      </c>
      <c r="AB5" s="286">
        <v>0.9</v>
      </c>
      <c r="AC5" s="287">
        <v>1.0369999999999999</v>
      </c>
      <c r="AD5" s="287">
        <v>1.3368422</v>
      </c>
      <c r="AE5" s="287">
        <v>0.59909880000000004</v>
      </c>
      <c r="AF5" s="287">
        <v>1.2177011199999999</v>
      </c>
      <c r="AG5" s="287">
        <v>0.82124492000000027</v>
      </c>
      <c r="AH5" s="288">
        <v>0.380297</v>
      </c>
      <c r="AI5" s="289">
        <v>0</v>
      </c>
      <c r="AJ5" s="289">
        <v>0.1</v>
      </c>
      <c r="AK5" s="289">
        <v>1.3566744300000002</v>
      </c>
      <c r="AL5" s="289">
        <v>1.2080949699999999</v>
      </c>
      <c r="AM5" s="289">
        <v>1.4</v>
      </c>
      <c r="AN5" s="289">
        <v>0.78166014000000006</v>
      </c>
      <c r="AO5" s="289">
        <v>1.256752E-2</v>
      </c>
      <c r="AP5" s="289">
        <v>0</v>
      </c>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c r="GW5" s="273"/>
      <c r="GX5" s="273"/>
      <c r="GY5" s="273"/>
      <c r="GZ5" s="273"/>
      <c r="HA5" s="273"/>
      <c r="HB5" s="273"/>
      <c r="HC5" s="273"/>
      <c r="HD5" s="273"/>
      <c r="HE5" s="273"/>
      <c r="HF5" s="273"/>
      <c r="HG5" s="273"/>
      <c r="HH5" s="273"/>
      <c r="HI5" s="273"/>
      <c r="HJ5" s="273"/>
      <c r="HK5" s="273"/>
      <c r="HL5" s="273"/>
      <c r="HM5" s="273"/>
      <c r="HN5" s="273"/>
      <c r="HO5" s="273"/>
      <c r="HP5" s="273"/>
      <c r="HQ5" s="273"/>
      <c r="HR5" s="273"/>
      <c r="HS5" s="273"/>
      <c r="HT5" s="273"/>
      <c r="HU5" s="273"/>
      <c r="HV5" s="273"/>
      <c r="HW5" s="273"/>
      <c r="HX5" s="273"/>
      <c r="HY5" s="273"/>
      <c r="HZ5" s="273"/>
      <c r="IA5" s="273"/>
      <c r="IB5" s="273"/>
      <c r="IC5" s="273"/>
      <c r="ID5" s="273"/>
      <c r="IE5" s="273"/>
      <c r="IF5" s="273"/>
      <c r="IG5" s="273"/>
      <c r="IH5" s="273"/>
      <c r="II5" s="273"/>
      <c r="IJ5" s="273"/>
      <c r="IK5" s="273"/>
      <c r="IL5" s="273"/>
      <c r="IM5" s="273"/>
      <c r="IN5" s="273"/>
      <c r="IO5" s="273"/>
      <c r="IP5" s="273"/>
      <c r="IQ5" s="273"/>
      <c r="IR5" s="273"/>
      <c r="IS5" s="273"/>
      <c r="IT5" s="273"/>
    </row>
    <row r="6" spans="1:254" s="281" customFormat="1" ht="16.8" thickBot="1">
      <c r="A6" s="290" t="s">
        <v>420</v>
      </c>
      <c r="B6" s="292">
        <v>30</v>
      </c>
      <c r="C6" s="292">
        <v>17.899999999999999</v>
      </c>
      <c r="D6" s="292">
        <v>61.7</v>
      </c>
      <c r="E6" s="292">
        <v>55.1</v>
      </c>
      <c r="F6" s="292">
        <v>9</v>
      </c>
      <c r="G6" s="292">
        <v>46.4</v>
      </c>
      <c r="H6" s="292">
        <v>9.1</v>
      </c>
      <c r="I6" s="292">
        <v>78.599999999999994</v>
      </c>
      <c r="J6" s="292">
        <v>7.6</v>
      </c>
      <c r="K6" s="292">
        <v>5.3</v>
      </c>
      <c r="L6" s="292">
        <v>4.5</v>
      </c>
      <c r="M6" s="292">
        <v>4</v>
      </c>
      <c r="N6" s="292">
        <v>0.9</v>
      </c>
      <c r="O6" s="292">
        <v>85.8</v>
      </c>
      <c r="P6" s="291">
        <v>39.4</v>
      </c>
      <c r="Q6" s="291">
        <v>39.299999999999997</v>
      </c>
      <c r="R6" s="291">
        <v>45.1</v>
      </c>
      <c r="S6" s="291">
        <v>-42.6</v>
      </c>
      <c r="T6" s="291">
        <v>0</v>
      </c>
      <c r="U6" s="291">
        <v>14.1</v>
      </c>
      <c r="V6" s="291">
        <v>47</v>
      </c>
      <c r="W6" s="291">
        <v>6.2</v>
      </c>
      <c r="X6" s="291">
        <v>8.8000000000000007</v>
      </c>
      <c r="Y6" s="291">
        <v>68.400000000000006</v>
      </c>
      <c r="Z6" s="291">
        <v>75.900000000000006</v>
      </c>
      <c r="AA6" s="291">
        <v>53.8</v>
      </c>
      <c r="AB6" s="293">
        <v>360</v>
      </c>
      <c r="AC6" s="294">
        <v>60.4</v>
      </c>
      <c r="AD6" s="294">
        <v>37.299999999999997</v>
      </c>
      <c r="AE6" s="294">
        <v>135.69999999999999</v>
      </c>
      <c r="AF6" s="294">
        <v>56.4</v>
      </c>
      <c r="AG6" s="294">
        <v>102.95</v>
      </c>
      <c r="AH6" s="295">
        <v>114.5</v>
      </c>
      <c r="AI6" s="296">
        <v>103.59</v>
      </c>
      <c r="AJ6" s="296">
        <v>101.7</v>
      </c>
      <c r="AK6" s="296">
        <v>81.39589715000001</v>
      </c>
      <c r="AL6" s="296">
        <v>34.134514600000003</v>
      </c>
      <c r="AM6" s="296">
        <v>58.9</v>
      </c>
      <c r="AN6" s="296">
        <v>51.766300999999999</v>
      </c>
      <c r="AO6" s="296">
        <v>55.546022000000001</v>
      </c>
      <c r="AP6" s="296">
        <v>106.55452</v>
      </c>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c r="DF6" s="273"/>
      <c r="DG6" s="273"/>
      <c r="DH6" s="273"/>
      <c r="DI6" s="273"/>
      <c r="DJ6" s="273"/>
      <c r="DK6" s="273"/>
      <c r="DL6" s="273"/>
      <c r="DM6" s="273"/>
      <c r="DN6" s="273"/>
      <c r="DO6" s="273"/>
      <c r="DP6" s="273"/>
      <c r="DQ6" s="273"/>
      <c r="DR6" s="273"/>
      <c r="DS6" s="273"/>
      <c r="DT6" s="273"/>
      <c r="DU6" s="273"/>
      <c r="DV6" s="273"/>
      <c r="DW6" s="273"/>
      <c r="DX6" s="273"/>
      <c r="DY6" s="273"/>
      <c r="DZ6" s="273"/>
      <c r="EA6" s="273"/>
      <c r="EB6" s="273"/>
      <c r="EC6" s="273"/>
      <c r="ED6" s="273"/>
      <c r="EE6" s="273"/>
      <c r="EF6" s="273"/>
      <c r="EG6" s="273"/>
      <c r="EH6" s="273"/>
      <c r="EI6" s="273"/>
      <c r="EJ6" s="273"/>
      <c r="EK6" s="273"/>
      <c r="EL6" s="273"/>
      <c r="EM6" s="273"/>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c r="GV6" s="273"/>
      <c r="GW6" s="273"/>
      <c r="GX6" s="273"/>
      <c r="GY6" s="273"/>
      <c r="GZ6" s="273"/>
      <c r="HA6" s="273"/>
      <c r="HB6" s="273"/>
      <c r="HC6" s="273"/>
      <c r="HD6" s="273"/>
      <c r="HE6" s="273"/>
      <c r="HF6" s="273"/>
      <c r="HG6" s="273"/>
      <c r="HH6" s="273"/>
      <c r="HI6" s="273"/>
      <c r="HJ6" s="273"/>
      <c r="HK6" s="273"/>
      <c r="HL6" s="273"/>
      <c r="HM6" s="273"/>
      <c r="HN6" s="273"/>
      <c r="HO6" s="273"/>
      <c r="HP6" s="273"/>
      <c r="HQ6" s="273"/>
      <c r="HR6" s="273"/>
      <c r="HS6" s="273"/>
      <c r="HT6" s="273"/>
      <c r="HU6" s="273"/>
      <c r="HV6" s="273"/>
      <c r="HW6" s="273"/>
      <c r="HX6" s="273"/>
      <c r="HY6" s="273"/>
      <c r="HZ6" s="273"/>
      <c r="IA6" s="273"/>
      <c r="IB6" s="273"/>
      <c r="IC6" s="273"/>
      <c r="ID6" s="273"/>
      <c r="IE6" s="273"/>
      <c r="IF6" s="273"/>
      <c r="IG6" s="273"/>
      <c r="IH6" s="273"/>
      <c r="II6" s="273"/>
      <c r="IJ6" s="273"/>
      <c r="IK6" s="273"/>
      <c r="IL6" s="273"/>
      <c r="IM6" s="273"/>
      <c r="IN6" s="273"/>
      <c r="IO6" s="273"/>
      <c r="IP6" s="273"/>
      <c r="IQ6" s="273"/>
      <c r="IR6" s="273"/>
      <c r="IS6" s="273"/>
      <c r="IT6" s="273"/>
    </row>
    <row r="7" spans="1:254" s="301" customFormat="1" ht="17.399999999999999" thickBot="1">
      <c r="A7" s="297" t="s">
        <v>421</v>
      </c>
      <c r="B7" s="298">
        <f t="shared" ref="B7:AJ7" si="0">SUM(B4:B6)</f>
        <v>30</v>
      </c>
      <c r="C7" s="298">
        <f t="shared" si="0"/>
        <v>17.899999999999999</v>
      </c>
      <c r="D7" s="298">
        <f t="shared" si="0"/>
        <v>61.7</v>
      </c>
      <c r="E7" s="298">
        <f t="shared" si="0"/>
        <v>55.1</v>
      </c>
      <c r="F7" s="298">
        <f t="shared" si="0"/>
        <v>9</v>
      </c>
      <c r="G7" s="298">
        <f t="shared" si="0"/>
        <v>56.599999999999994</v>
      </c>
      <c r="H7" s="298">
        <f t="shared" si="0"/>
        <v>17.100000000000001</v>
      </c>
      <c r="I7" s="298">
        <f t="shared" si="0"/>
        <v>83.3</v>
      </c>
      <c r="J7" s="298">
        <f t="shared" si="0"/>
        <v>15.3</v>
      </c>
      <c r="K7" s="298">
        <f t="shared" si="0"/>
        <v>13.600000000000001</v>
      </c>
      <c r="L7" s="298">
        <f t="shared" si="0"/>
        <v>20.7</v>
      </c>
      <c r="M7" s="298">
        <f t="shared" si="0"/>
        <v>21.7</v>
      </c>
      <c r="N7" s="298">
        <f t="shared" si="0"/>
        <v>12.1</v>
      </c>
      <c r="O7" s="298">
        <f t="shared" si="0"/>
        <v>103.1</v>
      </c>
      <c r="P7" s="298">
        <f t="shared" si="0"/>
        <v>59.9</v>
      </c>
      <c r="Q7" s="298">
        <f t="shared" si="0"/>
        <v>71.8</v>
      </c>
      <c r="R7" s="298">
        <f t="shared" si="0"/>
        <v>71.099999999999994</v>
      </c>
      <c r="S7" s="298">
        <f t="shared" si="0"/>
        <v>-14.5</v>
      </c>
      <c r="T7" s="298">
        <f t="shared" si="0"/>
        <v>22</v>
      </c>
      <c r="U7" s="298">
        <f t="shared" si="0"/>
        <v>28.799999999999997</v>
      </c>
      <c r="V7" s="298">
        <f t="shared" si="0"/>
        <v>60.9</v>
      </c>
      <c r="W7" s="298">
        <f t="shared" si="0"/>
        <v>22.7</v>
      </c>
      <c r="X7" s="298">
        <f t="shared" si="0"/>
        <v>14.9</v>
      </c>
      <c r="Y7" s="298">
        <f t="shared" si="0"/>
        <v>80</v>
      </c>
      <c r="Z7" s="298">
        <f t="shared" si="0"/>
        <v>84.4</v>
      </c>
      <c r="AA7" s="298">
        <f t="shared" si="0"/>
        <v>66</v>
      </c>
      <c r="AB7" s="299">
        <f t="shared" si="0"/>
        <v>396.3</v>
      </c>
      <c r="AC7" s="299">
        <f t="shared" si="0"/>
        <v>96.605999999999995</v>
      </c>
      <c r="AD7" s="299">
        <f t="shared" si="0"/>
        <v>64.171313069999997</v>
      </c>
      <c r="AE7" s="299">
        <f t="shared" si="0"/>
        <v>163.71146123</v>
      </c>
      <c r="AF7" s="299">
        <f t="shared" si="0"/>
        <v>97.616092509999987</v>
      </c>
      <c r="AG7" s="299">
        <f t="shared" si="0"/>
        <v>193.93786518999997</v>
      </c>
      <c r="AH7" s="300">
        <f t="shared" si="0"/>
        <v>172.330297</v>
      </c>
      <c r="AI7" s="300">
        <f t="shared" si="0"/>
        <v>155.69</v>
      </c>
      <c r="AJ7" s="300">
        <f t="shared" si="0"/>
        <v>139.15334831999999</v>
      </c>
      <c r="AK7" s="300">
        <f>SUM(AK4:AK6)</f>
        <v>104.12590900000001</v>
      </c>
      <c r="AL7" s="300">
        <f>SUM(AL4:AL6)</f>
        <v>51.372593500000008</v>
      </c>
      <c r="AM7" s="300">
        <f>SUM(AM4:AM6)</f>
        <v>65.7</v>
      </c>
      <c r="AN7" s="300">
        <v>83.216698000000008</v>
      </c>
      <c r="AO7" s="300">
        <v>77.871587230000003</v>
      </c>
      <c r="AP7" s="300">
        <v>146.73921922</v>
      </c>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C7" s="273"/>
      <c r="CD7" s="273"/>
      <c r="CE7" s="273"/>
      <c r="CF7" s="273"/>
      <c r="CG7" s="273"/>
      <c r="CH7" s="273"/>
      <c r="CI7" s="273"/>
      <c r="CJ7" s="273"/>
      <c r="CK7" s="273"/>
      <c r="CL7" s="273"/>
      <c r="CM7" s="273"/>
      <c r="CN7" s="273"/>
      <c r="CO7" s="273"/>
      <c r="CP7" s="273"/>
      <c r="CQ7" s="273"/>
      <c r="CR7" s="273"/>
      <c r="CS7" s="273"/>
      <c r="CT7" s="273"/>
      <c r="CU7" s="273"/>
      <c r="CV7" s="273"/>
      <c r="CW7" s="273"/>
      <c r="CX7" s="273"/>
      <c r="CY7" s="273"/>
      <c r="CZ7" s="273"/>
      <c r="DA7" s="273"/>
      <c r="DB7" s="273"/>
      <c r="DC7" s="273"/>
      <c r="DD7" s="273"/>
      <c r="DE7" s="273"/>
      <c r="DF7" s="273"/>
      <c r="DG7" s="273"/>
      <c r="DH7" s="273"/>
      <c r="DI7" s="273"/>
      <c r="DJ7" s="273"/>
      <c r="DK7" s="273"/>
      <c r="DL7" s="273"/>
      <c r="DM7" s="273"/>
      <c r="DN7" s="273"/>
      <c r="DO7" s="273"/>
      <c r="DP7" s="273"/>
      <c r="DQ7" s="273"/>
      <c r="DR7" s="273"/>
      <c r="DS7" s="273"/>
      <c r="DT7" s="273"/>
      <c r="DU7" s="273"/>
      <c r="DV7" s="273"/>
      <c r="DW7" s="273"/>
      <c r="DX7" s="273"/>
      <c r="DY7" s="273"/>
      <c r="DZ7" s="273"/>
      <c r="EA7" s="273"/>
      <c r="EB7" s="273"/>
      <c r="EC7" s="273"/>
      <c r="ED7" s="273"/>
      <c r="EE7" s="273"/>
      <c r="EF7" s="273"/>
      <c r="EG7" s="273"/>
      <c r="EH7" s="273"/>
      <c r="EI7" s="273"/>
      <c r="EJ7" s="273"/>
      <c r="EK7" s="273"/>
      <c r="EL7" s="273"/>
      <c r="EM7" s="273"/>
      <c r="EN7" s="273"/>
      <c r="EO7" s="273"/>
      <c r="EP7" s="273"/>
      <c r="EQ7" s="273"/>
      <c r="ER7" s="273"/>
      <c r="ES7" s="273"/>
      <c r="ET7" s="273"/>
      <c r="EU7" s="273"/>
      <c r="EV7" s="273"/>
      <c r="EW7" s="273"/>
      <c r="EX7" s="273"/>
      <c r="EY7" s="273"/>
      <c r="EZ7" s="273"/>
      <c r="FA7" s="273"/>
      <c r="FB7" s="273"/>
      <c r="FC7" s="273"/>
      <c r="FD7" s="273"/>
      <c r="FE7" s="273"/>
      <c r="FF7" s="273"/>
      <c r="FG7" s="273"/>
      <c r="FH7" s="273"/>
      <c r="FI7" s="273"/>
      <c r="FJ7" s="273"/>
      <c r="FK7" s="273"/>
      <c r="FL7" s="273"/>
      <c r="FM7" s="273"/>
      <c r="FN7" s="273"/>
      <c r="FO7" s="273"/>
      <c r="FP7" s="273"/>
      <c r="FQ7" s="273"/>
      <c r="FR7" s="273"/>
      <c r="FS7" s="273"/>
      <c r="FT7" s="273"/>
      <c r="FU7" s="273"/>
      <c r="FV7" s="273"/>
      <c r="FW7" s="273"/>
      <c r="FX7" s="273"/>
      <c r="FY7" s="273"/>
      <c r="FZ7" s="273"/>
      <c r="GA7" s="273"/>
      <c r="GB7" s="273"/>
      <c r="GC7" s="273"/>
      <c r="GD7" s="273"/>
      <c r="GE7" s="273"/>
      <c r="GF7" s="273"/>
      <c r="GG7" s="273"/>
      <c r="GH7" s="273"/>
      <c r="GI7" s="273"/>
      <c r="GJ7" s="273"/>
      <c r="GK7" s="273"/>
      <c r="GL7" s="273"/>
      <c r="GM7" s="273"/>
      <c r="GN7" s="273"/>
      <c r="GO7" s="273"/>
      <c r="GP7" s="273"/>
      <c r="GQ7" s="273"/>
      <c r="GR7" s="273"/>
      <c r="GS7" s="273"/>
      <c r="GT7" s="273"/>
      <c r="GU7" s="273"/>
      <c r="GV7" s="273"/>
      <c r="GW7" s="273"/>
      <c r="GX7" s="273"/>
      <c r="GY7" s="273"/>
      <c r="GZ7" s="273"/>
      <c r="HA7" s="273"/>
      <c r="HB7" s="273"/>
      <c r="HC7" s="273"/>
      <c r="HD7" s="273"/>
      <c r="HE7" s="273"/>
      <c r="HF7" s="273"/>
      <c r="HG7" s="273"/>
      <c r="HH7" s="273"/>
      <c r="HI7" s="273"/>
      <c r="HJ7" s="273"/>
      <c r="HK7" s="273"/>
      <c r="HL7" s="273"/>
      <c r="HM7" s="273"/>
      <c r="HN7" s="273"/>
      <c r="HO7" s="273"/>
      <c r="HP7" s="273"/>
      <c r="HQ7" s="273"/>
      <c r="HR7" s="273"/>
      <c r="HS7" s="273"/>
      <c r="HT7" s="273"/>
      <c r="HU7" s="273"/>
      <c r="HV7" s="273"/>
      <c r="HW7" s="273"/>
      <c r="HX7" s="273"/>
      <c r="HY7" s="273"/>
      <c r="HZ7" s="273"/>
      <c r="IA7" s="273"/>
      <c r="IB7" s="273"/>
      <c r="IC7" s="273"/>
      <c r="ID7" s="273"/>
      <c r="IE7" s="273"/>
      <c r="IF7" s="273"/>
      <c r="IG7" s="273"/>
      <c r="IH7" s="273"/>
      <c r="II7" s="273"/>
      <c r="IJ7" s="273"/>
      <c r="IK7" s="273"/>
      <c r="IL7" s="273"/>
      <c r="IM7" s="273"/>
      <c r="IN7" s="273"/>
      <c r="IO7" s="273"/>
      <c r="IP7" s="273"/>
      <c r="IQ7" s="273"/>
      <c r="IR7" s="273"/>
      <c r="IS7" s="273"/>
      <c r="IT7" s="273"/>
    </row>
    <row r="8" spans="1:254" s="281" customFormat="1" ht="16.2">
      <c r="A8" s="275" t="s">
        <v>422</v>
      </c>
      <c r="B8" s="302">
        <v>0</v>
      </c>
      <c r="C8" s="302">
        <v>0</v>
      </c>
      <c r="D8" s="302">
        <v>0</v>
      </c>
      <c r="E8" s="302">
        <v>0</v>
      </c>
      <c r="F8" s="302">
        <v>0</v>
      </c>
      <c r="G8" s="302">
        <v>0</v>
      </c>
      <c r="H8" s="302">
        <v>0</v>
      </c>
      <c r="I8" s="302">
        <v>0</v>
      </c>
      <c r="J8" s="302">
        <v>0</v>
      </c>
      <c r="K8" s="302">
        <v>0</v>
      </c>
      <c r="L8" s="302">
        <v>0</v>
      </c>
      <c r="M8" s="302">
        <v>0</v>
      </c>
      <c r="N8" s="302">
        <v>0</v>
      </c>
      <c r="O8" s="302">
        <v>0</v>
      </c>
      <c r="P8" s="303">
        <v>0</v>
      </c>
      <c r="Q8" s="303"/>
      <c r="R8" s="303"/>
      <c r="S8" s="303"/>
      <c r="T8" s="303"/>
      <c r="U8" s="303"/>
      <c r="V8" s="303"/>
      <c r="W8" s="303"/>
      <c r="X8" s="303"/>
      <c r="Y8" s="303"/>
      <c r="Z8" s="303"/>
      <c r="AA8" s="303"/>
      <c r="AB8" s="304"/>
      <c r="AC8" s="305"/>
      <c r="AD8" s="305"/>
      <c r="AE8" s="305"/>
      <c r="AF8" s="305"/>
      <c r="AG8" s="305"/>
      <c r="AH8" s="306"/>
      <c r="AI8" s="305"/>
      <c r="AJ8" s="305"/>
      <c r="AK8" s="305"/>
      <c r="AL8" s="305"/>
      <c r="AM8" s="305"/>
      <c r="AN8" s="305"/>
      <c r="AO8" s="305"/>
      <c r="AP8" s="305"/>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273"/>
      <c r="EF8" s="273"/>
      <c r="EG8" s="273"/>
      <c r="EH8" s="273"/>
      <c r="EI8" s="273"/>
      <c r="EJ8" s="273"/>
      <c r="EK8" s="273"/>
      <c r="EL8" s="273"/>
      <c r="EM8" s="273"/>
      <c r="EN8" s="273"/>
      <c r="EO8" s="273"/>
      <c r="EP8" s="273"/>
      <c r="EQ8" s="273"/>
      <c r="ER8" s="273"/>
      <c r="ES8" s="273"/>
      <c r="ET8" s="273"/>
      <c r="EU8" s="273"/>
      <c r="EV8" s="273"/>
      <c r="EW8" s="273"/>
      <c r="EX8" s="273"/>
      <c r="EY8" s="273"/>
      <c r="EZ8" s="273"/>
      <c r="FA8" s="273"/>
      <c r="FB8" s="273"/>
      <c r="FC8" s="273"/>
      <c r="FD8" s="273"/>
      <c r="FE8" s="273"/>
      <c r="FF8" s="273"/>
      <c r="FG8" s="273"/>
      <c r="FH8" s="273"/>
      <c r="FI8" s="273"/>
      <c r="FJ8" s="273"/>
      <c r="FK8" s="273"/>
      <c r="FL8" s="273"/>
      <c r="FM8" s="273"/>
      <c r="FN8" s="273"/>
      <c r="FO8" s="273"/>
      <c r="FP8" s="273"/>
      <c r="FQ8" s="273"/>
      <c r="FR8" s="273"/>
      <c r="FS8" s="273"/>
      <c r="FT8" s="273"/>
      <c r="FU8" s="273"/>
      <c r="FV8" s="273"/>
      <c r="FW8" s="273"/>
      <c r="FX8" s="273"/>
      <c r="FY8" s="273"/>
      <c r="FZ8" s="273"/>
      <c r="GA8" s="273"/>
      <c r="GB8" s="273"/>
      <c r="GC8" s="273"/>
      <c r="GD8" s="273"/>
      <c r="GE8" s="273"/>
      <c r="GF8" s="273"/>
      <c r="GG8" s="273"/>
      <c r="GH8" s="273"/>
      <c r="GI8" s="273"/>
      <c r="GJ8" s="273"/>
      <c r="GK8" s="273"/>
      <c r="GL8" s="273"/>
      <c r="GM8" s="273"/>
      <c r="GN8" s="273"/>
      <c r="GO8" s="273"/>
      <c r="GP8" s="273"/>
      <c r="GQ8" s="273"/>
      <c r="GR8" s="273"/>
      <c r="GS8" s="273"/>
      <c r="GT8" s="273"/>
      <c r="GU8" s="273"/>
      <c r="GV8" s="273"/>
      <c r="GW8" s="273"/>
      <c r="GX8" s="273"/>
      <c r="GY8" s="273"/>
      <c r="GZ8" s="273"/>
      <c r="HA8" s="273"/>
      <c r="HB8" s="273"/>
      <c r="HC8" s="273"/>
      <c r="HD8" s="273"/>
      <c r="HE8" s="273"/>
      <c r="HF8" s="273"/>
      <c r="HG8" s="273"/>
      <c r="HH8" s="273"/>
      <c r="HI8" s="273"/>
      <c r="HJ8" s="273"/>
      <c r="HK8" s="273"/>
      <c r="HL8" s="273"/>
      <c r="HM8" s="273"/>
      <c r="HN8" s="273"/>
      <c r="HO8" s="273"/>
      <c r="HP8" s="273"/>
      <c r="HQ8" s="273"/>
      <c r="HR8" s="273"/>
      <c r="HS8" s="273"/>
      <c r="HT8" s="273"/>
      <c r="HU8" s="273"/>
      <c r="HV8" s="273"/>
      <c r="HW8" s="273"/>
      <c r="HX8" s="273"/>
      <c r="HY8" s="273"/>
      <c r="HZ8" s="273"/>
      <c r="IA8" s="273"/>
      <c r="IB8" s="273"/>
      <c r="IC8" s="273"/>
      <c r="ID8" s="273"/>
      <c r="IE8" s="273"/>
      <c r="IF8" s="273"/>
      <c r="IG8" s="273"/>
      <c r="IH8" s="273"/>
      <c r="II8" s="273"/>
      <c r="IJ8" s="273"/>
      <c r="IK8" s="273"/>
      <c r="IL8" s="273"/>
      <c r="IM8" s="273"/>
      <c r="IN8" s="273"/>
      <c r="IO8" s="273"/>
      <c r="IP8" s="273"/>
      <c r="IQ8" s="273"/>
      <c r="IR8" s="273"/>
      <c r="IS8" s="273"/>
      <c r="IT8" s="273"/>
    </row>
    <row r="9" spans="1:254" s="281" customFormat="1" ht="16.2">
      <c r="A9" s="307" t="s">
        <v>423</v>
      </c>
      <c r="B9" s="283">
        <v>2.2999999999999998</v>
      </c>
      <c r="C9" s="283">
        <v>2.2999999999999998</v>
      </c>
      <c r="D9" s="283">
        <v>4.5999999999999996</v>
      </c>
      <c r="E9" s="283">
        <v>9.1</v>
      </c>
      <c r="F9" s="283">
        <v>19.600000000000001</v>
      </c>
      <c r="G9" s="283">
        <v>15.9</v>
      </c>
      <c r="H9" s="283">
        <v>19.600000000000001</v>
      </c>
      <c r="I9" s="283">
        <v>22.2</v>
      </c>
      <c r="J9" s="283">
        <v>18.8</v>
      </c>
      <c r="K9" s="283">
        <v>23</v>
      </c>
      <c r="L9" s="283">
        <v>32.799999999999997</v>
      </c>
      <c r="M9" s="283">
        <v>33</v>
      </c>
      <c r="N9" s="283">
        <v>67</v>
      </c>
      <c r="O9" s="283">
        <v>49.6</v>
      </c>
      <c r="P9" s="285">
        <v>55.9</v>
      </c>
      <c r="Q9" s="285">
        <v>71.400000000000006</v>
      </c>
      <c r="R9" s="285">
        <v>68.5</v>
      </c>
      <c r="S9" s="285">
        <v>82.2</v>
      </c>
      <c r="T9" s="285">
        <v>104.9</v>
      </c>
      <c r="U9" s="285">
        <v>108.2</v>
      </c>
      <c r="V9" s="285">
        <v>108.2</v>
      </c>
      <c r="W9" s="285">
        <v>101.1</v>
      </c>
      <c r="X9" s="285">
        <v>137.1</v>
      </c>
      <c r="Y9" s="285">
        <v>140.69999999999999</v>
      </c>
      <c r="Z9" s="285">
        <v>137.9</v>
      </c>
      <c r="AA9" s="285">
        <v>135.80000000000001</v>
      </c>
      <c r="AB9" s="286">
        <v>137.9</v>
      </c>
      <c r="AC9" s="287">
        <v>139.482</v>
      </c>
      <c r="AD9" s="287">
        <v>148.89743393999996</v>
      </c>
      <c r="AE9" s="287">
        <v>177.85944282999998</v>
      </c>
      <c r="AF9" s="287">
        <v>199.58221303000002</v>
      </c>
      <c r="AG9" s="287">
        <v>221.05362423999992</v>
      </c>
      <c r="AH9" s="288">
        <v>248.93</v>
      </c>
      <c r="AI9" s="289">
        <v>239</v>
      </c>
      <c r="AJ9" s="289">
        <v>231.80148199999996</v>
      </c>
      <c r="AK9" s="289">
        <v>258.17721182999998</v>
      </c>
      <c r="AL9" s="289">
        <v>258.14218992999997</v>
      </c>
      <c r="AM9" s="289">
        <v>254.7</v>
      </c>
      <c r="AN9" s="289">
        <v>258.70465134000005</v>
      </c>
      <c r="AO9" s="289">
        <v>240.38390317</v>
      </c>
      <c r="AP9" s="289">
        <v>238.07312463000002</v>
      </c>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73"/>
      <c r="DQ9" s="273"/>
      <c r="DR9" s="273"/>
      <c r="DS9" s="273"/>
      <c r="DT9" s="273"/>
      <c r="DU9" s="273"/>
      <c r="DV9" s="273"/>
      <c r="DW9" s="273"/>
      <c r="DX9" s="273"/>
      <c r="DY9" s="273"/>
      <c r="DZ9" s="273"/>
      <c r="EA9" s="273"/>
      <c r="EB9" s="273"/>
      <c r="EC9" s="273"/>
      <c r="ED9" s="273"/>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c r="GV9" s="273"/>
      <c r="GW9" s="273"/>
      <c r="GX9" s="273"/>
      <c r="GY9" s="273"/>
      <c r="GZ9" s="273"/>
      <c r="HA9" s="273"/>
      <c r="HB9" s="273"/>
      <c r="HC9" s="273"/>
      <c r="HD9" s="273"/>
      <c r="HE9" s="273"/>
      <c r="HF9" s="273"/>
      <c r="HG9" s="273"/>
      <c r="HH9" s="273"/>
      <c r="HI9" s="273"/>
      <c r="HJ9" s="273"/>
      <c r="HK9" s="273"/>
      <c r="HL9" s="273"/>
      <c r="HM9" s="273"/>
      <c r="HN9" s="273"/>
      <c r="HO9" s="273"/>
      <c r="HP9" s="273"/>
      <c r="HQ9" s="273"/>
      <c r="HR9" s="273"/>
      <c r="HS9" s="273"/>
      <c r="HT9" s="273"/>
      <c r="HU9" s="273"/>
      <c r="HV9" s="273"/>
      <c r="HW9" s="273"/>
      <c r="HX9" s="273"/>
      <c r="HY9" s="273"/>
      <c r="HZ9" s="273"/>
      <c r="IA9" s="273"/>
      <c r="IB9" s="273"/>
      <c r="IC9" s="273"/>
      <c r="ID9" s="273"/>
      <c r="IE9" s="273"/>
      <c r="IF9" s="273"/>
      <c r="IG9" s="273"/>
      <c r="IH9" s="273"/>
      <c r="II9" s="273"/>
      <c r="IJ9" s="273"/>
      <c r="IK9" s="273"/>
      <c r="IL9" s="273"/>
      <c r="IM9" s="273"/>
      <c r="IN9" s="273"/>
      <c r="IO9" s="273"/>
      <c r="IP9" s="273"/>
      <c r="IQ9" s="273"/>
      <c r="IR9" s="273"/>
      <c r="IS9" s="273"/>
      <c r="IT9" s="273"/>
    </row>
    <row r="10" spans="1:254" s="281" customFormat="1" ht="16.2">
      <c r="A10" s="307" t="s">
        <v>424</v>
      </c>
      <c r="B10" s="302"/>
      <c r="C10" s="302"/>
      <c r="D10" s="302"/>
      <c r="E10" s="302"/>
      <c r="F10" s="302"/>
      <c r="G10" s="302"/>
      <c r="H10" s="302"/>
      <c r="I10" s="302"/>
      <c r="J10" s="302"/>
      <c r="K10" s="302"/>
      <c r="L10" s="302"/>
      <c r="M10" s="302"/>
      <c r="N10" s="302"/>
      <c r="O10" s="302"/>
      <c r="P10" s="303"/>
      <c r="Q10" s="303"/>
      <c r="R10" s="303"/>
      <c r="S10" s="303"/>
      <c r="T10" s="303"/>
      <c r="U10" s="303"/>
      <c r="V10" s="303"/>
      <c r="W10" s="303"/>
      <c r="X10" s="303"/>
      <c r="Y10" s="303"/>
      <c r="Z10" s="303"/>
      <c r="AA10" s="303"/>
      <c r="AB10" s="286"/>
      <c r="AC10" s="287"/>
      <c r="AD10" s="287"/>
      <c r="AE10" s="287"/>
      <c r="AF10" s="287"/>
      <c r="AG10" s="287"/>
      <c r="AH10" s="288"/>
      <c r="AI10" s="289">
        <v>0.2</v>
      </c>
      <c r="AJ10" s="289">
        <v>0.3</v>
      </c>
      <c r="AK10" s="289">
        <v>0.12382228999999997</v>
      </c>
      <c r="AL10" s="289">
        <v>1.3212650000000003E-2</v>
      </c>
      <c r="AM10" s="289">
        <v>0</v>
      </c>
      <c r="AN10" s="289">
        <v>6.6416380000000011E-2</v>
      </c>
      <c r="AO10" s="289">
        <v>6.3245499999999991E-3</v>
      </c>
      <c r="AP10" s="289">
        <v>8.0871199999999997E-3</v>
      </c>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c r="IN10" s="273"/>
      <c r="IO10" s="273"/>
      <c r="IP10" s="273"/>
      <c r="IQ10" s="273"/>
      <c r="IR10" s="273"/>
      <c r="IS10" s="273"/>
      <c r="IT10" s="273"/>
    </row>
    <row r="11" spans="1:254" s="281" customFormat="1" ht="17.399999999999999">
      <c r="A11" s="307" t="s">
        <v>446</v>
      </c>
      <c r="B11" s="302">
        <v>0</v>
      </c>
      <c r="C11" s="302">
        <v>0</v>
      </c>
      <c r="D11" s="302">
        <v>0</v>
      </c>
      <c r="E11" s="302">
        <v>0</v>
      </c>
      <c r="F11" s="302">
        <v>0</v>
      </c>
      <c r="G11" s="302">
        <v>0</v>
      </c>
      <c r="H11" s="302">
        <v>0</v>
      </c>
      <c r="I11" s="302">
        <v>0</v>
      </c>
      <c r="J11" s="302">
        <v>0</v>
      </c>
      <c r="K11" s="302">
        <v>0</v>
      </c>
      <c r="L11" s="302">
        <v>0</v>
      </c>
      <c r="M11" s="302">
        <v>0</v>
      </c>
      <c r="N11" s="302">
        <v>0</v>
      </c>
      <c r="O11" s="302">
        <v>0</v>
      </c>
      <c r="P11" s="303">
        <v>0</v>
      </c>
      <c r="Q11" s="303"/>
      <c r="R11" s="303"/>
      <c r="S11" s="303"/>
      <c r="T11" s="303"/>
      <c r="U11" s="303"/>
      <c r="V11" s="303"/>
      <c r="W11" s="303">
        <v>2.9</v>
      </c>
      <c r="X11" s="303">
        <v>7.1</v>
      </c>
      <c r="Y11" s="303">
        <v>6.5</v>
      </c>
      <c r="Z11" s="303">
        <v>7.8</v>
      </c>
      <c r="AA11" s="303">
        <v>0.01</v>
      </c>
      <c r="AB11" s="286">
        <v>0</v>
      </c>
      <c r="AC11" s="287">
        <v>0</v>
      </c>
      <c r="AD11" s="287">
        <v>0</v>
      </c>
      <c r="AE11" s="287">
        <v>0</v>
      </c>
      <c r="AF11" s="287">
        <v>0</v>
      </c>
      <c r="AG11" s="287">
        <v>0</v>
      </c>
      <c r="AH11" s="288">
        <v>0</v>
      </c>
      <c r="AI11" s="289">
        <v>0</v>
      </c>
      <c r="AJ11" s="289">
        <v>0</v>
      </c>
      <c r="AK11" s="289">
        <v>0</v>
      </c>
      <c r="AL11" s="289">
        <v>0</v>
      </c>
      <c r="AM11" s="289">
        <v>0</v>
      </c>
      <c r="AN11" s="289">
        <v>0</v>
      </c>
      <c r="AO11" s="289">
        <v>0</v>
      </c>
      <c r="AP11" s="289">
        <v>0</v>
      </c>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3"/>
      <c r="DQ11" s="273"/>
      <c r="DR11" s="273"/>
      <c r="DS11" s="273"/>
      <c r="DT11" s="273"/>
      <c r="DU11" s="273"/>
      <c r="DV11" s="273"/>
      <c r="DW11" s="273"/>
      <c r="DX11" s="273"/>
      <c r="DY11" s="273"/>
      <c r="DZ11" s="273"/>
      <c r="EA11" s="273"/>
      <c r="EB11" s="273"/>
      <c r="EC11" s="273"/>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3"/>
      <c r="FV11" s="273"/>
      <c r="FW11" s="273"/>
      <c r="FX11" s="273"/>
      <c r="FY11" s="273"/>
      <c r="FZ11" s="273"/>
      <c r="GA11" s="273"/>
      <c r="GB11" s="273"/>
      <c r="GC11" s="273"/>
      <c r="GD11" s="273"/>
      <c r="GE11" s="273"/>
      <c r="GF11" s="273"/>
      <c r="GG11" s="273"/>
      <c r="GH11" s="273"/>
      <c r="GI11" s="273"/>
      <c r="GJ11" s="273"/>
      <c r="GK11" s="273"/>
      <c r="GL11" s="273"/>
      <c r="GM11" s="273"/>
      <c r="GN11" s="273"/>
      <c r="GO11" s="273"/>
      <c r="GP11" s="273"/>
      <c r="GQ11" s="273"/>
      <c r="GR11" s="273"/>
      <c r="GS11" s="273"/>
      <c r="GT11" s="273"/>
      <c r="GU11" s="273"/>
      <c r="GV11" s="273"/>
      <c r="GW11" s="273"/>
      <c r="GX11" s="273"/>
      <c r="GY11" s="273"/>
      <c r="GZ11" s="273"/>
      <c r="HA11" s="273"/>
      <c r="HB11" s="273"/>
      <c r="HC11" s="273"/>
      <c r="HD11" s="273"/>
      <c r="HE11" s="273"/>
      <c r="HF11" s="273"/>
      <c r="HG11" s="273"/>
      <c r="HH11" s="273"/>
      <c r="HI11" s="273"/>
      <c r="HJ11" s="273"/>
      <c r="HK11" s="273"/>
      <c r="HL11" s="273"/>
      <c r="HM11" s="273"/>
      <c r="HN11" s="273"/>
      <c r="HO11" s="273"/>
      <c r="HP11" s="273"/>
      <c r="HQ11" s="273"/>
      <c r="HR11" s="273"/>
      <c r="HS11" s="273"/>
      <c r="HT11" s="273"/>
      <c r="HU11" s="273"/>
      <c r="HV11" s="273"/>
      <c r="HW11" s="273"/>
      <c r="HX11" s="273"/>
      <c r="HY11" s="273"/>
      <c r="HZ11" s="273"/>
      <c r="IA11" s="273"/>
      <c r="IB11" s="273"/>
      <c r="IC11" s="273"/>
      <c r="ID11" s="273"/>
      <c r="IE11" s="273"/>
      <c r="IF11" s="273"/>
      <c r="IG11" s="273"/>
      <c r="IH11" s="273"/>
      <c r="II11" s="273"/>
      <c r="IJ11" s="273"/>
      <c r="IK11" s="273"/>
      <c r="IL11" s="273"/>
      <c r="IM11" s="273"/>
      <c r="IN11" s="273"/>
      <c r="IO11" s="273"/>
      <c r="IP11" s="273"/>
      <c r="IQ11" s="273"/>
      <c r="IR11" s="273"/>
      <c r="IS11" s="273"/>
      <c r="IT11" s="273"/>
    </row>
    <row r="12" spans="1:254" s="281" customFormat="1" ht="17.399999999999999">
      <c r="A12" s="307" t="s">
        <v>447</v>
      </c>
      <c r="B12" s="283">
        <v>0</v>
      </c>
      <c r="C12" s="283">
        <v>0</v>
      </c>
      <c r="D12" s="283">
        <v>0</v>
      </c>
      <c r="E12" s="283">
        <v>0</v>
      </c>
      <c r="F12" s="283">
        <v>0</v>
      </c>
      <c r="G12" s="283">
        <v>0</v>
      </c>
      <c r="H12" s="283">
        <v>0</v>
      </c>
      <c r="I12" s="283">
        <v>0</v>
      </c>
      <c r="J12" s="283">
        <v>0</v>
      </c>
      <c r="K12" s="283">
        <v>0</v>
      </c>
      <c r="L12" s="283">
        <v>0</v>
      </c>
      <c r="M12" s="283">
        <v>0</v>
      </c>
      <c r="N12" s="283">
        <v>0</v>
      </c>
      <c r="O12" s="283">
        <v>0</v>
      </c>
      <c r="P12" s="285">
        <v>0</v>
      </c>
      <c r="Q12" s="285"/>
      <c r="R12" s="285"/>
      <c r="S12" s="285"/>
      <c r="T12" s="285"/>
      <c r="U12" s="285"/>
      <c r="V12" s="285"/>
      <c r="W12" s="285"/>
      <c r="X12" s="285"/>
      <c r="Y12" s="285"/>
      <c r="Z12" s="285"/>
      <c r="AA12" s="285"/>
      <c r="AB12" s="286"/>
      <c r="AC12" s="280"/>
      <c r="AD12" s="280"/>
      <c r="AE12" s="280"/>
      <c r="AF12" s="280"/>
      <c r="AG12" s="280"/>
      <c r="AH12" s="308"/>
      <c r="AI12" s="309"/>
      <c r="AJ12" s="309"/>
      <c r="AK12" s="309"/>
      <c r="AL12" s="309"/>
      <c r="AM12" s="309"/>
      <c r="AN12" s="309"/>
      <c r="AO12" s="309"/>
      <c r="AP12" s="309"/>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3"/>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c r="GV12" s="273"/>
      <c r="GW12" s="273"/>
      <c r="GX12" s="273"/>
      <c r="GY12" s="273"/>
      <c r="GZ12" s="273"/>
      <c r="HA12" s="273"/>
      <c r="HB12" s="273"/>
      <c r="HC12" s="273"/>
      <c r="HD12" s="273"/>
      <c r="HE12" s="273"/>
      <c r="HF12" s="273"/>
      <c r="HG12" s="273"/>
      <c r="HH12" s="273"/>
      <c r="HI12" s="273"/>
      <c r="HJ12" s="273"/>
      <c r="HK12" s="273"/>
      <c r="HL12" s="273"/>
      <c r="HM12" s="273"/>
      <c r="HN12" s="273"/>
      <c r="HO12" s="273"/>
      <c r="HP12" s="273"/>
      <c r="HQ12" s="273"/>
      <c r="HR12" s="273"/>
      <c r="HS12" s="273"/>
      <c r="HT12" s="273"/>
      <c r="HU12" s="273"/>
      <c r="HV12" s="273"/>
      <c r="HW12" s="273"/>
      <c r="HX12" s="273"/>
      <c r="HY12" s="273"/>
      <c r="HZ12" s="273"/>
      <c r="IA12" s="273"/>
      <c r="IB12" s="273"/>
      <c r="IC12" s="273"/>
      <c r="ID12" s="273"/>
      <c r="IE12" s="273"/>
      <c r="IF12" s="273"/>
      <c r="IG12" s="273"/>
      <c r="IH12" s="273"/>
      <c r="II12" s="273"/>
      <c r="IJ12" s="273"/>
      <c r="IK12" s="273"/>
      <c r="IL12" s="273"/>
      <c r="IM12" s="273"/>
      <c r="IN12" s="273"/>
      <c r="IO12" s="273"/>
      <c r="IP12" s="273"/>
      <c r="IQ12" s="273"/>
      <c r="IR12" s="273"/>
      <c r="IS12" s="273"/>
      <c r="IT12" s="273"/>
    </row>
    <row r="13" spans="1:254" s="281" customFormat="1" ht="16.2">
      <c r="A13" s="282" t="s">
        <v>449</v>
      </c>
      <c r="B13" s="283">
        <v>0</v>
      </c>
      <c r="C13" s="283">
        <v>0.5</v>
      </c>
      <c r="D13" s="283">
        <v>1</v>
      </c>
      <c r="E13" s="283">
        <v>2.2000000000000002</v>
      </c>
      <c r="F13" s="283">
        <v>3.6</v>
      </c>
      <c r="G13" s="283">
        <v>5.4</v>
      </c>
      <c r="H13" s="283">
        <v>4.9000000000000004</v>
      </c>
      <c r="I13" s="283">
        <v>5.8</v>
      </c>
      <c r="J13" s="283">
        <v>5.0999999999999996</v>
      </c>
      <c r="K13" s="283">
        <v>7.6</v>
      </c>
      <c r="L13" s="283">
        <v>8.3000000000000007</v>
      </c>
      <c r="M13" s="283">
        <v>8.6999999999999993</v>
      </c>
      <c r="N13" s="283">
        <v>11.2</v>
      </c>
      <c r="O13" s="283">
        <v>11.2</v>
      </c>
      <c r="P13" s="285">
        <v>12.4</v>
      </c>
      <c r="Q13" s="285">
        <v>12.7</v>
      </c>
      <c r="R13" s="285">
        <v>11.5</v>
      </c>
      <c r="S13" s="285">
        <v>11.8</v>
      </c>
      <c r="T13" s="285">
        <v>11.44</v>
      </c>
      <c r="U13" s="285">
        <v>13</v>
      </c>
      <c r="V13" s="285">
        <v>12.4</v>
      </c>
      <c r="W13" s="285">
        <v>12.7</v>
      </c>
      <c r="X13" s="285">
        <v>14.9</v>
      </c>
      <c r="Y13" s="285">
        <v>15.115</v>
      </c>
      <c r="Z13" s="285">
        <v>17.3</v>
      </c>
      <c r="AA13" s="285">
        <v>17.2</v>
      </c>
      <c r="AB13" s="286">
        <v>20.100000000000001</v>
      </c>
      <c r="AC13" s="287">
        <v>19.27</v>
      </c>
      <c r="AD13" s="287">
        <v>19.399999999999999</v>
      </c>
      <c r="AE13" s="287">
        <v>20.77</v>
      </c>
      <c r="AF13" s="287">
        <v>23.300685000000005</v>
      </c>
      <c r="AG13" s="287">
        <v>24.5</v>
      </c>
      <c r="AH13" s="288">
        <v>21.99</v>
      </c>
      <c r="AI13" s="289">
        <v>28.7</v>
      </c>
      <c r="AJ13" s="289">
        <v>31</v>
      </c>
      <c r="AK13" s="289">
        <v>30.930388000000001</v>
      </c>
      <c r="AL13" s="289">
        <v>28.64534832</v>
      </c>
      <c r="AM13" s="289">
        <v>26</v>
      </c>
      <c r="AN13" s="289">
        <v>31.391885770000005</v>
      </c>
      <c r="AO13" s="289">
        <v>26.667754219999999</v>
      </c>
      <c r="AP13" s="289">
        <v>31.852091000000001</v>
      </c>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c r="DF13" s="273"/>
      <c r="DG13" s="273"/>
      <c r="DH13" s="273"/>
      <c r="DI13" s="273"/>
      <c r="DJ13" s="273"/>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3"/>
      <c r="FP13" s="273"/>
      <c r="FQ13" s="273"/>
      <c r="FR13" s="273"/>
      <c r="FS13" s="273"/>
      <c r="FT13" s="273"/>
      <c r="FU13" s="273"/>
      <c r="FV13" s="273"/>
      <c r="FW13" s="273"/>
      <c r="FX13" s="273"/>
      <c r="FY13" s="273"/>
      <c r="FZ13" s="273"/>
      <c r="GA13" s="273"/>
      <c r="GB13" s="273"/>
      <c r="GC13" s="273"/>
      <c r="GD13" s="273"/>
      <c r="GE13" s="273"/>
      <c r="GF13" s="273"/>
      <c r="GG13" s="273"/>
      <c r="GH13" s="273"/>
      <c r="GI13" s="273"/>
      <c r="GJ13" s="273"/>
      <c r="GK13" s="273"/>
      <c r="GL13" s="273"/>
      <c r="GM13" s="273"/>
      <c r="GN13" s="273"/>
      <c r="GO13" s="273"/>
      <c r="GP13" s="273"/>
      <c r="GQ13" s="273"/>
      <c r="GR13" s="273"/>
      <c r="GS13" s="273"/>
      <c r="GT13" s="273"/>
      <c r="GU13" s="273"/>
      <c r="GV13" s="273"/>
      <c r="GW13" s="273"/>
      <c r="GX13" s="273"/>
      <c r="GY13" s="273"/>
      <c r="GZ13" s="273"/>
      <c r="HA13" s="273"/>
      <c r="HB13" s="273"/>
      <c r="HC13" s="273"/>
      <c r="HD13" s="273"/>
      <c r="HE13" s="273"/>
      <c r="HF13" s="273"/>
      <c r="HG13" s="273"/>
      <c r="HH13" s="273"/>
      <c r="HI13" s="273"/>
      <c r="HJ13" s="273"/>
      <c r="HK13" s="273"/>
      <c r="HL13" s="273"/>
      <c r="HM13" s="273"/>
      <c r="HN13" s="273"/>
      <c r="HO13" s="273"/>
      <c r="HP13" s="273"/>
      <c r="HQ13" s="273"/>
      <c r="HR13" s="273"/>
      <c r="HS13" s="273"/>
      <c r="HT13" s="273"/>
      <c r="HU13" s="273"/>
      <c r="HV13" s="273"/>
      <c r="HW13" s="273"/>
      <c r="HX13" s="273"/>
      <c r="HY13" s="273"/>
      <c r="HZ13" s="273"/>
      <c r="IA13" s="273"/>
      <c r="IB13" s="273"/>
      <c r="IC13" s="273"/>
      <c r="ID13" s="273"/>
      <c r="IE13" s="273"/>
      <c r="IF13" s="273"/>
      <c r="IG13" s="273"/>
      <c r="IH13" s="273"/>
      <c r="II13" s="273"/>
      <c r="IJ13" s="273"/>
      <c r="IK13" s="273"/>
      <c r="IL13" s="273"/>
      <c r="IM13" s="273"/>
      <c r="IN13" s="273"/>
      <c r="IO13" s="273"/>
      <c r="IP13" s="273"/>
      <c r="IQ13" s="273"/>
      <c r="IR13" s="273"/>
      <c r="IS13" s="273"/>
      <c r="IT13" s="273"/>
    </row>
    <row r="14" spans="1:254" s="281" customFormat="1" ht="16.2">
      <c r="A14" s="282" t="s">
        <v>425</v>
      </c>
      <c r="B14" s="283">
        <v>15</v>
      </c>
      <c r="C14" s="283">
        <v>5.4</v>
      </c>
      <c r="D14" s="283">
        <v>7.6</v>
      </c>
      <c r="E14" s="283">
        <v>9.1</v>
      </c>
      <c r="F14" s="283">
        <v>10</v>
      </c>
      <c r="G14" s="283">
        <v>11.4</v>
      </c>
      <c r="H14" s="283">
        <v>15.8</v>
      </c>
      <c r="I14" s="283">
        <v>20.7</v>
      </c>
      <c r="J14" s="283">
        <v>10.5</v>
      </c>
      <c r="K14" s="283">
        <v>12.3</v>
      </c>
      <c r="L14" s="283">
        <v>11.5</v>
      </c>
      <c r="M14" s="283">
        <v>11.8</v>
      </c>
      <c r="N14" s="283">
        <v>13.3</v>
      </c>
      <c r="O14" s="283">
        <v>14</v>
      </c>
      <c r="P14" s="285">
        <v>16.899999999999999</v>
      </c>
      <c r="Q14" s="285">
        <v>17.8</v>
      </c>
      <c r="R14" s="285">
        <v>18.2</v>
      </c>
      <c r="S14" s="285">
        <v>18.899999999999999</v>
      </c>
      <c r="T14" s="285">
        <v>18.54</v>
      </c>
      <c r="U14" s="285">
        <v>19.899999999999999</v>
      </c>
      <c r="V14" s="285">
        <v>19.7</v>
      </c>
      <c r="W14" s="285">
        <v>23.1</v>
      </c>
      <c r="X14" s="285">
        <v>28.23</v>
      </c>
      <c r="Y14" s="285">
        <v>30.32</v>
      </c>
      <c r="Z14" s="285">
        <v>32.299999999999997</v>
      </c>
      <c r="AA14" s="285">
        <v>32.5</v>
      </c>
      <c r="AB14" s="286">
        <v>31.8</v>
      </c>
      <c r="AC14" s="287">
        <v>32.9</v>
      </c>
      <c r="AD14" s="287">
        <v>34.4</v>
      </c>
      <c r="AE14" s="287">
        <v>34.299999999999997</v>
      </c>
      <c r="AF14" s="287">
        <v>36.515000000000001</v>
      </c>
      <c r="AG14" s="287">
        <v>40.299999999999997</v>
      </c>
      <c r="AH14" s="288">
        <v>41.1</v>
      </c>
      <c r="AI14" s="289">
        <v>39.200000000000003</v>
      </c>
      <c r="AJ14" s="289">
        <v>47.8</v>
      </c>
      <c r="AK14" s="289">
        <v>46.4</v>
      </c>
      <c r="AL14" s="289">
        <v>48.195</v>
      </c>
      <c r="AM14" s="289">
        <v>46.8</v>
      </c>
      <c r="AN14" s="289">
        <v>47.5</v>
      </c>
      <c r="AO14" s="289">
        <v>48.9</v>
      </c>
      <c r="AP14" s="289">
        <v>46.347048999999998</v>
      </c>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3"/>
      <c r="FP14" s="273"/>
      <c r="FQ14" s="273"/>
      <c r="FR14" s="273"/>
      <c r="FS14" s="273"/>
      <c r="FT14" s="273"/>
      <c r="FU14" s="273"/>
      <c r="FV14" s="273"/>
      <c r="FW14" s="273"/>
      <c r="FX14" s="273"/>
      <c r="FY14" s="273"/>
      <c r="FZ14" s="273"/>
      <c r="GA14" s="273"/>
      <c r="GB14" s="273"/>
      <c r="GC14" s="273"/>
      <c r="GD14" s="273"/>
      <c r="GE14" s="273"/>
      <c r="GF14" s="273"/>
      <c r="GG14" s="273"/>
      <c r="GH14" s="273"/>
      <c r="GI14" s="273"/>
      <c r="GJ14" s="273"/>
      <c r="GK14" s="273"/>
      <c r="GL14" s="273"/>
      <c r="GM14" s="273"/>
      <c r="GN14" s="273"/>
      <c r="GO14" s="273"/>
      <c r="GP14" s="273"/>
      <c r="GQ14" s="273"/>
      <c r="GR14" s="273"/>
      <c r="GS14" s="273"/>
      <c r="GT14" s="273"/>
      <c r="GU14" s="273"/>
      <c r="GV14" s="273"/>
      <c r="GW14" s="273"/>
      <c r="GX14" s="273"/>
      <c r="GY14" s="273"/>
      <c r="GZ14" s="273"/>
      <c r="HA14" s="273"/>
      <c r="HB14" s="273"/>
      <c r="HC14" s="273"/>
      <c r="HD14" s="273"/>
      <c r="HE14" s="273"/>
      <c r="HF14" s="273"/>
      <c r="HG14" s="273"/>
      <c r="HH14" s="273"/>
      <c r="HI14" s="273"/>
      <c r="HJ14" s="273"/>
      <c r="HK14" s="273"/>
      <c r="HL14" s="273"/>
      <c r="HM14" s="273"/>
      <c r="HN14" s="273"/>
      <c r="HO14" s="273"/>
      <c r="HP14" s="273"/>
      <c r="HQ14" s="273"/>
      <c r="HR14" s="273"/>
      <c r="HS14" s="273"/>
      <c r="HT14" s="273"/>
      <c r="HU14" s="273"/>
      <c r="HV14" s="273"/>
      <c r="HW14" s="273"/>
      <c r="HX14" s="273"/>
      <c r="HY14" s="273"/>
      <c r="HZ14" s="273"/>
      <c r="IA14" s="273"/>
      <c r="IB14" s="273"/>
      <c r="IC14" s="273"/>
      <c r="ID14" s="273"/>
      <c r="IE14" s="273"/>
      <c r="IF14" s="273"/>
      <c r="IG14" s="273"/>
      <c r="IH14" s="273"/>
      <c r="II14" s="273"/>
      <c r="IJ14" s="273"/>
      <c r="IK14" s="273"/>
      <c r="IL14" s="273"/>
      <c r="IM14" s="273"/>
      <c r="IN14" s="273"/>
      <c r="IO14" s="273"/>
      <c r="IP14" s="273"/>
      <c r="IQ14" s="273"/>
      <c r="IR14" s="273"/>
      <c r="IS14" s="273"/>
      <c r="IT14" s="273"/>
    </row>
    <row r="15" spans="1:254" s="281" customFormat="1" ht="16.2">
      <c r="A15" s="282" t="s">
        <v>426</v>
      </c>
      <c r="B15" s="283">
        <v>0</v>
      </c>
      <c r="C15" s="283">
        <v>0</v>
      </c>
      <c r="D15" s="283">
        <v>0</v>
      </c>
      <c r="E15" s="283">
        <v>0</v>
      </c>
      <c r="F15" s="283">
        <v>0</v>
      </c>
      <c r="G15" s="283">
        <v>0</v>
      </c>
      <c r="H15" s="283">
        <v>0</v>
      </c>
      <c r="I15" s="283">
        <v>0</v>
      </c>
      <c r="J15" s="283">
        <v>0</v>
      </c>
      <c r="K15" s="283">
        <v>0</v>
      </c>
      <c r="L15" s="283">
        <v>0</v>
      </c>
      <c r="M15" s="283">
        <v>0</v>
      </c>
      <c r="N15" s="283">
        <v>0</v>
      </c>
      <c r="O15" s="283">
        <v>1.2</v>
      </c>
      <c r="P15" s="285">
        <v>1.3</v>
      </c>
      <c r="Q15" s="285">
        <v>1.3</v>
      </c>
      <c r="R15" s="285">
        <v>1.5</v>
      </c>
      <c r="S15" s="285">
        <v>1.5</v>
      </c>
      <c r="T15" s="285">
        <v>2.7</v>
      </c>
      <c r="U15" s="285">
        <v>2.6</v>
      </c>
      <c r="V15" s="285">
        <v>1.8</v>
      </c>
      <c r="W15" s="285">
        <v>3</v>
      </c>
      <c r="X15" s="285">
        <v>3.78</v>
      </c>
      <c r="Y15" s="285">
        <v>3.12</v>
      </c>
      <c r="Z15" s="285">
        <v>3.9</v>
      </c>
      <c r="AA15" s="285">
        <v>3.92</v>
      </c>
      <c r="AB15" s="286">
        <v>4.5</v>
      </c>
      <c r="AC15" s="287">
        <v>3.9</v>
      </c>
      <c r="AD15" s="287">
        <v>4.3</v>
      </c>
      <c r="AE15" s="287">
        <v>4.5</v>
      </c>
      <c r="AF15" s="287">
        <v>5.2329999999999997</v>
      </c>
      <c r="AG15" s="287">
        <v>5</v>
      </c>
      <c r="AH15" s="288">
        <v>5.3</v>
      </c>
      <c r="AI15" s="289">
        <v>5.6</v>
      </c>
      <c r="AJ15" s="289">
        <v>6.6</v>
      </c>
      <c r="AK15" s="289">
        <v>2.6</v>
      </c>
      <c r="AL15" s="289">
        <v>5.9850000000000003</v>
      </c>
      <c r="AM15" s="289">
        <v>7</v>
      </c>
      <c r="AN15" s="289">
        <v>5.5</v>
      </c>
      <c r="AO15" s="289">
        <v>8.6999999999999993</v>
      </c>
      <c r="AP15" s="289">
        <v>5.7902050000000003</v>
      </c>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c r="DB15" s="273"/>
      <c r="DC15" s="273"/>
      <c r="DD15" s="273"/>
      <c r="DE15" s="273"/>
      <c r="DF15" s="273"/>
      <c r="DG15" s="273"/>
      <c r="DH15" s="273"/>
      <c r="DI15" s="273"/>
      <c r="DJ15" s="273"/>
      <c r="DK15" s="273"/>
      <c r="DL15" s="273"/>
      <c r="DM15" s="273"/>
      <c r="DN15" s="273"/>
      <c r="DO15" s="273"/>
      <c r="DP15" s="273"/>
      <c r="DQ15" s="273"/>
      <c r="DR15" s="273"/>
      <c r="DS15" s="273"/>
      <c r="DT15" s="273"/>
      <c r="DU15" s="273"/>
      <c r="DV15" s="273"/>
      <c r="DW15" s="273"/>
      <c r="DX15" s="273"/>
      <c r="DY15" s="273"/>
      <c r="DZ15" s="273"/>
      <c r="EA15" s="273"/>
      <c r="EB15" s="273"/>
      <c r="EC15" s="273"/>
      <c r="ED15" s="273"/>
      <c r="EE15" s="273"/>
      <c r="EF15" s="273"/>
      <c r="EG15" s="273"/>
      <c r="EH15" s="27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c r="GV15" s="273"/>
      <c r="GW15" s="273"/>
      <c r="GX15" s="273"/>
      <c r="GY15" s="273"/>
      <c r="GZ15" s="273"/>
      <c r="HA15" s="273"/>
      <c r="HB15" s="273"/>
      <c r="HC15" s="273"/>
      <c r="HD15" s="273"/>
      <c r="HE15" s="273"/>
      <c r="HF15" s="273"/>
      <c r="HG15" s="273"/>
      <c r="HH15" s="273"/>
      <c r="HI15" s="273"/>
      <c r="HJ15" s="273"/>
      <c r="HK15" s="273"/>
      <c r="HL15" s="273"/>
      <c r="HM15" s="273"/>
      <c r="HN15" s="273"/>
      <c r="HO15" s="273"/>
      <c r="HP15" s="273"/>
      <c r="HQ15" s="273"/>
      <c r="HR15" s="273"/>
      <c r="HS15" s="273"/>
      <c r="HT15" s="273"/>
      <c r="HU15" s="273"/>
      <c r="HV15" s="273"/>
      <c r="HW15" s="273"/>
      <c r="HX15" s="273"/>
      <c r="HY15" s="273"/>
      <c r="HZ15" s="273"/>
      <c r="IA15" s="273"/>
      <c r="IB15" s="273"/>
      <c r="IC15" s="273"/>
      <c r="ID15" s="273"/>
      <c r="IE15" s="273"/>
      <c r="IF15" s="273"/>
      <c r="IG15" s="273"/>
      <c r="IH15" s="273"/>
      <c r="II15" s="273"/>
      <c r="IJ15" s="273"/>
      <c r="IK15" s="273"/>
      <c r="IL15" s="273"/>
      <c r="IM15" s="273"/>
      <c r="IN15" s="273"/>
      <c r="IO15" s="273"/>
      <c r="IP15" s="273"/>
      <c r="IQ15" s="273"/>
      <c r="IR15" s="273"/>
      <c r="IS15" s="273"/>
      <c r="IT15" s="273"/>
    </row>
    <row r="16" spans="1:254" s="281" customFormat="1" ht="16.8" thickBot="1">
      <c r="A16" s="290" t="s">
        <v>427</v>
      </c>
      <c r="B16" s="292">
        <v>0</v>
      </c>
      <c r="C16" s="292">
        <v>0.2</v>
      </c>
      <c r="D16" s="292">
        <v>2.9</v>
      </c>
      <c r="E16" s="292">
        <v>2.9</v>
      </c>
      <c r="F16" s="292">
        <v>2.4</v>
      </c>
      <c r="G16" s="292">
        <v>3.1</v>
      </c>
      <c r="H16" s="292">
        <v>3</v>
      </c>
      <c r="I16" s="292">
        <v>3.2</v>
      </c>
      <c r="J16" s="292">
        <v>3.4</v>
      </c>
      <c r="K16" s="292">
        <v>3.7</v>
      </c>
      <c r="L16" s="292">
        <v>3.6</v>
      </c>
      <c r="M16" s="292">
        <v>3.8</v>
      </c>
      <c r="N16" s="292">
        <v>3.9</v>
      </c>
      <c r="O16" s="292">
        <v>4.0999999999999996</v>
      </c>
      <c r="P16" s="291">
        <v>4.3</v>
      </c>
      <c r="Q16" s="291">
        <v>4.3</v>
      </c>
      <c r="R16" s="291">
        <v>4.2</v>
      </c>
      <c r="S16" s="291">
        <v>3.7</v>
      </c>
      <c r="T16" s="291">
        <v>3.7</v>
      </c>
      <c r="U16" s="291">
        <v>3.4</v>
      </c>
      <c r="V16" s="291">
        <v>3.7</v>
      </c>
      <c r="W16" s="291">
        <v>3.7</v>
      </c>
      <c r="X16" s="291">
        <v>4</v>
      </c>
      <c r="Y16" s="291">
        <v>4</v>
      </c>
      <c r="Z16" s="291">
        <v>3.7</v>
      </c>
      <c r="AA16" s="291">
        <v>4.3</v>
      </c>
      <c r="AB16" s="293">
        <v>4.25</v>
      </c>
      <c r="AC16" s="310">
        <v>4.1950000000000003</v>
      </c>
      <c r="AD16" s="310">
        <f>8.245/2</f>
        <v>4.1224999999999996</v>
      </c>
      <c r="AE16" s="310">
        <v>4.7</v>
      </c>
      <c r="AF16" s="310">
        <v>4.6523023600000002</v>
      </c>
      <c r="AG16" s="310">
        <v>4.4651007800000002</v>
      </c>
      <c r="AH16" s="311">
        <v>4.62</v>
      </c>
      <c r="AI16" s="312">
        <v>5</v>
      </c>
      <c r="AJ16" s="312">
        <v>4.9000000000000004</v>
      </c>
      <c r="AK16" s="312">
        <v>4.9350975000000004</v>
      </c>
      <c r="AL16" s="313">
        <v>5.36</v>
      </c>
      <c r="AM16" s="313">
        <v>5.4</v>
      </c>
      <c r="AN16" s="313">
        <v>5.4847033149999991</v>
      </c>
      <c r="AO16" s="313">
        <v>5.6375000000000002</v>
      </c>
      <c r="AP16" s="313">
        <v>5.59</v>
      </c>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3"/>
      <c r="DQ16" s="273"/>
      <c r="DR16" s="273"/>
      <c r="DS16" s="273"/>
      <c r="DT16" s="273"/>
      <c r="DU16" s="273"/>
      <c r="DV16" s="273"/>
      <c r="DW16" s="273"/>
      <c r="DX16" s="273"/>
      <c r="DY16" s="273"/>
      <c r="DZ16" s="273"/>
      <c r="EA16" s="273"/>
      <c r="EB16" s="273"/>
      <c r="EC16" s="273"/>
      <c r="ED16" s="273"/>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3"/>
      <c r="HO16" s="273"/>
      <c r="HP16" s="273"/>
      <c r="HQ16" s="273"/>
      <c r="HR16" s="273"/>
      <c r="HS16" s="273"/>
      <c r="HT16" s="273"/>
      <c r="HU16" s="273"/>
      <c r="HV16" s="273"/>
      <c r="HW16" s="273"/>
      <c r="HX16" s="273"/>
      <c r="HY16" s="273"/>
      <c r="HZ16" s="273"/>
      <c r="IA16" s="273"/>
      <c r="IB16" s="273"/>
      <c r="IC16" s="273"/>
      <c r="ID16" s="273"/>
      <c r="IE16" s="273"/>
      <c r="IF16" s="273"/>
      <c r="IG16" s="273"/>
      <c r="IH16" s="273"/>
      <c r="II16" s="273"/>
      <c r="IJ16" s="273"/>
      <c r="IK16" s="273"/>
      <c r="IL16" s="273"/>
      <c r="IM16" s="273"/>
      <c r="IN16" s="273"/>
      <c r="IO16" s="273"/>
      <c r="IP16" s="273"/>
      <c r="IQ16" s="273"/>
      <c r="IR16" s="273"/>
      <c r="IS16" s="273"/>
      <c r="IT16" s="273"/>
    </row>
    <row r="17" spans="1:254" s="281" customFormat="1" ht="17.399999999999999" thickTop="1" thickBot="1">
      <c r="A17" s="314" t="s">
        <v>428</v>
      </c>
      <c r="B17" s="315">
        <v>15</v>
      </c>
      <c r="C17" s="315">
        <v>6.1</v>
      </c>
      <c r="D17" s="315">
        <v>11.5</v>
      </c>
      <c r="E17" s="315">
        <v>14.2</v>
      </c>
      <c r="F17" s="315">
        <v>16</v>
      </c>
      <c r="G17" s="315">
        <v>19.899999999999999</v>
      </c>
      <c r="H17" s="315">
        <v>23.7</v>
      </c>
      <c r="I17" s="315">
        <v>29.7</v>
      </c>
      <c r="J17" s="315">
        <v>19</v>
      </c>
      <c r="K17" s="315">
        <v>23.6</v>
      </c>
      <c r="L17" s="315">
        <v>23.4</v>
      </c>
      <c r="M17" s="315">
        <v>24.3</v>
      </c>
      <c r="N17" s="315">
        <v>28.4</v>
      </c>
      <c r="O17" s="315">
        <v>30.5</v>
      </c>
      <c r="P17" s="316">
        <v>34.9</v>
      </c>
      <c r="Q17" s="316">
        <f t="shared" ref="Q17:AJ17" si="1">SUM(Q13:Q16)</f>
        <v>36.1</v>
      </c>
      <c r="R17" s="316">
        <f t="shared" si="1"/>
        <v>35.4</v>
      </c>
      <c r="S17" s="316">
        <f t="shared" si="1"/>
        <v>35.900000000000006</v>
      </c>
      <c r="T17" s="316">
        <f t="shared" si="1"/>
        <v>36.380000000000003</v>
      </c>
      <c r="U17" s="316">
        <f t="shared" si="1"/>
        <v>38.9</v>
      </c>
      <c r="V17" s="316">
        <f t="shared" si="1"/>
        <v>37.6</v>
      </c>
      <c r="W17" s="316">
        <f t="shared" si="1"/>
        <v>42.5</v>
      </c>
      <c r="X17" s="316">
        <f t="shared" si="1"/>
        <v>50.910000000000004</v>
      </c>
      <c r="Y17" s="316">
        <f t="shared" si="1"/>
        <v>52.555</v>
      </c>
      <c r="Z17" s="316">
        <f t="shared" si="1"/>
        <v>57.199999999999996</v>
      </c>
      <c r="AA17" s="316">
        <f t="shared" si="1"/>
        <v>57.92</v>
      </c>
      <c r="AB17" s="317">
        <f t="shared" si="1"/>
        <v>60.650000000000006</v>
      </c>
      <c r="AC17" s="317">
        <f t="shared" si="1"/>
        <v>60.265000000000001</v>
      </c>
      <c r="AD17" s="317">
        <f t="shared" si="1"/>
        <v>62.222499999999997</v>
      </c>
      <c r="AE17" s="317">
        <f t="shared" si="1"/>
        <v>64.27</v>
      </c>
      <c r="AF17" s="317">
        <f t="shared" si="1"/>
        <v>69.700987359999999</v>
      </c>
      <c r="AG17" s="317">
        <f t="shared" si="1"/>
        <v>74.265100779999997</v>
      </c>
      <c r="AH17" s="318">
        <f t="shared" si="1"/>
        <v>73.010000000000005</v>
      </c>
      <c r="AI17" s="318">
        <f t="shared" si="1"/>
        <v>78.5</v>
      </c>
      <c r="AJ17" s="318">
        <f t="shared" si="1"/>
        <v>90.3</v>
      </c>
      <c r="AK17" s="318">
        <f>SUM(AK13:AK16)</f>
        <v>84.865485499999991</v>
      </c>
      <c r="AL17" s="318">
        <f>SUM(AL13:AL16)</f>
        <v>88.185348320000003</v>
      </c>
      <c r="AM17" s="318">
        <f>SUM(AM13:AM16)</f>
        <v>85.2</v>
      </c>
      <c r="AN17" s="318">
        <v>89.876589085000006</v>
      </c>
      <c r="AO17" s="318">
        <v>89.905254220000003</v>
      </c>
      <c r="AP17" s="318">
        <v>89.579345000000004</v>
      </c>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c r="DB17" s="273"/>
      <c r="DC17" s="273"/>
      <c r="DD17" s="273"/>
      <c r="DE17" s="273"/>
      <c r="DF17" s="273"/>
      <c r="DG17" s="273"/>
      <c r="DH17" s="273"/>
      <c r="DI17" s="273"/>
      <c r="DJ17" s="273"/>
      <c r="DK17" s="273"/>
      <c r="DL17" s="273"/>
      <c r="DM17" s="273"/>
      <c r="DN17" s="273"/>
      <c r="DO17" s="273"/>
      <c r="DP17" s="273"/>
      <c r="DQ17" s="273"/>
      <c r="DR17" s="273"/>
      <c r="DS17" s="273"/>
      <c r="DT17" s="273"/>
      <c r="DU17" s="273"/>
      <c r="DV17" s="273"/>
      <c r="DW17" s="273"/>
      <c r="DX17" s="273"/>
      <c r="DY17" s="273"/>
      <c r="DZ17" s="273"/>
      <c r="EA17" s="273"/>
      <c r="EB17" s="273"/>
      <c r="EC17" s="273"/>
      <c r="ED17" s="273"/>
      <c r="EE17" s="273"/>
      <c r="EF17" s="273"/>
      <c r="EG17" s="273"/>
      <c r="EH17" s="27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3"/>
      <c r="FL17" s="273"/>
      <c r="FM17" s="273"/>
      <c r="FN17" s="273"/>
      <c r="FO17" s="273"/>
      <c r="FP17" s="273"/>
      <c r="FQ17" s="273"/>
      <c r="FR17" s="273"/>
      <c r="FS17" s="273"/>
      <c r="FT17" s="273"/>
      <c r="FU17" s="273"/>
      <c r="FV17" s="273"/>
      <c r="FW17" s="273"/>
      <c r="FX17" s="273"/>
      <c r="FY17" s="273"/>
      <c r="FZ17" s="273"/>
      <c r="GA17" s="273"/>
      <c r="GB17" s="273"/>
      <c r="GC17" s="273"/>
      <c r="GD17" s="273"/>
      <c r="GE17" s="273"/>
      <c r="GF17" s="273"/>
      <c r="GG17" s="273"/>
      <c r="GH17" s="273"/>
      <c r="GI17" s="273"/>
      <c r="GJ17" s="273"/>
      <c r="GK17" s="273"/>
      <c r="GL17" s="273"/>
      <c r="GM17" s="273"/>
      <c r="GN17" s="273"/>
      <c r="GO17" s="273"/>
      <c r="GP17" s="273"/>
      <c r="GQ17" s="273"/>
      <c r="GR17" s="273"/>
      <c r="GS17" s="273"/>
      <c r="GT17" s="273"/>
      <c r="GU17" s="273"/>
      <c r="GV17" s="273"/>
      <c r="GW17" s="273"/>
      <c r="GX17" s="273"/>
      <c r="GY17" s="273"/>
      <c r="GZ17" s="273"/>
      <c r="HA17" s="273"/>
      <c r="HB17" s="273"/>
      <c r="HC17" s="273"/>
      <c r="HD17" s="273"/>
      <c r="HE17" s="273"/>
      <c r="HF17" s="273"/>
      <c r="HG17" s="273"/>
      <c r="HH17" s="273"/>
      <c r="HI17" s="273"/>
      <c r="HJ17" s="273"/>
      <c r="HK17" s="273"/>
      <c r="HL17" s="273"/>
      <c r="HM17" s="273"/>
      <c r="HN17" s="273"/>
      <c r="HO17" s="273"/>
      <c r="HP17" s="273"/>
      <c r="HQ17" s="273"/>
      <c r="HR17" s="273"/>
      <c r="HS17" s="273"/>
      <c r="HT17" s="273"/>
      <c r="HU17" s="273"/>
      <c r="HV17" s="273"/>
      <c r="HW17" s="273"/>
      <c r="HX17" s="273"/>
      <c r="HY17" s="273"/>
      <c r="HZ17" s="273"/>
      <c r="IA17" s="273"/>
      <c r="IB17" s="273"/>
      <c r="IC17" s="273"/>
      <c r="ID17" s="273"/>
      <c r="IE17" s="273"/>
      <c r="IF17" s="273"/>
      <c r="IG17" s="273"/>
      <c r="IH17" s="273"/>
      <c r="II17" s="273"/>
      <c r="IJ17" s="273"/>
      <c r="IK17" s="273"/>
      <c r="IL17" s="273"/>
      <c r="IM17" s="273"/>
      <c r="IN17" s="273"/>
      <c r="IO17" s="273"/>
      <c r="IP17" s="273"/>
      <c r="IQ17" s="273"/>
      <c r="IR17" s="273"/>
      <c r="IS17" s="273"/>
      <c r="IT17" s="273"/>
    </row>
    <row r="18" spans="1:254" s="320" customFormat="1" ht="17.399999999999999" thickBot="1">
      <c r="A18" s="297" t="s">
        <v>429</v>
      </c>
      <c r="B18" s="298">
        <f t="shared" ref="B18:AH18" si="2">B9+B11+B17</f>
        <v>17.3</v>
      </c>
      <c r="C18" s="298">
        <f t="shared" si="2"/>
        <v>8.3999999999999986</v>
      </c>
      <c r="D18" s="298">
        <f t="shared" si="2"/>
        <v>16.100000000000001</v>
      </c>
      <c r="E18" s="298">
        <f t="shared" si="2"/>
        <v>23.299999999999997</v>
      </c>
      <c r="F18" s="298">
        <f t="shared" si="2"/>
        <v>35.6</v>
      </c>
      <c r="G18" s="298">
        <f t="shared" si="2"/>
        <v>35.799999999999997</v>
      </c>
      <c r="H18" s="298">
        <f t="shared" si="2"/>
        <v>43.3</v>
      </c>
      <c r="I18" s="298">
        <f t="shared" si="2"/>
        <v>51.9</v>
      </c>
      <c r="J18" s="298">
        <f t="shared" si="2"/>
        <v>37.799999999999997</v>
      </c>
      <c r="K18" s="298">
        <f t="shared" si="2"/>
        <v>46.6</v>
      </c>
      <c r="L18" s="298">
        <f t="shared" si="2"/>
        <v>56.199999999999996</v>
      </c>
      <c r="M18" s="298">
        <f t="shared" si="2"/>
        <v>57.3</v>
      </c>
      <c r="N18" s="298">
        <f t="shared" si="2"/>
        <v>95.4</v>
      </c>
      <c r="O18" s="298">
        <f t="shared" si="2"/>
        <v>80.099999999999994</v>
      </c>
      <c r="P18" s="298">
        <f t="shared" si="2"/>
        <v>90.8</v>
      </c>
      <c r="Q18" s="298">
        <f t="shared" si="2"/>
        <v>107.5</v>
      </c>
      <c r="R18" s="298">
        <f t="shared" si="2"/>
        <v>103.9</v>
      </c>
      <c r="S18" s="298">
        <f t="shared" si="2"/>
        <v>118.10000000000001</v>
      </c>
      <c r="T18" s="298">
        <f t="shared" si="2"/>
        <v>141.28</v>
      </c>
      <c r="U18" s="298">
        <f t="shared" si="2"/>
        <v>147.1</v>
      </c>
      <c r="V18" s="298">
        <f t="shared" si="2"/>
        <v>145.80000000000001</v>
      </c>
      <c r="W18" s="298">
        <f t="shared" si="2"/>
        <v>146.5</v>
      </c>
      <c r="X18" s="298">
        <f t="shared" si="2"/>
        <v>195.10999999999999</v>
      </c>
      <c r="Y18" s="298">
        <f t="shared" si="2"/>
        <v>199.755</v>
      </c>
      <c r="Z18" s="298">
        <f t="shared" si="2"/>
        <v>202.9</v>
      </c>
      <c r="AA18" s="298">
        <f t="shared" si="2"/>
        <v>193.73000000000002</v>
      </c>
      <c r="AB18" s="299">
        <f t="shared" si="2"/>
        <v>198.55</v>
      </c>
      <c r="AC18" s="299">
        <f t="shared" si="2"/>
        <v>199.74700000000001</v>
      </c>
      <c r="AD18" s="299">
        <f t="shared" si="2"/>
        <v>211.11993393999995</v>
      </c>
      <c r="AE18" s="299">
        <f t="shared" si="2"/>
        <v>242.12944282999996</v>
      </c>
      <c r="AF18" s="299">
        <f t="shared" si="2"/>
        <v>269.28320039000005</v>
      </c>
      <c r="AG18" s="299">
        <f t="shared" si="2"/>
        <v>295.31872501999993</v>
      </c>
      <c r="AH18" s="300">
        <f t="shared" si="2"/>
        <v>321.94</v>
      </c>
      <c r="AI18" s="319">
        <f>AI9+AI10+AI17</f>
        <v>317.7</v>
      </c>
      <c r="AJ18" s="319">
        <f>AJ9+AJ10+AJ17</f>
        <v>322.40148199999999</v>
      </c>
      <c r="AK18" s="319">
        <f>AK9+AK10+AK17</f>
        <v>343.16651961999997</v>
      </c>
      <c r="AL18" s="319">
        <f>AL9+AL10+AL17</f>
        <v>346.34075089999999</v>
      </c>
      <c r="AM18" s="319">
        <f>AM9+AM10+AM17</f>
        <v>339.9</v>
      </c>
      <c r="AN18" s="319">
        <v>348.64765680500011</v>
      </c>
      <c r="AO18" s="319">
        <v>330.29548194</v>
      </c>
      <c r="AP18" s="319">
        <v>327.66055675000001</v>
      </c>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c r="CN18" s="273"/>
      <c r="CO18" s="273"/>
      <c r="CP18" s="273"/>
      <c r="CQ18" s="273"/>
      <c r="CR18" s="273"/>
      <c r="CS18" s="273"/>
      <c r="CT18" s="273"/>
      <c r="CU18" s="273"/>
      <c r="CV18" s="273"/>
      <c r="CW18" s="273"/>
      <c r="CX18" s="273"/>
      <c r="CY18" s="273"/>
      <c r="CZ18" s="273"/>
      <c r="DA18" s="273"/>
      <c r="DB18" s="273"/>
      <c r="DC18" s="273"/>
      <c r="DD18" s="273"/>
      <c r="DE18" s="273"/>
      <c r="DF18" s="273"/>
      <c r="DG18" s="273"/>
      <c r="DH18" s="273"/>
      <c r="DI18" s="273"/>
      <c r="DJ18" s="273"/>
      <c r="DK18" s="273"/>
      <c r="DL18" s="273"/>
      <c r="DM18" s="273"/>
      <c r="DN18" s="273"/>
      <c r="DO18" s="273"/>
      <c r="DP18" s="273"/>
      <c r="DQ18" s="273"/>
      <c r="DR18" s="273"/>
      <c r="DS18" s="273"/>
      <c r="DT18" s="273"/>
      <c r="DU18" s="273"/>
      <c r="DV18" s="273"/>
      <c r="DW18" s="273"/>
      <c r="DX18" s="273"/>
      <c r="DY18" s="273"/>
      <c r="DZ18" s="273"/>
      <c r="EA18" s="273"/>
      <c r="EB18" s="273"/>
      <c r="EC18" s="273"/>
      <c r="ED18" s="273"/>
      <c r="EE18" s="273"/>
      <c r="EF18" s="273"/>
      <c r="EG18" s="273"/>
      <c r="EH18" s="273"/>
      <c r="EI18" s="273"/>
      <c r="EJ18" s="273"/>
      <c r="EK18" s="273"/>
      <c r="EL18" s="273"/>
      <c r="EM18" s="273"/>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c r="GV18" s="273"/>
      <c r="GW18" s="273"/>
      <c r="GX18" s="273"/>
      <c r="GY18" s="273"/>
      <c r="GZ18" s="273"/>
      <c r="HA18" s="273"/>
      <c r="HB18" s="273"/>
      <c r="HC18" s="273"/>
      <c r="HD18" s="273"/>
      <c r="HE18" s="273"/>
      <c r="HF18" s="273"/>
      <c r="HG18" s="273"/>
      <c r="HH18" s="273"/>
      <c r="HI18" s="273"/>
      <c r="HJ18" s="273"/>
      <c r="HK18" s="273"/>
      <c r="HL18" s="273"/>
      <c r="HM18" s="273"/>
      <c r="HN18" s="273"/>
      <c r="HO18" s="273"/>
      <c r="HP18" s="273"/>
      <c r="HQ18" s="273"/>
      <c r="HR18" s="273"/>
      <c r="HS18" s="273"/>
      <c r="HT18" s="273"/>
      <c r="HU18" s="273"/>
      <c r="HV18" s="273"/>
      <c r="HW18" s="273"/>
      <c r="HX18" s="273"/>
      <c r="HY18" s="273"/>
      <c r="HZ18" s="273"/>
      <c r="IA18" s="273"/>
      <c r="IB18" s="273"/>
      <c r="IC18" s="273"/>
      <c r="ID18" s="273"/>
      <c r="IE18" s="273"/>
      <c r="IF18" s="273"/>
      <c r="IG18" s="273"/>
      <c r="IH18" s="273"/>
      <c r="II18" s="273"/>
      <c r="IJ18" s="273"/>
      <c r="IK18" s="273"/>
      <c r="IL18" s="273"/>
      <c r="IM18" s="273"/>
      <c r="IN18" s="273"/>
      <c r="IO18" s="273"/>
      <c r="IP18" s="273"/>
      <c r="IQ18" s="273"/>
      <c r="IR18" s="273"/>
      <c r="IS18" s="273"/>
      <c r="IT18" s="273"/>
    </row>
    <row r="19" spans="1:254" s="281" customFormat="1" ht="17.399999999999999">
      <c r="A19" s="321" t="s">
        <v>448</v>
      </c>
      <c r="B19" s="302">
        <v>0</v>
      </c>
      <c r="C19" s="302">
        <v>0</v>
      </c>
      <c r="D19" s="302">
        <v>0</v>
      </c>
      <c r="E19" s="302">
        <v>0</v>
      </c>
      <c r="F19" s="302">
        <v>0</v>
      </c>
      <c r="G19" s="302">
        <v>0</v>
      </c>
      <c r="H19" s="302">
        <v>0</v>
      </c>
      <c r="I19" s="302">
        <v>0</v>
      </c>
      <c r="J19" s="302">
        <v>0</v>
      </c>
      <c r="K19" s="302">
        <v>0</v>
      </c>
      <c r="L19" s="302">
        <v>0</v>
      </c>
      <c r="M19" s="302">
        <v>0</v>
      </c>
      <c r="N19" s="302">
        <v>0</v>
      </c>
      <c r="O19" s="302">
        <v>0</v>
      </c>
      <c r="P19" s="303">
        <v>0</v>
      </c>
      <c r="Q19" s="303"/>
      <c r="R19" s="303"/>
      <c r="S19" s="303"/>
      <c r="T19" s="303"/>
      <c r="U19" s="303"/>
      <c r="V19" s="303"/>
      <c r="W19" s="303"/>
      <c r="X19" s="303"/>
      <c r="Y19" s="303"/>
      <c r="Z19" s="303"/>
      <c r="AA19" s="303"/>
      <c r="AB19" s="304"/>
      <c r="AC19" s="305"/>
      <c r="AD19" s="305"/>
      <c r="AE19" s="305"/>
      <c r="AF19" s="305"/>
      <c r="AG19" s="305"/>
      <c r="AH19" s="306"/>
      <c r="AI19" s="305"/>
      <c r="AJ19" s="305"/>
      <c r="AK19" s="305"/>
      <c r="AL19" s="305"/>
      <c r="AM19" s="305"/>
      <c r="AN19" s="305"/>
      <c r="AO19" s="305"/>
      <c r="AP19" s="305"/>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3"/>
      <c r="DK19" s="273"/>
      <c r="DL19" s="273"/>
      <c r="DM19" s="273"/>
      <c r="DN19" s="273"/>
      <c r="DO19" s="273"/>
      <c r="DP19" s="273"/>
      <c r="DQ19" s="273"/>
      <c r="DR19" s="273"/>
      <c r="DS19" s="273"/>
      <c r="DT19" s="273"/>
      <c r="DU19" s="273"/>
      <c r="DV19" s="273"/>
      <c r="DW19" s="273"/>
      <c r="DX19" s="273"/>
      <c r="DY19" s="273"/>
      <c r="DZ19" s="273"/>
      <c r="EA19" s="273"/>
      <c r="EB19" s="273"/>
      <c r="EC19" s="273"/>
      <c r="ED19" s="273"/>
      <c r="EE19" s="273"/>
      <c r="EF19" s="273"/>
      <c r="EG19" s="273"/>
      <c r="EH19" s="273"/>
      <c r="EI19" s="273"/>
      <c r="EJ19" s="273"/>
      <c r="EK19" s="273"/>
      <c r="EL19" s="273"/>
      <c r="EM19" s="273"/>
      <c r="EN19" s="273"/>
      <c r="EO19" s="273"/>
      <c r="EP19" s="273"/>
      <c r="EQ19" s="273"/>
      <c r="ER19" s="273"/>
      <c r="ES19" s="273"/>
      <c r="ET19" s="273"/>
      <c r="EU19" s="273"/>
      <c r="EV19" s="273"/>
      <c r="EW19" s="273"/>
      <c r="EX19" s="273"/>
      <c r="EY19" s="273"/>
      <c r="EZ19" s="273"/>
      <c r="FA19" s="273"/>
      <c r="FB19" s="273"/>
      <c r="FC19" s="273"/>
      <c r="FD19" s="273"/>
      <c r="FE19" s="273"/>
      <c r="FF19" s="273"/>
      <c r="FG19" s="273"/>
      <c r="FH19" s="273"/>
      <c r="FI19" s="273"/>
      <c r="FJ19" s="273"/>
      <c r="FK19" s="273"/>
      <c r="FL19" s="273"/>
      <c r="FM19" s="273"/>
      <c r="FN19" s="273"/>
      <c r="FO19" s="273"/>
      <c r="FP19" s="273"/>
      <c r="FQ19" s="273"/>
      <c r="FR19" s="273"/>
      <c r="FS19" s="273"/>
      <c r="FT19" s="273"/>
      <c r="FU19" s="273"/>
      <c r="FV19" s="273"/>
      <c r="FW19" s="273"/>
      <c r="FX19" s="273"/>
      <c r="FY19" s="273"/>
      <c r="FZ19" s="273"/>
      <c r="GA19" s="273"/>
      <c r="GB19" s="273"/>
      <c r="GC19" s="273"/>
      <c r="GD19" s="273"/>
      <c r="GE19" s="273"/>
      <c r="GF19" s="273"/>
      <c r="GG19" s="273"/>
      <c r="GH19" s="273"/>
      <c r="GI19" s="273"/>
      <c r="GJ19" s="273"/>
      <c r="GK19" s="273"/>
      <c r="GL19" s="273"/>
      <c r="GM19" s="273"/>
      <c r="GN19" s="273"/>
      <c r="GO19" s="273"/>
      <c r="GP19" s="273"/>
      <c r="GQ19" s="273"/>
      <c r="GR19" s="273"/>
      <c r="GS19" s="273"/>
      <c r="GT19" s="273"/>
      <c r="GU19" s="273"/>
      <c r="GV19" s="273"/>
      <c r="GW19" s="273"/>
      <c r="GX19" s="273"/>
      <c r="GY19" s="273"/>
      <c r="GZ19" s="273"/>
      <c r="HA19" s="273"/>
      <c r="HB19" s="273"/>
      <c r="HC19" s="273"/>
      <c r="HD19" s="273"/>
      <c r="HE19" s="273"/>
      <c r="HF19" s="273"/>
      <c r="HG19" s="273"/>
      <c r="HH19" s="273"/>
      <c r="HI19" s="273"/>
      <c r="HJ19" s="273"/>
      <c r="HK19" s="273"/>
      <c r="HL19" s="273"/>
      <c r="HM19" s="273"/>
      <c r="HN19" s="273"/>
      <c r="HO19" s="273"/>
      <c r="HP19" s="273"/>
      <c r="HQ19" s="273"/>
      <c r="HR19" s="273"/>
      <c r="HS19" s="273"/>
      <c r="HT19" s="273"/>
      <c r="HU19" s="273"/>
      <c r="HV19" s="273"/>
      <c r="HW19" s="273"/>
      <c r="HX19" s="273"/>
      <c r="HY19" s="273"/>
      <c r="HZ19" s="273"/>
      <c r="IA19" s="273"/>
      <c r="IB19" s="273"/>
      <c r="IC19" s="273"/>
      <c r="ID19" s="273"/>
      <c r="IE19" s="273"/>
      <c r="IF19" s="273"/>
      <c r="IG19" s="273"/>
      <c r="IH19" s="273"/>
      <c r="II19" s="273"/>
      <c r="IJ19" s="273"/>
      <c r="IK19" s="273"/>
      <c r="IL19" s="273"/>
      <c r="IM19" s="273"/>
      <c r="IN19" s="273"/>
      <c r="IO19" s="273"/>
      <c r="IP19" s="273"/>
      <c r="IQ19" s="273"/>
      <c r="IR19" s="273"/>
      <c r="IS19" s="273"/>
      <c r="IT19" s="273"/>
    </row>
    <row r="20" spans="1:254" s="281" customFormat="1" ht="16.2">
      <c r="A20" s="322" t="s">
        <v>430</v>
      </c>
      <c r="B20" s="283">
        <v>15</v>
      </c>
      <c r="C20" s="283">
        <v>6.4</v>
      </c>
      <c r="D20" s="283">
        <v>9.1999999999999993</v>
      </c>
      <c r="E20" s="283">
        <v>12.1</v>
      </c>
      <c r="F20" s="283">
        <v>12.7</v>
      </c>
      <c r="G20" s="283">
        <v>15.3</v>
      </c>
      <c r="H20" s="283">
        <v>17.100000000000001</v>
      </c>
      <c r="I20" s="283">
        <v>22.2</v>
      </c>
      <c r="J20" s="283">
        <v>24.3</v>
      </c>
      <c r="K20" s="283">
        <v>24.5</v>
      </c>
      <c r="L20" s="283">
        <v>26</v>
      </c>
      <c r="M20" s="283">
        <v>29.2</v>
      </c>
      <c r="N20" s="283">
        <v>31.4</v>
      </c>
      <c r="O20" s="283">
        <v>40.6</v>
      </c>
      <c r="P20" s="285">
        <v>46.1</v>
      </c>
      <c r="Q20" s="285">
        <v>44.9</v>
      </c>
      <c r="R20" s="285">
        <v>51.1</v>
      </c>
      <c r="S20" s="285">
        <v>52.4</v>
      </c>
      <c r="T20" s="285">
        <v>48.9</v>
      </c>
      <c r="U20" s="285">
        <v>49.4</v>
      </c>
      <c r="V20" s="285">
        <v>48.4</v>
      </c>
      <c r="W20" s="285">
        <v>49.1</v>
      </c>
      <c r="X20" s="285">
        <v>48.5</v>
      </c>
      <c r="Y20" s="285">
        <v>49.9</v>
      </c>
      <c r="Z20" s="285">
        <v>53.3</v>
      </c>
      <c r="AA20" s="285">
        <v>56.4</v>
      </c>
      <c r="AB20" s="286">
        <v>53.4</v>
      </c>
      <c r="AC20" s="287">
        <v>76.009</v>
      </c>
      <c r="AD20" s="287">
        <v>76.900000000000006</v>
      </c>
      <c r="AE20" s="287">
        <v>78.7</v>
      </c>
      <c r="AF20" s="287">
        <v>80.530576881176245</v>
      </c>
      <c r="AG20" s="287">
        <v>79.209488511332921</v>
      </c>
      <c r="AH20" s="288">
        <v>80.599999999999994</v>
      </c>
      <c r="AI20" s="289">
        <v>89.1</v>
      </c>
      <c r="AJ20" s="289">
        <v>83.4</v>
      </c>
      <c r="AK20" s="289">
        <v>89.190742819737665</v>
      </c>
      <c r="AL20" s="289">
        <v>85.597791098136184</v>
      </c>
      <c r="AM20" s="289">
        <v>58.6</v>
      </c>
      <c r="AN20" s="289">
        <v>40.96293249063028</v>
      </c>
      <c r="AO20" s="289">
        <v>39.749498006875612</v>
      </c>
      <c r="AP20" s="289">
        <v>32.529644248456414</v>
      </c>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c r="CN20" s="273"/>
      <c r="CO20" s="273"/>
      <c r="CP20" s="273"/>
      <c r="CQ20" s="273"/>
      <c r="CR20" s="273"/>
      <c r="CS20" s="273"/>
      <c r="CT20" s="273"/>
      <c r="CU20" s="273"/>
      <c r="CV20" s="273"/>
      <c r="CW20" s="273"/>
      <c r="CX20" s="273"/>
      <c r="CY20" s="273"/>
      <c r="CZ20" s="273"/>
      <c r="DA20" s="273"/>
      <c r="DB20" s="273"/>
      <c r="DC20" s="273"/>
      <c r="DD20" s="273"/>
      <c r="DE20" s="273"/>
      <c r="DF20" s="273"/>
      <c r="DG20" s="273"/>
      <c r="DH20" s="273"/>
      <c r="DI20" s="273"/>
      <c r="DJ20" s="273"/>
      <c r="DK20" s="273"/>
      <c r="DL20" s="273"/>
      <c r="DM20" s="273"/>
      <c r="DN20" s="273"/>
      <c r="DO20" s="273"/>
      <c r="DP20" s="273"/>
      <c r="DQ20" s="273"/>
      <c r="DR20" s="273"/>
      <c r="DS20" s="273"/>
      <c r="DT20" s="273"/>
      <c r="DU20" s="273"/>
      <c r="DV20" s="273"/>
      <c r="DW20" s="273"/>
      <c r="DX20" s="273"/>
      <c r="DY20" s="273"/>
      <c r="DZ20" s="273"/>
      <c r="EA20" s="273"/>
      <c r="EB20" s="273"/>
      <c r="EC20" s="273"/>
      <c r="ED20" s="273"/>
      <c r="EE20" s="273"/>
      <c r="EF20" s="273"/>
      <c r="EG20" s="273"/>
      <c r="EH20" s="273"/>
      <c r="EI20" s="273"/>
      <c r="EJ20" s="273"/>
      <c r="EK20" s="273"/>
      <c r="EL20" s="273"/>
      <c r="EM20" s="273"/>
      <c r="EN20" s="273"/>
      <c r="EO20" s="273"/>
      <c r="EP20" s="273"/>
      <c r="EQ20" s="273"/>
      <c r="ER20" s="273"/>
      <c r="ES20" s="273"/>
      <c r="ET20" s="273"/>
      <c r="EU20" s="273"/>
      <c r="EV20" s="273"/>
      <c r="EW20" s="273"/>
      <c r="EX20" s="273"/>
      <c r="EY20" s="273"/>
      <c r="EZ20" s="273"/>
      <c r="FA20" s="273"/>
      <c r="FB20" s="273"/>
      <c r="FC20" s="273"/>
      <c r="FD20" s="273"/>
      <c r="FE20" s="273"/>
      <c r="FF20" s="273"/>
      <c r="FG20" s="273"/>
      <c r="FH20" s="273"/>
      <c r="FI20" s="273"/>
      <c r="FJ20" s="273"/>
      <c r="FK20" s="273"/>
      <c r="FL20" s="273"/>
      <c r="FM20" s="273"/>
      <c r="FN20" s="273"/>
      <c r="FO20" s="273"/>
      <c r="FP20" s="273"/>
      <c r="FQ20" s="273"/>
      <c r="FR20" s="273"/>
      <c r="FS20" s="273"/>
      <c r="FT20" s="273"/>
      <c r="FU20" s="273"/>
      <c r="FV20" s="273"/>
      <c r="FW20" s="273"/>
      <c r="FX20" s="273"/>
      <c r="FY20" s="273"/>
      <c r="FZ20" s="273"/>
      <c r="GA20" s="273"/>
      <c r="GB20" s="273"/>
      <c r="GC20" s="273"/>
      <c r="GD20" s="273"/>
      <c r="GE20" s="273"/>
      <c r="GF20" s="273"/>
      <c r="GG20" s="273"/>
      <c r="GH20" s="273"/>
      <c r="GI20" s="273"/>
      <c r="GJ20" s="273"/>
      <c r="GK20" s="273"/>
      <c r="GL20" s="273"/>
      <c r="GM20" s="273"/>
      <c r="GN20" s="273"/>
      <c r="GO20" s="273"/>
      <c r="GP20" s="273"/>
      <c r="GQ20" s="273"/>
      <c r="GR20" s="273"/>
      <c r="GS20" s="273"/>
      <c r="GT20" s="273"/>
      <c r="GU20" s="273"/>
      <c r="GV20" s="273"/>
      <c r="GW20" s="273"/>
      <c r="GX20" s="273"/>
      <c r="GY20" s="273"/>
      <c r="GZ20" s="273"/>
      <c r="HA20" s="273"/>
      <c r="HB20" s="273"/>
      <c r="HC20" s="273"/>
      <c r="HD20" s="273"/>
      <c r="HE20" s="273"/>
      <c r="HF20" s="273"/>
      <c r="HG20" s="273"/>
      <c r="HH20" s="273"/>
      <c r="HI20" s="273"/>
      <c r="HJ20" s="273"/>
      <c r="HK20" s="273"/>
      <c r="HL20" s="273"/>
      <c r="HM20" s="273"/>
      <c r="HN20" s="273"/>
      <c r="HO20" s="273"/>
      <c r="HP20" s="273"/>
      <c r="HQ20" s="273"/>
      <c r="HR20" s="273"/>
      <c r="HS20" s="273"/>
      <c r="HT20" s="273"/>
      <c r="HU20" s="273"/>
      <c r="HV20" s="273"/>
      <c r="HW20" s="273"/>
      <c r="HX20" s="273"/>
      <c r="HY20" s="273"/>
      <c r="HZ20" s="273"/>
      <c r="IA20" s="273"/>
      <c r="IB20" s="273"/>
      <c r="IC20" s="273"/>
      <c r="ID20" s="273"/>
      <c r="IE20" s="273"/>
      <c r="IF20" s="273"/>
      <c r="IG20" s="273"/>
      <c r="IH20" s="273"/>
      <c r="II20" s="273"/>
      <c r="IJ20" s="273"/>
      <c r="IK20" s="273"/>
      <c r="IL20" s="273"/>
      <c r="IM20" s="273"/>
      <c r="IN20" s="273"/>
      <c r="IO20" s="273"/>
      <c r="IP20" s="273"/>
      <c r="IQ20" s="273"/>
      <c r="IR20" s="273"/>
      <c r="IS20" s="273"/>
      <c r="IT20" s="273"/>
    </row>
    <row r="21" spans="1:254" s="281" customFormat="1" ht="16.2">
      <c r="A21" s="322" t="s">
        <v>431</v>
      </c>
      <c r="B21" s="283">
        <v>0</v>
      </c>
      <c r="C21" s="283">
        <v>0</v>
      </c>
      <c r="D21" s="283">
        <v>0</v>
      </c>
      <c r="E21" s="283">
        <v>0</v>
      </c>
      <c r="F21" s="283">
        <v>0</v>
      </c>
      <c r="G21" s="283">
        <v>0.1</v>
      </c>
      <c r="H21" s="283">
        <v>0.5</v>
      </c>
      <c r="I21" s="283">
        <v>0.8</v>
      </c>
      <c r="J21" s="283">
        <v>1.1000000000000001</v>
      </c>
      <c r="K21" s="283">
        <v>1.7</v>
      </c>
      <c r="L21" s="283">
        <v>2.4</v>
      </c>
      <c r="M21" s="283">
        <v>3.6</v>
      </c>
      <c r="N21" s="283">
        <v>4.8</v>
      </c>
      <c r="O21" s="283">
        <v>5.5</v>
      </c>
      <c r="P21" s="285">
        <v>6.8</v>
      </c>
      <c r="Q21" s="285">
        <v>8.5</v>
      </c>
      <c r="R21" s="285">
        <v>10.6</v>
      </c>
      <c r="S21" s="285">
        <v>12.4</v>
      </c>
      <c r="T21" s="285">
        <v>14.1</v>
      </c>
      <c r="U21" s="285">
        <v>15.3</v>
      </c>
      <c r="V21" s="285">
        <v>16.100000000000001</v>
      </c>
      <c r="W21" s="285">
        <v>16.8</v>
      </c>
      <c r="X21" s="285">
        <v>17.2</v>
      </c>
      <c r="Y21" s="285">
        <v>17.399999999999999</v>
      </c>
      <c r="Z21" s="285">
        <v>17.5</v>
      </c>
      <c r="AA21" s="285">
        <v>17.399999999999999</v>
      </c>
      <c r="AB21" s="286">
        <v>17.399999999999999</v>
      </c>
      <c r="AC21" s="287">
        <v>22.885000000000002</v>
      </c>
      <c r="AD21" s="287">
        <v>24.4</v>
      </c>
      <c r="AE21" s="287">
        <v>24.6</v>
      </c>
      <c r="AF21" s="287">
        <v>24.957999999999998</v>
      </c>
      <c r="AG21" s="287">
        <v>28.347999999999999</v>
      </c>
      <c r="AH21" s="288">
        <v>30.2</v>
      </c>
      <c r="AI21" s="289">
        <v>35.700000000000003</v>
      </c>
      <c r="AJ21" s="289">
        <v>38.700000000000003</v>
      </c>
      <c r="AK21" s="289">
        <v>41.33590118</v>
      </c>
      <c r="AL21" s="289">
        <v>42.480182859999999</v>
      </c>
      <c r="AM21" s="289">
        <v>42.5</v>
      </c>
      <c r="AN21" s="289">
        <v>43.360067620000002</v>
      </c>
      <c r="AO21" s="289">
        <v>45.052117350000003</v>
      </c>
      <c r="AP21" s="289">
        <v>46.68507893999999</v>
      </c>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c r="CN21" s="273"/>
      <c r="CO21" s="273"/>
      <c r="CP21" s="273"/>
      <c r="CQ21" s="273"/>
      <c r="CR21" s="273"/>
      <c r="CS21" s="273"/>
      <c r="CT21" s="273"/>
      <c r="CU21" s="273"/>
      <c r="CV21" s="273"/>
      <c r="CW21" s="273"/>
      <c r="CX21" s="273"/>
      <c r="CY21" s="273"/>
      <c r="CZ21" s="273"/>
      <c r="DA21" s="273"/>
      <c r="DB21" s="273"/>
      <c r="DC21" s="273"/>
      <c r="DD21" s="273"/>
      <c r="DE21" s="273"/>
      <c r="DF21" s="273"/>
      <c r="DG21" s="273"/>
      <c r="DH21" s="273"/>
      <c r="DI21" s="273"/>
      <c r="DJ21" s="273"/>
      <c r="DK21" s="273"/>
      <c r="DL21" s="273"/>
      <c r="DM21" s="273"/>
      <c r="DN21" s="273"/>
      <c r="DO21" s="273"/>
      <c r="DP21" s="273"/>
      <c r="DQ21" s="273"/>
      <c r="DR21" s="273"/>
      <c r="DS21" s="273"/>
      <c r="DT21" s="273"/>
      <c r="DU21" s="273"/>
      <c r="DV21" s="273"/>
      <c r="DW21" s="273"/>
      <c r="DX21" s="273"/>
      <c r="DY21" s="273"/>
      <c r="DZ21" s="273"/>
      <c r="EA21" s="273"/>
      <c r="EB21" s="273"/>
      <c r="EC21" s="273"/>
      <c r="ED21" s="273"/>
      <c r="EE21" s="273"/>
      <c r="EF21" s="273"/>
      <c r="EG21" s="273"/>
      <c r="EH21" s="273"/>
      <c r="EI21" s="273"/>
      <c r="EJ21" s="273"/>
      <c r="EK21" s="273"/>
      <c r="EL21" s="273"/>
      <c r="EM21" s="273"/>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c r="GV21" s="273"/>
      <c r="GW21" s="273"/>
      <c r="GX21" s="273"/>
      <c r="GY21" s="273"/>
      <c r="GZ21" s="273"/>
      <c r="HA21" s="273"/>
      <c r="HB21" s="273"/>
      <c r="HC21" s="273"/>
      <c r="HD21" s="273"/>
      <c r="HE21" s="273"/>
      <c r="HF21" s="273"/>
      <c r="HG21" s="273"/>
      <c r="HH21" s="273"/>
      <c r="HI21" s="273"/>
      <c r="HJ21" s="273"/>
      <c r="HK21" s="273"/>
      <c r="HL21" s="273"/>
      <c r="HM21" s="273"/>
      <c r="HN21" s="273"/>
      <c r="HO21" s="273"/>
      <c r="HP21" s="273"/>
      <c r="HQ21" s="273"/>
      <c r="HR21" s="273"/>
      <c r="HS21" s="273"/>
      <c r="HT21" s="273"/>
      <c r="HU21" s="273"/>
      <c r="HV21" s="273"/>
      <c r="HW21" s="273"/>
      <c r="HX21" s="273"/>
      <c r="HY21" s="273"/>
      <c r="HZ21" s="273"/>
      <c r="IA21" s="273"/>
      <c r="IB21" s="273"/>
      <c r="IC21" s="273"/>
      <c r="ID21" s="273"/>
      <c r="IE21" s="273"/>
      <c r="IF21" s="273"/>
      <c r="IG21" s="273"/>
      <c r="IH21" s="273"/>
      <c r="II21" s="273"/>
      <c r="IJ21" s="273"/>
      <c r="IK21" s="273"/>
      <c r="IL21" s="273"/>
      <c r="IM21" s="273"/>
      <c r="IN21" s="273"/>
      <c r="IO21" s="273"/>
      <c r="IP21" s="273"/>
      <c r="IQ21" s="273"/>
      <c r="IR21" s="273"/>
      <c r="IS21" s="273"/>
      <c r="IT21" s="273"/>
    </row>
    <row r="22" spans="1:254" s="281" customFormat="1" ht="16.2">
      <c r="A22" s="323" t="s">
        <v>432</v>
      </c>
      <c r="B22" s="292">
        <v>9</v>
      </c>
      <c r="C22" s="292">
        <v>2.4</v>
      </c>
      <c r="D22" s="292">
        <v>3.2</v>
      </c>
      <c r="E22" s="292">
        <v>3.8</v>
      </c>
      <c r="F22" s="292">
        <v>3.9</v>
      </c>
      <c r="G22" s="292">
        <v>4.3</v>
      </c>
      <c r="H22" s="292">
        <v>4.5</v>
      </c>
      <c r="I22" s="292">
        <v>5.5</v>
      </c>
      <c r="J22" s="292">
        <v>5.6</v>
      </c>
      <c r="K22" s="292">
        <v>5.7</v>
      </c>
      <c r="L22" s="292">
        <v>5.9</v>
      </c>
      <c r="M22" s="292">
        <v>5.4</v>
      </c>
      <c r="N22" s="292">
        <v>5.7</v>
      </c>
      <c r="O22" s="292">
        <v>7.5</v>
      </c>
      <c r="P22" s="291">
        <v>8.4</v>
      </c>
      <c r="Q22" s="291">
        <v>10.199999999999999</v>
      </c>
      <c r="R22" s="291">
        <v>11.4</v>
      </c>
      <c r="S22" s="291">
        <v>11.5</v>
      </c>
      <c r="T22" s="291">
        <v>11.1</v>
      </c>
      <c r="U22" s="291">
        <v>11.4</v>
      </c>
      <c r="V22" s="291">
        <v>11.8</v>
      </c>
      <c r="W22" s="291">
        <v>12.3</v>
      </c>
      <c r="X22" s="291">
        <v>12.5</v>
      </c>
      <c r="Y22" s="291">
        <v>13.2</v>
      </c>
      <c r="Z22" s="291">
        <v>14.6</v>
      </c>
      <c r="AA22" s="291">
        <v>15.9</v>
      </c>
      <c r="AB22" s="286">
        <v>16.7</v>
      </c>
      <c r="AC22" s="287">
        <v>14.016</v>
      </c>
      <c r="AD22" s="287">
        <v>14.9</v>
      </c>
      <c r="AE22" s="287">
        <v>16.7</v>
      </c>
      <c r="AF22" s="287">
        <v>18.027533333333334</v>
      </c>
      <c r="AG22" s="287">
        <v>19.615093333333334</v>
      </c>
      <c r="AH22" s="288">
        <v>20.7</v>
      </c>
      <c r="AI22" s="289">
        <v>18.600000000000001</v>
      </c>
      <c r="AJ22" s="289">
        <v>19.2</v>
      </c>
      <c r="AK22" s="289">
        <v>20.052135293333333</v>
      </c>
      <c r="AL22" s="289">
        <v>20.139013176666666</v>
      </c>
      <c r="AM22" s="289">
        <v>20.3</v>
      </c>
      <c r="AN22" s="289">
        <v>20.750098586666667</v>
      </c>
      <c r="AO22" s="289">
        <v>21.025147253333333</v>
      </c>
      <c r="AP22" s="289">
        <v>21.130393066666663</v>
      </c>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3"/>
      <c r="CP22" s="273"/>
      <c r="CQ22" s="273"/>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73"/>
      <c r="DT22" s="273"/>
      <c r="DU22" s="273"/>
      <c r="DV22" s="273"/>
      <c r="DW22" s="273"/>
      <c r="DX22" s="273"/>
      <c r="DY22" s="273"/>
      <c r="DZ22" s="273"/>
      <c r="EA22" s="273"/>
      <c r="EB22" s="273"/>
      <c r="EC22" s="273"/>
      <c r="ED22" s="273"/>
      <c r="EE22" s="273"/>
      <c r="EF22" s="273"/>
      <c r="EG22" s="273"/>
      <c r="EH22" s="273"/>
      <c r="EI22" s="273"/>
      <c r="EJ22" s="273"/>
      <c r="EK22" s="273"/>
      <c r="EL22" s="273"/>
      <c r="EM22" s="273"/>
      <c r="EN22" s="273"/>
      <c r="EO22" s="273"/>
      <c r="EP22" s="273"/>
      <c r="EQ22" s="273"/>
      <c r="ER22" s="273"/>
      <c r="ES22" s="273"/>
      <c r="ET22" s="273"/>
      <c r="EU22" s="273"/>
      <c r="EV22" s="273"/>
      <c r="EW22" s="273"/>
      <c r="EX22" s="273"/>
      <c r="EY22" s="273"/>
      <c r="EZ22" s="273"/>
      <c r="FA22" s="273"/>
      <c r="FB22" s="273"/>
      <c r="FC22" s="273"/>
      <c r="FD22" s="273"/>
      <c r="FE22" s="273"/>
      <c r="FF22" s="273"/>
      <c r="FG22" s="273"/>
      <c r="FH22" s="273"/>
      <c r="FI22" s="273"/>
      <c r="FJ22" s="273"/>
      <c r="FK22" s="273"/>
      <c r="FL22" s="273"/>
      <c r="FM22" s="273"/>
      <c r="FN22" s="273"/>
      <c r="FO22" s="273"/>
      <c r="FP22" s="273"/>
      <c r="FQ22" s="273"/>
      <c r="FR22" s="273"/>
      <c r="FS22" s="273"/>
      <c r="FT22" s="273"/>
      <c r="FU22" s="273"/>
      <c r="FV22" s="273"/>
      <c r="FW22" s="273"/>
      <c r="FX22" s="273"/>
      <c r="FY22" s="273"/>
      <c r="FZ22" s="273"/>
      <c r="GA22" s="273"/>
      <c r="GB22" s="273"/>
      <c r="GC22" s="273"/>
      <c r="GD22" s="273"/>
      <c r="GE22" s="273"/>
      <c r="GF22" s="273"/>
      <c r="GG22" s="273"/>
      <c r="GH22" s="273"/>
      <c r="GI22" s="273"/>
      <c r="GJ22" s="273"/>
      <c r="GK22" s="273"/>
      <c r="GL22" s="273"/>
      <c r="GM22" s="273"/>
      <c r="GN22" s="273"/>
      <c r="GO22" s="273"/>
      <c r="GP22" s="273"/>
      <c r="GQ22" s="273"/>
      <c r="GR22" s="273"/>
      <c r="GS22" s="273"/>
      <c r="GT22" s="273"/>
      <c r="GU22" s="273"/>
      <c r="GV22" s="273"/>
      <c r="GW22" s="273"/>
      <c r="GX22" s="273"/>
      <c r="GY22" s="273"/>
      <c r="GZ22" s="273"/>
      <c r="HA22" s="273"/>
      <c r="HB22" s="273"/>
      <c r="HC22" s="273"/>
      <c r="HD22" s="273"/>
      <c r="HE22" s="273"/>
      <c r="HF22" s="273"/>
      <c r="HG22" s="273"/>
      <c r="HH22" s="273"/>
      <c r="HI22" s="273"/>
      <c r="HJ22" s="273"/>
      <c r="HK22" s="273"/>
      <c r="HL22" s="273"/>
      <c r="HM22" s="273"/>
      <c r="HN22" s="273"/>
      <c r="HO22" s="273"/>
      <c r="HP22" s="273"/>
      <c r="HQ22" s="273"/>
      <c r="HR22" s="273"/>
      <c r="HS22" s="273"/>
      <c r="HT22" s="273"/>
      <c r="HU22" s="273"/>
      <c r="HV22" s="273"/>
      <c r="HW22" s="273"/>
      <c r="HX22" s="273"/>
      <c r="HY22" s="273"/>
      <c r="HZ22" s="273"/>
      <c r="IA22" s="273"/>
      <c r="IB22" s="273"/>
      <c r="IC22" s="273"/>
      <c r="ID22" s="273"/>
      <c r="IE22" s="273"/>
      <c r="IF22" s="273"/>
      <c r="IG22" s="273"/>
      <c r="IH22" s="273"/>
      <c r="II22" s="273"/>
      <c r="IJ22" s="273"/>
      <c r="IK22" s="273"/>
      <c r="IL22" s="273"/>
      <c r="IM22" s="273"/>
      <c r="IN22" s="273"/>
      <c r="IO22" s="273"/>
      <c r="IP22" s="273"/>
      <c r="IQ22" s="273"/>
      <c r="IR22" s="273"/>
      <c r="IS22" s="273"/>
      <c r="IT22" s="273"/>
    </row>
    <row r="23" spans="1:254" s="301" customFormat="1" ht="17.399999999999999" thickBot="1">
      <c r="A23" s="324" t="s">
        <v>433</v>
      </c>
      <c r="B23" s="325">
        <f t="shared" ref="B23:AH23" si="3">SUM(B20:B22)</f>
        <v>24</v>
      </c>
      <c r="C23" s="325">
        <f t="shared" si="3"/>
        <v>8.8000000000000007</v>
      </c>
      <c r="D23" s="325">
        <f t="shared" si="3"/>
        <v>12.399999999999999</v>
      </c>
      <c r="E23" s="325">
        <f t="shared" si="3"/>
        <v>15.899999999999999</v>
      </c>
      <c r="F23" s="325">
        <f t="shared" si="3"/>
        <v>16.599999999999998</v>
      </c>
      <c r="G23" s="325">
        <f t="shared" si="3"/>
        <v>19.7</v>
      </c>
      <c r="H23" s="325">
        <f t="shared" si="3"/>
        <v>22.1</v>
      </c>
      <c r="I23" s="325">
        <f t="shared" si="3"/>
        <v>28.5</v>
      </c>
      <c r="J23" s="325">
        <f t="shared" si="3"/>
        <v>31</v>
      </c>
      <c r="K23" s="325">
        <f t="shared" si="3"/>
        <v>31.9</v>
      </c>
      <c r="L23" s="325">
        <f t="shared" si="3"/>
        <v>34.299999999999997</v>
      </c>
      <c r="M23" s="325">
        <f t="shared" si="3"/>
        <v>38.199999999999996</v>
      </c>
      <c r="N23" s="325">
        <f t="shared" si="3"/>
        <v>41.9</v>
      </c>
      <c r="O23" s="325">
        <f t="shared" si="3"/>
        <v>53.6</v>
      </c>
      <c r="P23" s="325">
        <f t="shared" si="3"/>
        <v>61.3</v>
      </c>
      <c r="Q23" s="325">
        <f t="shared" si="3"/>
        <v>63.599999999999994</v>
      </c>
      <c r="R23" s="325">
        <f t="shared" si="3"/>
        <v>73.100000000000009</v>
      </c>
      <c r="S23" s="325">
        <f t="shared" si="3"/>
        <v>76.3</v>
      </c>
      <c r="T23" s="325">
        <f t="shared" si="3"/>
        <v>74.099999999999994</v>
      </c>
      <c r="U23" s="325">
        <f t="shared" si="3"/>
        <v>76.100000000000009</v>
      </c>
      <c r="V23" s="325">
        <f t="shared" si="3"/>
        <v>76.3</v>
      </c>
      <c r="W23" s="325">
        <f t="shared" si="3"/>
        <v>78.2</v>
      </c>
      <c r="X23" s="325">
        <f t="shared" si="3"/>
        <v>78.2</v>
      </c>
      <c r="Y23" s="325">
        <f t="shared" si="3"/>
        <v>80.5</v>
      </c>
      <c r="Z23" s="325">
        <f t="shared" si="3"/>
        <v>85.399999999999991</v>
      </c>
      <c r="AA23" s="325">
        <f t="shared" si="3"/>
        <v>89.7</v>
      </c>
      <c r="AB23" s="326">
        <f t="shared" si="3"/>
        <v>87.5</v>
      </c>
      <c r="AC23" s="326">
        <f t="shared" si="3"/>
        <v>112.91000000000001</v>
      </c>
      <c r="AD23" s="326">
        <f t="shared" si="3"/>
        <v>116.20000000000002</v>
      </c>
      <c r="AE23" s="326">
        <f t="shared" si="3"/>
        <v>120.00000000000001</v>
      </c>
      <c r="AF23" s="326">
        <f t="shared" si="3"/>
        <v>123.51611021450958</v>
      </c>
      <c r="AG23" s="326">
        <f t="shared" si="3"/>
        <v>127.17258184466625</v>
      </c>
      <c r="AH23" s="327">
        <f t="shared" si="3"/>
        <v>131.5</v>
      </c>
      <c r="AI23" s="326">
        <f>SUM(AI20:AI22)</f>
        <v>143.4</v>
      </c>
      <c r="AJ23" s="326">
        <f>SUM(AJ20:AJ22)</f>
        <v>141.30000000000001</v>
      </c>
      <c r="AK23" s="326">
        <f>SUM(AK20:AK22)</f>
        <v>150.57877929307099</v>
      </c>
      <c r="AL23" s="326">
        <f>SUM(AL20:AL22)</f>
        <v>148.21698713480282</v>
      </c>
      <c r="AM23" s="326">
        <f>SUM(AM20:AM22)</f>
        <v>121.39999999999999</v>
      </c>
      <c r="AN23" s="326">
        <v>105.07309869729696</v>
      </c>
      <c r="AO23" s="326">
        <v>105.82676261020895</v>
      </c>
      <c r="AP23" s="326">
        <v>100.34511625512306</v>
      </c>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c r="DE23" s="273"/>
      <c r="DF23" s="273"/>
      <c r="DG23" s="273"/>
      <c r="DH23" s="273"/>
      <c r="DI23" s="273"/>
      <c r="DJ23" s="273"/>
      <c r="DK23" s="273"/>
      <c r="DL23" s="273"/>
      <c r="DM23" s="273"/>
      <c r="DN23" s="273"/>
      <c r="DO23" s="273"/>
      <c r="DP23" s="273"/>
      <c r="DQ23" s="273"/>
      <c r="DR23" s="273"/>
      <c r="DS23" s="273"/>
      <c r="DT23" s="273"/>
      <c r="DU23" s="273"/>
      <c r="DV23" s="273"/>
      <c r="DW23" s="273"/>
      <c r="DX23" s="273"/>
      <c r="DY23" s="273"/>
      <c r="DZ23" s="273"/>
      <c r="EA23" s="273"/>
      <c r="EB23" s="273"/>
      <c r="EC23" s="273"/>
      <c r="ED23" s="273"/>
      <c r="EE23" s="273"/>
      <c r="EF23" s="273"/>
      <c r="EG23" s="273"/>
      <c r="EH23" s="273"/>
      <c r="EI23" s="273"/>
      <c r="EJ23" s="273"/>
      <c r="EK23" s="273"/>
      <c r="EL23" s="273"/>
      <c r="EM23" s="273"/>
      <c r="EN23" s="273"/>
      <c r="EO23" s="273"/>
      <c r="EP23" s="273"/>
      <c r="EQ23" s="273"/>
      <c r="ER23" s="273"/>
      <c r="ES23" s="273"/>
      <c r="ET23" s="273"/>
      <c r="EU23" s="273"/>
      <c r="EV23" s="273"/>
      <c r="EW23" s="273"/>
      <c r="EX23" s="273"/>
      <c r="EY23" s="273"/>
      <c r="EZ23" s="273"/>
      <c r="FA23" s="273"/>
      <c r="FB23" s="273"/>
      <c r="FC23" s="273"/>
      <c r="FD23" s="273"/>
      <c r="FE23" s="273"/>
      <c r="FF23" s="273"/>
      <c r="FG23" s="273"/>
      <c r="FH23" s="273"/>
      <c r="FI23" s="273"/>
      <c r="FJ23" s="273"/>
      <c r="FK23" s="273"/>
      <c r="FL23" s="273"/>
      <c r="FM23" s="273"/>
      <c r="FN23" s="273"/>
      <c r="FO23" s="273"/>
      <c r="FP23" s="273"/>
      <c r="FQ23" s="273"/>
      <c r="FR23" s="273"/>
      <c r="FS23" s="273"/>
      <c r="FT23" s="273"/>
      <c r="FU23" s="273"/>
      <c r="FV23" s="273"/>
      <c r="FW23" s="273"/>
      <c r="FX23" s="273"/>
      <c r="FY23" s="273"/>
      <c r="FZ23" s="273"/>
      <c r="GA23" s="273"/>
      <c r="GB23" s="273"/>
      <c r="GC23" s="273"/>
      <c r="GD23" s="273"/>
      <c r="GE23" s="273"/>
      <c r="GF23" s="273"/>
      <c r="GG23" s="273"/>
      <c r="GH23" s="273"/>
      <c r="GI23" s="273"/>
      <c r="GJ23" s="273"/>
      <c r="GK23" s="273"/>
      <c r="GL23" s="273"/>
      <c r="GM23" s="273"/>
      <c r="GN23" s="273"/>
      <c r="GO23" s="273"/>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M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row>
    <row r="24" spans="1:254" s="301" customFormat="1" ht="17.399999999999999" thickBot="1">
      <c r="A24" s="297" t="s">
        <v>434</v>
      </c>
      <c r="B24" s="298">
        <f t="shared" ref="B24:AI24" si="4">B18+B23</f>
        <v>41.3</v>
      </c>
      <c r="C24" s="298">
        <f t="shared" si="4"/>
        <v>17.2</v>
      </c>
      <c r="D24" s="298">
        <f t="shared" si="4"/>
        <v>28.5</v>
      </c>
      <c r="E24" s="298">
        <f t="shared" si="4"/>
        <v>39.199999999999996</v>
      </c>
      <c r="F24" s="298">
        <f t="shared" si="4"/>
        <v>52.2</v>
      </c>
      <c r="G24" s="298">
        <f t="shared" si="4"/>
        <v>55.5</v>
      </c>
      <c r="H24" s="298">
        <f t="shared" si="4"/>
        <v>65.400000000000006</v>
      </c>
      <c r="I24" s="298">
        <f t="shared" si="4"/>
        <v>80.400000000000006</v>
      </c>
      <c r="J24" s="298">
        <f t="shared" si="4"/>
        <v>68.8</v>
      </c>
      <c r="K24" s="298">
        <f t="shared" si="4"/>
        <v>78.5</v>
      </c>
      <c r="L24" s="298">
        <f t="shared" si="4"/>
        <v>90.5</v>
      </c>
      <c r="M24" s="298">
        <f t="shared" si="4"/>
        <v>95.5</v>
      </c>
      <c r="N24" s="298">
        <f t="shared" si="4"/>
        <v>137.30000000000001</v>
      </c>
      <c r="O24" s="298">
        <f t="shared" si="4"/>
        <v>133.69999999999999</v>
      </c>
      <c r="P24" s="298">
        <f t="shared" si="4"/>
        <v>152.1</v>
      </c>
      <c r="Q24" s="298">
        <f t="shared" si="4"/>
        <v>171.1</v>
      </c>
      <c r="R24" s="298">
        <f t="shared" si="4"/>
        <v>177</v>
      </c>
      <c r="S24" s="298">
        <f t="shared" si="4"/>
        <v>194.4</v>
      </c>
      <c r="T24" s="298">
        <f t="shared" si="4"/>
        <v>215.38</v>
      </c>
      <c r="U24" s="298">
        <f t="shared" si="4"/>
        <v>223.2</v>
      </c>
      <c r="V24" s="298">
        <f t="shared" si="4"/>
        <v>222.10000000000002</v>
      </c>
      <c r="W24" s="298">
        <f t="shared" si="4"/>
        <v>224.7</v>
      </c>
      <c r="X24" s="298">
        <f t="shared" si="4"/>
        <v>273.31</v>
      </c>
      <c r="Y24" s="298">
        <f t="shared" si="4"/>
        <v>280.255</v>
      </c>
      <c r="Z24" s="298">
        <f t="shared" si="4"/>
        <v>288.3</v>
      </c>
      <c r="AA24" s="298">
        <f t="shared" si="4"/>
        <v>283.43</v>
      </c>
      <c r="AB24" s="299">
        <f t="shared" si="4"/>
        <v>286.05</v>
      </c>
      <c r="AC24" s="299">
        <f t="shared" si="4"/>
        <v>312.65700000000004</v>
      </c>
      <c r="AD24" s="299">
        <f t="shared" si="4"/>
        <v>327.31993393999994</v>
      </c>
      <c r="AE24" s="299">
        <f t="shared" si="4"/>
        <v>362.12944282999996</v>
      </c>
      <c r="AF24" s="299">
        <f t="shared" si="4"/>
        <v>392.79931060450963</v>
      </c>
      <c r="AG24" s="299">
        <f t="shared" si="4"/>
        <v>422.49130686466617</v>
      </c>
      <c r="AH24" s="300">
        <f t="shared" si="4"/>
        <v>453.44</v>
      </c>
      <c r="AI24" s="300">
        <f t="shared" si="4"/>
        <v>461.1</v>
      </c>
      <c r="AJ24" s="300">
        <f>AJ18+AJ23</f>
        <v>463.701482</v>
      </c>
      <c r="AK24" s="300">
        <f>AK18+AK23</f>
        <v>493.745298913071</v>
      </c>
      <c r="AL24" s="300">
        <f>AL18+AL23</f>
        <v>494.55773803480281</v>
      </c>
      <c r="AM24" s="300">
        <f>AM18+AM23</f>
        <v>461.29999999999995</v>
      </c>
      <c r="AN24" s="300">
        <v>453.72075550229704</v>
      </c>
      <c r="AO24" s="300">
        <v>436.12224455020896</v>
      </c>
      <c r="AP24" s="300">
        <v>428.00567300512307</v>
      </c>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c r="DF24" s="273"/>
      <c r="DG24" s="273"/>
      <c r="DH24" s="273"/>
      <c r="DI24" s="273"/>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3"/>
      <c r="EH24" s="273"/>
      <c r="EI24" s="273"/>
      <c r="EJ24" s="273"/>
      <c r="EK24" s="273"/>
      <c r="EL24" s="273"/>
      <c r="EM24" s="273"/>
      <c r="EN24" s="273"/>
      <c r="EO24" s="273"/>
      <c r="EP24" s="273"/>
      <c r="EQ24" s="273"/>
      <c r="ER24" s="273"/>
      <c r="ES24" s="273"/>
      <c r="ET24" s="273"/>
      <c r="EU24" s="273"/>
      <c r="EV24" s="273"/>
      <c r="EW24" s="273"/>
      <c r="EX24" s="273"/>
      <c r="EY24" s="273"/>
      <c r="EZ24" s="273"/>
      <c r="FA24" s="273"/>
      <c r="FB24" s="273"/>
      <c r="FC24" s="273"/>
      <c r="FD24" s="273"/>
      <c r="FE24" s="273"/>
      <c r="FF24" s="273"/>
      <c r="FG24" s="273"/>
      <c r="FH24" s="273"/>
      <c r="FI24" s="273"/>
      <c r="FJ24" s="273"/>
      <c r="FK24" s="273"/>
      <c r="FL24" s="273"/>
      <c r="FM24" s="273"/>
      <c r="FN24" s="273"/>
      <c r="FO24" s="273"/>
      <c r="FP24" s="273"/>
      <c r="FQ24" s="273"/>
      <c r="FR24" s="273"/>
      <c r="FS24" s="273"/>
      <c r="FT24" s="273"/>
      <c r="FU24" s="273"/>
      <c r="FV24" s="273"/>
      <c r="FW24" s="273"/>
      <c r="FX24" s="273"/>
      <c r="FY24" s="273"/>
      <c r="FZ24" s="273"/>
      <c r="GA24" s="273"/>
      <c r="GB24" s="273"/>
      <c r="GC24" s="273"/>
      <c r="GD24" s="273"/>
      <c r="GE24" s="273"/>
      <c r="GF24" s="273"/>
      <c r="GG24" s="273"/>
      <c r="GH24" s="273"/>
      <c r="GI24" s="273"/>
      <c r="GJ24" s="273"/>
      <c r="GK24" s="273"/>
      <c r="GL24" s="273"/>
      <c r="GM24" s="273"/>
      <c r="GN24" s="273"/>
      <c r="GO24" s="273"/>
      <c r="GP24" s="273"/>
      <c r="GQ24" s="273"/>
      <c r="GR24" s="273"/>
      <c r="GS24" s="273"/>
      <c r="GT24" s="273"/>
      <c r="GU24" s="273"/>
      <c r="GV24" s="273"/>
      <c r="GW24" s="273"/>
      <c r="GX24" s="273"/>
      <c r="GY24" s="273"/>
      <c r="GZ24" s="273"/>
      <c r="HA24" s="273"/>
      <c r="HB24" s="273"/>
      <c r="HC24" s="273"/>
      <c r="HD24" s="273"/>
      <c r="HE24" s="273"/>
      <c r="HF24" s="273"/>
      <c r="HG24" s="273"/>
      <c r="HH24" s="273"/>
      <c r="HI24" s="273"/>
      <c r="HJ24" s="273"/>
      <c r="HK24" s="273"/>
      <c r="HL24" s="273"/>
      <c r="HM24" s="273"/>
      <c r="HN24" s="273"/>
      <c r="HO24" s="273"/>
      <c r="HP24" s="273"/>
      <c r="HQ24" s="273"/>
      <c r="HR24" s="273"/>
      <c r="HS24" s="273"/>
      <c r="HT24" s="273"/>
      <c r="HU24" s="273"/>
      <c r="HV24" s="273"/>
      <c r="HW24" s="273"/>
      <c r="HX24" s="273"/>
      <c r="HY24" s="273"/>
      <c r="HZ24" s="273"/>
      <c r="IA24" s="273"/>
      <c r="IB24" s="273"/>
      <c r="IC24" s="273"/>
      <c r="ID24" s="273"/>
      <c r="IE24" s="273"/>
      <c r="IF24" s="273"/>
      <c r="IG24" s="273"/>
      <c r="IH24" s="273"/>
      <c r="II24" s="273"/>
      <c r="IJ24" s="273"/>
      <c r="IK24" s="273"/>
      <c r="IL24" s="273"/>
      <c r="IM24" s="273"/>
      <c r="IN24" s="273"/>
      <c r="IO24" s="273"/>
      <c r="IP24" s="273"/>
      <c r="IQ24" s="273"/>
      <c r="IR24" s="273"/>
      <c r="IS24" s="273"/>
      <c r="IT24" s="273"/>
    </row>
    <row r="25" spans="1:254" s="301" customFormat="1" ht="16.8">
      <c r="A25" s="275" t="s">
        <v>435</v>
      </c>
      <c r="B25" s="328">
        <v>0</v>
      </c>
      <c r="C25" s="328">
        <v>0</v>
      </c>
      <c r="D25" s="328">
        <v>0</v>
      </c>
      <c r="E25" s="328">
        <v>0</v>
      </c>
      <c r="F25" s="328">
        <v>0</v>
      </c>
      <c r="G25" s="328">
        <v>0</v>
      </c>
      <c r="H25" s="328">
        <v>0</v>
      </c>
      <c r="I25" s="328">
        <v>0</v>
      </c>
      <c r="J25" s="328">
        <v>0</v>
      </c>
      <c r="K25" s="328">
        <v>0</v>
      </c>
      <c r="L25" s="328">
        <v>0</v>
      </c>
      <c r="M25" s="328">
        <v>0</v>
      </c>
      <c r="N25" s="328">
        <v>0</v>
      </c>
      <c r="O25" s="328">
        <v>0</v>
      </c>
      <c r="P25" s="329">
        <v>0</v>
      </c>
      <c r="Q25" s="329"/>
      <c r="R25" s="329"/>
      <c r="S25" s="329"/>
      <c r="T25" s="329"/>
      <c r="U25" s="329"/>
      <c r="V25" s="329"/>
      <c r="W25" s="329"/>
      <c r="X25" s="329"/>
      <c r="Y25" s="329"/>
      <c r="Z25" s="329"/>
      <c r="AA25" s="329"/>
      <c r="AB25" s="330"/>
      <c r="AC25" s="280"/>
      <c r="AD25" s="280"/>
      <c r="AE25" s="280"/>
      <c r="AF25" s="280"/>
      <c r="AG25" s="280"/>
      <c r="AH25" s="308"/>
      <c r="AI25" s="280"/>
      <c r="AJ25" s="280"/>
      <c r="AK25" s="280"/>
      <c r="AL25" s="280"/>
      <c r="AM25" s="280"/>
      <c r="AN25" s="280"/>
      <c r="AO25" s="280"/>
      <c r="AP25" s="280"/>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c r="DF25" s="273"/>
      <c r="DG25" s="273"/>
      <c r="DH25" s="273"/>
      <c r="DI25" s="273"/>
      <c r="DJ25" s="273"/>
      <c r="DK25" s="273"/>
      <c r="DL25" s="273"/>
      <c r="DM25" s="273"/>
      <c r="DN25" s="273"/>
      <c r="DO25" s="273"/>
      <c r="DP25" s="273"/>
      <c r="DQ25" s="273"/>
      <c r="DR25" s="273"/>
      <c r="DS25" s="273"/>
      <c r="DT25" s="273"/>
      <c r="DU25" s="273"/>
      <c r="DV25" s="273"/>
      <c r="DW25" s="273"/>
      <c r="DX25" s="273"/>
      <c r="DY25" s="273"/>
      <c r="DZ25" s="273"/>
      <c r="EA25" s="273"/>
      <c r="EB25" s="273"/>
      <c r="EC25" s="273"/>
      <c r="ED25" s="273"/>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3"/>
      <c r="FP25" s="273"/>
      <c r="FQ25" s="273"/>
      <c r="FR25" s="273"/>
      <c r="FS25" s="273"/>
      <c r="FT25" s="273"/>
      <c r="FU25" s="273"/>
      <c r="FV25" s="273"/>
      <c r="FW25" s="273"/>
      <c r="FX25" s="273"/>
      <c r="FY25" s="273"/>
      <c r="FZ25" s="273"/>
      <c r="GA25" s="273"/>
      <c r="GB25" s="273"/>
      <c r="GC25" s="273"/>
      <c r="GD25" s="273"/>
      <c r="GE25" s="273"/>
      <c r="GF25" s="273"/>
      <c r="GG25" s="273"/>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3"/>
      <c r="HO25" s="273"/>
      <c r="HP25" s="273"/>
      <c r="HQ25" s="273"/>
      <c r="HR25" s="273"/>
      <c r="HS25" s="273"/>
      <c r="HT25" s="273"/>
      <c r="HU25" s="273"/>
      <c r="HV25" s="273"/>
      <c r="HW25" s="273"/>
      <c r="HX25" s="273"/>
      <c r="HY25" s="273"/>
      <c r="HZ25" s="273"/>
      <c r="IA25" s="273"/>
      <c r="IB25" s="273"/>
      <c r="IC25" s="273"/>
      <c r="ID25" s="273"/>
      <c r="IE25" s="273"/>
      <c r="IF25" s="273"/>
      <c r="IG25" s="273"/>
      <c r="IH25" s="273"/>
      <c r="II25" s="273"/>
      <c r="IJ25" s="273"/>
      <c r="IK25" s="273"/>
      <c r="IL25" s="273"/>
      <c r="IM25" s="273"/>
      <c r="IN25" s="273"/>
      <c r="IO25" s="273"/>
      <c r="IP25" s="273"/>
      <c r="IQ25" s="273"/>
      <c r="IR25" s="273"/>
      <c r="IS25" s="273"/>
      <c r="IT25" s="273"/>
    </row>
    <row r="26" spans="1:254" s="301" customFormat="1" ht="16.8">
      <c r="A26" s="307" t="s">
        <v>436</v>
      </c>
      <c r="B26" s="283">
        <v>0</v>
      </c>
      <c r="C26" s="283">
        <v>3</v>
      </c>
      <c r="D26" s="283">
        <v>14</v>
      </c>
      <c r="E26" s="283">
        <v>1</v>
      </c>
      <c r="F26" s="283">
        <v>8</v>
      </c>
      <c r="G26" s="283">
        <v>27</v>
      </c>
      <c r="H26" s="283">
        <v>19</v>
      </c>
      <c r="I26" s="283">
        <v>9</v>
      </c>
      <c r="J26" s="283">
        <v>10</v>
      </c>
      <c r="K26" s="283">
        <v>15</v>
      </c>
      <c r="L26" s="283">
        <v>15</v>
      </c>
      <c r="M26" s="283">
        <v>15</v>
      </c>
      <c r="N26" s="283">
        <v>23</v>
      </c>
      <c r="O26" s="283">
        <v>45</v>
      </c>
      <c r="P26" s="285">
        <v>62</v>
      </c>
      <c r="Q26" s="285">
        <v>7.1</v>
      </c>
      <c r="R26" s="285">
        <v>81.7</v>
      </c>
      <c r="S26" s="285">
        <v>107.8</v>
      </c>
      <c r="T26" s="285">
        <v>116.5</v>
      </c>
      <c r="U26" s="285">
        <v>197.8</v>
      </c>
      <c r="V26" s="285">
        <v>193.1</v>
      </c>
      <c r="W26" s="285">
        <v>115.9</v>
      </c>
      <c r="X26" s="285">
        <v>12.6</v>
      </c>
      <c r="Y26" s="285">
        <v>79.2</v>
      </c>
      <c r="Z26" s="285">
        <v>21.7</v>
      </c>
      <c r="AA26" s="285">
        <v>182.1</v>
      </c>
      <c r="AB26" s="286">
        <v>397.43809968000011</v>
      </c>
      <c r="AC26" s="287">
        <v>282.625</v>
      </c>
      <c r="AD26" s="287">
        <v>273.51942685714278</v>
      </c>
      <c r="AE26" s="287">
        <v>142.81399999999999</v>
      </c>
      <c r="AF26" s="287">
        <v>99.430963576774104</v>
      </c>
      <c r="AG26" s="287">
        <v>156.68200350000001</v>
      </c>
      <c r="AH26" s="288">
        <v>152.19999999999999</v>
      </c>
      <c r="AI26" s="289">
        <v>135.50800000000001</v>
      </c>
      <c r="AJ26" s="289">
        <v>122.74434447903229</v>
      </c>
      <c r="AK26" s="289">
        <v>195.79544710838707</v>
      </c>
      <c r="AL26" s="289">
        <v>76.641885441290313</v>
      </c>
      <c r="AM26" s="289">
        <v>9.6</v>
      </c>
      <c r="AN26" s="289">
        <v>2.9</v>
      </c>
      <c r="AO26" s="289">
        <v>174.36280763741945</v>
      </c>
      <c r="AP26" s="289">
        <v>33.426027722903228</v>
      </c>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row>
    <row r="27" spans="1:254" s="281" customFormat="1" ht="16.8" thickBot="1">
      <c r="A27" s="307" t="s">
        <v>437</v>
      </c>
      <c r="B27" s="292">
        <v>0</v>
      </c>
      <c r="C27" s="292">
        <v>0</v>
      </c>
      <c r="D27" s="292">
        <v>0</v>
      </c>
      <c r="E27" s="292">
        <v>0</v>
      </c>
      <c r="F27" s="292">
        <v>12</v>
      </c>
      <c r="G27" s="292">
        <v>17</v>
      </c>
      <c r="H27" s="292">
        <v>74</v>
      </c>
      <c r="I27" s="292">
        <v>11</v>
      </c>
      <c r="J27" s="292">
        <v>40</v>
      </c>
      <c r="K27" s="292">
        <v>40</v>
      </c>
      <c r="L27" s="292">
        <v>40</v>
      </c>
      <c r="M27" s="292">
        <v>40</v>
      </c>
      <c r="N27" s="292">
        <v>59</v>
      </c>
      <c r="O27" s="292">
        <v>104</v>
      </c>
      <c r="P27" s="331">
        <v>111.7</v>
      </c>
      <c r="Q27" s="331">
        <v>63.5</v>
      </c>
      <c r="R27" s="331">
        <v>0</v>
      </c>
      <c r="S27" s="331">
        <v>0</v>
      </c>
      <c r="T27" s="331">
        <v>5.4</v>
      </c>
      <c r="U27" s="331">
        <v>47.6</v>
      </c>
      <c r="V27" s="331">
        <v>64.8</v>
      </c>
      <c r="W27" s="331">
        <v>1389.6</v>
      </c>
      <c r="X27" s="331">
        <v>147.80000000000001</v>
      </c>
      <c r="Y27" s="331">
        <v>171.1</v>
      </c>
      <c r="Z27" s="331">
        <v>191</v>
      </c>
      <c r="AA27" s="331">
        <v>110.8</v>
      </c>
      <c r="AB27" s="293">
        <v>168.17764031279995</v>
      </c>
      <c r="AC27" s="310">
        <v>120.69</v>
      </c>
      <c r="AD27" s="310">
        <v>274.94753118857147</v>
      </c>
      <c r="AE27" s="310">
        <v>240.31142110419358</v>
      </c>
      <c r="AF27" s="310">
        <v>310.06640616322585</v>
      </c>
      <c r="AG27" s="310">
        <v>70.690476160000003</v>
      </c>
      <c r="AH27" s="311">
        <v>38.450000000000003</v>
      </c>
      <c r="AI27" s="332">
        <v>85.804000000000002</v>
      </c>
      <c r="AJ27" s="332">
        <v>196.15177862000002</v>
      </c>
      <c r="AK27" s="332">
        <v>67.48132308645161</v>
      </c>
      <c r="AL27" s="332">
        <v>50.291036205161291</v>
      </c>
      <c r="AM27" s="332">
        <v>-20.536000000000001</v>
      </c>
      <c r="AN27" s="332">
        <v>24.260660996129033</v>
      </c>
      <c r="AO27" s="332">
        <v>177.62201441999997</v>
      </c>
      <c r="AP27" s="332">
        <v>150.01999826999997</v>
      </c>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3"/>
      <c r="HO27" s="273"/>
      <c r="HP27" s="273"/>
      <c r="HQ27" s="273"/>
      <c r="HR27" s="273"/>
      <c r="HS27" s="273"/>
      <c r="HT27" s="273"/>
      <c r="HU27" s="273"/>
      <c r="HV27" s="273"/>
      <c r="HW27" s="273"/>
      <c r="HX27" s="273"/>
      <c r="HY27" s="273"/>
      <c r="HZ27" s="273"/>
      <c r="IA27" s="273"/>
      <c r="IB27" s="273"/>
      <c r="IC27" s="273"/>
      <c r="ID27" s="273"/>
      <c r="IE27" s="273"/>
      <c r="IF27" s="273"/>
      <c r="IG27" s="273"/>
      <c r="IH27" s="273"/>
      <c r="II27" s="273"/>
      <c r="IJ27" s="273"/>
      <c r="IK27" s="273"/>
      <c r="IL27" s="273"/>
      <c r="IM27" s="273"/>
      <c r="IN27" s="273"/>
      <c r="IO27" s="273"/>
      <c r="IP27" s="273"/>
      <c r="IQ27" s="273"/>
      <c r="IR27" s="273"/>
      <c r="IS27" s="273"/>
      <c r="IT27" s="273"/>
    </row>
    <row r="28" spans="1:254" s="301" customFormat="1" ht="18" thickTop="1" thickBot="1">
      <c r="A28" s="333" t="s">
        <v>438</v>
      </c>
      <c r="B28" s="334">
        <f t="shared" ref="B28:AL28" si="5">B26+B27</f>
        <v>0</v>
      </c>
      <c r="C28" s="334">
        <f t="shared" si="5"/>
        <v>3</v>
      </c>
      <c r="D28" s="334">
        <f t="shared" si="5"/>
        <v>14</v>
      </c>
      <c r="E28" s="334">
        <f t="shared" si="5"/>
        <v>1</v>
      </c>
      <c r="F28" s="334">
        <f t="shared" si="5"/>
        <v>20</v>
      </c>
      <c r="G28" s="334">
        <f t="shared" si="5"/>
        <v>44</v>
      </c>
      <c r="H28" s="334">
        <f t="shared" si="5"/>
        <v>93</v>
      </c>
      <c r="I28" s="334">
        <f t="shared" si="5"/>
        <v>20</v>
      </c>
      <c r="J28" s="334">
        <f t="shared" si="5"/>
        <v>50</v>
      </c>
      <c r="K28" s="334">
        <f t="shared" si="5"/>
        <v>55</v>
      </c>
      <c r="L28" s="334">
        <f t="shared" si="5"/>
        <v>55</v>
      </c>
      <c r="M28" s="334">
        <f t="shared" si="5"/>
        <v>55</v>
      </c>
      <c r="N28" s="334">
        <f t="shared" si="5"/>
        <v>82</v>
      </c>
      <c r="O28" s="334">
        <f t="shared" si="5"/>
        <v>149</v>
      </c>
      <c r="P28" s="334">
        <f t="shared" si="5"/>
        <v>173.7</v>
      </c>
      <c r="Q28" s="334">
        <f t="shared" si="5"/>
        <v>70.599999999999994</v>
      </c>
      <c r="R28" s="334">
        <f t="shared" si="5"/>
        <v>81.7</v>
      </c>
      <c r="S28" s="334">
        <f t="shared" si="5"/>
        <v>107.8</v>
      </c>
      <c r="T28" s="334">
        <f t="shared" si="5"/>
        <v>121.9</v>
      </c>
      <c r="U28" s="334">
        <f t="shared" si="5"/>
        <v>245.4</v>
      </c>
      <c r="V28" s="334">
        <f t="shared" si="5"/>
        <v>257.89999999999998</v>
      </c>
      <c r="W28" s="334">
        <f t="shared" si="5"/>
        <v>1505.5</v>
      </c>
      <c r="X28" s="334">
        <f t="shared" si="5"/>
        <v>160.4</v>
      </c>
      <c r="Y28" s="334">
        <f t="shared" si="5"/>
        <v>250.3</v>
      </c>
      <c r="Z28" s="334">
        <f t="shared" si="5"/>
        <v>212.7</v>
      </c>
      <c r="AA28" s="334">
        <f t="shared" si="5"/>
        <v>292.89999999999998</v>
      </c>
      <c r="AB28" s="335">
        <f t="shared" si="5"/>
        <v>565.61573999280006</v>
      </c>
      <c r="AC28" s="335">
        <f t="shared" si="5"/>
        <v>403.315</v>
      </c>
      <c r="AD28" s="335">
        <f t="shared" si="5"/>
        <v>548.46695804571425</v>
      </c>
      <c r="AE28" s="335">
        <f t="shared" si="5"/>
        <v>383.12542110419361</v>
      </c>
      <c r="AF28" s="335">
        <f t="shared" si="5"/>
        <v>409.49736973999995</v>
      </c>
      <c r="AG28" s="335">
        <f t="shared" si="5"/>
        <v>227.37247966000001</v>
      </c>
      <c r="AH28" s="336">
        <f t="shared" si="5"/>
        <v>190.64999999999998</v>
      </c>
      <c r="AI28" s="336">
        <f t="shared" si="5"/>
        <v>221.31200000000001</v>
      </c>
      <c r="AJ28" s="336">
        <f t="shared" si="5"/>
        <v>318.89612309903231</v>
      </c>
      <c r="AK28" s="336">
        <f t="shared" si="5"/>
        <v>263.27677019483866</v>
      </c>
      <c r="AL28" s="336">
        <f t="shared" si="5"/>
        <v>126.9329216464516</v>
      </c>
      <c r="AM28" s="336">
        <f>AM26+AM27</f>
        <v>-10.936000000000002</v>
      </c>
      <c r="AN28" s="336">
        <v>27.160660996129032</v>
      </c>
      <c r="AO28" s="336">
        <v>351.98482205741942</v>
      </c>
      <c r="AP28" s="336">
        <v>183.4460259929032</v>
      </c>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c r="DO28" s="273"/>
      <c r="DP28" s="273"/>
      <c r="DQ28" s="273"/>
      <c r="DR28" s="273"/>
      <c r="DS28" s="273"/>
      <c r="DT28" s="273"/>
      <c r="DU28" s="273"/>
      <c r="DV28" s="273"/>
      <c r="DW28" s="273"/>
      <c r="DX28" s="273"/>
      <c r="DY28" s="273"/>
      <c r="DZ28" s="273"/>
      <c r="EA28" s="273"/>
      <c r="EB28" s="273"/>
      <c r="EC28" s="273"/>
      <c r="ED28" s="273"/>
      <c r="EE28" s="273"/>
      <c r="EF28" s="273"/>
      <c r="EG28" s="273"/>
      <c r="EH28" s="273"/>
      <c r="EI28" s="273"/>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3"/>
      <c r="FL28" s="273"/>
      <c r="FM28" s="273"/>
      <c r="FN28" s="273"/>
      <c r="FO28" s="273"/>
      <c r="FP28" s="273"/>
      <c r="FQ28" s="273"/>
      <c r="FR28" s="273"/>
      <c r="FS28" s="273"/>
      <c r="FT28" s="273"/>
      <c r="FU28" s="273"/>
      <c r="FV28" s="273"/>
      <c r="FW28" s="273"/>
      <c r="FX28" s="273"/>
      <c r="FY28" s="273"/>
      <c r="FZ28" s="273"/>
      <c r="GA28" s="273"/>
      <c r="GB28" s="273"/>
      <c r="GC28" s="273"/>
      <c r="GD28" s="273"/>
      <c r="GE28" s="273"/>
      <c r="GF28" s="273"/>
      <c r="GG28" s="273"/>
      <c r="GH28" s="273"/>
      <c r="GI28" s="273"/>
      <c r="GJ28" s="273"/>
      <c r="GK28" s="273"/>
      <c r="GL28" s="273"/>
      <c r="GM28" s="273"/>
      <c r="GN28" s="273"/>
      <c r="GO28" s="273"/>
      <c r="GP28" s="273"/>
      <c r="GQ28" s="273"/>
      <c r="GR28" s="273"/>
      <c r="GS28" s="273"/>
      <c r="GT28" s="273"/>
      <c r="GU28" s="273"/>
      <c r="GV28" s="273"/>
      <c r="GW28" s="273"/>
      <c r="GX28" s="273"/>
      <c r="GY28" s="273"/>
      <c r="GZ28" s="273"/>
      <c r="HA28" s="273"/>
      <c r="HB28" s="273"/>
      <c r="HC28" s="273"/>
      <c r="HD28" s="273"/>
      <c r="HE28" s="273"/>
      <c r="HF28" s="273"/>
      <c r="HG28" s="273"/>
      <c r="HH28" s="273"/>
      <c r="HI28" s="273"/>
      <c r="HJ28" s="273"/>
      <c r="HK28" s="273"/>
      <c r="HL28" s="273"/>
      <c r="HM28" s="273"/>
      <c r="HN28" s="273"/>
      <c r="HO28" s="273"/>
      <c r="HP28" s="273"/>
      <c r="HQ28" s="273"/>
      <c r="HR28" s="273"/>
      <c r="HS28" s="273"/>
      <c r="HT28" s="273"/>
      <c r="HU28" s="273"/>
      <c r="HV28" s="273"/>
      <c r="HW28" s="273"/>
      <c r="HX28" s="273"/>
      <c r="HY28" s="273"/>
      <c r="HZ28" s="273"/>
      <c r="IA28" s="273"/>
      <c r="IB28" s="273"/>
      <c r="IC28" s="273"/>
      <c r="ID28" s="273"/>
      <c r="IE28" s="273"/>
      <c r="IF28" s="273"/>
      <c r="IG28" s="273"/>
      <c r="IH28" s="273"/>
      <c r="II28" s="273"/>
      <c r="IJ28" s="273"/>
      <c r="IK28" s="273"/>
      <c r="IL28" s="273"/>
      <c r="IM28" s="273"/>
      <c r="IN28" s="273"/>
      <c r="IO28" s="273"/>
      <c r="IP28" s="273"/>
      <c r="IQ28" s="273"/>
      <c r="IR28" s="273"/>
      <c r="IS28" s="273"/>
      <c r="IT28" s="273"/>
    </row>
    <row r="29" spans="1:254" s="301" customFormat="1" ht="17.399999999999999" thickBot="1">
      <c r="A29" s="337" t="s">
        <v>439</v>
      </c>
      <c r="B29" s="338">
        <f t="shared" ref="B29:AI29" si="6">B24+B28</f>
        <v>41.3</v>
      </c>
      <c r="C29" s="338">
        <f t="shared" si="6"/>
        <v>20.2</v>
      </c>
      <c r="D29" s="338">
        <f t="shared" si="6"/>
        <v>42.5</v>
      </c>
      <c r="E29" s="338">
        <f t="shared" si="6"/>
        <v>40.199999999999996</v>
      </c>
      <c r="F29" s="338">
        <f t="shared" si="6"/>
        <v>72.2</v>
      </c>
      <c r="G29" s="338">
        <f t="shared" si="6"/>
        <v>99.5</v>
      </c>
      <c r="H29" s="338">
        <f t="shared" si="6"/>
        <v>158.4</v>
      </c>
      <c r="I29" s="338">
        <f t="shared" si="6"/>
        <v>100.4</v>
      </c>
      <c r="J29" s="338">
        <f t="shared" si="6"/>
        <v>118.8</v>
      </c>
      <c r="K29" s="338">
        <f t="shared" si="6"/>
        <v>133.5</v>
      </c>
      <c r="L29" s="338">
        <f t="shared" si="6"/>
        <v>145.5</v>
      </c>
      <c r="M29" s="338">
        <f t="shared" si="6"/>
        <v>150.5</v>
      </c>
      <c r="N29" s="338">
        <f t="shared" si="6"/>
        <v>219.3</v>
      </c>
      <c r="O29" s="338">
        <f t="shared" si="6"/>
        <v>282.7</v>
      </c>
      <c r="P29" s="338">
        <f t="shared" si="6"/>
        <v>325.79999999999995</v>
      </c>
      <c r="Q29" s="338">
        <f t="shared" si="6"/>
        <v>241.7</v>
      </c>
      <c r="R29" s="338">
        <f t="shared" si="6"/>
        <v>258.7</v>
      </c>
      <c r="S29" s="338">
        <f t="shared" si="6"/>
        <v>302.2</v>
      </c>
      <c r="T29" s="338">
        <f t="shared" si="6"/>
        <v>337.28</v>
      </c>
      <c r="U29" s="338">
        <f t="shared" si="6"/>
        <v>468.6</v>
      </c>
      <c r="V29" s="338">
        <f t="shared" si="6"/>
        <v>480</v>
      </c>
      <c r="W29" s="338">
        <f t="shared" si="6"/>
        <v>1730.2</v>
      </c>
      <c r="X29" s="338">
        <f t="shared" si="6"/>
        <v>433.71000000000004</v>
      </c>
      <c r="Y29" s="338">
        <f t="shared" si="6"/>
        <v>530.55500000000006</v>
      </c>
      <c r="Z29" s="338">
        <f t="shared" si="6"/>
        <v>501</v>
      </c>
      <c r="AA29" s="338">
        <f t="shared" si="6"/>
        <v>576.32999999999993</v>
      </c>
      <c r="AB29" s="339">
        <f t="shared" si="6"/>
        <v>851.66573999280013</v>
      </c>
      <c r="AC29" s="340">
        <f t="shared" si="6"/>
        <v>715.97199999999998</v>
      </c>
      <c r="AD29" s="340">
        <f t="shared" si="6"/>
        <v>875.78689198571419</v>
      </c>
      <c r="AE29" s="340">
        <f t="shared" si="6"/>
        <v>745.25486393419351</v>
      </c>
      <c r="AF29" s="340">
        <f t="shared" si="6"/>
        <v>802.29668034450958</v>
      </c>
      <c r="AG29" s="340">
        <f t="shared" si="6"/>
        <v>649.86378652466624</v>
      </c>
      <c r="AH29" s="341">
        <f t="shared" si="6"/>
        <v>644.08999999999992</v>
      </c>
      <c r="AI29" s="342">
        <f t="shared" si="6"/>
        <v>682.41200000000003</v>
      </c>
      <c r="AJ29" s="342">
        <f>AJ24+AJ28</f>
        <v>782.59760509903231</v>
      </c>
      <c r="AK29" s="342">
        <f>AK24+AK28</f>
        <v>757.0220691079096</v>
      </c>
      <c r="AL29" s="342">
        <f>AL24+AL28</f>
        <v>621.49065968125444</v>
      </c>
      <c r="AM29" s="342">
        <f>AM24+AM28</f>
        <v>450.36399999999998</v>
      </c>
      <c r="AN29" s="342">
        <v>480.88141649842606</v>
      </c>
      <c r="AO29" s="342">
        <v>788.10706660762844</v>
      </c>
      <c r="AP29" s="342">
        <v>611.45169899802625</v>
      </c>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c r="BM29" s="273"/>
      <c r="BN29" s="273"/>
      <c r="BO29" s="273"/>
      <c r="BP29" s="273"/>
      <c r="BQ29" s="273"/>
      <c r="BR29" s="273"/>
      <c r="BS29" s="273"/>
      <c r="BT29" s="273"/>
      <c r="BU29" s="273"/>
      <c r="BV29" s="273"/>
      <c r="BW29" s="273"/>
      <c r="BX29" s="273"/>
      <c r="BY29" s="273"/>
      <c r="BZ29" s="273"/>
      <c r="CA29" s="273"/>
      <c r="CB29" s="273"/>
      <c r="CC29" s="273"/>
      <c r="CD29" s="273"/>
      <c r="CE29" s="273"/>
      <c r="CF29" s="273"/>
      <c r="CG29" s="273"/>
      <c r="CH29" s="273"/>
      <c r="CI29" s="273"/>
      <c r="CJ29" s="273"/>
      <c r="CK29" s="273"/>
      <c r="CL29" s="273"/>
      <c r="CM29" s="273"/>
      <c r="CN29" s="273"/>
      <c r="CO29" s="273"/>
      <c r="CP29" s="273"/>
      <c r="CQ29" s="273"/>
      <c r="CR29" s="273"/>
      <c r="CS29" s="273"/>
      <c r="CT29" s="273"/>
      <c r="CU29" s="273"/>
      <c r="CV29" s="273"/>
      <c r="CW29" s="273"/>
      <c r="CX29" s="273"/>
      <c r="CY29" s="273"/>
      <c r="CZ29" s="273"/>
      <c r="DA29" s="273"/>
      <c r="DB29" s="273"/>
      <c r="DC29" s="273"/>
      <c r="DD29" s="273"/>
      <c r="DE29" s="273"/>
      <c r="DF29" s="273"/>
      <c r="DG29" s="273"/>
      <c r="DH29" s="273"/>
      <c r="DI29" s="273"/>
      <c r="DJ29" s="273"/>
      <c r="DK29" s="273"/>
      <c r="DL29" s="273"/>
      <c r="DM29" s="273"/>
      <c r="DN29" s="273"/>
      <c r="DO29" s="273"/>
      <c r="DP29" s="273"/>
      <c r="DQ29" s="273"/>
      <c r="DR29" s="273"/>
      <c r="DS29" s="273"/>
      <c r="DT29" s="273"/>
      <c r="DU29" s="273"/>
      <c r="DV29" s="273"/>
      <c r="DW29" s="273"/>
      <c r="DX29" s="273"/>
      <c r="DY29" s="273"/>
      <c r="DZ29" s="273"/>
      <c r="EA29" s="273"/>
      <c r="EB29" s="273"/>
      <c r="EC29" s="273"/>
      <c r="ED29" s="273"/>
      <c r="EE29" s="273"/>
      <c r="EF29" s="273"/>
      <c r="EG29" s="273"/>
      <c r="EH29" s="273"/>
      <c r="EI29" s="273"/>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3"/>
      <c r="FL29" s="273"/>
      <c r="FM29" s="273"/>
      <c r="FN29" s="273"/>
      <c r="FO29" s="273"/>
      <c r="FP29" s="273"/>
      <c r="FQ29" s="273"/>
      <c r="FR29" s="273"/>
      <c r="FS29" s="273"/>
      <c r="FT29" s="273"/>
      <c r="FU29" s="273"/>
      <c r="FV29" s="273"/>
      <c r="FW29" s="273"/>
      <c r="FX29" s="273"/>
      <c r="FY29" s="273"/>
      <c r="FZ29" s="273"/>
      <c r="GA29" s="273"/>
      <c r="GB29" s="273"/>
      <c r="GC29" s="273"/>
      <c r="GD29" s="273"/>
      <c r="GE29" s="273"/>
      <c r="GF29" s="273"/>
      <c r="GG29" s="273"/>
      <c r="GH29" s="273"/>
      <c r="GI29" s="273"/>
      <c r="GJ29" s="273"/>
      <c r="GK29" s="273"/>
      <c r="GL29" s="273"/>
      <c r="GM29" s="273"/>
      <c r="GN29" s="273"/>
      <c r="GO29" s="273"/>
      <c r="GP29" s="273"/>
      <c r="GQ29" s="273"/>
      <c r="GR29" s="273"/>
      <c r="GS29" s="273"/>
      <c r="GT29" s="273"/>
      <c r="GU29" s="273"/>
      <c r="GV29" s="273"/>
      <c r="GW29" s="273"/>
      <c r="GX29" s="273"/>
      <c r="GY29" s="273"/>
      <c r="GZ29" s="273"/>
      <c r="HA29" s="273"/>
      <c r="HB29" s="273"/>
      <c r="HC29" s="273"/>
      <c r="HD29" s="273"/>
      <c r="HE29" s="273"/>
      <c r="HF29" s="273"/>
      <c r="HG29" s="273"/>
      <c r="HH29" s="273"/>
      <c r="HI29" s="273"/>
      <c r="HJ29" s="273"/>
      <c r="HK29" s="273"/>
      <c r="HL29" s="273"/>
      <c r="HM29" s="273"/>
      <c r="HN29" s="273"/>
      <c r="HO29" s="273"/>
      <c r="HP29" s="273"/>
      <c r="HQ29" s="273"/>
      <c r="HR29" s="273"/>
      <c r="HS29" s="273"/>
      <c r="HT29" s="273"/>
      <c r="HU29" s="273"/>
      <c r="HV29" s="273"/>
      <c r="HW29" s="273"/>
      <c r="HX29" s="273"/>
      <c r="HY29" s="273"/>
      <c r="HZ29" s="273"/>
      <c r="IA29" s="273"/>
      <c r="IB29" s="273"/>
      <c r="IC29" s="273"/>
      <c r="ID29" s="273"/>
      <c r="IE29" s="273"/>
      <c r="IF29" s="273"/>
      <c r="IG29" s="273"/>
      <c r="IH29" s="273"/>
      <c r="II29" s="273"/>
      <c r="IJ29" s="273"/>
      <c r="IK29" s="273"/>
      <c r="IL29" s="273"/>
      <c r="IM29" s="273"/>
      <c r="IN29" s="273"/>
      <c r="IO29" s="273"/>
      <c r="IP29" s="273"/>
      <c r="IQ29" s="273"/>
      <c r="IR29" s="273"/>
      <c r="IS29" s="273"/>
      <c r="IT29" s="273"/>
    </row>
    <row r="30" spans="1:254" s="301" customFormat="1" ht="16.8">
      <c r="A30" s="343" t="s">
        <v>440</v>
      </c>
      <c r="B30" s="344">
        <v>0</v>
      </c>
      <c r="C30" s="344">
        <v>0</v>
      </c>
      <c r="D30" s="344">
        <v>0</v>
      </c>
      <c r="E30" s="344">
        <v>0</v>
      </c>
      <c r="F30" s="344">
        <v>0</v>
      </c>
      <c r="G30" s="344">
        <v>0</v>
      </c>
      <c r="H30" s="344">
        <v>0</v>
      </c>
      <c r="I30" s="344">
        <v>0</v>
      </c>
      <c r="J30" s="344">
        <v>0</v>
      </c>
      <c r="K30" s="344">
        <v>0</v>
      </c>
      <c r="L30" s="344">
        <v>0</v>
      </c>
      <c r="M30" s="344">
        <v>0</v>
      </c>
      <c r="N30" s="344">
        <v>0</v>
      </c>
      <c r="O30" s="344">
        <v>0</v>
      </c>
      <c r="P30" s="345">
        <v>0</v>
      </c>
      <c r="Q30" s="345"/>
      <c r="R30" s="345"/>
      <c r="S30" s="345"/>
      <c r="T30" s="345"/>
      <c r="U30" s="345"/>
      <c r="V30" s="345"/>
      <c r="W30" s="345"/>
      <c r="X30" s="345"/>
      <c r="Y30" s="345"/>
      <c r="Z30" s="345"/>
      <c r="AA30" s="345"/>
      <c r="AB30" s="330"/>
      <c r="AC30" s="346"/>
      <c r="AD30" s="346"/>
      <c r="AE30" s="346"/>
      <c r="AF30" s="346"/>
      <c r="AG30" s="346"/>
      <c r="AH30" s="347"/>
      <c r="AI30" s="346"/>
      <c r="AJ30" s="346"/>
      <c r="AK30" s="346"/>
      <c r="AL30" s="346"/>
      <c r="AM30" s="346"/>
      <c r="AN30" s="346"/>
      <c r="AO30" s="346"/>
      <c r="AP30" s="346"/>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273"/>
      <c r="BQ30" s="273"/>
      <c r="BR30" s="273"/>
      <c r="BS30" s="273"/>
      <c r="BT30" s="273"/>
      <c r="BU30" s="273"/>
      <c r="BV30" s="273"/>
      <c r="BW30" s="273"/>
      <c r="BX30" s="273"/>
      <c r="BY30" s="273"/>
      <c r="BZ30" s="273"/>
      <c r="CA30" s="273"/>
      <c r="CB30" s="273"/>
      <c r="CC30" s="273"/>
      <c r="CD30" s="273"/>
      <c r="CE30" s="273"/>
      <c r="CF30" s="273"/>
      <c r="CG30" s="273"/>
      <c r="CH30" s="273"/>
      <c r="CI30" s="273"/>
      <c r="CJ30" s="273"/>
      <c r="CK30" s="273"/>
      <c r="CL30" s="273"/>
      <c r="CM30" s="273"/>
      <c r="CN30" s="273"/>
      <c r="CO30" s="273"/>
      <c r="CP30" s="273"/>
      <c r="CQ30" s="273"/>
      <c r="CR30" s="273"/>
      <c r="CS30" s="273"/>
      <c r="CT30" s="273"/>
      <c r="CU30" s="273"/>
      <c r="CV30" s="273"/>
      <c r="CW30" s="273"/>
      <c r="CX30" s="273"/>
      <c r="CY30" s="273"/>
      <c r="CZ30" s="273"/>
      <c r="DA30" s="273"/>
      <c r="DB30" s="273"/>
      <c r="DC30" s="273"/>
      <c r="DD30" s="273"/>
      <c r="DE30" s="273"/>
      <c r="DF30" s="273"/>
      <c r="DG30" s="273"/>
      <c r="DH30" s="273"/>
      <c r="DI30" s="273"/>
      <c r="DJ30" s="273"/>
      <c r="DK30" s="273"/>
      <c r="DL30" s="273"/>
      <c r="DM30" s="273"/>
      <c r="DN30" s="273"/>
      <c r="DO30" s="273"/>
      <c r="DP30" s="273"/>
      <c r="DQ30" s="273"/>
      <c r="DR30" s="273"/>
      <c r="DS30" s="273"/>
      <c r="DT30" s="273"/>
      <c r="DU30" s="273"/>
      <c r="DV30" s="273"/>
      <c r="DW30" s="273"/>
      <c r="DX30" s="273"/>
      <c r="DY30" s="273"/>
      <c r="DZ30" s="273"/>
      <c r="EA30" s="273"/>
      <c r="EB30" s="273"/>
      <c r="EC30" s="273"/>
      <c r="ED30" s="273"/>
      <c r="EE30" s="273"/>
      <c r="EF30" s="273"/>
      <c r="EG30" s="273"/>
      <c r="EH30" s="273"/>
      <c r="EI30" s="273"/>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3"/>
      <c r="FL30" s="273"/>
      <c r="FM30" s="273"/>
      <c r="FN30" s="273"/>
      <c r="FO30" s="273"/>
      <c r="FP30" s="273"/>
      <c r="FQ30" s="273"/>
      <c r="FR30" s="273"/>
      <c r="FS30" s="273"/>
      <c r="FT30" s="273"/>
      <c r="FU30" s="273"/>
      <c r="FV30" s="273"/>
      <c r="FW30" s="273"/>
      <c r="FX30" s="273"/>
      <c r="FY30" s="273"/>
      <c r="FZ30" s="273"/>
      <c r="GA30" s="273"/>
      <c r="GB30" s="273"/>
      <c r="GC30" s="273"/>
      <c r="GD30" s="273"/>
      <c r="GE30" s="273"/>
      <c r="GF30" s="273"/>
      <c r="GG30" s="273"/>
      <c r="GH30" s="273"/>
      <c r="GI30" s="273"/>
      <c r="GJ30" s="273"/>
      <c r="GK30" s="273"/>
      <c r="GL30" s="273"/>
      <c r="GM30" s="273"/>
      <c r="GN30" s="273"/>
      <c r="GO30" s="273"/>
      <c r="GP30" s="273"/>
      <c r="GQ30" s="273"/>
      <c r="GR30" s="273"/>
      <c r="GS30" s="273"/>
      <c r="GT30" s="273"/>
      <c r="GU30" s="273"/>
      <c r="GV30" s="273"/>
      <c r="GW30" s="273"/>
      <c r="GX30" s="273"/>
      <c r="GY30" s="273"/>
      <c r="GZ30" s="273"/>
      <c r="HA30" s="273"/>
      <c r="HB30" s="273"/>
      <c r="HC30" s="273"/>
      <c r="HD30" s="273"/>
      <c r="HE30" s="273"/>
      <c r="HF30" s="273"/>
      <c r="HG30" s="273"/>
      <c r="HH30" s="273"/>
      <c r="HI30" s="273"/>
      <c r="HJ30" s="273"/>
      <c r="HK30" s="273"/>
      <c r="HL30" s="273"/>
      <c r="HM30" s="273"/>
      <c r="HN30" s="273"/>
      <c r="HO30" s="273"/>
      <c r="HP30" s="273"/>
      <c r="HQ30" s="273"/>
      <c r="HR30" s="273"/>
      <c r="HS30" s="273"/>
      <c r="HT30" s="273"/>
      <c r="HU30" s="273"/>
      <c r="HV30" s="273"/>
      <c r="HW30" s="273"/>
      <c r="HX30" s="273"/>
      <c r="HY30" s="273"/>
      <c r="HZ30" s="273"/>
      <c r="IA30" s="273"/>
      <c r="IB30" s="273"/>
      <c r="IC30" s="273"/>
      <c r="ID30" s="273"/>
      <c r="IE30" s="273"/>
      <c r="IF30" s="273"/>
      <c r="IG30" s="273"/>
      <c r="IH30" s="273"/>
      <c r="II30" s="273"/>
      <c r="IJ30" s="273"/>
      <c r="IK30" s="273"/>
      <c r="IL30" s="273"/>
      <c r="IM30" s="273"/>
      <c r="IN30" s="273"/>
      <c r="IO30" s="273"/>
      <c r="IP30" s="273"/>
      <c r="IQ30" s="273"/>
      <c r="IR30" s="273"/>
      <c r="IS30" s="273"/>
      <c r="IT30" s="273"/>
    </row>
    <row r="31" spans="1:254" s="281" customFormat="1" ht="16.2">
      <c r="A31" s="282" t="s">
        <v>441</v>
      </c>
      <c r="B31" s="283">
        <v>0</v>
      </c>
      <c r="C31" s="283">
        <v>0</v>
      </c>
      <c r="D31" s="283">
        <v>0</v>
      </c>
      <c r="E31" s="283">
        <v>0</v>
      </c>
      <c r="F31" s="283">
        <v>0</v>
      </c>
      <c r="G31" s="283">
        <v>0</v>
      </c>
      <c r="H31" s="283">
        <v>0</v>
      </c>
      <c r="I31" s="283">
        <v>0</v>
      </c>
      <c r="J31" s="283">
        <v>0</v>
      </c>
      <c r="K31" s="283">
        <v>0</v>
      </c>
      <c r="L31" s="283">
        <v>0</v>
      </c>
      <c r="M31" s="283">
        <v>0</v>
      </c>
      <c r="N31" s="283">
        <v>0</v>
      </c>
      <c r="O31" s="283">
        <v>0</v>
      </c>
      <c r="P31" s="285">
        <v>0</v>
      </c>
      <c r="Q31" s="285">
        <v>-45.2</v>
      </c>
      <c r="R31" s="285">
        <v>-25.5</v>
      </c>
      <c r="S31" s="285">
        <v>-29.7</v>
      </c>
      <c r="T31" s="285">
        <v>-35.700000000000003</v>
      </c>
      <c r="U31" s="285">
        <v>-46</v>
      </c>
      <c r="V31" s="285">
        <v>-50.4</v>
      </c>
      <c r="W31" s="285">
        <v>-336.6</v>
      </c>
      <c r="X31" s="285">
        <v>-66.400000000000006</v>
      </c>
      <c r="Y31" s="285">
        <v>-73.599999999999994</v>
      </c>
      <c r="Z31" s="285">
        <v>-77</v>
      </c>
      <c r="AA31" s="285">
        <v>-57.7</v>
      </c>
      <c r="AB31" s="286">
        <v>-76.352833301624401</v>
      </c>
      <c r="AC31" s="287">
        <v>-66.099999999999994</v>
      </c>
      <c r="AD31" s="287">
        <v>-100.50973003828143</v>
      </c>
      <c r="AE31" s="287">
        <v>-99.498658511615204</v>
      </c>
      <c r="AF31" s="287">
        <v>-122.842830841389</v>
      </c>
      <c r="AG31" s="287">
        <v>-85.34922832657</v>
      </c>
      <c r="AH31" s="348">
        <f>-(AH4+AH5+AH9+AH27)*0.223</f>
        <v>-76.981896231000007</v>
      </c>
      <c r="AI31" s="287">
        <f>-(AI4+AI5+AI9+AI10+AI27)*0.223</f>
        <v>-84.094192000000007</v>
      </c>
      <c r="AJ31" s="287">
        <f>-(AJ4+AJ5+AJ9+AJ10+AJ27)*0.223</f>
        <v>-103.85257379362</v>
      </c>
      <c r="AK31" s="287">
        <f>-(AK4+AK5+AK9+AK10+AK27)*0.223</f>
        <v>-77.718258299588697</v>
      </c>
      <c r="AL31" s="287">
        <f>-(AL4+AL5+AL9+AL10+AL27)*0.223</f>
        <v>-72.627647443790963</v>
      </c>
      <c r="AM31" s="287">
        <f>-(AM4+AM5+AM9+AM10+AM27)*0.223</f>
        <v>-53.734971999999999</v>
      </c>
      <c r="AN31" s="287">
        <v>-70.129514034696797</v>
      </c>
      <c r="AO31" s="287">
        <v>-98.195331043509995</v>
      </c>
      <c r="AP31" s="287">
        <v>-95.507757760520008</v>
      </c>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c r="CC31" s="273"/>
      <c r="CD31" s="273"/>
      <c r="CE31" s="273"/>
      <c r="CF31" s="273"/>
      <c r="CG31" s="273"/>
      <c r="CH31" s="273"/>
      <c r="CI31" s="273"/>
      <c r="CJ31" s="273"/>
      <c r="CK31" s="273"/>
      <c r="CL31" s="273"/>
      <c r="CM31" s="273"/>
      <c r="CN31" s="273"/>
      <c r="CO31" s="273"/>
      <c r="CP31" s="273"/>
      <c r="CQ31" s="273"/>
      <c r="CR31" s="273"/>
      <c r="CS31" s="273"/>
      <c r="CT31" s="273"/>
      <c r="CU31" s="273"/>
      <c r="CV31" s="273"/>
      <c r="CW31" s="273"/>
      <c r="CX31" s="273"/>
      <c r="CY31" s="273"/>
      <c r="CZ31" s="273"/>
      <c r="DA31" s="273"/>
      <c r="DB31" s="273"/>
      <c r="DC31" s="273"/>
      <c r="DD31" s="273"/>
      <c r="DE31" s="273"/>
      <c r="DF31" s="273"/>
      <c r="DG31" s="273"/>
      <c r="DH31" s="273"/>
      <c r="DI31" s="273"/>
      <c r="DJ31" s="273"/>
      <c r="DK31" s="273"/>
      <c r="DL31" s="273"/>
      <c r="DM31" s="273"/>
      <c r="DN31" s="273"/>
      <c r="DO31" s="273"/>
      <c r="DP31" s="273"/>
      <c r="DQ31" s="273"/>
      <c r="DR31" s="273"/>
      <c r="DS31" s="273"/>
      <c r="DT31" s="273"/>
      <c r="DU31" s="273"/>
      <c r="DV31" s="273"/>
      <c r="DW31" s="273"/>
      <c r="DX31" s="273"/>
      <c r="DY31" s="273"/>
      <c r="DZ31" s="273"/>
      <c r="EA31" s="273"/>
      <c r="EB31" s="273"/>
      <c r="EC31" s="273"/>
      <c r="ED31" s="273"/>
      <c r="EE31" s="273"/>
      <c r="EF31" s="273"/>
      <c r="EG31" s="273"/>
      <c r="EH31" s="273"/>
      <c r="EI31" s="273"/>
      <c r="EJ31" s="273"/>
      <c r="EK31" s="273"/>
      <c r="EL31" s="273"/>
      <c r="EM31" s="273"/>
      <c r="EN31" s="273"/>
      <c r="EO31" s="273"/>
      <c r="EP31" s="273"/>
      <c r="EQ31" s="273"/>
      <c r="ER31" s="273"/>
      <c r="ES31" s="273"/>
      <c r="ET31" s="273"/>
      <c r="EU31" s="273"/>
      <c r="EV31" s="273"/>
      <c r="EW31" s="273"/>
      <c r="EX31" s="273"/>
      <c r="EY31" s="273"/>
      <c r="EZ31" s="273"/>
      <c r="FA31" s="273"/>
      <c r="FB31" s="273"/>
      <c r="FC31" s="273"/>
      <c r="FD31" s="273"/>
      <c r="FE31" s="273"/>
      <c r="FF31" s="273"/>
      <c r="FG31" s="273"/>
      <c r="FH31" s="273"/>
      <c r="FI31" s="273"/>
      <c r="FJ31" s="273"/>
      <c r="FK31" s="273"/>
      <c r="FL31" s="273"/>
      <c r="FM31" s="273"/>
      <c r="FN31" s="273"/>
      <c r="FO31" s="273"/>
      <c r="FP31" s="273"/>
      <c r="FQ31" s="273"/>
      <c r="FR31" s="273"/>
      <c r="FS31" s="273"/>
      <c r="FT31" s="273"/>
      <c r="FU31" s="273"/>
      <c r="FV31" s="273"/>
      <c r="FW31" s="273"/>
      <c r="FX31" s="273"/>
      <c r="FY31" s="273"/>
      <c r="FZ31" s="273"/>
      <c r="GA31" s="273"/>
      <c r="GB31" s="273"/>
      <c r="GC31" s="273"/>
      <c r="GD31" s="273"/>
      <c r="GE31" s="273"/>
      <c r="GF31" s="273"/>
      <c r="GG31" s="273"/>
      <c r="GH31" s="273"/>
      <c r="GI31" s="273"/>
      <c r="GJ31" s="273"/>
      <c r="GK31" s="273"/>
      <c r="GL31" s="273"/>
      <c r="GM31" s="273"/>
      <c r="GN31" s="273"/>
      <c r="GO31" s="273"/>
      <c r="GP31" s="273"/>
      <c r="GQ31" s="273"/>
      <c r="GR31" s="273"/>
      <c r="GS31" s="273"/>
      <c r="GT31" s="273"/>
      <c r="GU31" s="273"/>
      <c r="GV31" s="273"/>
      <c r="GW31" s="273"/>
      <c r="GX31" s="273"/>
      <c r="GY31" s="273"/>
      <c r="GZ31" s="273"/>
      <c r="HA31" s="273"/>
      <c r="HB31" s="273"/>
      <c r="HC31" s="273"/>
      <c r="HD31" s="273"/>
      <c r="HE31" s="273"/>
      <c r="HF31" s="273"/>
      <c r="HG31" s="273"/>
      <c r="HH31" s="273"/>
      <c r="HI31" s="273"/>
      <c r="HJ31" s="273"/>
      <c r="HK31" s="273"/>
      <c r="HL31" s="273"/>
      <c r="HM31" s="273"/>
      <c r="HN31" s="273"/>
      <c r="HO31" s="273"/>
      <c r="HP31" s="273"/>
      <c r="HQ31" s="273"/>
      <c r="HR31" s="273"/>
      <c r="HS31" s="273"/>
      <c r="HT31" s="273"/>
      <c r="HU31" s="273"/>
      <c r="HV31" s="273"/>
      <c r="HW31" s="273"/>
      <c r="HX31" s="273"/>
      <c r="HY31" s="273"/>
      <c r="HZ31" s="273"/>
      <c r="IA31" s="273"/>
      <c r="IB31" s="273"/>
      <c r="IC31" s="273"/>
      <c r="ID31" s="273"/>
      <c r="IE31" s="273"/>
      <c r="IF31" s="273"/>
      <c r="IG31" s="273"/>
      <c r="IH31" s="273"/>
      <c r="II31" s="273"/>
      <c r="IJ31" s="273"/>
      <c r="IK31" s="273"/>
      <c r="IL31" s="273"/>
      <c r="IM31" s="273"/>
      <c r="IN31" s="273"/>
      <c r="IO31" s="273"/>
      <c r="IP31" s="273"/>
      <c r="IQ31" s="273"/>
      <c r="IR31" s="273"/>
      <c r="IS31" s="273"/>
      <c r="IT31" s="273"/>
    </row>
    <row r="32" spans="1:254" s="281" customFormat="1" ht="16.8" thickBot="1">
      <c r="A32" s="290" t="s">
        <v>442</v>
      </c>
      <c r="B32" s="292">
        <v>0</v>
      </c>
      <c r="C32" s="292">
        <v>0</v>
      </c>
      <c r="D32" s="292">
        <v>0</v>
      </c>
      <c r="E32" s="292">
        <v>0</v>
      </c>
      <c r="F32" s="292">
        <v>0</v>
      </c>
      <c r="G32" s="292">
        <v>0</v>
      </c>
      <c r="H32" s="292">
        <v>0</v>
      </c>
      <c r="I32" s="292">
        <v>0</v>
      </c>
      <c r="J32" s="292">
        <v>0</v>
      </c>
      <c r="K32" s="292">
        <v>0</v>
      </c>
      <c r="L32" s="292">
        <v>0</v>
      </c>
      <c r="M32" s="292">
        <v>0</v>
      </c>
      <c r="N32" s="292">
        <v>0</v>
      </c>
      <c r="O32" s="292">
        <v>0</v>
      </c>
      <c r="P32" s="291">
        <v>0</v>
      </c>
      <c r="Q32" s="291">
        <v>0</v>
      </c>
      <c r="R32" s="291">
        <v>0</v>
      </c>
      <c r="S32" s="291">
        <v>0</v>
      </c>
      <c r="T32" s="291">
        <v>0</v>
      </c>
      <c r="U32" s="291">
        <v>0</v>
      </c>
      <c r="V32" s="291">
        <v>0</v>
      </c>
      <c r="W32" s="291">
        <v>-246.5</v>
      </c>
      <c r="X32" s="291">
        <v>0</v>
      </c>
      <c r="Y32" s="291">
        <v>-78.7</v>
      </c>
      <c r="Z32" s="291">
        <v>0</v>
      </c>
      <c r="AA32" s="291">
        <v>0</v>
      </c>
      <c r="AB32" s="349">
        <v>0</v>
      </c>
      <c r="AC32" s="349">
        <v>0</v>
      </c>
      <c r="AD32" s="349">
        <v>0</v>
      </c>
      <c r="AE32" s="349">
        <v>0</v>
      </c>
      <c r="AF32" s="349">
        <v>0</v>
      </c>
      <c r="AG32" s="349">
        <v>0</v>
      </c>
      <c r="AH32" s="350">
        <v>0</v>
      </c>
      <c r="AI32" s="349">
        <v>0</v>
      </c>
      <c r="AJ32" s="349">
        <v>0</v>
      </c>
      <c r="AK32" s="349">
        <v>0</v>
      </c>
      <c r="AL32" s="349">
        <v>0</v>
      </c>
      <c r="AM32" s="349">
        <v>0</v>
      </c>
      <c r="AN32" s="349">
        <v>0</v>
      </c>
      <c r="AO32" s="349">
        <v>0</v>
      </c>
      <c r="AP32" s="349">
        <v>0</v>
      </c>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3"/>
      <c r="CP32" s="273"/>
      <c r="CQ32" s="273"/>
      <c r="CR32" s="273"/>
      <c r="CS32" s="273"/>
      <c r="CT32" s="273"/>
      <c r="CU32" s="273"/>
      <c r="CV32" s="273"/>
      <c r="CW32" s="273"/>
      <c r="CX32" s="273"/>
      <c r="CY32" s="273"/>
      <c r="CZ32" s="273"/>
      <c r="DA32" s="273"/>
      <c r="DB32" s="273"/>
      <c r="DC32" s="273"/>
      <c r="DD32" s="273"/>
      <c r="DE32" s="273"/>
      <c r="DF32" s="273"/>
      <c r="DG32" s="273"/>
      <c r="DH32" s="273"/>
      <c r="DI32" s="273"/>
      <c r="DJ32" s="273"/>
      <c r="DK32" s="273"/>
      <c r="DL32" s="273"/>
      <c r="DM32" s="273"/>
      <c r="DN32" s="273"/>
      <c r="DO32" s="273"/>
      <c r="DP32" s="273"/>
      <c r="DQ32" s="273"/>
      <c r="DR32" s="273"/>
      <c r="DS32" s="273"/>
      <c r="DT32" s="273"/>
      <c r="DU32" s="273"/>
      <c r="DV32" s="273"/>
      <c r="DW32" s="273"/>
      <c r="DX32" s="273"/>
      <c r="DY32" s="273"/>
      <c r="DZ32" s="273"/>
      <c r="EA32" s="273"/>
      <c r="EB32" s="273"/>
      <c r="EC32" s="273"/>
      <c r="ED32" s="273"/>
      <c r="EE32" s="273"/>
      <c r="EF32" s="273"/>
      <c r="EG32" s="273"/>
      <c r="EH32" s="273"/>
      <c r="EI32" s="273"/>
      <c r="EJ32" s="273"/>
      <c r="EK32" s="273"/>
      <c r="EL32" s="273"/>
      <c r="EM32" s="273"/>
      <c r="EN32" s="273"/>
      <c r="EO32" s="273"/>
      <c r="EP32" s="273"/>
      <c r="EQ32" s="273"/>
      <c r="ER32" s="273"/>
      <c r="ES32" s="273"/>
      <c r="ET32" s="273"/>
      <c r="EU32" s="273"/>
      <c r="EV32" s="273"/>
      <c r="EW32" s="273"/>
      <c r="EX32" s="273"/>
      <c r="EY32" s="273"/>
      <c r="EZ32" s="273"/>
      <c r="FA32" s="273"/>
      <c r="FB32" s="273"/>
      <c r="FC32" s="273"/>
      <c r="FD32" s="273"/>
      <c r="FE32" s="273"/>
      <c r="FF32" s="273"/>
      <c r="FG32" s="273"/>
      <c r="FH32" s="273"/>
      <c r="FI32" s="273"/>
      <c r="FJ32" s="273"/>
      <c r="FK32" s="273"/>
      <c r="FL32" s="273"/>
      <c r="FM32" s="273"/>
      <c r="FN32" s="273"/>
      <c r="FO32" s="273"/>
      <c r="FP32" s="273"/>
      <c r="FQ32" s="273"/>
      <c r="FR32" s="273"/>
      <c r="FS32" s="273"/>
      <c r="FT32" s="273"/>
      <c r="FU32" s="273"/>
      <c r="FV32" s="273"/>
      <c r="FW32" s="273"/>
      <c r="FX32" s="273"/>
      <c r="FY32" s="273"/>
      <c r="FZ32" s="273"/>
      <c r="GA32" s="273"/>
      <c r="GB32" s="273"/>
      <c r="GC32" s="273"/>
      <c r="GD32" s="273"/>
      <c r="GE32" s="273"/>
      <c r="GF32" s="273"/>
      <c r="GG32" s="273"/>
      <c r="GH32" s="273"/>
      <c r="GI32" s="273"/>
      <c r="GJ32" s="273"/>
      <c r="GK32" s="273"/>
      <c r="GL32" s="273"/>
      <c r="GM32" s="273"/>
      <c r="GN32" s="273"/>
      <c r="GO32" s="273"/>
      <c r="GP32" s="273"/>
      <c r="GQ32" s="273"/>
      <c r="GR32" s="273"/>
      <c r="GS32" s="273"/>
      <c r="GT32" s="273"/>
      <c r="GU32" s="273"/>
      <c r="GV32" s="273"/>
      <c r="GW32" s="273"/>
      <c r="GX32" s="273"/>
      <c r="GY32" s="273"/>
      <c r="GZ32" s="273"/>
      <c r="HA32" s="273"/>
      <c r="HB32" s="273"/>
      <c r="HC32" s="273"/>
      <c r="HD32" s="273"/>
      <c r="HE32" s="273"/>
      <c r="HF32" s="273"/>
      <c r="HG32" s="273"/>
      <c r="HH32" s="273"/>
      <c r="HI32" s="273"/>
      <c r="HJ32" s="273"/>
      <c r="HK32" s="273"/>
      <c r="HL32" s="273"/>
      <c r="HM32" s="273"/>
      <c r="HN32" s="273"/>
      <c r="HO32" s="273"/>
      <c r="HP32" s="273"/>
      <c r="HQ32" s="273"/>
      <c r="HR32" s="273"/>
      <c r="HS32" s="273"/>
      <c r="HT32" s="273"/>
      <c r="HU32" s="273"/>
      <c r="HV32" s="273"/>
      <c r="HW32" s="273"/>
      <c r="HX32" s="273"/>
      <c r="HY32" s="273"/>
      <c r="HZ32" s="273"/>
      <c r="IA32" s="273"/>
      <c r="IB32" s="273"/>
      <c r="IC32" s="273"/>
      <c r="ID32" s="273"/>
      <c r="IE32" s="273"/>
      <c r="IF32" s="273"/>
      <c r="IG32" s="273"/>
      <c r="IH32" s="273"/>
      <c r="II32" s="273"/>
      <c r="IJ32" s="273"/>
      <c r="IK32" s="273"/>
      <c r="IL32" s="273"/>
      <c r="IM32" s="273"/>
      <c r="IN32" s="273"/>
      <c r="IO32" s="273"/>
      <c r="IP32" s="273"/>
      <c r="IQ32" s="273"/>
      <c r="IR32" s="273"/>
      <c r="IS32" s="273"/>
      <c r="IT32" s="273"/>
    </row>
    <row r="33" spans="1:254" s="301" customFormat="1" ht="17.399999999999999" thickBot="1">
      <c r="A33" s="351" t="s">
        <v>443</v>
      </c>
      <c r="B33" s="298">
        <f t="shared" ref="B33:AH33" si="7">SUM(B31:B32)</f>
        <v>0</v>
      </c>
      <c r="C33" s="298">
        <f t="shared" si="7"/>
        <v>0</v>
      </c>
      <c r="D33" s="298">
        <f t="shared" si="7"/>
        <v>0</v>
      </c>
      <c r="E33" s="298">
        <f t="shared" si="7"/>
        <v>0</v>
      </c>
      <c r="F33" s="298">
        <f t="shared" si="7"/>
        <v>0</v>
      </c>
      <c r="G33" s="298">
        <f t="shared" si="7"/>
        <v>0</v>
      </c>
      <c r="H33" s="298">
        <f t="shared" si="7"/>
        <v>0</v>
      </c>
      <c r="I33" s="298">
        <f t="shared" si="7"/>
        <v>0</v>
      </c>
      <c r="J33" s="298">
        <f t="shared" si="7"/>
        <v>0</v>
      </c>
      <c r="K33" s="298">
        <f t="shared" si="7"/>
        <v>0</v>
      </c>
      <c r="L33" s="298">
        <f t="shared" si="7"/>
        <v>0</v>
      </c>
      <c r="M33" s="298">
        <f t="shared" si="7"/>
        <v>0</v>
      </c>
      <c r="N33" s="298">
        <f t="shared" si="7"/>
        <v>0</v>
      </c>
      <c r="O33" s="298">
        <f t="shared" si="7"/>
        <v>0</v>
      </c>
      <c r="P33" s="298">
        <f t="shared" si="7"/>
        <v>0</v>
      </c>
      <c r="Q33" s="298">
        <f t="shared" si="7"/>
        <v>-45.2</v>
      </c>
      <c r="R33" s="298">
        <f t="shared" si="7"/>
        <v>-25.5</v>
      </c>
      <c r="S33" s="298">
        <f t="shared" si="7"/>
        <v>-29.7</v>
      </c>
      <c r="T33" s="298">
        <f t="shared" si="7"/>
        <v>-35.700000000000003</v>
      </c>
      <c r="U33" s="298">
        <f t="shared" si="7"/>
        <v>-46</v>
      </c>
      <c r="V33" s="298">
        <f t="shared" si="7"/>
        <v>-50.4</v>
      </c>
      <c r="W33" s="298">
        <f t="shared" si="7"/>
        <v>-583.1</v>
      </c>
      <c r="X33" s="298">
        <f t="shared" si="7"/>
        <v>-66.400000000000006</v>
      </c>
      <c r="Y33" s="298">
        <f t="shared" si="7"/>
        <v>-152.30000000000001</v>
      </c>
      <c r="Z33" s="298">
        <f t="shared" si="7"/>
        <v>-77</v>
      </c>
      <c r="AA33" s="298">
        <f t="shared" si="7"/>
        <v>-57.7</v>
      </c>
      <c r="AB33" s="352">
        <f t="shared" si="7"/>
        <v>-76.352833301624401</v>
      </c>
      <c r="AC33" s="353">
        <f t="shared" si="7"/>
        <v>-66.099999999999994</v>
      </c>
      <c r="AD33" s="353">
        <f t="shared" si="7"/>
        <v>-100.50973003828143</v>
      </c>
      <c r="AE33" s="353">
        <f t="shared" si="7"/>
        <v>-99.498658511615204</v>
      </c>
      <c r="AF33" s="353">
        <f t="shared" si="7"/>
        <v>-122.842830841389</v>
      </c>
      <c r="AG33" s="299">
        <f>SUM(AG31:AG32)</f>
        <v>-85.34922832657</v>
      </c>
      <c r="AH33" s="300">
        <f t="shared" si="7"/>
        <v>-76.981896231000007</v>
      </c>
      <c r="AI33" s="299">
        <f>SUM(AI31:AI32)</f>
        <v>-84.094192000000007</v>
      </c>
      <c r="AJ33" s="299">
        <f>SUM(AJ31:AJ32)</f>
        <v>-103.85257379362</v>
      </c>
      <c r="AK33" s="299">
        <f>SUM(AK31:AK32)</f>
        <v>-77.718258299588697</v>
      </c>
      <c r="AL33" s="299">
        <f>SUM(AL31:AL32)</f>
        <v>-72.627647443790963</v>
      </c>
      <c r="AM33" s="299">
        <f>SUM(AM31:AM32)</f>
        <v>-53.734971999999999</v>
      </c>
      <c r="AN33" s="299">
        <v>-70.129514034696797</v>
      </c>
      <c r="AO33" s="299">
        <v>-98.195331043509995</v>
      </c>
      <c r="AP33" s="299">
        <v>-95.507757760520008</v>
      </c>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P33" s="273"/>
      <c r="CQ33" s="273"/>
      <c r="CR33" s="273"/>
      <c r="CS33" s="273"/>
      <c r="CT33" s="273"/>
      <c r="CU33" s="273"/>
      <c r="CV33" s="273"/>
      <c r="CW33" s="273"/>
      <c r="CX33" s="273"/>
      <c r="CY33" s="273"/>
      <c r="CZ33" s="273"/>
      <c r="DA33" s="273"/>
      <c r="DB33" s="273"/>
      <c r="DC33" s="273"/>
      <c r="DD33" s="273"/>
      <c r="DE33" s="273"/>
      <c r="DF33" s="273"/>
      <c r="DG33" s="273"/>
      <c r="DH33" s="273"/>
      <c r="DI33" s="273"/>
      <c r="DJ33" s="273"/>
      <c r="DK33" s="273"/>
      <c r="DL33" s="273"/>
      <c r="DM33" s="273"/>
      <c r="DN33" s="273"/>
      <c r="DO33" s="273"/>
      <c r="DP33" s="273"/>
      <c r="DQ33" s="273"/>
      <c r="DR33" s="273"/>
      <c r="DS33" s="273"/>
      <c r="DT33" s="273"/>
      <c r="DU33" s="273"/>
      <c r="DV33" s="273"/>
      <c r="DW33" s="273"/>
      <c r="DX33" s="273"/>
      <c r="DY33" s="273"/>
      <c r="DZ33" s="273"/>
      <c r="EA33" s="273"/>
      <c r="EB33" s="273"/>
      <c r="EC33" s="273"/>
      <c r="ED33" s="273"/>
      <c r="EE33" s="273"/>
      <c r="EF33" s="273"/>
      <c r="EG33" s="273"/>
      <c r="EH33" s="273"/>
      <c r="EI33" s="273"/>
      <c r="EJ33" s="273"/>
      <c r="EK33" s="273"/>
      <c r="EL33" s="273"/>
      <c r="EM33" s="273"/>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c r="GV33" s="273"/>
      <c r="GW33" s="273"/>
      <c r="GX33" s="273"/>
      <c r="GY33" s="273"/>
      <c r="GZ33" s="273"/>
      <c r="HA33" s="273"/>
      <c r="HB33" s="273"/>
      <c r="HC33" s="273"/>
      <c r="HD33" s="273"/>
      <c r="HE33" s="273"/>
      <c r="HF33" s="273"/>
      <c r="HG33" s="273"/>
      <c r="HH33" s="273"/>
      <c r="HI33" s="273"/>
      <c r="HJ33" s="273"/>
      <c r="HK33" s="273"/>
      <c r="HL33" s="273"/>
      <c r="HM33" s="273"/>
      <c r="HN33" s="273"/>
      <c r="HO33" s="273"/>
      <c r="HP33" s="273"/>
      <c r="HQ33" s="273"/>
      <c r="HR33" s="273"/>
      <c r="HS33" s="273"/>
      <c r="HT33" s="273"/>
      <c r="HU33" s="273"/>
      <c r="HV33" s="273"/>
      <c r="HW33" s="273"/>
      <c r="HX33" s="273"/>
      <c r="HY33" s="273"/>
      <c r="HZ33" s="273"/>
      <c r="IA33" s="273"/>
      <c r="IB33" s="273"/>
      <c r="IC33" s="273"/>
      <c r="ID33" s="273"/>
      <c r="IE33" s="273"/>
      <c r="IF33" s="273"/>
      <c r="IG33" s="273"/>
      <c r="IH33" s="273"/>
      <c r="II33" s="273"/>
      <c r="IJ33" s="273"/>
      <c r="IK33" s="273"/>
      <c r="IL33" s="273"/>
      <c r="IM33" s="273"/>
      <c r="IN33" s="273"/>
      <c r="IO33" s="273"/>
      <c r="IP33" s="273"/>
      <c r="IQ33" s="273"/>
      <c r="IR33" s="273"/>
      <c r="IS33" s="273"/>
      <c r="IT33" s="273"/>
    </row>
    <row r="34" spans="1:254" s="281" customFormat="1" ht="16.2">
      <c r="A34" s="389" t="s">
        <v>444</v>
      </c>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c r="DU34" s="273"/>
      <c r="DV34" s="273"/>
      <c r="DW34" s="273"/>
      <c r="DX34" s="273"/>
      <c r="DY34" s="273"/>
      <c r="DZ34" s="273"/>
      <c r="EA34" s="273"/>
      <c r="EB34" s="273"/>
      <c r="EC34" s="273"/>
      <c r="ED34" s="273"/>
      <c r="EE34" s="273"/>
      <c r="EF34" s="273"/>
      <c r="EG34" s="273"/>
      <c r="EH34" s="273"/>
      <c r="EI34" s="273"/>
      <c r="EJ34" s="273"/>
      <c r="EK34" s="273"/>
      <c r="EL34" s="273"/>
      <c r="EM34" s="273"/>
      <c r="EN34" s="273"/>
      <c r="EO34" s="273"/>
      <c r="EP34" s="273"/>
      <c r="EQ34" s="273"/>
      <c r="ER34" s="273"/>
      <c r="ES34" s="273"/>
      <c r="ET34" s="273"/>
      <c r="EU34" s="273"/>
      <c r="EV34" s="273"/>
      <c r="EW34" s="273"/>
      <c r="EX34" s="273"/>
      <c r="EY34" s="273"/>
      <c r="EZ34" s="273"/>
      <c r="FA34" s="273"/>
      <c r="FB34" s="273"/>
      <c r="FC34" s="273"/>
      <c r="FD34" s="273"/>
      <c r="FE34" s="273"/>
      <c r="FF34" s="273"/>
      <c r="FG34" s="273"/>
      <c r="FH34" s="273"/>
      <c r="FI34" s="273"/>
      <c r="FJ34" s="273"/>
      <c r="FK34" s="273"/>
      <c r="FL34" s="273"/>
      <c r="FM34" s="273"/>
      <c r="FN34" s="273"/>
      <c r="FO34" s="273"/>
      <c r="FP34" s="273"/>
      <c r="FQ34" s="273"/>
      <c r="FR34" s="273"/>
      <c r="FS34" s="273"/>
      <c r="FT34" s="273"/>
      <c r="FU34" s="273"/>
      <c r="FV34" s="273"/>
      <c r="FW34" s="273"/>
      <c r="FX34" s="273"/>
      <c r="FY34" s="273"/>
      <c r="FZ34" s="273"/>
      <c r="GA34" s="273"/>
      <c r="GB34" s="273"/>
      <c r="GC34" s="273"/>
      <c r="GD34" s="273"/>
      <c r="GE34" s="273"/>
      <c r="GF34" s="273"/>
      <c r="GG34" s="273"/>
      <c r="GH34" s="273"/>
      <c r="GI34" s="273"/>
      <c r="GJ34" s="273"/>
      <c r="GK34" s="273"/>
      <c r="GL34" s="273"/>
      <c r="GM34" s="273"/>
      <c r="GN34" s="273"/>
      <c r="GO34" s="273"/>
      <c r="GP34" s="273"/>
      <c r="GQ34" s="273"/>
      <c r="GR34" s="273"/>
      <c r="GS34" s="273"/>
      <c r="GT34" s="273"/>
      <c r="GU34" s="273"/>
      <c r="GV34" s="273"/>
      <c r="GW34" s="273"/>
      <c r="GX34" s="273"/>
      <c r="GY34" s="273"/>
      <c r="GZ34" s="273"/>
      <c r="HA34" s="273"/>
      <c r="HB34" s="273"/>
      <c r="HC34" s="273"/>
      <c r="HD34" s="273"/>
      <c r="HE34" s="273"/>
      <c r="HF34" s="273"/>
      <c r="HG34" s="273"/>
      <c r="HH34" s="273"/>
      <c r="HI34" s="273"/>
      <c r="HJ34" s="273"/>
      <c r="HK34" s="273"/>
      <c r="HL34" s="273"/>
      <c r="HM34" s="273"/>
      <c r="HN34" s="273"/>
      <c r="HO34" s="273"/>
      <c r="HP34" s="273"/>
      <c r="HQ34" s="273"/>
      <c r="HR34" s="273"/>
      <c r="HS34" s="273"/>
      <c r="HT34" s="273"/>
      <c r="HU34" s="273"/>
      <c r="HV34" s="273"/>
      <c r="HW34" s="273"/>
      <c r="HX34" s="273"/>
      <c r="HY34" s="273"/>
      <c r="HZ34" s="273"/>
      <c r="IA34" s="273"/>
      <c r="IB34" s="273"/>
      <c r="IC34" s="273"/>
      <c r="ID34" s="273"/>
      <c r="IE34" s="273"/>
      <c r="IF34" s="273"/>
      <c r="IG34" s="273"/>
      <c r="IH34" s="273"/>
      <c r="II34" s="273"/>
      <c r="IJ34" s="273"/>
      <c r="IK34" s="273"/>
      <c r="IL34" s="273"/>
      <c r="IM34" s="273"/>
      <c r="IN34" s="273"/>
      <c r="IO34" s="273"/>
      <c r="IP34" s="273"/>
      <c r="IQ34" s="273"/>
      <c r="IR34" s="273"/>
      <c r="IS34" s="273"/>
      <c r="IT34" s="273"/>
    </row>
    <row r="35" spans="1:254" s="281" customFormat="1" ht="16.2">
      <c r="A35" s="390" t="s">
        <v>247</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90"/>
    </row>
    <row r="36" spans="1:254" s="281" customFormat="1" ht="16.2">
      <c r="A36" s="391" t="s">
        <v>248</v>
      </c>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c r="AP36" s="391"/>
    </row>
    <row r="37" spans="1:254" s="281" customFormat="1" ht="16.2">
      <c r="A37" s="390" t="s">
        <v>249</v>
      </c>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row>
    <row r="38" spans="1:254" ht="19.5" customHeight="1">
      <c r="A38" s="386" t="s">
        <v>250</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row>
    <row r="39" spans="1:254" ht="15" customHeight="1">
      <c r="A39" s="266"/>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row>
    <row r="40" spans="1:254" ht="15" customHeight="1">
      <c r="A40" s="266"/>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row>
    <row r="41" spans="1:254" ht="15" customHeight="1">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row>
    <row r="42" spans="1:254" ht="15" customHeight="1">
      <c r="A42" s="266"/>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row>
    <row r="43" spans="1:254" ht="15" customHeight="1">
      <c r="A43" s="266"/>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row>
    <row r="44" spans="1:254" ht="15" customHeight="1">
      <c r="A44" s="266"/>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row>
    <row r="45" spans="1:254" ht="15" customHeight="1">
      <c r="A45" s="266"/>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row>
    <row r="46" spans="1:254" ht="15" customHeight="1">
      <c r="A46" s="266"/>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row>
    <row r="47" spans="1:254">
      <c r="AD47" s="265"/>
    </row>
    <row r="48" spans="1:254">
      <c r="AD48" s="265"/>
    </row>
    <row r="49" spans="30:30">
      <c r="AD49" s="265"/>
    </row>
    <row r="50" spans="30:30">
      <c r="AD50" s="265"/>
    </row>
    <row r="51" spans="30:30">
      <c r="AD51" s="265"/>
    </row>
    <row r="52" spans="30:30">
      <c r="AD52" s="265"/>
    </row>
    <row r="53" spans="30:30">
      <c r="AD53" s="265"/>
    </row>
    <row r="54" spans="30:30">
      <c r="AD54" s="265"/>
    </row>
    <row r="55" spans="30:30">
      <c r="AD55" s="265"/>
    </row>
    <row r="56" spans="30:30">
      <c r="AD56" s="265"/>
    </row>
    <row r="57" spans="30:30">
      <c r="AD57" s="265"/>
    </row>
    <row r="58" spans="30:30">
      <c r="AD58" s="265"/>
    </row>
    <row r="59" spans="30:30">
      <c r="AD59" s="265"/>
    </row>
    <row r="60" spans="30:30">
      <c r="AD60" s="265"/>
    </row>
    <row r="61" spans="30:30">
      <c r="AD61" s="265"/>
    </row>
    <row r="62" spans="30:30">
      <c r="AD62" s="265"/>
    </row>
    <row r="63" spans="30:30">
      <c r="AD63" s="265"/>
    </row>
    <row r="64" spans="30:30">
      <c r="AD64" s="265"/>
    </row>
    <row r="65" spans="1:30">
      <c r="AD65" s="265"/>
    </row>
    <row r="66" spans="1:30">
      <c r="AD66" s="265"/>
    </row>
    <row r="67" spans="1:30">
      <c r="A67" s="264"/>
      <c r="B67" s="265"/>
      <c r="C67" s="265"/>
      <c r="D67" s="265"/>
      <c r="E67" s="265"/>
      <c r="F67" s="265"/>
      <c r="G67" s="265"/>
      <c r="H67" s="265"/>
      <c r="I67" s="265"/>
      <c r="J67" s="265"/>
      <c r="K67" s="265"/>
      <c r="L67" s="265"/>
      <c r="M67" s="265"/>
      <c r="N67" s="265"/>
      <c r="O67" s="265"/>
      <c r="Q67" s="265"/>
      <c r="R67" s="265"/>
      <c r="S67" s="265"/>
      <c r="T67" s="265"/>
      <c r="U67" s="265"/>
      <c r="V67" s="265"/>
      <c r="W67" s="265"/>
      <c r="X67" s="265"/>
      <c r="Y67" s="265"/>
      <c r="Z67" s="265"/>
      <c r="AA67" s="265"/>
      <c r="AB67" s="265"/>
      <c r="AC67" s="265"/>
      <c r="AD67" s="265"/>
    </row>
    <row r="68" spans="1:30">
      <c r="A68" s="264"/>
      <c r="B68" s="265"/>
      <c r="C68" s="265"/>
      <c r="D68" s="265"/>
      <c r="E68" s="265"/>
      <c r="F68" s="265"/>
      <c r="G68" s="265"/>
      <c r="H68" s="265"/>
      <c r="I68" s="265"/>
      <c r="J68" s="265"/>
      <c r="K68" s="265"/>
      <c r="L68" s="265"/>
      <c r="M68" s="265"/>
      <c r="N68" s="265"/>
      <c r="O68" s="265"/>
      <c r="Q68" s="265"/>
      <c r="R68" s="265"/>
      <c r="S68" s="265"/>
      <c r="T68" s="265"/>
      <c r="U68" s="265"/>
      <c r="V68" s="265"/>
      <c r="W68" s="265"/>
      <c r="X68" s="265"/>
      <c r="Y68" s="265"/>
      <c r="Z68" s="265"/>
      <c r="AA68" s="265"/>
      <c r="AB68" s="265"/>
      <c r="AC68" s="265"/>
      <c r="AD68" s="265"/>
    </row>
    <row r="69" spans="1:30">
      <c r="A69" s="264"/>
      <c r="B69" s="265"/>
      <c r="C69" s="265"/>
      <c r="D69" s="265"/>
      <c r="E69" s="265"/>
      <c r="F69" s="265"/>
      <c r="G69" s="265"/>
      <c r="H69" s="265"/>
      <c r="I69" s="265"/>
      <c r="J69" s="265"/>
      <c r="K69" s="265"/>
      <c r="L69" s="265"/>
      <c r="M69" s="265"/>
      <c r="N69" s="265"/>
      <c r="O69" s="265"/>
      <c r="Q69" s="265"/>
      <c r="R69" s="265"/>
      <c r="S69" s="265"/>
      <c r="T69" s="265"/>
      <c r="U69" s="265"/>
      <c r="V69" s="265"/>
      <c r="W69" s="265"/>
      <c r="X69" s="265"/>
      <c r="Y69" s="265"/>
      <c r="Z69" s="265"/>
      <c r="AA69" s="265"/>
      <c r="AB69" s="265"/>
      <c r="AC69" s="265"/>
      <c r="AD69" s="265"/>
    </row>
    <row r="70" spans="1:30">
      <c r="A70" s="264"/>
      <c r="B70" s="265"/>
      <c r="C70" s="265"/>
      <c r="D70" s="265"/>
      <c r="E70" s="265"/>
      <c r="F70" s="265"/>
      <c r="G70" s="265"/>
      <c r="H70" s="265"/>
      <c r="I70" s="265"/>
      <c r="J70" s="265"/>
      <c r="K70" s="265"/>
      <c r="L70" s="265"/>
      <c r="M70" s="265"/>
      <c r="N70" s="265"/>
      <c r="O70" s="265"/>
      <c r="Q70" s="265"/>
      <c r="R70" s="265"/>
      <c r="S70" s="265"/>
      <c r="T70" s="265"/>
      <c r="U70" s="265"/>
      <c r="V70" s="265"/>
      <c r="W70" s="265"/>
      <c r="X70" s="265"/>
      <c r="Y70" s="265"/>
      <c r="Z70" s="265"/>
      <c r="AA70" s="265"/>
      <c r="AB70" s="265"/>
      <c r="AC70" s="265"/>
      <c r="AD70" s="265"/>
    </row>
    <row r="71" spans="1:30">
      <c r="A71" s="264"/>
      <c r="B71" s="265"/>
      <c r="C71" s="265"/>
      <c r="D71" s="265"/>
      <c r="E71" s="265"/>
      <c r="F71" s="265"/>
      <c r="G71" s="265"/>
      <c r="H71" s="265"/>
      <c r="I71" s="265"/>
      <c r="J71" s="265"/>
      <c r="K71" s="265"/>
      <c r="L71" s="265"/>
      <c r="M71" s="265"/>
      <c r="N71" s="265"/>
      <c r="O71" s="265"/>
      <c r="Q71" s="265"/>
      <c r="R71" s="265"/>
      <c r="S71" s="265"/>
      <c r="T71" s="265"/>
      <c r="U71" s="265"/>
      <c r="V71" s="265"/>
      <c r="W71" s="265"/>
      <c r="X71" s="265"/>
      <c r="Y71" s="265"/>
      <c r="Z71" s="265"/>
      <c r="AA71" s="265"/>
      <c r="AB71" s="265"/>
      <c r="AC71" s="265"/>
      <c r="AD71" s="265"/>
    </row>
    <row r="72" spans="1:30">
      <c r="A72" s="264"/>
      <c r="B72" s="265"/>
      <c r="C72" s="265"/>
      <c r="D72" s="265"/>
      <c r="E72" s="265"/>
      <c r="F72" s="265"/>
      <c r="G72" s="265"/>
      <c r="H72" s="265"/>
      <c r="I72" s="265"/>
      <c r="J72" s="265"/>
      <c r="K72" s="265"/>
      <c r="L72" s="265"/>
      <c r="M72" s="265"/>
      <c r="N72" s="265"/>
      <c r="O72" s="265"/>
      <c r="Q72" s="265"/>
      <c r="R72" s="265"/>
      <c r="S72" s="265"/>
      <c r="T72" s="265"/>
      <c r="U72" s="265"/>
      <c r="V72" s="265"/>
      <c r="W72" s="265"/>
      <c r="X72" s="265"/>
      <c r="Y72" s="265"/>
      <c r="Z72" s="265"/>
      <c r="AA72" s="265"/>
      <c r="AB72" s="265"/>
      <c r="AC72" s="265"/>
      <c r="AD72" s="265"/>
    </row>
    <row r="73" spans="1:30">
      <c r="A73" s="264"/>
      <c r="B73" s="265"/>
      <c r="C73" s="265"/>
      <c r="D73" s="265"/>
      <c r="E73" s="265"/>
      <c r="F73" s="265"/>
      <c r="G73" s="265"/>
      <c r="H73" s="265"/>
      <c r="I73" s="265"/>
      <c r="J73" s="265"/>
      <c r="K73" s="265"/>
      <c r="L73" s="265"/>
      <c r="M73" s="265"/>
      <c r="N73" s="265"/>
      <c r="O73" s="265"/>
      <c r="Q73" s="265"/>
      <c r="R73" s="265"/>
      <c r="S73" s="265"/>
      <c r="T73" s="265"/>
      <c r="U73" s="265"/>
      <c r="V73" s="265"/>
      <c r="W73" s="265"/>
      <c r="X73" s="265"/>
      <c r="Y73" s="265"/>
      <c r="Z73" s="265"/>
      <c r="AA73" s="265"/>
      <c r="AB73" s="265"/>
      <c r="AC73" s="265"/>
      <c r="AD73" s="265"/>
    </row>
    <row r="74" spans="1:30" ht="19.5" customHeight="1">
      <c r="A74" s="264"/>
      <c r="B74" s="265"/>
      <c r="C74" s="265"/>
      <c r="D74" s="265"/>
      <c r="E74" s="265"/>
      <c r="F74" s="265"/>
      <c r="G74" s="265"/>
      <c r="H74" s="265"/>
      <c r="I74" s="265"/>
      <c r="J74" s="265"/>
      <c r="K74" s="265"/>
      <c r="L74" s="265"/>
      <c r="M74" s="265"/>
      <c r="N74" s="265"/>
      <c r="O74" s="265"/>
      <c r="Q74" s="265"/>
      <c r="R74" s="265"/>
      <c r="S74" s="265"/>
      <c r="T74" s="265"/>
      <c r="U74" s="265"/>
      <c r="V74" s="265"/>
      <c r="W74" s="265"/>
      <c r="X74" s="265"/>
      <c r="Y74" s="265"/>
      <c r="Z74" s="265"/>
      <c r="AA74" s="265"/>
      <c r="AB74" s="265"/>
      <c r="AC74" s="265"/>
      <c r="AD74" s="265"/>
    </row>
    <row r="75" spans="1:30">
      <c r="A75" s="264"/>
      <c r="B75" s="265"/>
      <c r="C75" s="265"/>
      <c r="D75" s="265"/>
      <c r="E75" s="265"/>
      <c r="F75" s="265"/>
      <c r="G75" s="265"/>
      <c r="H75" s="265"/>
      <c r="I75" s="265"/>
      <c r="J75" s="265"/>
      <c r="K75" s="265"/>
      <c r="L75" s="265"/>
      <c r="M75" s="265"/>
      <c r="N75" s="265"/>
      <c r="O75" s="265"/>
      <c r="Q75" s="265"/>
      <c r="R75" s="265"/>
      <c r="S75" s="265"/>
      <c r="T75" s="265"/>
      <c r="U75" s="265"/>
      <c r="V75" s="265"/>
      <c r="W75" s="265"/>
      <c r="X75" s="265"/>
      <c r="Y75" s="265"/>
      <c r="Z75" s="265"/>
      <c r="AA75" s="265"/>
      <c r="AB75" s="265"/>
      <c r="AC75" s="265"/>
      <c r="AD75" s="265"/>
    </row>
    <row r="76" spans="1:30" ht="19.5" customHeight="1">
      <c r="A76" s="264"/>
      <c r="B76" s="265"/>
      <c r="C76" s="265"/>
      <c r="D76" s="265"/>
      <c r="E76" s="265"/>
      <c r="F76" s="265"/>
      <c r="G76" s="265"/>
      <c r="H76" s="265"/>
      <c r="I76" s="265"/>
      <c r="J76" s="265"/>
      <c r="K76" s="265"/>
      <c r="L76" s="265"/>
      <c r="M76" s="265"/>
      <c r="N76" s="265"/>
      <c r="O76" s="265"/>
      <c r="Q76" s="265"/>
      <c r="R76" s="265"/>
      <c r="S76" s="265"/>
      <c r="T76" s="265"/>
      <c r="U76" s="265"/>
      <c r="V76" s="265"/>
      <c r="W76" s="265"/>
      <c r="X76" s="265"/>
      <c r="Y76" s="265"/>
      <c r="Z76" s="265"/>
      <c r="AA76" s="265"/>
      <c r="AB76" s="265"/>
      <c r="AC76" s="265"/>
      <c r="AD76" s="265"/>
    </row>
    <row r="77" spans="1:30" ht="19.5" customHeight="1">
      <c r="A77" s="264"/>
      <c r="B77" s="265"/>
      <c r="C77" s="265"/>
      <c r="D77" s="265"/>
      <c r="E77" s="265"/>
      <c r="F77" s="265"/>
      <c r="G77" s="265"/>
      <c r="H77" s="265"/>
      <c r="I77" s="265"/>
      <c r="J77" s="265"/>
      <c r="K77" s="265"/>
      <c r="L77" s="265"/>
      <c r="M77" s="265"/>
      <c r="N77" s="265"/>
      <c r="O77" s="265"/>
      <c r="Q77" s="265"/>
      <c r="R77" s="265"/>
      <c r="S77" s="265"/>
      <c r="T77" s="265"/>
      <c r="U77" s="265"/>
      <c r="V77" s="265"/>
      <c r="W77" s="265"/>
      <c r="X77" s="265"/>
      <c r="Y77" s="265"/>
      <c r="Z77" s="265"/>
      <c r="AA77" s="265"/>
      <c r="AB77" s="265"/>
      <c r="AC77" s="265"/>
      <c r="AD77" s="265"/>
    </row>
    <row r="78" spans="1:30" ht="19.5" customHeight="1">
      <c r="A78" s="264"/>
      <c r="B78" s="265"/>
      <c r="C78" s="265"/>
      <c r="D78" s="265"/>
      <c r="E78" s="265"/>
      <c r="F78" s="265"/>
      <c r="G78" s="265"/>
      <c r="H78" s="265"/>
      <c r="I78" s="265"/>
      <c r="J78" s="265"/>
      <c r="K78" s="265"/>
      <c r="L78" s="265"/>
      <c r="M78" s="265"/>
      <c r="N78" s="265"/>
      <c r="O78" s="265"/>
      <c r="Q78" s="265"/>
      <c r="R78" s="265"/>
      <c r="S78" s="265"/>
      <c r="T78" s="265"/>
      <c r="U78" s="265"/>
      <c r="V78" s="265"/>
      <c r="W78" s="265"/>
      <c r="X78" s="265"/>
      <c r="Y78" s="265"/>
      <c r="Z78" s="265"/>
      <c r="AA78" s="265"/>
      <c r="AB78" s="265"/>
      <c r="AC78" s="265"/>
      <c r="AD78" s="265"/>
    </row>
    <row r="79" spans="1:30" ht="19.5" customHeight="1">
      <c r="A79" s="264"/>
      <c r="B79" s="265"/>
      <c r="C79" s="265"/>
      <c r="D79" s="265"/>
      <c r="E79" s="265"/>
      <c r="F79" s="265"/>
      <c r="G79" s="265"/>
      <c r="H79" s="265"/>
      <c r="I79" s="265"/>
      <c r="J79" s="265"/>
      <c r="K79" s="265"/>
      <c r="L79" s="265"/>
      <c r="M79" s="265"/>
      <c r="N79" s="265"/>
      <c r="O79" s="265"/>
      <c r="Q79" s="265"/>
      <c r="R79" s="265"/>
      <c r="S79" s="265"/>
      <c r="T79" s="265"/>
      <c r="U79" s="265"/>
      <c r="V79" s="265"/>
      <c r="W79" s="265"/>
      <c r="X79" s="265"/>
      <c r="Y79" s="265"/>
      <c r="Z79" s="265"/>
      <c r="AA79" s="265"/>
      <c r="AB79" s="265"/>
      <c r="AC79" s="265"/>
      <c r="AD79" s="265"/>
    </row>
    <row r="80" spans="1:30" ht="19.5" customHeight="1">
      <c r="A80" s="264"/>
      <c r="B80" s="265"/>
      <c r="C80" s="265"/>
      <c r="D80" s="265"/>
      <c r="E80" s="265"/>
      <c r="F80" s="265"/>
      <c r="G80" s="265"/>
      <c r="H80" s="265"/>
      <c r="I80" s="265"/>
      <c r="J80" s="265"/>
      <c r="K80" s="265"/>
      <c r="L80" s="265"/>
      <c r="M80" s="265"/>
      <c r="N80" s="265"/>
      <c r="O80" s="265"/>
      <c r="Q80" s="265"/>
      <c r="R80" s="265"/>
      <c r="S80" s="265"/>
      <c r="T80" s="265"/>
      <c r="U80" s="265"/>
      <c r="V80" s="265"/>
      <c r="W80" s="265"/>
      <c r="X80" s="265"/>
      <c r="Y80" s="265"/>
      <c r="Z80" s="265"/>
      <c r="AA80" s="265"/>
      <c r="AB80" s="265"/>
      <c r="AC80" s="265"/>
      <c r="AD80" s="265"/>
    </row>
    <row r="81" spans="1:30">
      <c r="A81" s="264"/>
      <c r="B81" s="265"/>
      <c r="C81" s="265"/>
      <c r="D81" s="265"/>
      <c r="E81" s="265"/>
      <c r="F81" s="265"/>
      <c r="G81" s="265"/>
      <c r="H81" s="265"/>
      <c r="I81" s="265"/>
      <c r="J81" s="265"/>
      <c r="K81" s="265"/>
      <c r="L81" s="265"/>
      <c r="M81" s="265"/>
      <c r="N81" s="265"/>
      <c r="O81" s="265"/>
      <c r="Q81" s="265"/>
      <c r="R81" s="265"/>
      <c r="S81" s="265"/>
      <c r="T81" s="265"/>
      <c r="U81" s="265"/>
      <c r="V81" s="265"/>
      <c r="W81" s="265"/>
      <c r="X81" s="265"/>
      <c r="Y81" s="265"/>
      <c r="Z81" s="265"/>
      <c r="AA81" s="265"/>
      <c r="AB81" s="265"/>
      <c r="AC81" s="265"/>
      <c r="AD81" s="265"/>
    </row>
    <row r="82" spans="1:30">
      <c r="A82" s="264"/>
      <c r="B82" s="265"/>
      <c r="C82" s="265"/>
      <c r="D82" s="265"/>
      <c r="E82" s="265"/>
      <c r="F82" s="265"/>
      <c r="G82" s="265"/>
      <c r="H82" s="265"/>
      <c r="I82" s="265"/>
      <c r="J82" s="265"/>
      <c r="K82" s="265"/>
      <c r="L82" s="265"/>
      <c r="M82" s="265"/>
      <c r="N82" s="265"/>
      <c r="O82" s="265"/>
      <c r="Q82" s="265"/>
      <c r="R82" s="265"/>
      <c r="S82" s="265"/>
      <c r="T82" s="265"/>
      <c r="U82" s="265"/>
      <c r="V82" s="265"/>
      <c r="W82" s="265"/>
      <c r="X82" s="265"/>
      <c r="Y82" s="265"/>
      <c r="Z82" s="265"/>
      <c r="AA82" s="265"/>
      <c r="AB82" s="265"/>
      <c r="AC82" s="265"/>
      <c r="AD82" s="265"/>
    </row>
    <row r="83" spans="1:30">
      <c r="A83" s="264"/>
      <c r="B83" s="265"/>
      <c r="C83" s="265"/>
      <c r="D83" s="265"/>
      <c r="E83" s="265"/>
      <c r="F83" s="265"/>
      <c r="G83" s="265"/>
      <c r="H83" s="265"/>
      <c r="I83" s="265"/>
      <c r="J83" s="265"/>
      <c r="K83" s="265"/>
      <c r="L83" s="265"/>
      <c r="M83" s="265"/>
      <c r="N83" s="265"/>
      <c r="O83" s="265"/>
      <c r="Q83" s="265"/>
      <c r="R83" s="265"/>
      <c r="S83" s="265"/>
      <c r="T83" s="265"/>
      <c r="U83" s="265"/>
      <c r="V83" s="265"/>
      <c r="W83" s="265"/>
      <c r="X83" s="265"/>
      <c r="Y83" s="265"/>
      <c r="Z83" s="265"/>
      <c r="AA83" s="265"/>
      <c r="AB83" s="265"/>
      <c r="AC83" s="265"/>
      <c r="AD83" s="265"/>
    </row>
    <row r="84" spans="1:30">
      <c r="A84" s="264"/>
      <c r="B84" s="265"/>
      <c r="C84" s="265"/>
      <c r="D84" s="265"/>
      <c r="E84" s="265"/>
      <c r="F84" s="265"/>
      <c r="G84" s="265"/>
      <c r="H84" s="265"/>
      <c r="I84" s="265"/>
      <c r="J84" s="265"/>
      <c r="K84" s="265"/>
      <c r="L84" s="265"/>
      <c r="M84" s="265"/>
      <c r="N84" s="265"/>
      <c r="O84" s="265"/>
      <c r="Q84" s="265"/>
      <c r="R84" s="265"/>
      <c r="S84" s="265"/>
      <c r="T84" s="265"/>
      <c r="U84" s="265"/>
      <c r="V84" s="265"/>
      <c r="W84" s="265"/>
      <c r="X84" s="265"/>
      <c r="Y84" s="265"/>
      <c r="Z84" s="265"/>
      <c r="AA84" s="265"/>
      <c r="AB84" s="265"/>
      <c r="AC84" s="265"/>
      <c r="AD84" s="265"/>
    </row>
    <row r="85" spans="1:30">
      <c r="A85" s="264"/>
      <c r="B85" s="265"/>
      <c r="C85" s="265"/>
      <c r="D85" s="265"/>
      <c r="E85" s="265"/>
      <c r="F85" s="265"/>
      <c r="G85" s="265"/>
      <c r="H85" s="265"/>
      <c r="I85" s="265"/>
      <c r="J85" s="265"/>
      <c r="K85" s="265"/>
      <c r="L85" s="265"/>
      <c r="M85" s="265"/>
      <c r="N85" s="265"/>
      <c r="O85" s="265"/>
      <c r="Q85" s="265"/>
      <c r="R85" s="265"/>
      <c r="S85" s="265"/>
      <c r="T85" s="265"/>
      <c r="U85" s="265"/>
      <c r="V85" s="265"/>
      <c r="W85" s="265"/>
      <c r="X85" s="265"/>
      <c r="Y85" s="265"/>
      <c r="Z85" s="265"/>
      <c r="AA85" s="265"/>
      <c r="AB85" s="265"/>
      <c r="AC85" s="265"/>
      <c r="AD85" s="265"/>
    </row>
    <row r="86" spans="1:30">
      <c r="A86" s="264"/>
      <c r="B86" s="265"/>
      <c r="C86" s="265"/>
      <c r="D86" s="265"/>
      <c r="E86" s="265"/>
      <c r="F86" s="265"/>
      <c r="G86" s="265"/>
      <c r="H86" s="265"/>
      <c r="I86" s="265"/>
      <c r="J86" s="265"/>
      <c r="K86" s="265"/>
      <c r="L86" s="265"/>
      <c r="M86" s="265"/>
      <c r="N86" s="265"/>
      <c r="O86" s="265"/>
      <c r="Q86" s="265"/>
      <c r="R86" s="265"/>
      <c r="S86" s="265"/>
      <c r="T86" s="265"/>
      <c r="U86" s="265"/>
      <c r="V86" s="265"/>
      <c r="W86" s="265"/>
      <c r="X86" s="265"/>
      <c r="Y86" s="265"/>
      <c r="Z86" s="265"/>
      <c r="AA86" s="265"/>
      <c r="AB86" s="265"/>
      <c r="AC86" s="265"/>
      <c r="AD86" s="265"/>
    </row>
    <row r="87" spans="1:30">
      <c r="A87" s="264"/>
      <c r="B87" s="265"/>
      <c r="C87" s="265"/>
      <c r="D87" s="265"/>
      <c r="E87" s="265"/>
      <c r="F87" s="265"/>
      <c r="G87" s="265"/>
      <c r="H87" s="265"/>
      <c r="I87" s="265"/>
      <c r="J87" s="265"/>
      <c r="K87" s="265"/>
      <c r="L87" s="265"/>
      <c r="M87" s="265"/>
      <c r="N87" s="265"/>
      <c r="O87" s="265"/>
      <c r="Q87" s="265"/>
      <c r="R87" s="265"/>
      <c r="S87" s="265"/>
      <c r="T87" s="265"/>
      <c r="U87" s="265"/>
      <c r="V87" s="265"/>
      <c r="W87" s="265"/>
      <c r="X87" s="265"/>
      <c r="Y87" s="265"/>
      <c r="Z87" s="265"/>
      <c r="AA87" s="265"/>
      <c r="AB87" s="265"/>
      <c r="AC87" s="265"/>
      <c r="AD87" s="265"/>
    </row>
    <row r="88" spans="1:30">
      <c r="A88" s="264"/>
      <c r="B88" s="265"/>
      <c r="C88" s="265"/>
      <c r="D88" s="265"/>
      <c r="E88" s="265"/>
      <c r="F88" s="265"/>
      <c r="G88" s="265"/>
      <c r="H88" s="265"/>
      <c r="I88" s="265"/>
      <c r="J88" s="265"/>
      <c r="K88" s="265"/>
      <c r="L88" s="265"/>
      <c r="M88" s="265"/>
      <c r="N88" s="265"/>
      <c r="O88" s="265"/>
      <c r="Q88" s="265"/>
      <c r="R88" s="265"/>
      <c r="S88" s="265"/>
      <c r="T88" s="265"/>
      <c r="U88" s="265"/>
      <c r="V88" s="265"/>
      <c r="W88" s="265"/>
      <c r="X88" s="265"/>
      <c r="Y88" s="265"/>
      <c r="Z88" s="265"/>
      <c r="AA88" s="265"/>
      <c r="AB88" s="265"/>
      <c r="AC88" s="265"/>
      <c r="AD88" s="265"/>
    </row>
  </sheetData>
  <mergeCells count="6">
    <mergeCell ref="A38:AP38"/>
    <mergeCell ref="A1:Z1"/>
    <mergeCell ref="A34:AP34"/>
    <mergeCell ref="A35:AP35"/>
    <mergeCell ref="A36:AP36"/>
    <mergeCell ref="A37:AP37"/>
  </mergeCells>
  <pageMargins left="0.25" right="0.25" top="0.75" bottom="0.75" header="0.3" footer="0.3"/>
  <pageSetup scale="4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6C48-AF23-4A90-A6FB-D574EFEE9C5E}">
  <dimension ref="A1:A3"/>
  <sheetViews>
    <sheetView topLeftCell="A19" workbookViewId="0">
      <selection activeCell="M27" sqref="M27"/>
    </sheetView>
  </sheetViews>
  <sheetFormatPr defaultRowHeight="12.6"/>
  <sheetData>
    <row r="1" spans="1:1" ht="15">
      <c r="A1" s="261" t="str">
        <f>"Figure 1B: Combined Direct Program and Capital Borrowing Costs, FY"&amp;'BPA Costs Table'!AC2&amp;"-"&amp;'BPA Costs Table'!AP2</f>
        <v>Figure 1B: Combined Direct Program and Capital Borrowing Costs, FY2007-2020</v>
      </c>
    </row>
    <row r="2" spans="1:1" ht="15">
      <c r="A2" s="261"/>
    </row>
    <row r="3" spans="1:1" ht="13.2">
      <c r="A3" s="354" t="s">
        <v>451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7"/>
  <sheetViews>
    <sheetView zoomScale="70" zoomScaleNormal="70" workbookViewId="0">
      <selection activeCell="A31" sqref="A31:A34"/>
    </sheetView>
  </sheetViews>
  <sheetFormatPr defaultColWidth="9.109375" defaultRowHeight="10.199999999999999"/>
  <cols>
    <col min="1" max="1" width="22.109375" style="2" customWidth="1"/>
    <col min="2" max="11" width="15.44140625" style="1" customWidth="1"/>
    <col min="12" max="12" width="15.88671875" style="1" customWidth="1"/>
    <col min="13" max="13" width="11.5546875" style="1" bestFit="1" customWidth="1"/>
    <col min="14" max="16384" width="9.109375" style="1"/>
  </cols>
  <sheetData>
    <row r="1" spans="1:15" ht="27" customHeight="1">
      <c r="A1" s="374" t="str">
        <f>"Figure 2: Costs by Types of Species, FY"&amp;K3</f>
        <v>Figure 2: Costs by Types of Species, FY2020</v>
      </c>
      <c r="B1" s="374"/>
      <c r="C1" s="374"/>
      <c r="D1" s="374"/>
      <c r="E1" s="374"/>
      <c r="F1" s="374"/>
      <c r="G1" s="374"/>
      <c r="H1" s="374"/>
      <c r="I1" s="374"/>
      <c r="J1" s="374"/>
      <c r="K1" s="374"/>
      <c r="L1" s="374"/>
    </row>
    <row r="2" spans="1:15" ht="20.25" customHeight="1">
      <c r="A2" s="159" t="s">
        <v>273</v>
      </c>
      <c r="B2" s="139"/>
      <c r="C2" s="139"/>
      <c r="D2" s="139"/>
      <c r="E2" s="139"/>
      <c r="F2" s="139"/>
      <c r="G2" s="139"/>
      <c r="H2" s="139"/>
      <c r="I2" s="179"/>
      <c r="J2" s="223"/>
      <c r="K2" s="139"/>
      <c r="L2" s="139"/>
    </row>
    <row r="3" spans="1:15" ht="24" customHeight="1">
      <c r="A3" s="221" t="s">
        <v>10</v>
      </c>
      <c r="B3" s="222">
        <v>2011</v>
      </c>
      <c r="C3" s="222">
        <v>2012</v>
      </c>
      <c r="D3" s="222">
        <v>2013</v>
      </c>
      <c r="E3" s="222">
        <v>2014</v>
      </c>
      <c r="F3" s="222">
        <v>2015</v>
      </c>
      <c r="G3" s="222" t="s">
        <v>238</v>
      </c>
      <c r="H3" s="222">
        <v>2017</v>
      </c>
      <c r="I3" s="222">
        <v>2018</v>
      </c>
      <c r="J3" s="222">
        <v>2019</v>
      </c>
      <c r="K3" s="222">
        <v>2020</v>
      </c>
      <c r="L3" s="157" t="s">
        <v>276</v>
      </c>
      <c r="M3" s="12"/>
      <c r="N3" s="12"/>
      <c r="O3" s="11"/>
    </row>
    <row r="4" spans="1:15" ht="15">
      <c r="A4" s="9" t="s">
        <v>9</v>
      </c>
      <c r="B4" s="41"/>
      <c r="C4" s="41"/>
      <c r="D4" s="41"/>
      <c r="E4" s="41"/>
      <c r="F4" s="41"/>
      <c r="G4" s="41"/>
      <c r="H4" s="41"/>
      <c r="I4" s="41"/>
      <c r="J4" s="41"/>
      <c r="K4" s="41"/>
      <c r="L4" s="6"/>
      <c r="M4" s="6"/>
      <c r="N4" s="6"/>
    </row>
    <row r="5" spans="1:15" ht="15">
      <c r="A5" s="10" t="s">
        <v>7</v>
      </c>
      <c r="B5" s="111">
        <v>152268151.75</v>
      </c>
      <c r="C5" s="111">
        <v>172625716.75</v>
      </c>
      <c r="D5" s="111">
        <v>162598812.96000001</v>
      </c>
      <c r="E5" s="112">
        <v>160287940</v>
      </c>
      <c r="F5" s="111">
        <v>181979402</v>
      </c>
      <c r="G5" s="181">
        <v>187926100.50999999</v>
      </c>
      <c r="H5" s="181">
        <v>174955973</v>
      </c>
      <c r="I5" s="181">
        <v>181907429</v>
      </c>
      <c r="J5" s="181">
        <v>168490894</v>
      </c>
      <c r="K5" s="181">
        <v>163848363</v>
      </c>
      <c r="L5" s="6"/>
      <c r="M5" s="6"/>
      <c r="N5" s="6"/>
    </row>
    <row r="6" spans="1:15" ht="15">
      <c r="A6" s="10" t="s">
        <v>6</v>
      </c>
      <c r="B6" s="111">
        <v>38469679.740000002</v>
      </c>
      <c r="C6" s="111">
        <v>41986003.759999998</v>
      </c>
      <c r="D6" s="111">
        <v>39747604.240000002</v>
      </c>
      <c r="E6" s="112">
        <v>34671529</v>
      </c>
      <c r="F6" s="111">
        <v>36131999</v>
      </c>
      <c r="G6" s="181">
        <v>42949758.75</v>
      </c>
      <c r="H6" s="181">
        <v>41626757</v>
      </c>
      <c r="I6" s="181">
        <v>41544634</v>
      </c>
      <c r="J6" s="181">
        <v>34601360</v>
      </c>
      <c r="K6" s="181">
        <v>35251201</v>
      </c>
      <c r="L6" s="6"/>
      <c r="M6" s="6"/>
      <c r="N6" s="6"/>
    </row>
    <row r="7" spans="1:15" ht="15">
      <c r="A7" s="10" t="s">
        <v>5</v>
      </c>
      <c r="B7" s="111">
        <v>12032226</v>
      </c>
      <c r="C7" s="111">
        <v>13214569.75</v>
      </c>
      <c r="D7" s="111">
        <v>11401470.98</v>
      </c>
      <c r="E7" s="112">
        <v>11970486</v>
      </c>
      <c r="F7" s="111">
        <v>16630031</v>
      </c>
      <c r="G7" s="181">
        <v>14091922</v>
      </c>
      <c r="H7" s="181">
        <v>12514234</v>
      </c>
      <c r="I7" s="181">
        <v>12569629</v>
      </c>
      <c r="J7" s="181">
        <v>13576360</v>
      </c>
      <c r="K7" s="181">
        <v>17035067</v>
      </c>
      <c r="L7" s="6"/>
      <c r="M7" s="6"/>
      <c r="N7" s="6"/>
    </row>
    <row r="8" spans="1:15" ht="15">
      <c r="A8" s="10" t="s">
        <v>4</v>
      </c>
      <c r="B8" s="111">
        <v>18278218</v>
      </c>
      <c r="C8" s="111">
        <v>21130595.140000001</v>
      </c>
      <c r="D8" s="111">
        <v>25235638.289999999</v>
      </c>
      <c r="E8" s="112">
        <v>24850807</v>
      </c>
      <c r="F8" s="111">
        <v>23435779.190000001</v>
      </c>
      <c r="G8" s="181">
        <v>13174408.65</v>
      </c>
      <c r="H8" s="181">
        <v>25458652</v>
      </c>
      <c r="I8" s="181">
        <v>12009661</v>
      </c>
      <c r="J8" s="181">
        <v>11871288</v>
      </c>
      <c r="K8" s="181">
        <v>10101627</v>
      </c>
      <c r="L8" s="6"/>
      <c r="M8" s="6"/>
      <c r="N8" s="6"/>
    </row>
    <row r="9" spans="1:15" ht="15">
      <c r="A9" s="10" t="s">
        <v>279</v>
      </c>
      <c r="B9" s="111"/>
      <c r="C9" s="111"/>
      <c r="D9" s="111"/>
      <c r="E9" s="112"/>
      <c r="F9" s="111"/>
      <c r="G9" s="112"/>
      <c r="H9" s="112"/>
      <c r="I9" s="112">
        <v>10367580</v>
      </c>
      <c r="J9" s="181">
        <v>11607301</v>
      </c>
      <c r="K9" s="181">
        <v>11601030</v>
      </c>
      <c r="L9" s="6"/>
      <c r="M9" s="6"/>
      <c r="N9" s="6"/>
    </row>
    <row r="10" spans="1:15" ht="15">
      <c r="A10" s="10" t="s">
        <v>280</v>
      </c>
      <c r="B10" s="111"/>
      <c r="C10" s="111"/>
      <c r="D10" s="111"/>
      <c r="E10" s="112"/>
      <c r="F10" s="111"/>
      <c r="G10" s="112"/>
      <c r="H10" s="112"/>
      <c r="I10" s="112">
        <v>304457</v>
      </c>
      <c r="J10" s="181">
        <v>254957</v>
      </c>
      <c r="K10" s="181">
        <v>213881</v>
      </c>
      <c r="L10" s="6"/>
      <c r="M10" s="6"/>
      <c r="N10" s="6"/>
    </row>
    <row r="11" spans="1:15" ht="15">
      <c r="A11" s="9" t="s">
        <v>8</v>
      </c>
      <c r="B11" s="41"/>
      <c r="C11" s="41"/>
      <c r="D11" s="41"/>
      <c r="E11" s="41"/>
      <c r="F11" s="41"/>
      <c r="G11" s="41"/>
      <c r="H11" s="41"/>
      <c r="I11" s="41"/>
      <c r="J11" s="182"/>
      <c r="K11" s="182"/>
      <c r="L11" s="6"/>
      <c r="M11" s="6"/>
      <c r="N11" s="6"/>
    </row>
    <row r="12" spans="1:15" ht="15">
      <c r="A12" s="8" t="s">
        <v>7</v>
      </c>
      <c r="B12" s="111">
        <v>56777878.75</v>
      </c>
      <c r="C12" s="111">
        <v>33006552</v>
      </c>
      <c r="D12" s="111">
        <v>32488550.530000001</v>
      </c>
      <c r="E12" s="112">
        <v>6079913</v>
      </c>
      <c r="F12" s="111">
        <v>10173686</v>
      </c>
      <c r="G12" s="112">
        <v>4896855</v>
      </c>
      <c r="H12" s="112">
        <v>122159</v>
      </c>
      <c r="I12" s="112">
        <v>5368928</v>
      </c>
      <c r="J12" s="181">
        <v>12711401</v>
      </c>
      <c r="K12" s="181">
        <v>27436953</v>
      </c>
      <c r="L12" s="6"/>
      <c r="M12" s="6"/>
      <c r="N12" s="6"/>
    </row>
    <row r="13" spans="1:15" ht="15">
      <c r="A13" s="8" t="s">
        <v>6</v>
      </c>
      <c r="B13" s="111">
        <v>20472137.739999998</v>
      </c>
      <c r="C13" s="111">
        <v>11692569</v>
      </c>
      <c r="D13" s="111">
        <v>8440507.1400000006</v>
      </c>
      <c r="E13" s="112">
        <v>16958535</v>
      </c>
      <c r="F13" s="111">
        <v>2603188</v>
      </c>
      <c r="G13" s="112">
        <v>2164485</v>
      </c>
      <c r="H13" s="112">
        <v>241080</v>
      </c>
      <c r="I13" s="112">
        <v>13564447</v>
      </c>
      <c r="J13" s="181">
        <v>455850</v>
      </c>
      <c r="K13" s="181">
        <v>2320569</v>
      </c>
      <c r="L13" s="6"/>
      <c r="M13" s="6"/>
      <c r="N13" s="6"/>
    </row>
    <row r="14" spans="1:15" ht="15">
      <c r="A14" s="8" t="s">
        <v>5</v>
      </c>
      <c r="B14" s="111">
        <v>18676436.75</v>
      </c>
      <c r="C14" s="111">
        <v>15853187</v>
      </c>
      <c r="D14" s="111">
        <v>10813833.08</v>
      </c>
      <c r="E14" s="112">
        <v>14438818</v>
      </c>
      <c r="F14" s="111">
        <v>9789350</v>
      </c>
      <c r="G14" s="112">
        <v>8973342</v>
      </c>
      <c r="H14" s="112">
        <v>5038680</v>
      </c>
      <c r="I14" s="112">
        <v>11735362</v>
      </c>
      <c r="J14" s="181">
        <v>9795748</v>
      </c>
      <c r="K14" s="181">
        <v>9602782</v>
      </c>
      <c r="M14" s="6"/>
      <c r="N14" s="6"/>
    </row>
    <row r="15" spans="1:15" ht="17.25" customHeight="1">
      <c r="A15" s="8" t="s">
        <v>201</v>
      </c>
      <c r="B15" s="111">
        <v>-101012.25</v>
      </c>
      <c r="C15" s="111">
        <v>42215.48</v>
      </c>
      <c r="D15" s="111">
        <v>375475.23</v>
      </c>
      <c r="E15" s="112">
        <v>-123917.97</v>
      </c>
      <c r="F15" s="112">
        <v>-1192886.3999999999</v>
      </c>
      <c r="G15" s="112">
        <v>-4698.03</v>
      </c>
      <c r="H15" s="112">
        <v>0</v>
      </c>
      <c r="I15" s="112">
        <v>0</v>
      </c>
      <c r="J15" s="181">
        <v>-650000</v>
      </c>
      <c r="K15" s="181">
        <v>824395</v>
      </c>
      <c r="L15" s="164" t="s">
        <v>275</v>
      </c>
      <c r="M15" s="6"/>
      <c r="N15" s="6"/>
    </row>
    <row r="16" spans="1:15" ht="15">
      <c r="A16" s="8" t="s">
        <v>3</v>
      </c>
      <c r="B16" s="111">
        <v>-5658821</v>
      </c>
      <c r="C16" s="111">
        <v>-3141637</v>
      </c>
      <c r="D16" s="111"/>
      <c r="E16" s="111"/>
      <c r="F16" s="112"/>
      <c r="G16" s="111"/>
      <c r="H16" s="111"/>
      <c r="I16" s="111"/>
      <c r="J16" s="111"/>
      <c r="K16" s="111"/>
      <c r="L16" s="165">
        <f>SUM(K12:K16)</f>
        <v>40184699</v>
      </c>
      <c r="M16" s="6"/>
      <c r="N16" s="6"/>
    </row>
    <row r="17" spans="1:16" ht="15">
      <c r="A17" s="5" t="s">
        <v>2</v>
      </c>
      <c r="B17" s="43">
        <f t="shared" ref="B17:K17" si="0">SUM(B4:B16)</f>
        <v>311214895.48000002</v>
      </c>
      <c r="C17" s="43">
        <f t="shared" si="0"/>
        <v>306409771.88</v>
      </c>
      <c r="D17" s="43">
        <f t="shared" si="0"/>
        <v>291101892.44999999</v>
      </c>
      <c r="E17" s="43">
        <f t="shared" si="0"/>
        <v>269134110.02999997</v>
      </c>
      <c r="F17" s="43">
        <f t="shared" si="0"/>
        <v>279550548.79000002</v>
      </c>
      <c r="G17" s="43">
        <f t="shared" si="0"/>
        <v>274172173.88</v>
      </c>
      <c r="H17" s="43">
        <f t="shared" si="0"/>
        <v>259957535</v>
      </c>
      <c r="I17" s="43">
        <f t="shared" ref="I17:J17" si="1">SUM(I4:I16)</f>
        <v>289372127</v>
      </c>
      <c r="J17" s="43">
        <f t="shared" si="1"/>
        <v>262715159</v>
      </c>
      <c r="K17" s="43">
        <f t="shared" si="0"/>
        <v>278235868</v>
      </c>
      <c r="L17" s="6"/>
      <c r="M17" s="6"/>
      <c r="N17" s="6"/>
    </row>
    <row r="18" spans="1:16" ht="15">
      <c r="A18" s="4"/>
      <c r="B18" s="3"/>
      <c r="C18" s="3"/>
      <c r="D18" s="3"/>
      <c r="E18" s="3"/>
      <c r="F18" s="3"/>
      <c r="G18" s="3"/>
    </row>
    <row r="19" spans="1:16" ht="15">
      <c r="A19" s="158" t="s">
        <v>272</v>
      </c>
      <c r="B19" s="3"/>
      <c r="C19" s="3"/>
      <c r="D19" s="3"/>
      <c r="E19" s="3"/>
      <c r="F19" s="3"/>
      <c r="G19" s="3"/>
    </row>
    <row r="20" spans="1:16" ht="15">
      <c r="A20" s="221" t="s">
        <v>10</v>
      </c>
      <c r="B20" s="222">
        <f t="shared" ref="B20:K20" si="2">B3</f>
        <v>2011</v>
      </c>
      <c r="C20" s="222">
        <f t="shared" si="2"/>
        <v>2012</v>
      </c>
      <c r="D20" s="222">
        <f t="shared" si="2"/>
        <v>2013</v>
      </c>
      <c r="E20" s="222">
        <f t="shared" si="2"/>
        <v>2014</v>
      </c>
      <c r="F20" s="222">
        <f t="shared" si="2"/>
        <v>2015</v>
      </c>
      <c r="G20" s="222" t="str">
        <f t="shared" si="2"/>
        <v>2016 3</v>
      </c>
      <c r="H20" s="222">
        <f t="shared" si="2"/>
        <v>2017</v>
      </c>
      <c r="I20" s="222">
        <f t="shared" ref="I20:J20" si="3">I3</f>
        <v>2018</v>
      </c>
      <c r="J20" s="222">
        <f t="shared" si="3"/>
        <v>2019</v>
      </c>
      <c r="K20" s="222">
        <f t="shared" si="2"/>
        <v>2020</v>
      </c>
    </row>
    <row r="21" spans="1:16" ht="15">
      <c r="A21" s="8" t="s">
        <v>7</v>
      </c>
      <c r="B21" s="7">
        <f t="shared" ref="B21:K22" si="4">B5+B12</f>
        <v>209046030.5</v>
      </c>
      <c r="C21" s="7">
        <f t="shared" si="4"/>
        <v>205632268.75</v>
      </c>
      <c r="D21" s="7">
        <f t="shared" si="4"/>
        <v>195087363.49000001</v>
      </c>
      <c r="E21" s="7">
        <f t="shared" si="4"/>
        <v>166367853</v>
      </c>
      <c r="F21" s="7">
        <f t="shared" si="4"/>
        <v>192153088</v>
      </c>
      <c r="G21" s="7">
        <f t="shared" si="4"/>
        <v>192822955.50999999</v>
      </c>
      <c r="H21" s="7">
        <f t="shared" si="4"/>
        <v>175078132</v>
      </c>
      <c r="I21" s="7">
        <f t="shared" ref="I21:J21" si="5">I5+I12</f>
        <v>187276357</v>
      </c>
      <c r="J21" s="7">
        <f t="shared" si="5"/>
        <v>181202295</v>
      </c>
      <c r="K21" s="7">
        <f t="shared" si="4"/>
        <v>191285316</v>
      </c>
    </row>
    <row r="22" spans="1:16" ht="15">
      <c r="A22" s="8" t="s">
        <v>6</v>
      </c>
      <c r="B22" s="7">
        <f t="shared" si="4"/>
        <v>58941817.480000004</v>
      </c>
      <c r="C22" s="7">
        <f t="shared" si="4"/>
        <v>53678572.759999998</v>
      </c>
      <c r="D22" s="7">
        <f t="shared" si="4"/>
        <v>48188111.380000003</v>
      </c>
      <c r="E22" s="7">
        <f t="shared" si="4"/>
        <v>51630064</v>
      </c>
      <c r="F22" s="7">
        <f t="shared" si="4"/>
        <v>38735187</v>
      </c>
      <c r="G22" s="7">
        <f t="shared" si="4"/>
        <v>45114243.75</v>
      </c>
      <c r="H22" s="7">
        <f t="shared" si="4"/>
        <v>41867837</v>
      </c>
      <c r="I22" s="7">
        <f t="shared" ref="I22:J22" si="6">I6+I13</f>
        <v>55109081</v>
      </c>
      <c r="J22" s="7">
        <f t="shared" si="6"/>
        <v>35057210</v>
      </c>
      <c r="K22" s="7">
        <f t="shared" si="4"/>
        <v>37571770</v>
      </c>
    </row>
    <row r="23" spans="1:16" ht="15">
      <c r="A23" s="8" t="s">
        <v>5</v>
      </c>
      <c r="B23" s="7">
        <f t="shared" ref="B23:K23" si="7">B7+B14</f>
        <v>30708662.75</v>
      </c>
      <c r="C23" s="7">
        <f t="shared" si="7"/>
        <v>29067756.75</v>
      </c>
      <c r="D23" s="7">
        <f t="shared" si="7"/>
        <v>22215304.060000002</v>
      </c>
      <c r="E23" s="7">
        <f t="shared" si="7"/>
        <v>26409304</v>
      </c>
      <c r="F23" s="7">
        <f t="shared" si="7"/>
        <v>26419381</v>
      </c>
      <c r="G23" s="7">
        <f t="shared" si="7"/>
        <v>23065264</v>
      </c>
      <c r="H23" s="7">
        <f t="shared" ref="H23:J23" si="8">H7+H14</f>
        <v>17552914</v>
      </c>
      <c r="I23" s="7">
        <f t="shared" si="8"/>
        <v>24304991</v>
      </c>
      <c r="J23" s="7">
        <f t="shared" si="8"/>
        <v>23372108</v>
      </c>
      <c r="K23" s="7">
        <f t="shared" si="7"/>
        <v>26637849</v>
      </c>
    </row>
    <row r="24" spans="1:16" ht="17.399999999999999">
      <c r="A24" s="8" t="s">
        <v>72</v>
      </c>
      <c r="B24" s="7">
        <f t="shared" ref="B24:K24" si="9">B8+B15</f>
        <v>18177205.75</v>
      </c>
      <c r="C24" s="7">
        <f t="shared" si="9"/>
        <v>21172810.620000001</v>
      </c>
      <c r="D24" s="7">
        <f t="shared" si="9"/>
        <v>25611113.52</v>
      </c>
      <c r="E24" s="7">
        <f t="shared" si="9"/>
        <v>24726889.030000001</v>
      </c>
      <c r="F24" s="7">
        <f t="shared" si="9"/>
        <v>22242892.790000003</v>
      </c>
      <c r="G24" s="7">
        <f t="shared" si="9"/>
        <v>13169710.620000001</v>
      </c>
      <c r="H24" s="7">
        <f t="shared" ref="H24:J24" si="10">H8+H15</f>
        <v>25458652</v>
      </c>
      <c r="I24" s="7">
        <f t="shared" si="10"/>
        <v>12009661</v>
      </c>
      <c r="J24" s="7">
        <f t="shared" si="10"/>
        <v>11221288</v>
      </c>
      <c r="K24" s="7">
        <f t="shared" si="9"/>
        <v>10926022</v>
      </c>
    </row>
    <row r="25" spans="1:16" ht="15">
      <c r="A25" s="8" t="s">
        <v>3</v>
      </c>
      <c r="B25" s="7">
        <f t="shared" ref="B25:K25" si="11">B16</f>
        <v>-5658821</v>
      </c>
      <c r="C25" s="7">
        <f t="shared" si="11"/>
        <v>-3141637</v>
      </c>
      <c r="D25" s="7">
        <f t="shared" si="11"/>
        <v>0</v>
      </c>
      <c r="E25" s="7">
        <f t="shared" si="11"/>
        <v>0</v>
      </c>
      <c r="F25" s="7">
        <f t="shared" si="11"/>
        <v>0</v>
      </c>
      <c r="G25" s="7">
        <f t="shared" si="11"/>
        <v>0</v>
      </c>
      <c r="H25" s="7">
        <f t="shared" ref="H25:J25" si="12">H16</f>
        <v>0</v>
      </c>
      <c r="I25" s="7">
        <f t="shared" si="12"/>
        <v>0</v>
      </c>
      <c r="J25" s="7">
        <f t="shared" si="12"/>
        <v>0</v>
      </c>
      <c r="K25" s="7">
        <f t="shared" si="11"/>
        <v>0</v>
      </c>
    </row>
    <row r="26" spans="1:16" ht="15">
      <c r="A26" s="8" t="s">
        <v>287</v>
      </c>
      <c r="B26" s="7"/>
      <c r="C26" s="7"/>
      <c r="D26" s="7"/>
      <c r="E26" s="7"/>
      <c r="F26" s="7"/>
      <c r="G26" s="7"/>
      <c r="H26" s="7"/>
      <c r="I26" s="7">
        <f>I9+I10</f>
        <v>10672037</v>
      </c>
      <c r="J26" s="7">
        <f>J9+J10</f>
        <v>11862258</v>
      </c>
      <c r="K26" s="7">
        <f>K9+K10</f>
        <v>11814911</v>
      </c>
    </row>
    <row r="27" spans="1:16" ht="15">
      <c r="A27" s="5" t="s">
        <v>2</v>
      </c>
      <c r="B27" s="43">
        <f t="shared" ref="B27:K27" si="13">B17</f>
        <v>311214895.48000002</v>
      </c>
      <c r="C27" s="43">
        <f t="shared" si="13"/>
        <v>306409771.88</v>
      </c>
      <c r="D27" s="43">
        <f t="shared" si="13"/>
        <v>291101892.44999999</v>
      </c>
      <c r="E27" s="43">
        <f t="shared" si="13"/>
        <v>269134110.02999997</v>
      </c>
      <c r="F27" s="43">
        <f t="shared" si="13"/>
        <v>279550548.79000002</v>
      </c>
      <c r="G27" s="43">
        <f t="shared" si="13"/>
        <v>274172173.88</v>
      </c>
      <c r="H27" s="43">
        <f t="shared" ref="H27:J27" si="14">H17</f>
        <v>259957535</v>
      </c>
      <c r="I27" s="43">
        <f t="shared" si="14"/>
        <v>289372127</v>
      </c>
      <c r="J27" s="43">
        <f t="shared" si="14"/>
        <v>262715159</v>
      </c>
      <c r="K27" s="43">
        <f t="shared" si="13"/>
        <v>278235868</v>
      </c>
    </row>
    <row r="28" spans="1:16" ht="15">
      <c r="A28" s="4"/>
      <c r="B28" s="3"/>
      <c r="C28" s="3"/>
      <c r="D28" s="3"/>
      <c r="E28" s="3"/>
      <c r="F28" s="3"/>
      <c r="G28" s="3"/>
      <c r="H28" s="3"/>
      <c r="I28" s="3"/>
      <c r="J28" s="3"/>
      <c r="K28" s="3"/>
    </row>
    <row r="29" spans="1:16" ht="15">
      <c r="A29" s="159" t="s">
        <v>274</v>
      </c>
      <c r="B29" s="3"/>
      <c r="C29" s="3"/>
      <c r="D29" s="3"/>
      <c r="E29" s="3"/>
      <c r="F29" s="3"/>
      <c r="G29" s="3"/>
      <c r="H29" s="3"/>
      <c r="I29" s="3"/>
      <c r="J29" s="3"/>
      <c r="K29" s="3"/>
    </row>
    <row r="30" spans="1:16" ht="15">
      <c r="A30" s="44" t="s">
        <v>1</v>
      </c>
      <c r="B30" s="45"/>
      <c r="C30" s="45"/>
      <c r="D30" s="45"/>
      <c r="E30" s="45"/>
      <c r="F30" s="45"/>
      <c r="G30" s="45"/>
      <c r="H30" s="45"/>
      <c r="I30" s="45"/>
      <c r="J30" s="45"/>
      <c r="K30" s="45"/>
      <c r="L30" s="46"/>
      <c r="M30" s="46"/>
    </row>
    <row r="31" spans="1:16" ht="19.5" customHeight="1">
      <c r="A31" s="228" t="s">
        <v>0</v>
      </c>
      <c r="B31" s="228"/>
      <c r="C31" s="228"/>
      <c r="D31" s="228"/>
      <c r="E31" s="228"/>
      <c r="F31" s="228"/>
      <c r="G31" s="228"/>
      <c r="H31" s="228"/>
      <c r="I31" s="228"/>
      <c r="J31" s="228"/>
      <c r="K31" s="228"/>
      <c r="L31" s="228"/>
      <c r="M31" s="228"/>
      <c r="N31" s="228"/>
      <c r="O31" s="228"/>
      <c r="P31" s="228"/>
    </row>
    <row r="32" spans="1:16" ht="19.5" customHeight="1">
      <c r="A32" s="228" t="s">
        <v>363</v>
      </c>
      <c r="B32" s="228"/>
      <c r="C32" s="228"/>
      <c r="D32" s="228"/>
      <c r="E32" s="228"/>
      <c r="F32" s="228"/>
      <c r="G32" s="228"/>
      <c r="H32" s="228"/>
      <c r="I32" s="228"/>
      <c r="J32" s="228"/>
      <c r="K32" s="228"/>
      <c r="L32" s="228"/>
      <c r="M32" s="228"/>
      <c r="N32" s="228"/>
      <c r="O32" s="228"/>
      <c r="P32" s="228"/>
    </row>
    <row r="33" spans="1:16" ht="19.5" customHeight="1">
      <c r="A33" s="228" t="s">
        <v>389</v>
      </c>
      <c r="B33" s="228"/>
      <c r="C33" s="228"/>
      <c r="D33" s="228"/>
      <c r="E33" s="228"/>
      <c r="F33" s="228"/>
      <c r="G33" s="228"/>
      <c r="H33" s="228"/>
      <c r="I33" s="228"/>
      <c r="J33" s="228"/>
      <c r="K33" s="228"/>
      <c r="L33" s="228"/>
      <c r="M33" s="228"/>
      <c r="N33" s="225"/>
      <c r="O33" s="226"/>
      <c r="P33" s="226"/>
    </row>
    <row r="34" spans="1:16" ht="19.5" customHeight="1">
      <c r="A34" s="227" t="s">
        <v>364</v>
      </c>
      <c r="B34" s="227"/>
      <c r="C34" s="227"/>
      <c r="D34" s="227"/>
      <c r="E34" s="227"/>
      <c r="F34" s="227"/>
      <c r="G34" s="227"/>
      <c r="H34" s="227"/>
      <c r="I34" s="227"/>
      <c r="J34" s="227"/>
      <c r="K34" s="227"/>
      <c r="L34" s="227"/>
      <c r="M34" s="227"/>
      <c r="N34" s="227"/>
      <c r="O34" s="227"/>
      <c r="P34" s="227"/>
    </row>
    <row r="35" spans="1:16">
      <c r="B35" s="160"/>
      <c r="C35" s="160"/>
      <c r="D35" s="160"/>
      <c r="E35" s="160"/>
      <c r="F35" s="160"/>
      <c r="G35" s="160"/>
      <c r="H35" s="160"/>
      <c r="I35" s="160"/>
      <c r="J35" s="160"/>
      <c r="K35" s="160"/>
      <c r="L35" s="160"/>
      <c r="M35" s="160"/>
      <c r="N35" s="160"/>
      <c r="O35" s="160"/>
    </row>
    <row r="36" spans="1:16" ht="15">
      <c r="A36" s="375"/>
      <c r="B36" s="376"/>
      <c r="C36" s="376"/>
      <c r="D36" s="376"/>
      <c r="E36" s="376"/>
      <c r="F36" s="376"/>
      <c r="G36" s="376"/>
      <c r="H36" s="376"/>
      <c r="I36" s="376"/>
      <c r="J36" s="376"/>
      <c r="K36" s="376"/>
    </row>
    <row r="37" spans="1:16" ht="15">
      <c r="A37" s="47"/>
      <c r="B37" s="48" t="str">
        <f>TEXT(K20,0)&amp;" exp+capital"</f>
        <v>2020 exp+capital</v>
      </c>
      <c r="D37" s="163" t="s">
        <v>203</v>
      </c>
    </row>
    <row r="38" spans="1:16" ht="15">
      <c r="A38" s="47" t="s">
        <v>7</v>
      </c>
      <c r="B38" s="49">
        <f>K21</f>
        <v>191285316</v>
      </c>
    </row>
    <row r="39" spans="1:16" ht="15">
      <c r="A39" s="47" t="s">
        <v>6</v>
      </c>
      <c r="B39" s="49">
        <f t="shared" ref="B39:B41" si="15">K22</f>
        <v>37571770</v>
      </c>
      <c r="D39" s="372" t="s">
        <v>82</v>
      </c>
      <c r="E39" s="373"/>
      <c r="F39" s="373"/>
      <c r="G39" s="373"/>
      <c r="H39" s="373"/>
      <c r="I39" s="373"/>
      <c r="J39" s="373"/>
      <c r="K39" s="373"/>
      <c r="L39" s="373"/>
      <c r="M39" s="373"/>
      <c r="N39" s="373"/>
    </row>
    <row r="40" spans="1:16" ht="17.25" customHeight="1">
      <c r="A40" s="47" t="s">
        <v>5</v>
      </c>
      <c r="B40" s="49">
        <f t="shared" si="15"/>
        <v>26637849</v>
      </c>
      <c r="D40" s="371" t="str">
        <f>"Total: $" &amp; TEXT(K27,"#0.0,,") &amp; " million includes $" &amp; TEXT(L16,"#0.0,,") &amp; " million in obligations to capital projects, plus General and Administrative (G&amp;A) costs ($"&amp;TEXT(K9,"#0.0,,")&amp;" million), and Columbia River System Operations Review/Environmental Impact Statement costs ($"&amp;TEXT(ROUND(K10,-2),"#0,000")&amp;")"</f>
        <v>Total: $278.2 million includes $40.2 million in obligations to capital projects, plus General and Administrative (G&amp;A) costs ($11.6 million), and Columbia River System Operations Review/Environmental Impact Statement costs ($213,900)</v>
      </c>
      <c r="E40" s="371"/>
      <c r="F40" s="371"/>
      <c r="G40" s="371"/>
      <c r="H40" s="371"/>
      <c r="I40" s="371"/>
      <c r="J40" s="371"/>
      <c r="K40" s="371"/>
      <c r="L40" s="371"/>
      <c r="M40" s="371"/>
      <c r="N40" s="371"/>
    </row>
    <row r="41" spans="1:16" ht="15">
      <c r="A41" s="47" t="s">
        <v>4</v>
      </c>
      <c r="B41" s="49">
        <f t="shared" si="15"/>
        <v>10926022</v>
      </c>
      <c r="D41" s="371"/>
      <c r="E41" s="371"/>
      <c r="F41" s="371"/>
      <c r="G41" s="371"/>
      <c r="H41" s="371"/>
      <c r="I41" s="371"/>
      <c r="J41" s="371"/>
      <c r="K41" s="371"/>
      <c r="L41" s="371"/>
      <c r="M41" s="371"/>
      <c r="N41" s="371"/>
    </row>
    <row r="42" spans="1:16" ht="15">
      <c r="A42" s="47"/>
      <c r="B42" s="49"/>
    </row>
    <row r="43" spans="1:16" ht="15">
      <c r="A43" s="47"/>
      <c r="B43" s="47"/>
    </row>
    <row r="44" spans="1:16" ht="15">
      <c r="A44" s="47"/>
      <c r="B44" s="47"/>
    </row>
    <row r="45" spans="1:16" ht="15">
      <c r="A45" s="47"/>
      <c r="B45" s="47"/>
    </row>
    <row r="46" spans="1:16" ht="15">
      <c r="A46" s="47"/>
      <c r="B46" s="47"/>
    </row>
    <row r="47" spans="1:16" ht="15">
      <c r="A47" s="1"/>
      <c r="B47" s="47"/>
    </row>
  </sheetData>
  <mergeCells count="4">
    <mergeCell ref="D40:N41"/>
    <mergeCell ref="D39:N39"/>
    <mergeCell ref="A1:L1"/>
    <mergeCell ref="A36:K36"/>
  </mergeCells>
  <pageMargins left="0.36" right="0.35" top="0.82" bottom="0.28000000000000003" header="0.21" footer="0.16"/>
  <pageSetup scale="4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
  <sheetViews>
    <sheetView zoomScaleNormal="100" workbookViewId="0">
      <selection activeCell="A11" sqref="A11"/>
    </sheetView>
  </sheetViews>
  <sheetFormatPr defaultColWidth="9.109375" defaultRowHeight="15"/>
  <cols>
    <col min="1" max="5" width="16.33203125" style="14" customWidth="1"/>
    <col min="6" max="10" width="15.44140625" style="14" bestFit="1" customWidth="1"/>
    <col min="11" max="15" width="15.44140625" style="13" customWidth="1"/>
    <col min="16" max="16" width="15.5546875" style="13" customWidth="1"/>
    <col min="17" max="16384" width="9.109375" style="13"/>
  </cols>
  <sheetData>
    <row r="1" spans="1:18" ht="30.75" customHeight="1">
      <c r="A1" s="20" t="str">
        <f>"Figure 3: Costs of FCRPS BiOp Projects, FY"&amp;B2&amp;"-"&amp;P2</f>
        <v>Figure 3: Costs of FCRPS BiOp Projects, FY2006-2020</v>
      </c>
      <c r="B1" s="20"/>
      <c r="C1" s="20"/>
      <c r="D1" s="20"/>
      <c r="E1" s="20"/>
    </row>
    <row r="2" spans="1:18" ht="21.75" customHeight="1">
      <c r="A2" s="220" t="s">
        <v>13</v>
      </c>
      <c r="B2" s="215">
        <v>2006</v>
      </c>
      <c r="C2" s="215">
        <v>2007</v>
      </c>
      <c r="D2" s="215">
        <v>2008</v>
      </c>
      <c r="E2" s="215">
        <v>2009</v>
      </c>
      <c r="F2" s="215">
        <v>2010</v>
      </c>
      <c r="G2" s="215">
        <v>2011</v>
      </c>
      <c r="H2" s="215">
        <v>2012</v>
      </c>
      <c r="I2" s="215">
        <v>2013</v>
      </c>
      <c r="J2" s="215">
        <v>2014</v>
      </c>
      <c r="K2" s="215">
        <v>2015</v>
      </c>
      <c r="L2" s="215" t="s">
        <v>388</v>
      </c>
      <c r="M2" s="215">
        <v>2017</v>
      </c>
      <c r="N2" s="215">
        <v>2018</v>
      </c>
      <c r="O2" s="215">
        <v>2019</v>
      </c>
      <c r="P2" s="215">
        <v>2020</v>
      </c>
    </row>
    <row r="3" spans="1:18">
      <c r="A3" s="50" t="s">
        <v>12</v>
      </c>
      <c r="B3" s="42">
        <v>74024959.329999998</v>
      </c>
      <c r="C3" s="42">
        <v>78219265.00000003</v>
      </c>
      <c r="D3" s="42">
        <v>91806508</v>
      </c>
      <c r="E3" s="42">
        <v>113900603</v>
      </c>
      <c r="F3" s="42">
        <v>129758323</v>
      </c>
      <c r="G3" s="42">
        <v>143477289</v>
      </c>
      <c r="H3" s="42">
        <v>162060445</v>
      </c>
      <c r="I3" s="42">
        <v>151177409</v>
      </c>
      <c r="J3" s="42">
        <v>143128947.90000001</v>
      </c>
      <c r="K3" s="42">
        <v>165362220.78999999</v>
      </c>
      <c r="L3" s="113">
        <v>159987743.56999999</v>
      </c>
      <c r="M3" s="113">
        <v>156828472.72999999</v>
      </c>
      <c r="N3" s="113">
        <v>153679667</v>
      </c>
      <c r="O3" s="114">
        <v>137887504</v>
      </c>
      <c r="P3" s="114">
        <v>132646392</v>
      </c>
    </row>
    <row r="4" spans="1:18">
      <c r="A4" s="50" t="s">
        <v>11</v>
      </c>
      <c r="B4" s="42">
        <v>5086155.01</v>
      </c>
      <c r="C4" s="42">
        <v>8839587.0300000012</v>
      </c>
      <c r="D4" s="42">
        <v>9869097</v>
      </c>
      <c r="E4" s="42">
        <v>11668863</v>
      </c>
      <c r="F4" s="42">
        <v>21761323</v>
      </c>
      <c r="G4" s="42">
        <v>31297548</v>
      </c>
      <c r="H4" s="42">
        <v>29240867</v>
      </c>
      <c r="I4" s="42">
        <v>29683425</v>
      </c>
      <c r="J4" s="42">
        <v>5925196.1100000003</v>
      </c>
      <c r="K4" s="42">
        <v>7703153.2699999996</v>
      </c>
      <c r="L4" s="113">
        <v>1249955.1399999999</v>
      </c>
      <c r="M4" s="113">
        <v>-396792.47</v>
      </c>
      <c r="N4" s="113">
        <v>25343</v>
      </c>
      <c r="O4" s="114">
        <v>1470148</v>
      </c>
      <c r="P4" s="114">
        <v>8024833</v>
      </c>
    </row>
    <row r="5" spans="1:18" s="16" customFormat="1">
      <c r="A5" s="19" t="s">
        <v>2</v>
      </c>
      <c r="B5" s="18">
        <f t="shared" ref="B5:E5" si="0">SUM(B3:B4)</f>
        <v>79111114.340000004</v>
      </c>
      <c r="C5" s="18">
        <f t="shared" si="0"/>
        <v>87058852.030000031</v>
      </c>
      <c r="D5" s="18">
        <f t="shared" si="0"/>
        <v>101675605</v>
      </c>
      <c r="E5" s="18">
        <f t="shared" si="0"/>
        <v>125569466</v>
      </c>
      <c r="F5" s="18">
        <f t="shared" ref="F5:P5" si="1">SUM(F3:F4)</f>
        <v>151519646</v>
      </c>
      <c r="G5" s="18">
        <f t="shared" si="1"/>
        <v>174774837</v>
      </c>
      <c r="H5" s="18">
        <f t="shared" si="1"/>
        <v>191301312</v>
      </c>
      <c r="I5" s="18">
        <f t="shared" si="1"/>
        <v>180860834</v>
      </c>
      <c r="J5" s="17">
        <f t="shared" si="1"/>
        <v>149054144.01000002</v>
      </c>
      <c r="K5" s="17">
        <f t="shared" si="1"/>
        <v>173065374.06</v>
      </c>
      <c r="L5" s="17">
        <f t="shared" si="1"/>
        <v>161237698.70999998</v>
      </c>
      <c r="M5" s="17">
        <f t="shared" ref="M5:O5" si="2">SUM(M3:M4)</f>
        <v>156431680.25999999</v>
      </c>
      <c r="N5" s="17">
        <f t="shared" si="2"/>
        <v>153705010</v>
      </c>
      <c r="O5" s="17">
        <f t="shared" si="2"/>
        <v>139357652</v>
      </c>
      <c r="P5" s="17">
        <f t="shared" si="1"/>
        <v>140671225</v>
      </c>
    </row>
    <row r="6" spans="1:18" s="16" customFormat="1">
      <c r="A6" s="15"/>
      <c r="B6" s="15"/>
      <c r="C6" s="15"/>
      <c r="D6" s="15"/>
      <c r="E6" s="15"/>
      <c r="F6" s="51"/>
      <c r="G6" s="51"/>
      <c r="H6" s="51"/>
      <c r="I6" s="51"/>
      <c r="J6" s="51"/>
      <c r="K6" s="51"/>
      <c r="L6" s="51"/>
      <c r="M6" s="51"/>
      <c r="N6" s="51"/>
      <c r="O6" s="51"/>
      <c r="P6" s="51"/>
    </row>
    <row r="7" spans="1:18" s="16" customFormat="1">
      <c r="A7" s="15" t="s">
        <v>73</v>
      </c>
      <c r="B7" s="15"/>
      <c r="C7" s="15"/>
      <c r="D7" s="15"/>
      <c r="E7" s="15"/>
      <c r="F7" s="51"/>
      <c r="G7" s="51"/>
      <c r="H7" s="51"/>
      <c r="I7" s="51"/>
      <c r="J7" s="51"/>
      <c r="K7" s="51"/>
      <c r="L7" s="51"/>
      <c r="M7" s="51"/>
      <c r="N7" s="51"/>
      <c r="O7" s="51"/>
      <c r="P7" s="51"/>
    </row>
    <row r="8" spans="1:18">
      <c r="B8" s="14" t="str">
        <f t="shared" ref="B8:E8" si="3">LEFT(B2,4)</f>
        <v>2006</v>
      </c>
      <c r="C8" s="14" t="str">
        <f t="shared" si="3"/>
        <v>2007</v>
      </c>
      <c r="D8" s="14" t="str">
        <f t="shared" si="3"/>
        <v>2008</v>
      </c>
      <c r="E8" s="14" t="str">
        <f t="shared" si="3"/>
        <v>2009</v>
      </c>
      <c r="F8" s="14" t="str">
        <f>LEFT(F2,4)</f>
        <v>2010</v>
      </c>
      <c r="G8" s="14" t="str">
        <f t="shared" ref="G8:P8" si="4">LEFT(G2,4)</f>
        <v>2011</v>
      </c>
      <c r="H8" s="14" t="str">
        <f t="shared" si="4"/>
        <v>2012</v>
      </c>
      <c r="I8" s="14" t="str">
        <f t="shared" si="4"/>
        <v>2013</v>
      </c>
      <c r="J8" s="14" t="str">
        <f t="shared" si="4"/>
        <v>2014</v>
      </c>
      <c r="K8" s="14" t="str">
        <f t="shared" si="4"/>
        <v>2015</v>
      </c>
      <c r="L8" s="14" t="str">
        <f t="shared" si="4"/>
        <v>2016</v>
      </c>
      <c r="M8" s="14" t="str">
        <f t="shared" ref="M8:O8" si="5">LEFT(M2,4)</f>
        <v>2017</v>
      </c>
      <c r="N8" s="14" t="str">
        <f t="shared" si="5"/>
        <v>2018</v>
      </c>
      <c r="O8" s="14" t="str">
        <f t="shared" si="5"/>
        <v>2019</v>
      </c>
      <c r="P8" s="14" t="str">
        <f t="shared" si="4"/>
        <v>2020</v>
      </c>
    </row>
    <row r="9" spans="1:18">
      <c r="A9" s="15" t="s">
        <v>1</v>
      </c>
      <c r="B9" s="15"/>
      <c r="C9" s="15"/>
      <c r="D9" s="15"/>
      <c r="E9" s="15"/>
    </row>
    <row r="10" spans="1:18" ht="20.25" customHeight="1">
      <c r="A10" s="229" t="s">
        <v>202</v>
      </c>
      <c r="B10" s="229"/>
      <c r="C10" s="229"/>
      <c r="D10" s="229"/>
      <c r="E10" s="229"/>
      <c r="F10" s="229"/>
      <c r="G10" s="229"/>
      <c r="H10" s="229"/>
      <c r="I10" s="229"/>
      <c r="J10" s="229"/>
      <c r="K10" s="229"/>
      <c r="L10" s="229"/>
      <c r="M10" s="229"/>
      <c r="N10" s="229"/>
      <c r="O10" s="229"/>
      <c r="P10" s="229"/>
      <c r="Q10" s="229"/>
      <c r="R10" s="229"/>
    </row>
    <row r="11" spans="1:18" ht="18" customHeight="1">
      <c r="A11" s="229" t="s">
        <v>236</v>
      </c>
      <c r="B11" s="229"/>
      <c r="C11" s="229"/>
      <c r="D11" s="229"/>
      <c r="E11" s="229"/>
      <c r="F11" s="229"/>
      <c r="G11" s="229"/>
      <c r="H11" s="229"/>
      <c r="I11" s="229"/>
      <c r="J11" s="229"/>
      <c r="K11" s="229"/>
      <c r="L11" s="229"/>
      <c r="M11" s="229"/>
      <c r="N11" s="229"/>
      <c r="O11" s="229"/>
      <c r="P11" s="229"/>
      <c r="Q11" s="229"/>
      <c r="R11" s="229"/>
    </row>
    <row r="12" spans="1:18">
      <c r="A12" s="161"/>
      <c r="B12" s="161"/>
      <c r="C12" s="161"/>
      <c r="D12" s="161"/>
      <c r="E12" s="161"/>
      <c r="F12" s="161"/>
      <c r="G12" s="161"/>
      <c r="H12" s="161"/>
      <c r="I12" s="161"/>
      <c r="J12" s="161"/>
      <c r="K12" s="162"/>
      <c r="L12" s="162"/>
      <c r="M12" s="162"/>
      <c r="N12" s="162"/>
      <c r="O12" s="162"/>
      <c r="P12" s="162"/>
      <c r="Q12" s="162"/>
    </row>
    <row r="13" spans="1:18">
      <c r="A13" s="161"/>
      <c r="B13" s="161"/>
      <c r="C13" s="161"/>
      <c r="D13" s="161"/>
      <c r="E13" s="161"/>
      <c r="F13" s="161"/>
      <c r="G13" s="161"/>
      <c r="H13" s="161"/>
      <c r="I13" s="161"/>
      <c r="J13" s="161"/>
      <c r="K13" s="162"/>
      <c r="L13" s="162"/>
      <c r="M13" s="162"/>
      <c r="N13" s="162"/>
      <c r="O13" s="162"/>
      <c r="P13" s="162"/>
      <c r="Q13" s="162"/>
    </row>
    <row r="14" spans="1:18">
      <c r="A14" s="132"/>
      <c r="B14" s="135"/>
      <c r="C14" s="135"/>
      <c r="D14" s="134"/>
      <c r="E14" s="134"/>
      <c r="F14" s="132"/>
      <c r="G14" s="132"/>
      <c r="H14" s="132"/>
      <c r="I14" s="132"/>
      <c r="J14" s="132"/>
      <c r="K14"/>
      <c r="L14"/>
      <c r="M14"/>
      <c r="N14"/>
      <c r="O14"/>
      <c r="P14"/>
      <c r="Q14"/>
    </row>
  </sheetData>
  <pageMargins left="0.56000000000000005" right="0.5" top="1.03" bottom="1.08" header="0.16" footer="0.22"/>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8"/>
  <sheetViews>
    <sheetView zoomScale="85" zoomScaleNormal="85" workbookViewId="0">
      <selection activeCell="A2" sqref="A2"/>
    </sheetView>
  </sheetViews>
  <sheetFormatPr defaultColWidth="9.109375" defaultRowHeight="13.8"/>
  <cols>
    <col min="1" max="1" width="62.88671875" style="21" bestFit="1" customWidth="1"/>
    <col min="2" max="2" width="14.5546875" style="24" bestFit="1" customWidth="1"/>
    <col min="3" max="3" width="16.6640625" style="24" bestFit="1" customWidth="1"/>
    <col min="4" max="4" width="16.44140625" style="23" bestFit="1" customWidth="1"/>
    <col min="5" max="5" width="17.44140625" style="24" customWidth="1"/>
    <col min="6" max="6" width="16.6640625" style="24" bestFit="1" customWidth="1"/>
    <col min="7" max="7" width="15.44140625" style="23" bestFit="1" customWidth="1"/>
    <col min="8" max="8" width="14.5546875" style="22" bestFit="1" customWidth="1"/>
    <col min="9" max="16384" width="9.109375" style="21"/>
  </cols>
  <sheetData>
    <row r="1" spans="1:8" ht="33" customHeight="1">
      <c r="A1" s="378" t="s">
        <v>391</v>
      </c>
      <c r="B1" s="378"/>
      <c r="C1" s="378"/>
      <c r="D1" s="378"/>
      <c r="E1" s="378"/>
      <c r="F1" s="378"/>
      <c r="G1" s="378"/>
      <c r="H1" s="378"/>
    </row>
    <row r="2" spans="1:8" s="27" customFormat="1" ht="55.2">
      <c r="A2" s="217" t="s">
        <v>37</v>
      </c>
      <c r="B2" s="218" t="s">
        <v>36</v>
      </c>
      <c r="C2" s="218" t="s">
        <v>35</v>
      </c>
      <c r="D2" s="219" t="s">
        <v>34</v>
      </c>
      <c r="E2" s="218" t="s">
        <v>33</v>
      </c>
      <c r="F2" s="218" t="s">
        <v>32</v>
      </c>
      <c r="G2" s="219" t="s">
        <v>31</v>
      </c>
      <c r="H2" s="218" t="s">
        <v>30</v>
      </c>
    </row>
    <row r="3" spans="1:8">
      <c r="A3" s="183" t="s">
        <v>29</v>
      </c>
      <c r="B3" s="184">
        <v>5276764.7393826302</v>
      </c>
      <c r="C3" s="184">
        <v>1187689.5084847501</v>
      </c>
      <c r="D3" s="185">
        <v>6464454.2478673803</v>
      </c>
      <c r="E3" s="184">
        <v>1355964.2871256401</v>
      </c>
      <c r="F3" s="184">
        <v>23093.860958646001</v>
      </c>
      <c r="G3" s="185">
        <v>1379058.1480842901</v>
      </c>
      <c r="H3" s="186">
        <v>7843512.3959516697</v>
      </c>
    </row>
    <row r="4" spans="1:8">
      <c r="A4" s="183" t="s">
        <v>28</v>
      </c>
      <c r="B4" s="184">
        <v>7637609.2472302504</v>
      </c>
      <c r="C4" s="184">
        <v>2455552.2768645599</v>
      </c>
      <c r="D4" s="185">
        <v>10093161.5240948</v>
      </c>
      <c r="E4" s="184">
        <v>1380045.09079231</v>
      </c>
      <c r="F4" s="184">
        <v>23519.1371022969</v>
      </c>
      <c r="G4" s="185">
        <v>1403564.2278946</v>
      </c>
      <c r="H4" s="186">
        <v>11496725.7519894</v>
      </c>
    </row>
    <row r="5" spans="1:8">
      <c r="A5" s="183" t="s">
        <v>27</v>
      </c>
      <c r="B5" s="184">
        <v>16991781.965548601</v>
      </c>
      <c r="C5" s="184">
        <v>4817711.5784705998</v>
      </c>
      <c r="D5" s="185">
        <v>21809493.5440192</v>
      </c>
      <c r="E5" s="184">
        <v>134259.81689230801</v>
      </c>
      <c r="F5" s="184">
        <v>1518.094045775</v>
      </c>
      <c r="G5" s="185">
        <v>135777.91093808299</v>
      </c>
      <c r="H5" s="186">
        <v>21945271.454957299</v>
      </c>
    </row>
    <row r="6" spans="1:8">
      <c r="A6" s="183" t="s">
        <v>26</v>
      </c>
      <c r="B6" s="184">
        <v>8841660.9349069297</v>
      </c>
      <c r="C6" s="184">
        <v>5089422.25094721</v>
      </c>
      <c r="D6" s="185">
        <v>13931083.1858541</v>
      </c>
      <c r="E6" s="184">
        <v>134259.81689230801</v>
      </c>
      <c r="F6" s="184">
        <v>1518.094045775</v>
      </c>
      <c r="G6" s="185">
        <v>135777.91093808299</v>
      </c>
      <c r="H6" s="186">
        <v>14066861.096792201</v>
      </c>
    </row>
    <row r="7" spans="1:8">
      <c r="A7" s="183" t="s">
        <v>25</v>
      </c>
      <c r="B7" s="184">
        <v>3627863.0781766698</v>
      </c>
      <c r="C7" s="184">
        <v>1247412.7500360999</v>
      </c>
      <c r="D7" s="185">
        <v>4875275.8282127799</v>
      </c>
      <c r="E7" s="184">
        <v>134259.81689230801</v>
      </c>
      <c r="F7" s="184">
        <v>1518.094045775</v>
      </c>
      <c r="G7" s="185">
        <v>135777.91093808299</v>
      </c>
      <c r="H7" s="186">
        <v>5011053.7391508603</v>
      </c>
    </row>
    <row r="8" spans="1:8">
      <c r="A8" s="183" t="s">
        <v>24</v>
      </c>
      <c r="B8" s="184">
        <v>3053081.3405556399</v>
      </c>
      <c r="C8" s="184">
        <v>388535.642646625</v>
      </c>
      <c r="D8" s="185">
        <v>3441616.9832022702</v>
      </c>
      <c r="E8" s="184">
        <v>1353959.58749231</v>
      </c>
      <c r="F8" s="184">
        <v>23058.457249028499</v>
      </c>
      <c r="G8" s="185">
        <v>1377018.04474134</v>
      </c>
      <c r="H8" s="186">
        <v>4818635.0279436</v>
      </c>
    </row>
    <row r="9" spans="1:8">
      <c r="A9" s="183" t="s">
        <v>23</v>
      </c>
      <c r="B9" s="184">
        <v>3467868.92172815</v>
      </c>
      <c r="C9" s="184">
        <v>701051.13338467595</v>
      </c>
      <c r="D9" s="185">
        <v>4168920.0551128299</v>
      </c>
      <c r="E9" s="184">
        <v>1355964.28692564</v>
      </c>
      <c r="F9" s="184">
        <v>23093.860958645899</v>
      </c>
      <c r="G9" s="185">
        <v>1379058.14788429</v>
      </c>
      <c r="H9" s="186">
        <v>5547978.2029971201</v>
      </c>
    </row>
    <row r="10" spans="1:8">
      <c r="A10" s="183" t="s">
        <v>22</v>
      </c>
      <c r="B10" s="184">
        <v>6639479.8005891899</v>
      </c>
      <c r="C10" s="184">
        <v>1373507.9152714</v>
      </c>
      <c r="D10" s="185">
        <v>8012987.7158605801</v>
      </c>
      <c r="E10" s="184">
        <v>134259.81689230801</v>
      </c>
      <c r="F10" s="184">
        <v>1518.094045775</v>
      </c>
      <c r="G10" s="185">
        <v>135777.91093808299</v>
      </c>
      <c r="H10" s="186">
        <v>8148765.6267986596</v>
      </c>
    </row>
    <row r="11" spans="1:8">
      <c r="A11" s="183" t="s">
        <v>21</v>
      </c>
      <c r="B11" s="184">
        <v>4280297.0046402495</v>
      </c>
      <c r="C11" s="184">
        <v>1019809.16262697</v>
      </c>
      <c r="D11" s="185">
        <v>5300106.1672672201</v>
      </c>
      <c r="E11" s="184">
        <v>1355964.28692564</v>
      </c>
      <c r="F11" s="184">
        <v>23093.860958646001</v>
      </c>
      <c r="G11" s="185">
        <v>1379058.14788429</v>
      </c>
      <c r="H11" s="186">
        <v>6679164.3151515098</v>
      </c>
    </row>
    <row r="12" spans="1:8">
      <c r="A12" s="183" t="s">
        <v>20</v>
      </c>
      <c r="B12" s="184">
        <v>25190760.657828201</v>
      </c>
      <c r="C12" s="184">
        <v>10779728.088995701</v>
      </c>
      <c r="D12" s="185">
        <v>35970488.746823803</v>
      </c>
      <c r="E12" s="184">
        <v>134259.81689230801</v>
      </c>
      <c r="F12" s="184">
        <v>1518.094045775</v>
      </c>
      <c r="G12" s="185">
        <v>135777.91093808299</v>
      </c>
      <c r="H12" s="186">
        <v>36106266.657761902</v>
      </c>
    </row>
    <row r="13" spans="1:8">
      <c r="A13" s="183" t="s">
        <v>19</v>
      </c>
      <c r="B13" s="184">
        <v>17893167.5973568</v>
      </c>
      <c r="C13" s="184">
        <v>5128050.2253610203</v>
      </c>
      <c r="D13" s="185">
        <v>23021217.822717801</v>
      </c>
      <c r="E13" s="184">
        <v>160345.32019230799</v>
      </c>
      <c r="F13" s="184">
        <v>1978.77389904336</v>
      </c>
      <c r="G13" s="185">
        <v>162324.094091351</v>
      </c>
      <c r="H13" s="186">
        <v>23183541.916809101</v>
      </c>
    </row>
    <row r="14" spans="1:8">
      <c r="A14" s="183" t="s">
        <v>239</v>
      </c>
      <c r="B14" s="184">
        <v>8574446.6282872707</v>
      </c>
      <c r="C14" s="184">
        <v>3731615.0353082302</v>
      </c>
      <c r="D14" s="185">
        <v>12306061.663595499</v>
      </c>
      <c r="E14" s="184">
        <v>159653.79299230801</v>
      </c>
      <c r="F14" s="184">
        <v>-29568.698800956601</v>
      </c>
      <c r="G14" s="185">
        <v>130085.094191351</v>
      </c>
      <c r="H14" s="186">
        <v>12436146.7577869</v>
      </c>
    </row>
    <row r="15" spans="1:8">
      <c r="A15" s="183" t="s">
        <v>18</v>
      </c>
      <c r="B15" s="184">
        <v>2748001.0395836998</v>
      </c>
      <c r="C15" s="184">
        <v>1026190.7369135499</v>
      </c>
      <c r="D15" s="185">
        <v>3774191.7764972602</v>
      </c>
      <c r="E15" s="184">
        <v>134259.81689230801</v>
      </c>
      <c r="F15" s="184">
        <v>1518.094045775</v>
      </c>
      <c r="G15" s="185">
        <v>135777.91093808299</v>
      </c>
      <c r="H15" s="186">
        <v>3909969.6874353401</v>
      </c>
    </row>
    <row r="16" spans="1:8">
      <c r="A16" s="183" t="s">
        <v>17</v>
      </c>
      <c r="B16" s="184">
        <v>991104.65740000003</v>
      </c>
      <c r="C16" s="184">
        <v>873531.57279999997</v>
      </c>
      <c r="D16" s="185">
        <v>1864636.2302000001</v>
      </c>
      <c r="E16" s="184">
        <v>0</v>
      </c>
      <c r="F16" s="184">
        <v>0</v>
      </c>
      <c r="G16" s="185">
        <v>0</v>
      </c>
      <c r="H16" s="186">
        <v>1864636.2302000001</v>
      </c>
    </row>
    <row r="17" spans="1:8">
      <c r="A17" s="183" t="s">
        <v>16</v>
      </c>
      <c r="B17" s="184">
        <v>4463192.5080000004</v>
      </c>
      <c r="C17" s="184">
        <v>4055095.6326790201</v>
      </c>
      <c r="D17" s="185">
        <v>8518288.1406790204</v>
      </c>
      <c r="E17" s="184">
        <v>0</v>
      </c>
      <c r="F17" s="184">
        <v>0</v>
      </c>
      <c r="G17" s="185">
        <v>0</v>
      </c>
      <c r="H17" s="186">
        <v>8518288.1406790204</v>
      </c>
    </row>
    <row r="18" spans="1:8">
      <c r="A18" s="183" t="s">
        <v>15</v>
      </c>
      <c r="B18" s="187">
        <v>9486406.9781858195</v>
      </c>
      <c r="C18" s="187">
        <v>6218576.8413096098</v>
      </c>
      <c r="D18" s="185">
        <v>15704983.8194954</v>
      </c>
      <c r="E18" s="187">
        <v>1698152.5</v>
      </c>
      <c r="F18" s="187">
        <v>0</v>
      </c>
      <c r="G18" s="185">
        <v>1698152.5</v>
      </c>
      <c r="H18" s="188">
        <v>17403136.319495399</v>
      </c>
    </row>
    <row r="19" spans="1:8" s="25" customFormat="1">
      <c r="A19" s="25" t="s">
        <v>2</v>
      </c>
      <c r="B19" s="26">
        <f t="shared" ref="B19:G19" si="0">SUM(B3:B18)</f>
        <v>129163487.09940009</v>
      </c>
      <c r="C19" s="26">
        <f t="shared" si="0"/>
        <v>50093480.352100022</v>
      </c>
      <c r="D19" s="26">
        <f t="shared" si="0"/>
        <v>179256967.45149997</v>
      </c>
      <c r="E19" s="26">
        <f t="shared" si="0"/>
        <v>9625608.0538000055</v>
      </c>
      <c r="F19" s="26">
        <f t="shared" si="0"/>
        <v>97377.816600000049</v>
      </c>
      <c r="G19" s="26">
        <f t="shared" si="0"/>
        <v>9722985.8704000115</v>
      </c>
      <c r="H19" s="26">
        <f t="shared" ref="H19" si="1">D19+G19</f>
        <v>188979953.32189998</v>
      </c>
    </row>
    <row r="21" spans="1:8">
      <c r="A21" s="25" t="s">
        <v>1</v>
      </c>
    </row>
    <row r="22" spans="1:8" ht="16.5" customHeight="1">
      <c r="A22" s="230" t="s">
        <v>240</v>
      </c>
      <c r="B22" s="230"/>
      <c r="C22" s="230"/>
      <c r="D22" s="230"/>
      <c r="E22" s="230"/>
      <c r="F22" s="230"/>
      <c r="G22" s="230"/>
      <c r="H22" s="230"/>
    </row>
    <row r="23" spans="1:8" ht="17.25" customHeight="1">
      <c r="A23" s="230" t="s">
        <v>14</v>
      </c>
      <c r="B23" s="230"/>
      <c r="C23" s="230"/>
      <c r="D23" s="230"/>
      <c r="E23" s="230"/>
      <c r="F23" s="230"/>
      <c r="G23" s="230"/>
      <c r="H23" s="230"/>
    </row>
    <row r="24" spans="1:8" ht="17.25" customHeight="1">
      <c r="A24" s="230" t="s">
        <v>241</v>
      </c>
      <c r="B24" s="230"/>
      <c r="C24" s="230"/>
      <c r="D24" s="230"/>
      <c r="E24" s="230"/>
      <c r="F24" s="230"/>
      <c r="G24" s="230"/>
      <c r="H24" s="230"/>
    </row>
    <row r="25" spans="1:8">
      <c r="A25" s="230" t="s">
        <v>390</v>
      </c>
      <c r="B25" s="230"/>
      <c r="C25" s="230"/>
      <c r="D25" s="230"/>
      <c r="E25" s="230"/>
      <c r="F25" s="230"/>
      <c r="G25" s="230"/>
      <c r="H25" s="230"/>
    </row>
    <row r="26" spans="1:8">
      <c r="A26" s="96"/>
      <c r="B26" s="96"/>
      <c r="C26" s="96"/>
      <c r="D26" s="96"/>
      <c r="E26" s="96"/>
      <c r="F26" s="96"/>
      <c r="G26" s="96"/>
      <c r="H26" s="96"/>
    </row>
    <row r="27" spans="1:8">
      <c r="A27" s="21" t="s">
        <v>83</v>
      </c>
    </row>
    <row r="28" spans="1:8" ht="33.75" customHeight="1">
      <c r="A28" s="377" t="str">
        <f>"Total: $" &amp; TEXT(H19,"#.0,,") &amp; " million (Expense: $" &amp; TEXT(D19,"#.0,,") &amp; " million, Capital: $" &amp; TEXT(G19,"#.0,,") &amp; " million)"</f>
        <v>Total: $189.0 million (Expense: $179.3 million, Capital: $9.7 million)</v>
      </c>
      <c r="B28" s="377"/>
      <c r="C28" s="377"/>
      <c r="D28" s="377"/>
    </row>
  </sheetData>
  <mergeCells count="2">
    <mergeCell ref="A28:D28"/>
    <mergeCell ref="A1:H1"/>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1"/>
  <sheetViews>
    <sheetView zoomScale="85" zoomScaleNormal="85" workbookViewId="0">
      <selection activeCell="A18" sqref="A18"/>
    </sheetView>
  </sheetViews>
  <sheetFormatPr defaultColWidth="9.109375" defaultRowHeight="15"/>
  <cols>
    <col min="1" max="1" width="32.88671875" style="52" customWidth="1"/>
    <col min="2" max="2" width="17.109375" style="52" customWidth="1"/>
    <col min="3" max="6" width="17.109375" style="52" bestFit="1" customWidth="1"/>
    <col min="7" max="11" width="17.6640625" style="52" customWidth="1"/>
    <col min="12" max="16384" width="9.109375" style="52"/>
  </cols>
  <sheetData>
    <row r="1" spans="1:13">
      <c r="A1" s="379" t="str">
        <f t="shared" ref="A1" si="0">"Figure 5: Costs by Fund, FY"&amp;K4</f>
        <v>Figure 5: Costs by Fund, FY2020</v>
      </c>
      <c r="B1" s="379"/>
      <c r="C1" s="379"/>
      <c r="D1" s="379"/>
      <c r="E1" s="379"/>
      <c r="F1" s="379"/>
      <c r="G1" s="379"/>
      <c r="H1" s="379"/>
      <c r="I1" s="379"/>
      <c r="J1" s="379"/>
      <c r="K1" s="379"/>
    </row>
    <row r="2" spans="1:13">
      <c r="A2" s="54"/>
      <c r="B2" s="53"/>
      <c r="C2" s="53"/>
      <c r="D2" s="53"/>
      <c r="E2" s="53"/>
      <c r="F2" s="53"/>
    </row>
    <row r="3" spans="1:13">
      <c r="A3" s="53"/>
      <c r="B3" s="53"/>
      <c r="C3" s="53"/>
      <c r="D3" s="53"/>
      <c r="E3" s="53"/>
      <c r="F3" s="53"/>
    </row>
    <row r="4" spans="1:13" ht="17.399999999999999">
      <c r="A4" s="216" t="s">
        <v>387</v>
      </c>
      <c r="B4" s="215">
        <v>2011</v>
      </c>
      <c r="C4" s="215">
        <v>2012</v>
      </c>
      <c r="D4" s="215">
        <v>2013</v>
      </c>
      <c r="E4" s="215">
        <v>2014</v>
      </c>
      <c r="F4" s="215">
        <v>2015</v>
      </c>
      <c r="G4" s="215" t="s">
        <v>237</v>
      </c>
      <c r="H4" s="215">
        <v>2017</v>
      </c>
      <c r="I4" s="215">
        <v>2018</v>
      </c>
      <c r="J4" s="215">
        <v>2019</v>
      </c>
      <c r="K4" s="215">
        <v>2020</v>
      </c>
    </row>
    <row r="5" spans="1:13">
      <c r="A5" s="3" t="s">
        <v>204</v>
      </c>
      <c r="B5" s="199">
        <v>105257648</v>
      </c>
      <c r="C5" s="199">
        <v>109818406</v>
      </c>
      <c r="D5" s="200">
        <v>102742463.01000001</v>
      </c>
      <c r="E5" s="200">
        <v>93422644</v>
      </c>
      <c r="F5" s="200">
        <v>102350719.14</v>
      </c>
      <c r="G5" s="200">
        <v>103824064</v>
      </c>
      <c r="H5" s="200">
        <v>98720366</v>
      </c>
      <c r="I5" s="200">
        <v>96641476</v>
      </c>
      <c r="J5" s="200">
        <v>84178235</v>
      </c>
      <c r="K5" s="200">
        <v>75452137</v>
      </c>
    </row>
    <row r="6" spans="1:13" ht="17.399999999999999">
      <c r="A6" s="3" t="s">
        <v>78</v>
      </c>
      <c r="B6" s="199"/>
      <c r="C6" s="199"/>
      <c r="D6" s="200"/>
      <c r="E6" s="200"/>
      <c r="F6" s="200"/>
      <c r="G6" s="200"/>
      <c r="H6" s="200"/>
      <c r="I6" s="200"/>
      <c r="J6" s="200"/>
      <c r="K6" s="200"/>
      <c r="M6" s="58"/>
    </row>
    <row r="7" spans="1:13">
      <c r="A7" s="57" t="s">
        <v>77</v>
      </c>
      <c r="B7" s="199">
        <v>79829739</v>
      </c>
      <c r="C7" s="199">
        <v>76351240</v>
      </c>
      <c r="D7" s="200">
        <v>75238564.810000002</v>
      </c>
      <c r="E7" s="200">
        <v>53057116.689999998</v>
      </c>
      <c r="F7" s="200">
        <v>78332688.890000001</v>
      </c>
      <c r="G7" s="200">
        <v>56932653</v>
      </c>
      <c r="H7" s="200">
        <v>57033262</v>
      </c>
      <c r="I7" s="200">
        <v>57573752</v>
      </c>
      <c r="J7" s="200">
        <v>57509278</v>
      </c>
      <c r="K7" s="200">
        <v>54086446</v>
      </c>
    </row>
    <row r="8" spans="1:13">
      <c r="A8" s="57" t="s">
        <v>205</v>
      </c>
      <c r="B8" s="199">
        <v>37606835</v>
      </c>
      <c r="C8" s="199">
        <v>45782424</v>
      </c>
      <c r="D8" s="200">
        <v>48583014.189999998</v>
      </c>
      <c r="E8" s="200">
        <v>50913614.200000003</v>
      </c>
      <c r="F8" s="200">
        <v>36986093.710000001</v>
      </c>
      <c r="G8" s="200">
        <v>48793368</v>
      </c>
      <c r="H8" s="200">
        <v>46988392</v>
      </c>
      <c r="I8" s="200">
        <v>66808002</v>
      </c>
      <c r="J8" s="200">
        <v>70365137</v>
      </c>
      <c r="K8" s="200">
        <v>80266680</v>
      </c>
    </row>
    <row r="9" spans="1:13">
      <c r="A9" s="3" t="s">
        <v>76</v>
      </c>
      <c r="B9" s="199">
        <v>73608793</v>
      </c>
      <c r="C9" s="199">
        <v>58956587</v>
      </c>
      <c r="D9" s="200">
        <v>48813940.990000002</v>
      </c>
      <c r="E9" s="200">
        <v>54828830</v>
      </c>
      <c r="F9" s="200">
        <v>44748863.060000002</v>
      </c>
      <c r="G9" s="200">
        <v>47558238</v>
      </c>
      <c r="H9" s="200">
        <v>40649455</v>
      </c>
      <c r="I9" s="200">
        <v>45108946</v>
      </c>
      <c r="J9" s="200">
        <v>23354937</v>
      </c>
      <c r="K9" s="200">
        <v>41369889</v>
      </c>
    </row>
    <row r="10" spans="1:13">
      <c r="A10" s="3" t="s">
        <v>75</v>
      </c>
      <c r="B10" s="199">
        <v>14911880</v>
      </c>
      <c r="C10" s="199">
        <v>15501115</v>
      </c>
      <c r="D10" s="200">
        <v>15723909</v>
      </c>
      <c r="E10" s="200">
        <v>16911905</v>
      </c>
      <c r="F10" s="200">
        <v>17132184</v>
      </c>
      <c r="G10" s="200">
        <v>17063851</v>
      </c>
      <c r="H10" s="200">
        <v>16566061</v>
      </c>
      <c r="I10" s="200">
        <v>12567914</v>
      </c>
      <c r="J10" s="200">
        <v>15445314</v>
      </c>
      <c r="K10" s="200">
        <v>15245805</v>
      </c>
    </row>
    <row r="11" spans="1:13">
      <c r="A11" s="3" t="s">
        <v>279</v>
      </c>
      <c r="B11" s="199"/>
      <c r="C11" s="199"/>
      <c r="D11" s="200"/>
      <c r="E11" s="200"/>
      <c r="F11" s="200"/>
      <c r="G11" s="200"/>
      <c r="H11" s="200"/>
      <c r="I11" s="200">
        <v>10367580</v>
      </c>
      <c r="J11" s="200">
        <v>11607301</v>
      </c>
      <c r="K11" s="200">
        <v>11601030</v>
      </c>
    </row>
    <row r="12" spans="1:13">
      <c r="A12" s="56" t="s">
        <v>74</v>
      </c>
      <c r="B12" s="55">
        <f t="shared" ref="B12:K12" si="1">SUM(B5:B11)</f>
        <v>311214895</v>
      </c>
      <c r="C12" s="55">
        <f t="shared" si="1"/>
        <v>306409772</v>
      </c>
      <c r="D12" s="55">
        <f t="shared" si="1"/>
        <v>291101892</v>
      </c>
      <c r="E12" s="55">
        <f t="shared" si="1"/>
        <v>269134109.88999999</v>
      </c>
      <c r="F12" s="55">
        <f t="shared" si="1"/>
        <v>279550548.80000001</v>
      </c>
      <c r="G12" s="55">
        <f t="shared" si="1"/>
        <v>274172174</v>
      </c>
      <c r="H12" s="55">
        <f t="shared" si="1"/>
        <v>259957536</v>
      </c>
      <c r="I12" s="55">
        <f t="shared" ref="I12" si="2">SUM(I5:I11)</f>
        <v>289067670</v>
      </c>
      <c r="J12" s="55">
        <f t="shared" ref="J12" si="3">SUM(J5:J11)</f>
        <v>262460202</v>
      </c>
      <c r="K12" s="55">
        <f t="shared" si="1"/>
        <v>278021987</v>
      </c>
    </row>
    <row r="13" spans="1:13">
      <c r="A13" s="53"/>
      <c r="B13" s="53"/>
      <c r="C13" s="53"/>
      <c r="D13" s="53"/>
      <c r="E13" s="53"/>
      <c r="F13" s="53"/>
    </row>
    <row r="14" spans="1:13">
      <c r="A14" s="53"/>
      <c r="B14" s="53"/>
      <c r="C14" s="53"/>
      <c r="D14" s="53"/>
      <c r="E14" s="53"/>
      <c r="F14" s="53"/>
    </row>
    <row r="15" spans="1:13">
      <c r="A15" s="54" t="s">
        <v>1</v>
      </c>
      <c r="B15" s="53"/>
      <c r="C15" s="53"/>
      <c r="D15" s="53"/>
      <c r="E15" s="53"/>
      <c r="F15" s="53"/>
    </row>
    <row r="16" spans="1:13" ht="17.25" customHeight="1">
      <c r="A16" s="232" t="s">
        <v>393</v>
      </c>
      <c r="B16" s="224"/>
      <c r="C16" s="224"/>
      <c r="D16" s="224"/>
      <c r="E16" s="224"/>
      <c r="F16" s="224"/>
      <c r="G16" s="224"/>
      <c r="H16" s="224"/>
      <c r="I16" s="224"/>
      <c r="J16" s="224"/>
      <c r="K16" s="224"/>
      <c r="L16" s="224"/>
      <c r="M16" s="224"/>
    </row>
    <row r="17" spans="1:14" ht="18.600000000000001" customHeight="1">
      <c r="A17" s="232" t="s">
        <v>394</v>
      </c>
      <c r="B17" s="224"/>
      <c r="C17" s="224"/>
      <c r="D17" s="224"/>
      <c r="E17" s="224"/>
      <c r="F17" s="224"/>
      <c r="G17" s="224"/>
      <c r="H17" s="224"/>
      <c r="I17" s="224"/>
      <c r="J17" s="224"/>
      <c r="K17" s="224"/>
      <c r="L17" s="224"/>
      <c r="M17" s="224"/>
    </row>
    <row r="18" spans="1:14" ht="18.600000000000001" customHeight="1">
      <c r="A18" s="232" t="s">
        <v>454</v>
      </c>
      <c r="B18" s="224"/>
      <c r="C18" s="224"/>
      <c r="D18" s="224"/>
      <c r="E18" s="224"/>
      <c r="F18" s="224"/>
      <c r="G18" s="224"/>
      <c r="H18" s="224"/>
      <c r="I18" s="224"/>
      <c r="J18" s="224"/>
      <c r="K18" s="224"/>
      <c r="L18" s="224"/>
      <c r="M18" s="224"/>
    </row>
    <row r="19" spans="1:14" ht="18.600000000000001" customHeight="1">
      <c r="A19" s="232" t="s">
        <v>392</v>
      </c>
      <c r="B19" s="231"/>
      <c r="C19" s="231"/>
      <c r="D19" s="231"/>
      <c r="E19" s="231"/>
      <c r="F19" s="231"/>
      <c r="G19" s="231"/>
      <c r="H19" s="231"/>
      <c r="I19" s="231"/>
      <c r="J19" s="231"/>
      <c r="K19" s="231"/>
      <c r="L19" s="231"/>
      <c r="M19" s="231"/>
      <c r="N19" s="180"/>
    </row>
    <row r="20" spans="1:14" ht="18.600000000000001" customHeight="1">
      <c r="A20" s="232"/>
      <c r="B20" s="224"/>
      <c r="C20" s="224"/>
      <c r="D20" s="224"/>
      <c r="E20" s="224"/>
      <c r="F20" s="224"/>
      <c r="G20" s="224"/>
      <c r="H20" s="224"/>
      <c r="I20" s="224"/>
      <c r="J20" s="224"/>
      <c r="K20" s="224"/>
      <c r="L20" s="224"/>
      <c r="M20" s="224"/>
      <c r="N20" s="180"/>
    </row>
    <row r="22" spans="1:14">
      <c r="A22" s="102" t="str">
        <f>K4&amp;" (make sure these formulas catch last column)"</f>
        <v>2020 (make sure these formulas catch last column)</v>
      </c>
    </row>
    <row r="23" spans="1:14">
      <c r="A23" s="3" t="s">
        <v>79</v>
      </c>
      <c r="B23" s="59">
        <f>K5</f>
        <v>75452137</v>
      </c>
    </row>
    <row r="24" spans="1:14">
      <c r="A24" s="3" t="s">
        <v>80</v>
      </c>
      <c r="B24" s="59">
        <f>K7</f>
        <v>54086446</v>
      </c>
    </row>
    <row r="25" spans="1:14">
      <c r="A25" s="3" t="s">
        <v>81</v>
      </c>
      <c r="B25" s="59">
        <f>K8</f>
        <v>80266680</v>
      </c>
    </row>
    <row r="26" spans="1:14">
      <c r="A26" s="3" t="s">
        <v>76</v>
      </c>
      <c r="B26" s="59">
        <f>K9</f>
        <v>41369889</v>
      </c>
    </row>
    <row r="27" spans="1:14">
      <c r="A27" s="3" t="s">
        <v>75</v>
      </c>
      <c r="B27" s="59">
        <f t="shared" ref="B27" si="4">K10</f>
        <v>15245805</v>
      </c>
    </row>
    <row r="28" spans="1:14">
      <c r="A28" s="3" t="s">
        <v>279</v>
      </c>
      <c r="B28" s="59">
        <f t="shared" ref="B28" si="5">K11</f>
        <v>11601030</v>
      </c>
    </row>
    <row r="30" spans="1:14">
      <c r="A30" s="102" t="s">
        <v>84</v>
      </c>
    </row>
    <row r="31" spans="1:14">
      <c r="A31" s="52" t="str">
        <f>subtitle</f>
        <v>Total: $278.2 million includes $40.2 million in obligations to capital projects, plus General and Administrative (G&amp;A) costs ($11.6 million), and Columbia River System Operations Review/Environmental Impact Statement costs ($213,900)</v>
      </c>
    </row>
    <row r="51" ht="30" customHeight="1"/>
  </sheetData>
  <mergeCells count="1">
    <mergeCell ref="A1:K1"/>
  </mergeCells>
  <pageMargins left="0.34" right="0.37" top="1" bottom="1" header="0.5" footer="0.5"/>
  <pageSetup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3"/>
  <sheetViews>
    <sheetView zoomScale="70" zoomScaleNormal="70" workbookViewId="0">
      <selection activeCell="A21" sqref="A21"/>
    </sheetView>
  </sheetViews>
  <sheetFormatPr defaultColWidth="9.109375" defaultRowHeight="13.2"/>
  <cols>
    <col min="1" max="1" width="41.88671875" style="1" customWidth="1"/>
    <col min="2" max="2" width="15.44140625" style="61" customWidth="1"/>
    <col min="3" max="3" width="15.44140625" style="1" bestFit="1" customWidth="1"/>
    <col min="4" max="4" width="15.44140625" style="60" bestFit="1" customWidth="1"/>
    <col min="5" max="6" width="15.44140625" style="1" bestFit="1" customWidth="1"/>
    <col min="7" max="11" width="15.44140625" style="1" customWidth="1"/>
    <col min="12" max="12" width="17.6640625" style="1" customWidth="1"/>
    <col min="13" max="13" width="11.88671875" style="1" customWidth="1"/>
    <col min="14" max="16384" width="9.109375" style="1"/>
  </cols>
  <sheetData>
    <row r="1" spans="1:13" s="63" customFormat="1" ht="30.75" customHeight="1">
      <c r="A1" s="380" t="str">
        <f>"Figure 6A: Costs by Category, FY"&amp;K2</f>
        <v>Figure 6A: Costs by Category, FY2020</v>
      </c>
      <c r="B1" s="380"/>
      <c r="C1" s="380"/>
      <c r="D1" s="380"/>
      <c r="E1" s="380"/>
      <c r="F1" s="380"/>
      <c r="G1" s="380"/>
      <c r="H1" s="380"/>
      <c r="I1" s="380"/>
      <c r="J1" s="380"/>
      <c r="K1" s="380"/>
    </row>
    <row r="2" spans="1:13" s="72" customFormat="1" ht="17.399999999999999">
      <c r="A2" s="214" t="s">
        <v>13</v>
      </c>
      <c r="B2" s="214">
        <v>2011</v>
      </c>
      <c r="C2" s="214">
        <v>2012</v>
      </c>
      <c r="D2" s="214">
        <v>2013</v>
      </c>
      <c r="E2" s="214">
        <v>2014</v>
      </c>
      <c r="F2" s="214">
        <v>2015</v>
      </c>
      <c r="G2" s="214" t="s">
        <v>243</v>
      </c>
      <c r="H2" s="214">
        <v>2017</v>
      </c>
      <c r="I2" s="214">
        <v>2018</v>
      </c>
      <c r="J2" s="214">
        <v>2019</v>
      </c>
      <c r="K2" s="214">
        <v>2020</v>
      </c>
      <c r="L2" s="75" t="s">
        <v>88</v>
      </c>
      <c r="M2" s="75" t="s">
        <v>226</v>
      </c>
    </row>
    <row r="3" spans="1:13" s="63" customFormat="1" ht="15">
      <c r="A3" s="71" t="s">
        <v>206</v>
      </c>
      <c r="B3" s="114">
        <v>25185796</v>
      </c>
      <c r="C3" s="114">
        <v>28135259</v>
      </c>
      <c r="D3" s="114">
        <v>30074159.880000003</v>
      </c>
      <c r="E3" s="114">
        <v>13294304.619999999</v>
      </c>
      <c r="F3" s="115">
        <v>13500244.51</v>
      </c>
      <c r="G3" s="114">
        <v>13778450</v>
      </c>
      <c r="H3" s="115">
        <v>13866904.550000001</v>
      </c>
      <c r="I3" s="115">
        <v>12490178</v>
      </c>
      <c r="J3" s="115">
        <v>11396071</v>
      </c>
      <c r="K3" s="189">
        <v>11440413</v>
      </c>
      <c r="L3" s="119">
        <f>K3</f>
        <v>11440413</v>
      </c>
      <c r="M3" s="71" t="s">
        <v>206</v>
      </c>
    </row>
    <row r="4" spans="1:13" s="63" customFormat="1" ht="17.399999999999999">
      <c r="A4" s="71" t="s">
        <v>242</v>
      </c>
      <c r="B4" s="114"/>
      <c r="C4" s="114"/>
      <c r="D4" s="114"/>
      <c r="E4" s="114">
        <v>14616141.960000001</v>
      </c>
      <c r="F4" s="115">
        <v>14404354.34</v>
      </c>
      <c r="G4" s="114">
        <v>15213335</v>
      </c>
      <c r="H4" s="115">
        <v>14542930.67</v>
      </c>
      <c r="I4" s="115">
        <v>11036776</v>
      </c>
      <c r="J4" s="115">
        <v>11677755</v>
      </c>
      <c r="K4" s="189">
        <v>11642926</v>
      </c>
      <c r="L4" s="119">
        <f>K4</f>
        <v>11642926</v>
      </c>
      <c r="M4" s="71" t="s">
        <v>227</v>
      </c>
    </row>
    <row r="5" spans="1:13" s="63" customFormat="1" ht="15">
      <c r="A5" s="71" t="s">
        <v>42</v>
      </c>
      <c r="B5" s="65">
        <v>4319007</v>
      </c>
      <c r="C5" s="65">
        <v>4130748</v>
      </c>
      <c r="D5" s="65">
        <v>3980350.71</v>
      </c>
      <c r="E5" s="65">
        <v>4244806.68</v>
      </c>
      <c r="F5" s="65">
        <v>4077673.9</v>
      </c>
      <c r="G5" s="65">
        <v>7152515</v>
      </c>
      <c r="H5" s="65">
        <v>6798515.7999999998</v>
      </c>
      <c r="I5" s="65">
        <v>5980713</v>
      </c>
      <c r="J5" s="65">
        <v>4792926</v>
      </c>
      <c r="K5" s="189">
        <v>4000012</v>
      </c>
      <c r="L5" s="119">
        <f t="shared" ref="L5:L11" si="0">K5</f>
        <v>4000012</v>
      </c>
      <c r="M5" s="71" t="s">
        <v>42</v>
      </c>
    </row>
    <row r="6" spans="1:13" s="63" customFormat="1" ht="15">
      <c r="A6" s="71" t="s">
        <v>207</v>
      </c>
      <c r="B6" s="65">
        <v>123373947</v>
      </c>
      <c r="C6" s="65">
        <v>122609228</v>
      </c>
      <c r="D6" s="65">
        <v>118831308.82000001</v>
      </c>
      <c r="E6" s="65">
        <v>102422790.40000001</v>
      </c>
      <c r="F6" s="65">
        <v>124435134.92</v>
      </c>
      <c r="G6" s="65">
        <v>117933009</v>
      </c>
      <c r="H6" s="65">
        <v>98185616.640000001</v>
      </c>
      <c r="I6" s="65">
        <v>123250425</v>
      </c>
      <c r="J6" s="65">
        <v>95407540</v>
      </c>
      <c r="K6" s="189">
        <v>102910269</v>
      </c>
      <c r="L6" s="119">
        <f t="shared" si="0"/>
        <v>102910269</v>
      </c>
      <c r="M6" s="71" t="s">
        <v>207</v>
      </c>
    </row>
    <row r="7" spans="1:13" s="63" customFormat="1" ht="36.75" customHeight="1">
      <c r="A7" s="71" t="s">
        <v>41</v>
      </c>
      <c r="B7" s="65">
        <v>3599302</v>
      </c>
      <c r="C7" s="65">
        <v>4429624</v>
      </c>
      <c r="D7" s="65">
        <v>4077995.11</v>
      </c>
      <c r="E7" s="65">
        <v>4062872.09</v>
      </c>
      <c r="F7" s="65">
        <v>4248774.49</v>
      </c>
      <c r="G7" s="65">
        <v>4206148</v>
      </c>
      <c r="H7" s="65">
        <v>4321384.6500000004</v>
      </c>
      <c r="I7" s="65">
        <v>6599734</v>
      </c>
      <c r="J7" s="65">
        <v>4345080</v>
      </c>
      <c r="K7" s="189">
        <v>4367674</v>
      </c>
      <c r="L7" s="119">
        <f t="shared" si="0"/>
        <v>4367674</v>
      </c>
      <c r="M7" s="71" t="s">
        <v>41</v>
      </c>
    </row>
    <row r="8" spans="1:13" s="63" customFormat="1" ht="37.5" customHeight="1">
      <c r="A8" s="71" t="s">
        <v>87</v>
      </c>
      <c r="B8" s="65">
        <v>61846889</v>
      </c>
      <c r="C8" s="65">
        <v>53165835</v>
      </c>
      <c r="D8" s="65">
        <v>50024766.200000003</v>
      </c>
      <c r="E8" s="65">
        <v>45146278.850000001</v>
      </c>
      <c r="F8" s="116">
        <v>32202008.149999999</v>
      </c>
      <c r="G8" s="65">
        <v>31490426</v>
      </c>
      <c r="H8" s="116">
        <v>34872455.259999998</v>
      </c>
      <c r="I8" s="116">
        <v>36978108</v>
      </c>
      <c r="J8" s="116">
        <v>41775457</v>
      </c>
      <c r="K8" s="189">
        <v>55046556</v>
      </c>
      <c r="L8" s="119">
        <f t="shared" si="0"/>
        <v>55046556</v>
      </c>
      <c r="M8" s="71" t="s">
        <v>87</v>
      </c>
    </row>
    <row r="9" spans="1:13" s="63" customFormat="1" ht="15">
      <c r="A9" s="71" t="s">
        <v>40</v>
      </c>
      <c r="B9" s="65">
        <v>805250</v>
      </c>
      <c r="C9" s="65">
        <v>853122</v>
      </c>
      <c r="D9" s="65">
        <v>750779.54</v>
      </c>
      <c r="E9" s="65">
        <v>883679.1</v>
      </c>
      <c r="F9" s="65">
        <v>865989.83</v>
      </c>
      <c r="G9" s="65">
        <v>800717</v>
      </c>
      <c r="H9" s="65">
        <v>1007595</v>
      </c>
      <c r="I9" s="65">
        <v>939310</v>
      </c>
      <c r="J9" s="65">
        <v>921482</v>
      </c>
      <c r="K9" s="189">
        <v>1078454</v>
      </c>
      <c r="L9" s="119">
        <f t="shared" si="0"/>
        <v>1078454</v>
      </c>
      <c r="M9" s="71" t="s">
        <v>40</v>
      </c>
    </row>
    <row r="10" spans="1:13" s="63" customFormat="1" ht="15">
      <c r="A10" s="71" t="s">
        <v>39</v>
      </c>
      <c r="B10" s="65">
        <v>2983190</v>
      </c>
      <c r="C10" s="65">
        <v>3558732</v>
      </c>
      <c r="D10" s="65">
        <v>3309063.57</v>
      </c>
      <c r="E10" s="65">
        <v>3879435.13</v>
      </c>
      <c r="F10" s="65">
        <v>3614166.46</v>
      </c>
      <c r="G10" s="65">
        <v>4251762</v>
      </c>
      <c r="H10" s="65">
        <v>4211395.18</v>
      </c>
      <c r="I10" s="65">
        <v>3392431</v>
      </c>
      <c r="J10" s="65">
        <v>5301185</v>
      </c>
      <c r="K10" s="189">
        <v>3733535</v>
      </c>
      <c r="L10" s="119">
        <f t="shared" si="0"/>
        <v>3733535</v>
      </c>
      <c r="M10" s="71" t="s">
        <v>39</v>
      </c>
    </row>
    <row r="11" spans="1:13" s="63" customFormat="1" ht="15">
      <c r="A11" s="71" t="s">
        <v>86</v>
      </c>
      <c r="B11" s="166">
        <v>89101514</v>
      </c>
      <c r="C11" s="166">
        <v>89527224</v>
      </c>
      <c r="D11" s="166">
        <v>80053468.640000001</v>
      </c>
      <c r="E11" s="166">
        <v>80583800.829999998</v>
      </c>
      <c r="F11" s="166">
        <v>82202202.650000006</v>
      </c>
      <c r="G11" s="166">
        <v>79345812</v>
      </c>
      <c r="H11" s="166">
        <v>82150738.269999996</v>
      </c>
      <c r="I11" s="166">
        <v>78032415</v>
      </c>
      <c r="J11" s="166">
        <v>75235405</v>
      </c>
      <c r="K11" s="189">
        <v>72201118</v>
      </c>
      <c r="L11" s="167">
        <f t="shared" si="0"/>
        <v>72201118</v>
      </c>
      <c r="M11" s="71" t="s">
        <v>86</v>
      </c>
    </row>
    <row r="12" spans="1:13" s="63" customFormat="1" ht="15">
      <c r="A12" s="71" t="s">
        <v>279</v>
      </c>
      <c r="B12" s="166"/>
      <c r="C12" s="166"/>
      <c r="D12" s="166"/>
      <c r="E12" s="166"/>
      <c r="F12" s="166"/>
      <c r="G12" s="166"/>
      <c r="H12" s="166"/>
      <c r="I12" s="166">
        <v>10367580</v>
      </c>
      <c r="J12" s="166">
        <v>11607301</v>
      </c>
      <c r="K12" s="189">
        <v>11601030</v>
      </c>
      <c r="L12" s="167">
        <f t="shared" ref="L12:L13" si="1">K12</f>
        <v>11601030</v>
      </c>
      <c r="M12" s="71" t="s">
        <v>279</v>
      </c>
    </row>
    <row r="13" spans="1:13" s="63" customFormat="1" ht="15">
      <c r="A13" s="70" t="s">
        <v>280</v>
      </c>
      <c r="B13" s="65"/>
      <c r="C13" s="65"/>
      <c r="D13" s="65"/>
      <c r="E13" s="65"/>
      <c r="F13" s="65"/>
      <c r="G13" s="65"/>
      <c r="H13" s="65"/>
      <c r="I13" s="65">
        <v>304457</v>
      </c>
      <c r="J13" s="65">
        <v>254958</v>
      </c>
      <c r="K13" s="189">
        <v>213881</v>
      </c>
      <c r="L13" s="119">
        <f t="shared" si="1"/>
        <v>213881</v>
      </c>
      <c r="M13" s="71" t="s">
        <v>280</v>
      </c>
    </row>
    <row r="14" spans="1:13" s="66" customFormat="1" ht="15">
      <c r="A14" s="69" t="s">
        <v>38</v>
      </c>
      <c r="B14" s="68">
        <f>SUM(B3:B13)</f>
        <v>311214895</v>
      </c>
      <c r="C14" s="68">
        <f t="shared" ref="C14:K14" si="2">SUM(C3:C13)</f>
        <v>306409772</v>
      </c>
      <c r="D14" s="68">
        <f t="shared" si="2"/>
        <v>291101892.47000003</v>
      </c>
      <c r="E14" s="68">
        <f t="shared" si="2"/>
        <v>269134109.65999997</v>
      </c>
      <c r="F14" s="68">
        <f t="shared" si="2"/>
        <v>279550549.25000006</v>
      </c>
      <c r="G14" s="68">
        <f t="shared" si="2"/>
        <v>274172174</v>
      </c>
      <c r="H14" s="68">
        <f t="shared" si="2"/>
        <v>259957536.01999998</v>
      </c>
      <c r="I14" s="68">
        <f t="shared" ref="I14:J14" si="3">SUM(I3:I13)</f>
        <v>289372127</v>
      </c>
      <c r="J14" s="68">
        <f t="shared" si="3"/>
        <v>262715160</v>
      </c>
      <c r="K14" s="68">
        <f t="shared" si="2"/>
        <v>278235868</v>
      </c>
    </row>
    <row r="15" spans="1:13" s="63" customFormat="1" ht="15">
      <c r="A15" s="64"/>
      <c r="B15" s="65"/>
      <c r="C15" s="64"/>
      <c r="D15" s="65"/>
      <c r="E15" s="64"/>
      <c r="F15" s="64"/>
    </row>
    <row r="16" spans="1:13" ht="15">
      <c r="A16" s="47" t="s">
        <v>1</v>
      </c>
      <c r="B16" s="49"/>
      <c r="C16" s="47"/>
      <c r="D16" s="49"/>
      <c r="E16" s="47"/>
      <c r="F16" s="47"/>
    </row>
    <row r="17" spans="1:15" ht="71.25" customHeight="1">
      <c r="A17" s="381" t="s">
        <v>278</v>
      </c>
      <c r="B17" s="381"/>
      <c r="C17" s="381"/>
      <c r="D17" s="381"/>
      <c r="E17" s="381"/>
      <c r="F17" s="381"/>
      <c r="G17" s="381"/>
      <c r="H17" s="381"/>
      <c r="I17" s="381"/>
      <c r="J17" s="381"/>
      <c r="K17" s="381"/>
      <c r="L17" s="381"/>
      <c r="M17" s="381"/>
      <c r="N17" s="381"/>
      <c r="O17" s="381"/>
    </row>
    <row r="18" spans="1:15" ht="35.25" customHeight="1">
      <c r="A18" s="382" t="s">
        <v>85</v>
      </c>
      <c r="B18" s="382"/>
      <c r="C18" s="382"/>
      <c r="D18" s="382"/>
      <c r="E18" s="382"/>
      <c r="F18" s="382"/>
      <c r="G18" s="382"/>
      <c r="H18" s="382"/>
      <c r="I18" s="382"/>
      <c r="J18" s="382"/>
      <c r="K18" s="382"/>
      <c r="L18" s="382"/>
      <c r="M18" s="382"/>
      <c r="N18" s="382"/>
      <c r="O18" s="382"/>
    </row>
    <row r="19" spans="1:15" ht="17.25" customHeight="1">
      <c r="A19" s="382" t="s">
        <v>365</v>
      </c>
      <c r="B19" s="382"/>
      <c r="C19" s="382"/>
      <c r="D19" s="382"/>
      <c r="E19" s="382"/>
      <c r="F19" s="382"/>
      <c r="G19" s="382"/>
      <c r="H19" s="382"/>
      <c r="I19" s="382"/>
      <c r="J19" s="382"/>
      <c r="K19" s="382"/>
      <c r="L19" s="382"/>
      <c r="M19" s="382"/>
      <c r="N19" s="382"/>
      <c r="O19" s="382"/>
    </row>
    <row r="20" spans="1:15" ht="17.25" customHeight="1">
      <c r="A20" s="382" t="s">
        <v>455</v>
      </c>
      <c r="B20" s="382"/>
      <c r="C20" s="382"/>
      <c r="D20" s="382"/>
      <c r="E20" s="382"/>
      <c r="F20" s="382"/>
      <c r="G20" s="382"/>
      <c r="H20" s="382"/>
      <c r="I20" s="382"/>
      <c r="J20" s="382"/>
      <c r="K20" s="382"/>
      <c r="L20" s="382"/>
      <c r="M20" s="382"/>
      <c r="N20" s="382"/>
      <c r="O20" s="382"/>
    </row>
    <row r="21" spans="1:15" ht="15">
      <c r="A21" s="97"/>
      <c r="B21" s="97"/>
      <c r="C21" s="97"/>
      <c r="D21" s="97"/>
      <c r="E21" s="97"/>
      <c r="F21" s="97"/>
      <c r="G21" s="97"/>
      <c r="H21" s="140"/>
      <c r="I21" s="180"/>
      <c r="J21" s="180"/>
      <c r="K21" s="97"/>
      <c r="L21" s="97"/>
      <c r="M21" s="97"/>
    </row>
    <row r="22" spans="1:15" ht="15">
      <c r="A22" s="73" t="s">
        <v>84</v>
      </c>
      <c r="B22" s="74" t="str">
        <f>subtitle</f>
        <v>Total: $278.2 million includes $40.2 million in obligations to capital projects, plus General and Administrative (G&amp;A) costs ($11.6 million), and Columbia River System Operations Review/Environmental Impact Statement costs ($213,900)</v>
      </c>
      <c r="C22" s="73"/>
      <c r="D22" s="73"/>
      <c r="E22" s="73"/>
      <c r="F22" s="73"/>
      <c r="G22" s="73"/>
      <c r="H22" s="73"/>
      <c r="I22" s="73"/>
      <c r="J22" s="73"/>
      <c r="K22" s="73"/>
    </row>
    <row r="23" spans="1:15">
      <c r="A23" s="62"/>
    </row>
  </sheetData>
  <mergeCells count="5">
    <mergeCell ref="A1:K1"/>
    <mergeCell ref="A17:O17"/>
    <mergeCell ref="A18:O18"/>
    <mergeCell ref="A19:O19"/>
    <mergeCell ref="A20:O20"/>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3"/>
  <sheetViews>
    <sheetView zoomScale="85" zoomScaleNormal="85" workbookViewId="0">
      <selection activeCell="A18" sqref="A18"/>
    </sheetView>
  </sheetViews>
  <sheetFormatPr defaultColWidth="9.109375" defaultRowHeight="13.2"/>
  <cols>
    <col min="1" max="1" width="41.88671875" style="1" customWidth="1"/>
    <col min="2" max="2" width="15.44140625" style="61" customWidth="1"/>
    <col min="3" max="3" width="15.44140625" style="1" bestFit="1" customWidth="1"/>
    <col min="4" max="4" width="15.44140625" style="60" bestFit="1" customWidth="1"/>
    <col min="5" max="6" width="15.44140625" style="1" bestFit="1" customWidth="1"/>
    <col min="7" max="11" width="15.44140625" style="1" customWidth="1"/>
    <col min="12" max="12" width="17.6640625" style="1" customWidth="1"/>
    <col min="13" max="16384" width="9.109375" style="1"/>
  </cols>
  <sheetData>
    <row r="1" spans="1:15" s="63" customFormat="1" ht="30.75" customHeight="1">
      <c r="A1" s="118" t="str">
        <f>"Figure 6B: Costs of Artificial Production by Category, FY"&amp;K2</f>
        <v>Figure 6B: Costs of Artificial Production by Category, FY2020</v>
      </c>
      <c r="B1" s="118"/>
      <c r="C1" s="118"/>
      <c r="D1" s="118"/>
      <c r="E1" s="118"/>
      <c r="F1" s="118"/>
      <c r="G1" s="118"/>
      <c r="H1" s="118"/>
      <c r="I1" s="118"/>
      <c r="J1" s="118"/>
      <c r="K1" s="118"/>
      <c r="L1" s="118"/>
      <c r="M1" s="118"/>
    </row>
    <row r="2" spans="1:15" s="72" customFormat="1" ht="17.399999999999999">
      <c r="A2" s="214" t="s">
        <v>13</v>
      </c>
      <c r="B2" s="215">
        <v>2011</v>
      </c>
      <c r="C2" s="215">
        <v>2012</v>
      </c>
      <c r="D2" s="215">
        <v>2013</v>
      </c>
      <c r="E2" s="215">
        <v>2014</v>
      </c>
      <c r="F2" s="215">
        <v>2015</v>
      </c>
      <c r="G2" s="215" t="s">
        <v>246</v>
      </c>
      <c r="H2" s="215">
        <v>2017</v>
      </c>
      <c r="I2" s="215">
        <v>2018</v>
      </c>
      <c r="J2" s="215">
        <v>2019</v>
      </c>
      <c r="K2" s="215">
        <v>2020</v>
      </c>
      <c r="L2" s="75" t="s">
        <v>88</v>
      </c>
    </row>
    <row r="3" spans="1:15" s="63" customFormat="1" ht="15">
      <c r="A3" s="71" t="s">
        <v>206</v>
      </c>
      <c r="B3" s="42">
        <v>684891</v>
      </c>
      <c r="C3" s="42">
        <v>664088</v>
      </c>
      <c r="D3" s="42">
        <v>785308.52</v>
      </c>
      <c r="E3" s="42">
        <v>633508.71</v>
      </c>
      <c r="F3" s="42">
        <v>618853.43999999994</v>
      </c>
      <c r="G3" s="113">
        <v>703885.61</v>
      </c>
      <c r="H3" s="113">
        <v>690901</v>
      </c>
      <c r="I3" s="113">
        <v>598768</v>
      </c>
      <c r="J3" s="113">
        <v>636882</v>
      </c>
      <c r="K3" s="113">
        <v>513554</v>
      </c>
      <c r="L3" s="119">
        <f>K3</f>
        <v>513554</v>
      </c>
    </row>
    <row r="4" spans="1:15" s="63" customFormat="1" ht="15">
      <c r="A4" s="109" t="s">
        <v>41</v>
      </c>
      <c r="B4" s="42">
        <v>3599302</v>
      </c>
      <c r="C4" s="42">
        <v>4429624</v>
      </c>
      <c r="D4" s="42">
        <v>4077995.11</v>
      </c>
      <c r="E4" s="42">
        <v>4062872.09</v>
      </c>
      <c r="F4" s="42">
        <v>4248774.49</v>
      </c>
      <c r="G4" s="113">
        <v>4206148.1500000004</v>
      </c>
      <c r="H4" s="113">
        <v>4321385</v>
      </c>
      <c r="I4" s="113">
        <v>6599734</v>
      </c>
      <c r="J4" s="113">
        <v>4345080</v>
      </c>
      <c r="K4" s="113">
        <v>4367674</v>
      </c>
      <c r="L4" s="119">
        <f>K4</f>
        <v>4367674</v>
      </c>
    </row>
    <row r="5" spans="1:15" s="63" customFormat="1" ht="15">
      <c r="A5" s="109" t="s">
        <v>233</v>
      </c>
      <c r="B5" s="42">
        <v>22583163</v>
      </c>
      <c r="C5" s="42">
        <v>25176585</v>
      </c>
      <c r="D5" s="42">
        <v>23588530.18</v>
      </c>
      <c r="E5" s="42">
        <v>24046105.84</v>
      </c>
      <c r="F5" s="42">
        <v>24079654.359999999</v>
      </c>
      <c r="G5" s="113">
        <v>24391057.350000001</v>
      </c>
      <c r="H5" s="113">
        <v>24937524</v>
      </c>
      <c r="I5" s="113">
        <v>24832549</v>
      </c>
      <c r="J5" s="113">
        <v>25205995</v>
      </c>
      <c r="K5" s="113">
        <v>24309066</v>
      </c>
      <c r="L5" s="119">
        <f t="shared" ref="L5:L6" si="0">K5</f>
        <v>24309066</v>
      </c>
    </row>
    <row r="6" spans="1:15" s="63" customFormat="1" ht="15">
      <c r="A6" s="109" t="s">
        <v>234</v>
      </c>
      <c r="B6" s="42">
        <v>61846889</v>
      </c>
      <c r="C6" s="42">
        <v>53165835</v>
      </c>
      <c r="D6" s="42">
        <f>21326284.81+28698481.39</f>
        <v>50024766.200000003</v>
      </c>
      <c r="E6" s="42">
        <f>14595131.65+30551147.2</f>
        <v>45146278.850000001</v>
      </c>
      <c r="F6" s="42">
        <v>32202008.149999999</v>
      </c>
      <c r="G6" s="113">
        <v>31490426.289999999</v>
      </c>
      <c r="H6" s="113">
        <v>34872455</v>
      </c>
      <c r="I6" s="113">
        <v>36978108</v>
      </c>
      <c r="J6" s="113">
        <v>41775457</v>
      </c>
      <c r="K6" s="113">
        <v>55046556</v>
      </c>
      <c r="L6" s="119">
        <f t="shared" si="0"/>
        <v>55046556</v>
      </c>
    </row>
    <row r="7" spans="1:15" s="66" customFormat="1" ht="15">
      <c r="A7" s="69" t="s">
        <v>38</v>
      </c>
      <c r="B7" s="68">
        <f t="shared" ref="B7:K7" si="1">SUM(B3:B6)</f>
        <v>88714245</v>
      </c>
      <c r="C7" s="68">
        <f t="shared" si="1"/>
        <v>83436132</v>
      </c>
      <c r="D7" s="68">
        <f t="shared" si="1"/>
        <v>78476600.010000005</v>
      </c>
      <c r="E7" s="68">
        <f t="shared" si="1"/>
        <v>73888765.49000001</v>
      </c>
      <c r="F7" s="68">
        <f t="shared" si="1"/>
        <v>61149290.439999998</v>
      </c>
      <c r="G7" s="68">
        <f t="shared" si="1"/>
        <v>60791517.400000006</v>
      </c>
      <c r="H7" s="68">
        <f t="shared" ref="H7" si="2">SUM(H3:H6)</f>
        <v>64822265</v>
      </c>
      <c r="I7" s="67">
        <f t="shared" ref="I7" si="3">SUM(I3:I6)</f>
        <v>69009159</v>
      </c>
      <c r="J7" s="67">
        <f t="shared" ref="J7" si="4">SUM(J3:J6)</f>
        <v>71963414</v>
      </c>
      <c r="K7" s="67">
        <f t="shared" si="1"/>
        <v>84236850</v>
      </c>
    </row>
    <row r="8" spans="1:15" s="63" customFormat="1" ht="15">
      <c r="A8" s="64"/>
      <c r="B8" s="65"/>
      <c r="C8" s="64"/>
      <c r="D8" s="65"/>
      <c r="E8" s="64"/>
      <c r="F8" s="64"/>
    </row>
    <row r="9" spans="1:15" ht="15">
      <c r="A9" s="47" t="s">
        <v>1</v>
      </c>
      <c r="B9" s="49"/>
      <c r="C9" s="47"/>
      <c r="D9" s="49"/>
      <c r="E9" s="47"/>
      <c r="F9" s="47"/>
    </row>
    <row r="10" spans="1:15" ht="15">
      <c r="A10" s="355" t="s">
        <v>366</v>
      </c>
      <c r="B10" s="355"/>
      <c r="C10" s="355"/>
      <c r="D10" s="355"/>
      <c r="E10" s="355"/>
      <c r="F10" s="355"/>
      <c r="G10" s="355"/>
      <c r="H10" s="355"/>
      <c r="I10" s="355"/>
      <c r="J10" s="355"/>
      <c r="K10" s="355"/>
      <c r="L10" s="355"/>
      <c r="M10" s="355"/>
      <c r="N10" s="355"/>
      <c r="O10" s="355"/>
    </row>
    <row r="11" spans="1:15" ht="15">
      <c r="A11" s="110"/>
      <c r="B11" s="110"/>
      <c r="C11" s="110"/>
      <c r="D11" s="110"/>
      <c r="E11" s="110"/>
      <c r="F11" s="110"/>
      <c r="G11" s="110"/>
      <c r="H11" s="140"/>
      <c r="I11" s="180"/>
      <c r="J11" s="180"/>
      <c r="K11" s="110"/>
      <c r="L11" s="110"/>
    </row>
    <row r="12" spans="1:15" ht="15">
      <c r="A12" s="73" t="s">
        <v>84</v>
      </c>
      <c r="B12" s="74" t="str">
        <f>"Total: $" &amp; TEXT(K7,"#0.0,,") &amp; " million does not include obligations to capital projects"</f>
        <v>Total: $84.2 million does not include obligations to capital projects</v>
      </c>
      <c r="C12" s="73"/>
      <c r="D12" s="73"/>
      <c r="E12" s="73"/>
      <c r="F12" s="73"/>
      <c r="G12" s="73"/>
      <c r="H12" s="73"/>
      <c r="I12" s="73"/>
      <c r="J12" s="73"/>
      <c r="K12" s="73"/>
    </row>
    <row r="13" spans="1:15">
      <c r="A13" s="62"/>
    </row>
  </sheetData>
  <pageMargins left="0.41" right="0.39" top="0.55000000000000004" bottom="0.27" header="0.16" footer="0.16"/>
  <pageSetup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B100-A688-4850-B292-B85ED7870BA4}">
  <sheetPr>
    <pageSetUpPr fitToPage="1"/>
  </sheetPr>
  <dimension ref="A1:L15"/>
  <sheetViews>
    <sheetView zoomScale="85" zoomScaleNormal="85" workbookViewId="0">
      <selection activeCell="A13" sqref="A13"/>
    </sheetView>
  </sheetViews>
  <sheetFormatPr defaultColWidth="9.109375" defaultRowHeight="13.8"/>
  <cols>
    <col min="1" max="1" width="31.6640625" style="98" customWidth="1"/>
    <col min="2" max="2" width="16.109375" style="99" bestFit="1" customWidth="1"/>
    <col min="3" max="3" width="14.5546875" style="99" customWidth="1"/>
    <col min="4" max="4" width="14.109375" style="99" customWidth="1"/>
    <col min="5" max="5" width="14.44140625" style="99" customWidth="1"/>
    <col min="6" max="6" width="13.6640625" style="98" customWidth="1"/>
    <col min="7" max="18" width="15" style="98" customWidth="1"/>
    <col min="19" max="16384" width="9.109375" style="98"/>
  </cols>
  <sheetData>
    <row r="1" spans="1:12" ht="15">
      <c r="A1" s="120" t="str">
        <f>"Figure 7: Costs of Research, Monitoring and Evaluation (RM&amp;E), FY"&amp;K3</f>
        <v>Figure 7: Costs of Research, Monitoring and Evaluation (RM&amp;E), FY2020</v>
      </c>
      <c r="B1" s="120"/>
      <c r="C1" s="120"/>
      <c r="D1" s="120"/>
      <c r="E1" s="120"/>
    </row>
    <row r="2" spans="1:12" ht="15">
      <c r="A2" s="120"/>
      <c r="B2" s="120"/>
      <c r="C2" s="120"/>
      <c r="D2" s="120"/>
      <c r="E2" s="120"/>
    </row>
    <row r="3" spans="1:12" ht="17.399999999999999">
      <c r="A3" s="213" t="s">
        <v>13</v>
      </c>
      <c r="B3" s="213">
        <v>2011</v>
      </c>
      <c r="C3" s="213">
        <v>2012</v>
      </c>
      <c r="D3" s="213">
        <v>2013</v>
      </c>
      <c r="E3" s="213">
        <v>2014</v>
      </c>
      <c r="F3" s="213">
        <v>2015</v>
      </c>
      <c r="G3" s="213" t="s">
        <v>257</v>
      </c>
      <c r="H3" s="213">
        <v>2017</v>
      </c>
      <c r="I3" s="213">
        <v>2018</v>
      </c>
      <c r="J3" s="213">
        <v>2019</v>
      </c>
      <c r="K3" s="213">
        <v>2020</v>
      </c>
      <c r="L3" s="98" t="s">
        <v>386</v>
      </c>
    </row>
    <row r="4" spans="1:12">
      <c r="A4" s="203" t="s">
        <v>48</v>
      </c>
      <c r="B4" s="190">
        <v>22583162.569999997</v>
      </c>
      <c r="C4" s="190">
        <v>25176585</v>
      </c>
      <c r="D4" s="190">
        <v>23588530</v>
      </c>
      <c r="E4" s="190">
        <v>24046105.84</v>
      </c>
      <c r="F4" s="190">
        <v>24079654.359999999</v>
      </c>
      <c r="G4" s="190">
        <v>24391057</v>
      </c>
      <c r="H4" s="190">
        <v>24937523.870000001</v>
      </c>
      <c r="I4" s="190">
        <v>24832549</v>
      </c>
      <c r="J4" s="190">
        <v>25205995</v>
      </c>
      <c r="K4" s="190">
        <v>24309066</v>
      </c>
      <c r="L4" s="204">
        <f>K4</f>
        <v>24309066</v>
      </c>
    </row>
    <row r="5" spans="1:12">
      <c r="A5" s="203" t="s">
        <v>47</v>
      </c>
      <c r="B5" s="190">
        <v>15426001.169800008</v>
      </c>
      <c r="C5" s="190">
        <v>13469530</v>
      </c>
      <c r="D5" s="190">
        <v>12969684.76</v>
      </c>
      <c r="E5" s="190">
        <v>13133027.810000001</v>
      </c>
      <c r="F5" s="190">
        <v>13434942.029999999</v>
      </c>
      <c r="G5" s="190">
        <v>13332983</v>
      </c>
      <c r="H5" s="190">
        <v>13236006.130000001</v>
      </c>
      <c r="I5" s="190">
        <v>12924874</v>
      </c>
      <c r="J5" s="190">
        <v>12760509</v>
      </c>
      <c r="K5" s="190">
        <v>13399643</v>
      </c>
      <c r="L5" s="204">
        <f t="shared" ref="L5:L9" si="0">K5</f>
        <v>13399643</v>
      </c>
    </row>
    <row r="6" spans="1:12">
      <c r="A6" s="203" t="s">
        <v>46</v>
      </c>
      <c r="B6" s="190">
        <v>1763066.9299999997</v>
      </c>
      <c r="C6" s="190">
        <v>1735888</v>
      </c>
      <c r="D6" s="190">
        <v>1053093.99</v>
      </c>
      <c r="E6" s="190">
        <v>1228057.49</v>
      </c>
      <c r="F6" s="190">
        <v>1098002.8799999999</v>
      </c>
      <c r="G6" s="190">
        <v>1216118</v>
      </c>
      <c r="H6" s="190">
        <v>1407032.65</v>
      </c>
      <c r="I6" s="190">
        <v>1129180</v>
      </c>
      <c r="J6" s="190">
        <v>1041615</v>
      </c>
      <c r="K6" s="190">
        <v>985607</v>
      </c>
      <c r="L6" s="204">
        <f t="shared" si="0"/>
        <v>985607</v>
      </c>
    </row>
    <row r="7" spans="1:12">
      <c r="A7" s="203" t="s">
        <v>45</v>
      </c>
      <c r="B7" s="190">
        <v>8489904.4299999997</v>
      </c>
      <c r="C7" s="190">
        <v>7982519</v>
      </c>
      <c r="D7" s="190">
        <v>7218237.5999999996</v>
      </c>
      <c r="E7" s="190">
        <v>6753429.7699999996</v>
      </c>
      <c r="F7" s="190">
        <v>8107150.2199999997</v>
      </c>
      <c r="G7" s="190">
        <v>7908829</v>
      </c>
      <c r="H7" s="190">
        <v>8864829.0299999993</v>
      </c>
      <c r="I7" s="190">
        <v>8297504</v>
      </c>
      <c r="J7" s="190">
        <v>7709131</v>
      </c>
      <c r="K7" s="190">
        <v>6683979</v>
      </c>
      <c r="L7" s="204">
        <f t="shared" si="0"/>
        <v>6683979</v>
      </c>
    </row>
    <row r="8" spans="1:12">
      <c r="A8" s="203" t="s">
        <v>44</v>
      </c>
      <c r="B8" s="190">
        <v>2826954.2899999996</v>
      </c>
      <c r="C8" s="190">
        <v>2212363</v>
      </c>
      <c r="D8" s="190">
        <v>2062169.76</v>
      </c>
      <c r="E8" s="190">
        <v>1991052.54</v>
      </c>
      <c r="F8" s="190">
        <v>1553864.78</v>
      </c>
      <c r="G8" s="190">
        <v>1264152</v>
      </c>
      <c r="H8" s="190">
        <v>1246514</v>
      </c>
      <c r="I8" s="190">
        <v>1213338</v>
      </c>
      <c r="J8" s="190">
        <v>1157316</v>
      </c>
      <c r="K8" s="190">
        <v>1120424</v>
      </c>
      <c r="L8" s="204">
        <f t="shared" si="0"/>
        <v>1120424</v>
      </c>
    </row>
    <row r="9" spans="1:12">
      <c r="A9" s="203" t="s">
        <v>43</v>
      </c>
      <c r="B9" s="190">
        <v>38012425.010000005</v>
      </c>
      <c r="C9" s="190">
        <v>38950340</v>
      </c>
      <c r="D9" s="190">
        <v>33161752.350000001</v>
      </c>
      <c r="E9" s="190">
        <v>33432127.379999999</v>
      </c>
      <c r="F9" s="190">
        <v>33928588.380000003</v>
      </c>
      <c r="G9" s="190">
        <v>31232673</v>
      </c>
      <c r="H9" s="190">
        <v>32458832.59</v>
      </c>
      <c r="I9" s="190">
        <v>29634970</v>
      </c>
      <c r="J9" s="190">
        <v>27360839</v>
      </c>
      <c r="K9" s="190">
        <v>25702399</v>
      </c>
      <c r="L9" s="204">
        <f t="shared" si="0"/>
        <v>25702399</v>
      </c>
    </row>
    <row r="10" spans="1:12" ht="14.4" thickBot="1">
      <c r="A10" s="201"/>
      <c r="B10" s="191">
        <f t="shared" ref="B10:D10" si="1">SUM(B4:B9)</f>
        <v>89101514.399800003</v>
      </c>
      <c r="C10" s="191">
        <f t="shared" si="1"/>
        <v>89527225</v>
      </c>
      <c r="D10" s="191">
        <f t="shared" si="1"/>
        <v>80053468.460000008</v>
      </c>
      <c r="E10" s="191">
        <f>SUM(E4:E9)</f>
        <v>80583800.829999998</v>
      </c>
      <c r="F10" s="191">
        <f t="shared" ref="F10:G10" si="2">SUM(F4:F9)</f>
        <v>82202202.650000006</v>
      </c>
      <c r="G10" s="191">
        <f t="shared" si="2"/>
        <v>79345812</v>
      </c>
      <c r="H10" s="191">
        <f>SUM(H4:H9)</f>
        <v>82150738.269999996</v>
      </c>
      <c r="I10" s="191">
        <f>SUM(I4:I9)</f>
        <v>78032415</v>
      </c>
      <c r="J10" s="191">
        <f>SUM(J4:J9)</f>
        <v>75235405</v>
      </c>
      <c r="K10" s="191">
        <f>SUM(K4:K9)</f>
        <v>72201118</v>
      </c>
    </row>
    <row r="12" spans="1:12">
      <c r="A12" s="100" t="s">
        <v>1</v>
      </c>
    </row>
    <row r="13" spans="1:12" ht="21.75" customHeight="1">
      <c r="A13" s="98" t="s">
        <v>256</v>
      </c>
      <c r="B13" s="98"/>
      <c r="C13" s="98"/>
      <c r="D13" s="98"/>
      <c r="E13" s="98"/>
    </row>
    <row r="15" spans="1:12">
      <c r="A15" s="100" t="s">
        <v>84</v>
      </c>
      <c r="B15" s="117" t="str">
        <f>"Total: $" &amp; TEXT(K10,"#0.0,,") &amp; " million does not include obligations to capital projects"</f>
        <v>Total: $72.2 million does not include obligations to capital projects</v>
      </c>
    </row>
  </sheetData>
  <pageMargins left="0.7" right="0.7" top="0.75" bottom="0.75" header="0.3" footer="0.3"/>
  <pageSetup scale="97"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1A_CostsByArea</vt:lpstr>
      <vt:lpstr>1B_DirectCosts</vt:lpstr>
      <vt:lpstr>2_SpeciesType</vt:lpstr>
      <vt:lpstr>3_FCRPS</vt:lpstr>
      <vt:lpstr>4_ESASpecies</vt:lpstr>
      <vt:lpstr>5_Fund</vt:lpstr>
      <vt:lpstr>6A_Category</vt:lpstr>
      <vt:lpstr>6B_ArtProd</vt:lpstr>
      <vt:lpstr>7_RME</vt:lpstr>
      <vt:lpstr>8A_Province</vt:lpstr>
      <vt:lpstr>8B_Subbasin</vt:lpstr>
      <vt:lpstr>9_Location</vt:lpstr>
      <vt:lpstr>10_Contractor</vt:lpstr>
      <vt:lpstr>11_LandPurchases</vt:lpstr>
      <vt:lpstr>12_Cumulative</vt:lpstr>
      <vt:lpstr>BPA Costs Table</vt:lpstr>
      <vt:lpstr>'10_Contractor'!lkp_10</vt:lpstr>
      <vt:lpstr>'BPA Costs Table'!Print_Area</vt:lpstr>
      <vt:lpstr>'BPA Costs Table'!Print_Titles</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2019-02-19T17:43:32Z</cp:lastPrinted>
  <dcterms:created xsi:type="dcterms:W3CDTF">2004-12-27T17:27:22Z</dcterms:created>
  <dcterms:modified xsi:type="dcterms:W3CDTF">2021-01-27T00:10:42Z</dcterms:modified>
</cp:coreProperties>
</file>