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Q:\SS\2022_Key\2021 Power Plan\Supporting Materials\1.4.0 Renewable Natural Gas\"/>
    </mc:Choice>
  </mc:AlternateContent>
  <xr:revisionPtr revIDLastSave="0" documentId="13_ncr:1_{AF1B72C5-EB88-4032-A88C-1F187B573418}" xr6:coauthVersionLast="47" xr6:coauthVersionMax="47" xr10:uidLastSave="{00000000-0000-0000-0000-000000000000}"/>
  <bookViews>
    <workbookView xWindow="1830" yWindow="705" windowWidth="12630" windowHeight="12615" xr2:uid="{96595ED5-3A39-4B7F-8A8B-A1A2CF6E459A}"/>
  </bookViews>
  <sheets>
    <sheet name="Information" sheetId="6" r:id="rId1"/>
    <sheet name="RNG_Forecast" sheetId="1" r:id="rId2"/>
    <sheet name="Charts" sheetId="2" r:id="rId3"/>
    <sheet name="Cost Estimate" sheetId="4" r:id="rId4"/>
    <sheet name="Natural Gas Consumption" sheetId="5" r:id="rId5"/>
    <sheet name="Studies" sheetId="3" r:id="rId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5" l="1"/>
  <c r="I42" i="5"/>
  <c r="I43" i="5"/>
  <c r="I44" i="5"/>
  <c r="I40" i="5"/>
  <c r="H40" i="5"/>
  <c r="H41" i="5"/>
  <c r="H42" i="5"/>
  <c r="H43" i="5"/>
  <c r="H44" i="5"/>
  <c r="H32" i="5"/>
  <c r="H33" i="5"/>
  <c r="H34" i="5"/>
  <c r="H35" i="5"/>
  <c r="H31" i="5"/>
  <c r="H23" i="5"/>
  <c r="H24" i="5"/>
  <c r="H25" i="5"/>
  <c r="H26" i="5"/>
  <c r="H22" i="5"/>
  <c r="H14" i="5"/>
  <c r="H15" i="5"/>
  <c r="H16" i="5"/>
  <c r="H17" i="5"/>
  <c r="H13" i="5"/>
  <c r="H5" i="5"/>
  <c r="H6" i="5"/>
  <c r="H7" i="5"/>
  <c r="H8" i="5"/>
  <c r="H4" i="5"/>
  <c r="N45" i="5"/>
  <c r="I32" i="5" s="1"/>
  <c r="N46" i="5"/>
  <c r="I33" i="5" s="1"/>
  <c r="N47" i="5"/>
  <c r="N48" i="5"/>
  <c r="I35" i="5" s="1"/>
  <c r="N44" i="5"/>
  <c r="I31" i="5" s="1"/>
  <c r="N36" i="5"/>
  <c r="N37" i="5"/>
  <c r="N38" i="5"/>
  <c r="N39" i="5"/>
  <c r="N35" i="5"/>
  <c r="I22" i="5" s="1"/>
  <c r="N29" i="5"/>
  <c r="I17" i="5" s="1"/>
  <c r="N26" i="5"/>
  <c r="N27" i="5"/>
  <c r="I15" i="5" s="1"/>
  <c r="N28" i="5"/>
  <c r="N25" i="5"/>
  <c r="N17" i="5"/>
  <c r="N18" i="5"/>
  <c r="I6" i="5" s="1"/>
  <c r="N19" i="5"/>
  <c r="I7" i="5" s="1"/>
  <c r="N20" i="5"/>
  <c r="N16" i="5"/>
  <c r="I4" i="5" s="1"/>
  <c r="N6" i="5"/>
  <c r="N7" i="5"/>
  <c r="N8" i="5"/>
  <c r="N9" i="5"/>
  <c r="N5" i="5"/>
  <c r="O6" i="5"/>
  <c r="P6" i="5"/>
  <c r="O7" i="5"/>
  <c r="P7" i="5"/>
  <c r="O8" i="5"/>
  <c r="P8" i="5"/>
  <c r="O9" i="5"/>
  <c r="P9" i="5"/>
  <c r="P5" i="5"/>
  <c r="O5" i="5"/>
  <c r="I34" i="5"/>
  <c r="O45" i="5"/>
  <c r="P45" i="5"/>
  <c r="O46" i="5"/>
  <c r="P46" i="5"/>
  <c r="O47" i="5"/>
  <c r="P47" i="5"/>
  <c r="O48" i="5"/>
  <c r="P48" i="5"/>
  <c r="P44" i="5"/>
  <c r="O44" i="5"/>
  <c r="I23" i="5"/>
  <c r="I24" i="5"/>
  <c r="I25" i="5"/>
  <c r="I26" i="5"/>
  <c r="O36" i="5"/>
  <c r="P36" i="5"/>
  <c r="O37" i="5"/>
  <c r="P37" i="5"/>
  <c r="O38" i="5"/>
  <c r="P38" i="5"/>
  <c r="O39" i="5"/>
  <c r="P39" i="5"/>
  <c r="P35" i="5"/>
  <c r="O35" i="5"/>
  <c r="I14" i="5"/>
  <c r="I16" i="5"/>
  <c r="I13" i="5"/>
  <c r="O26" i="5"/>
  <c r="P26" i="5"/>
  <c r="O27" i="5"/>
  <c r="P27" i="5"/>
  <c r="O28" i="5"/>
  <c r="P28" i="5"/>
  <c r="O29" i="5"/>
  <c r="P29" i="5"/>
  <c r="P25" i="5"/>
  <c r="O25" i="5"/>
  <c r="I5" i="5"/>
  <c r="I8" i="5"/>
  <c r="O17" i="5"/>
  <c r="P17" i="5"/>
  <c r="O18" i="5"/>
  <c r="P18" i="5"/>
  <c r="O19" i="5"/>
  <c r="P19" i="5"/>
  <c r="O20" i="5"/>
  <c r="P20" i="5"/>
  <c r="P16" i="5"/>
  <c r="O16" i="5"/>
  <c r="F18" i="3"/>
  <c r="G18" i="3"/>
  <c r="G17" i="3"/>
  <c r="F17" i="3"/>
  <c r="G15" i="3"/>
  <c r="F15" i="3"/>
  <c r="G14" i="3"/>
  <c r="F14" i="3"/>
  <c r="G11" i="3"/>
  <c r="F11" i="3"/>
  <c r="G10" i="3"/>
  <c r="F10" i="3"/>
  <c r="G7" i="3"/>
  <c r="F7" i="3"/>
  <c r="G6" i="3"/>
  <c r="F6" i="3"/>
  <c r="G113" i="3"/>
  <c r="F113" i="3"/>
  <c r="G112" i="3"/>
  <c r="F112" i="3"/>
  <c r="G111" i="3"/>
  <c r="F111" i="3"/>
  <c r="G97" i="3"/>
  <c r="F97" i="3"/>
  <c r="G96" i="3"/>
  <c r="F96" i="3"/>
  <c r="G95" i="3"/>
  <c r="F95" i="3"/>
  <c r="G81" i="3"/>
  <c r="F81" i="3"/>
  <c r="G80" i="3"/>
  <c r="F80" i="3"/>
  <c r="G79" i="3"/>
  <c r="F79" i="3"/>
  <c r="G65" i="3"/>
  <c r="F65" i="3"/>
  <c r="G64" i="3"/>
  <c r="F64" i="3"/>
  <c r="G63" i="3"/>
  <c r="F63" i="3"/>
  <c r="G4" i="3"/>
  <c r="F4" i="3"/>
  <c r="G3" i="3"/>
  <c r="F3" i="3"/>
  <c r="G49" i="3"/>
  <c r="F49" i="3"/>
  <c r="G48" i="3"/>
  <c r="F48" i="3"/>
  <c r="G47" i="3"/>
  <c r="F47" i="3"/>
  <c r="M38" i="3"/>
  <c r="M39" i="3"/>
  <c r="M40" i="3"/>
  <c r="M41" i="3"/>
  <c r="M42" i="3"/>
  <c r="M43" i="3"/>
  <c r="M44" i="3"/>
  <c r="M45" i="3"/>
  <c r="M46" i="3"/>
  <c r="L39" i="3"/>
  <c r="L40" i="3"/>
  <c r="L41" i="3"/>
  <c r="L42" i="3"/>
  <c r="L43" i="3"/>
  <c r="L44" i="3"/>
  <c r="L45" i="3"/>
  <c r="L46" i="3"/>
  <c r="L38" i="3"/>
  <c r="L47" i="3" l="1"/>
  <c r="M47" i="3"/>
  <c r="G21" i="3" l="1"/>
  <c r="G20" i="3"/>
  <c r="F21" i="3"/>
  <c r="F20" i="3"/>
  <c r="H18" i="3"/>
  <c r="H17" i="3"/>
  <c r="H15" i="3"/>
  <c r="H14" i="3"/>
  <c r="H21" i="3" l="1"/>
  <c r="H20" i="3"/>
  <c r="H12" i="3"/>
  <c r="H11" i="3"/>
  <c r="H10" i="3"/>
  <c r="G8" i="3"/>
  <c r="F8" i="3"/>
  <c r="D16" i="5"/>
  <c r="I32" i="3"/>
  <c r="E32" i="3"/>
  <c r="H7" i="3"/>
  <c r="H6" i="3"/>
  <c r="H4" i="3"/>
  <c r="H3" i="3"/>
  <c r="D14" i="5"/>
  <c r="H45" i="5"/>
  <c r="I36" i="5"/>
  <c r="I14" i="3" s="1"/>
  <c r="K14" i="3" s="1"/>
  <c r="H36" i="5"/>
  <c r="I27" i="5"/>
  <c r="I17" i="3" s="1"/>
  <c r="K17" i="3" s="1"/>
  <c r="I52" i="5"/>
  <c r="H52" i="5"/>
  <c r="I51" i="5"/>
  <c r="I18" i="5"/>
  <c r="I6" i="3" s="1"/>
  <c r="I53" i="5"/>
  <c r="I50" i="5"/>
  <c r="H50" i="5"/>
  <c r="I9" i="5"/>
  <c r="I10" i="3" s="1"/>
  <c r="K10" i="3" s="1"/>
  <c r="R205" i="4"/>
  <c r="P205" i="4"/>
  <c r="R135" i="4"/>
  <c r="R136" i="4" s="1"/>
  <c r="R137" i="4" s="1"/>
  <c r="R138" i="4" s="1"/>
  <c r="R139" i="4" s="1"/>
  <c r="R140" i="4" s="1"/>
  <c r="R141" i="4" s="1"/>
  <c r="R142" i="4" s="1"/>
  <c r="R143" i="4" s="1"/>
  <c r="R144" i="4" s="1"/>
  <c r="R145" i="4" s="1"/>
  <c r="R146" i="4" s="1"/>
  <c r="R147" i="4" s="1"/>
  <c r="R148" i="4" s="1"/>
  <c r="R149" i="4" s="1"/>
  <c r="R150" i="4" s="1"/>
  <c r="R151" i="4" s="1"/>
  <c r="R152" i="4" s="1"/>
  <c r="R153" i="4" s="1"/>
  <c r="R154" i="4" s="1"/>
  <c r="R155" i="4" s="1"/>
  <c r="R156" i="4" s="1"/>
  <c r="R157" i="4" s="1"/>
  <c r="R158" i="4" s="1"/>
  <c r="R159" i="4" s="1"/>
  <c r="R160" i="4" s="1"/>
  <c r="R161" i="4" s="1"/>
  <c r="R162" i="4" s="1"/>
  <c r="R163" i="4" s="1"/>
  <c r="R164" i="4" s="1"/>
  <c r="R165" i="4" s="1"/>
  <c r="R166" i="4" s="1"/>
  <c r="R167" i="4" s="1"/>
  <c r="R168" i="4" s="1"/>
  <c r="R169" i="4" s="1"/>
  <c r="R170" i="4" s="1"/>
  <c r="R171" i="4" s="1"/>
  <c r="R172" i="4" s="1"/>
  <c r="R173" i="4" s="1"/>
  <c r="R174" i="4" s="1"/>
  <c r="R175" i="4" s="1"/>
  <c r="R176" i="4" s="1"/>
  <c r="R177" i="4" s="1"/>
  <c r="R178" i="4" s="1"/>
  <c r="R179" i="4" s="1"/>
  <c r="R180" i="4" s="1"/>
  <c r="R181" i="4" s="1"/>
  <c r="R182" i="4" s="1"/>
  <c r="R183" i="4" s="1"/>
  <c r="R184" i="4" s="1"/>
  <c r="R185" i="4" s="1"/>
  <c r="R186" i="4" s="1"/>
  <c r="R187" i="4" s="1"/>
  <c r="R188" i="4" s="1"/>
  <c r="R189" i="4" s="1"/>
  <c r="R190" i="4" s="1"/>
  <c r="R191" i="4" s="1"/>
  <c r="R192" i="4" s="1"/>
  <c r="R193" i="4" s="1"/>
  <c r="R194" i="4" s="1"/>
  <c r="R195" i="4" s="1"/>
  <c r="R196" i="4" s="1"/>
  <c r="R197" i="4" s="1"/>
  <c r="R198" i="4" s="1"/>
  <c r="R199" i="4" s="1"/>
  <c r="R200" i="4" s="1"/>
  <c r="R201" i="4" s="1"/>
  <c r="R202" i="4" s="1"/>
  <c r="R203" i="4" s="1"/>
  <c r="R204" i="4" s="1"/>
  <c r="P135" i="4"/>
  <c r="R67" i="4"/>
  <c r="R68" i="4" s="1"/>
  <c r="R69" i="4" s="1"/>
  <c r="R70" i="4" s="1"/>
  <c r="R71" i="4" s="1"/>
  <c r="R72" i="4" s="1"/>
  <c r="R73" i="4" s="1"/>
  <c r="R74" i="4" s="1"/>
  <c r="R75" i="4" s="1"/>
  <c r="R76" i="4" s="1"/>
  <c r="R77" i="4" s="1"/>
  <c r="R78" i="4" s="1"/>
  <c r="R79" i="4" s="1"/>
  <c r="R80" i="4" s="1"/>
  <c r="R81" i="4" s="1"/>
  <c r="R82" i="4" s="1"/>
  <c r="R83" i="4" s="1"/>
  <c r="R84" i="4" s="1"/>
  <c r="R85" i="4" s="1"/>
  <c r="R86" i="4" s="1"/>
  <c r="R87" i="4" s="1"/>
  <c r="R88" i="4" s="1"/>
  <c r="R89" i="4" s="1"/>
  <c r="R90" i="4" s="1"/>
  <c r="R91" i="4" s="1"/>
  <c r="R92" i="4" s="1"/>
  <c r="R93" i="4" s="1"/>
  <c r="R94" i="4" s="1"/>
  <c r="R95" i="4" s="1"/>
  <c r="R96" i="4" s="1"/>
  <c r="R97" i="4" s="1"/>
  <c r="R98" i="4" s="1"/>
  <c r="R99" i="4" s="1"/>
  <c r="R100" i="4" s="1"/>
  <c r="R101" i="4" s="1"/>
  <c r="R102" i="4" s="1"/>
  <c r="R103" i="4" s="1"/>
  <c r="R104" i="4" s="1"/>
  <c r="R105" i="4" s="1"/>
  <c r="R106" i="4" s="1"/>
  <c r="R107" i="4" s="1"/>
  <c r="R108" i="4" s="1"/>
  <c r="R109" i="4" s="1"/>
  <c r="R110" i="4" s="1"/>
  <c r="R111" i="4" s="1"/>
  <c r="R112" i="4" s="1"/>
  <c r="R113" i="4" s="1"/>
  <c r="R114" i="4" s="1"/>
  <c r="R115" i="4" s="1"/>
  <c r="R116" i="4" s="1"/>
  <c r="R117" i="4" s="1"/>
  <c r="R118" i="4" s="1"/>
  <c r="R119" i="4" s="1"/>
  <c r="R120" i="4" s="1"/>
  <c r="R121" i="4" s="1"/>
  <c r="R122" i="4" s="1"/>
  <c r="R123" i="4" s="1"/>
  <c r="R124" i="4" s="1"/>
  <c r="R125" i="4" s="1"/>
  <c r="R126" i="4" s="1"/>
  <c r="R127" i="4" s="1"/>
  <c r="R128" i="4" s="1"/>
  <c r="R129" i="4" s="1"/>
  <c r="R130" i="4" s="1"/>
  <c r="R131" i="4" s="1"/>
  <c r="R132" i="4" s="1"/>
  <c r="R133" i="4" s="1"/>
  <c r="R134" i="4" s="1"/>
  <c r="P67" i="4"/>
  <c r="R60" i="4"/>
  <c r="R61" i="4" s="1"/>
  <c r="R62" i="4" s="1"/>
  <c r="R63" i="4" s="1"/>
  <c r="R64" i="4" s="1"/>
  <c r="R65" i="4" s="1"/>
  <c r="R66" i="4" s="1"/>
  <c r="P60" i="4"/>
  <c r="R7" i="4" s="1"/>
  <c r="R8" i="4" s="1"/>
  <c r="R9" i="4" s="1"/>
  <c r="R10" i="4" s="1"/>
  <c r="R11" i="4" s="1"/>
  <c r="R12" i="4" s="1"/>
  <c r="R13" i="4" s="1"/>
  <c r="R14" i="4" s="1"/>
  <c r="R15" i="4" s="1"/>
  <c r="R16" i="4" s="1"/>
  <c r="R17" i="4" s="1"/>
  <c r="R18" i="4" s="1"/>
  <c r="R19" i="4" s="1"/>
  <c r="R20" i="4" s="1"/>
  <c r="R21" i="4" s="1"/>
  <c r="R22" i="4" s="1"/>
  <c r="R23" i="4" s="1"/>
  <c r="R24" i="4" s="1"/>
  <c r="R25" i="4" s="1"/>
  <c r="R26" i="4" s="1"/>
  <c r="R27" i="4" s="1"/>
  <c r="R28" i="4" s="1"/>
  <c r="R29" i="4" s="1"/>
  <c r="R30" i="4" s="1"/>
  <c r="R31" i="4" s="1"/>
  <c r="R32" i="4" s="1"/>
  <c r="R33" i="4" s="1"/>
  <c r="R34" i="4" s="1"/>
  <c r="R35" i="4" s="1"/>
  <c r="R36" i="4" s="1"/>
  <c r="R37" i="4" s="1"/>
  <c r="R38" i="4" s="1"/>
  <c r="R39" i="4" s="1"/>
  <c r="R40" i="4" s="1"/>
  <c r="R41" i="4" s="1"/>
  <c r="R42" i="4" s="1"/>
  <c r="R43" i="4" s="1"/>
  <c r="R44" i="4" s="1"/>
  <c r="R45" i="4" s="1"/>
  <c r="R46" i="4" s="1"/>
  <c r="R47" i="4" s="1"/>
  <c r="R48" i="4" s="1"/>
  <c r="R49" i="4" s="1"/>
  <c r="R50" i="4" s="1"/>
  <c r="R51" i="4" s="1"/>
  <c r="R52" i="4" s="1"/>
  <c r="R53" i="4" s="1"/>
  <c r="R54" i="4" s="1"/>
  <c r="R55" i="4" s="1"/>
  <c r="R56" i="4" s="1"/>
  <c r="R57" i="4" s="1"/>
  <c r="R58" i="4" s="1"/>
  <c r="R59" i="4" s="1"/>
  <c r="J22" i="4"/>
  <c r="K6" i="4"/>
  <c r="K10" i="4" s="1"/>
  <c r="K14" i="4" s="1"/>
  <c r="K18" i="4" s="1"/>
  <c r="K22" i="4" s="1"/>
  <c r="J14" i="3" l="1"/>
  <c r="L14" i="3"/>
  <c r="I15" i="3"/>
  <c r="K15" i="3" s="1"/>
  <c r="I18" i="3"/>
  <c r="J17" i="3"/>
  <c r="L17" i="3"/>
  <c r="H8" i="3"/>
  <c r="I20" i="3"/>
  <c r="J20" i="3" s="1"/>
  <c r="L10" i="3"/>
  <c r="J18" i="3"/>
  <c r="K18" i="3"/>
  <c r="I7" i="3"/>
  <c r="L7" i="3" s="1"/>
  <c r="K6" i="3"/>
  <c r="I11" i="3"/>
  <c r="L11" i="3" s="1"/>
  <c r="I12" i="3"/>
  <c r="L18" i="3"/>
  <c r="J6" i="3"/>
  <c r="L6" i="3"/>
  <c r="J10" i="3"/>
  <c r="H51" i="5"/>
  <c r="I45" i="5"/>
  <c r="I3" i="3" s="1"/>
  <c r="J3" i="3" s="1"/>
  <c r="I49" i="5"/>
  <c r="I54" i="5" s="1"/>
  <c r="H53" i="5"/>
  <c r="H18" i="5"/>
  <c r="H27" i="5"/>
  <c r="L3" i="3" l="1"/>
  <c r="I4" i="3"/>
  <c r="K3" i="3"/>
  <c r="L15" i="3"/>
  <c r="J15" i="3"/>
  <c r="L20" i="3"/>
  <c r="K20" i="3"/>
  <c r="I21" i="3"/>
  <c r="K7" i="3"/>
  <c r="J7" i="3"/>
  <c r="I8" i="3"/>
  <c r="L12" i="3"/>
  <c r="J12" i="3"/>
  <c r="K11" i="3"/>
  <c r="J11" i="3"/>
  <c r="H49" i="5"/>
  <c r="H54" i="5" s="1"/>
  <c r="H9" i="5"/>
  <c r="J4" i="3" l="1"/>
  <c r="K4" i="3"/>
  <c r="L4" i="3"/>
  <c r="K21" i="3"/>
  <c r="J21" i="3"/>
  <c r="L21" i="3"/>
  <c r="L8" i="3"/>
  <c r="K8" i="3"/>
  <c r="J8" i="3"/>
</calcChain>
</file>

<file path=xl/sharedStrings.xml><?xml version="1.0" encoding="utf-8"?>
<sst xmlns="http://schemas.openxmlformats.org/spreadsheetml/2006/main" count="582" uniqueCount="238">
  <si>
    <t>Note</t>
  </si>
  <si>
    <t>Region</t>
  </si>
  <si>
    <t>Sector</t>
  </si>
  <si>
    <t>Units</t>
  </si>
  <si>
    <t>Data</t>
  </si>
  <si>
    <t>Forecast</t>
  </si>
  <si>
    <t>Fossil Natural Gas</t>
  </si>
  <si>
    <t>fossil natural gas</t>
  </si>
  <si>
    <t>Northwest</t>
  </si>
  <si>
    <t>Total</t>
  </si>
  <si>
    <t>TBtu</t>
  </si>
  <si>
    <t>Annual Demand</t>
  </si>
  <si>
    <t>Res</t>
  </si>
  <si>
    <t>Com</t>
  </si>
  <si>
    <t>Ind</t>
  </si>
  <si>
    <t>Transp</t>
  </si>
  <si>
    <t>Idaho</t>
  </si>
  <si>
    <t>W Montana</t>
  </si>
  <si>
    <t>Oregon</t>
  </si>
  <si>
    <t>Washington</t>
  </si>
  <si>
    <t>Renweable Natural Gas</t>
  </si>
  <si>
    <t>renewable natural gas</t>
  </si>
  <si>
    <t>Annual Demand-Northwest-Total</t>
  </si>
  <si>
    <t>Annual Demand-Northwest-Res</t>
  </si>
  <si>
    <t>Annual Demand-Northwest-Com</t>
  </si>
  <si>
    <t>Annual Demand-Northwest-Ind</t>
  </si>
  <si>
    <t>Annual Demand-Northwest-Transp</t>
  </si>
  <si>
    <t>Annual Demand-Idaho-Total</t>
  </si>
  <si>
    <t>Annual Demand-W Montana-Total</t>
  </si>
  <si>
    <t>Annual Demand-Oregon-Total</t>
  </si>
  <si>
    <t>Annual Demand-Washington-Total</t>
  </si>
  <si>
    <t>LCOE</t>
  </si>
  <si>
    <t>CA</t>
  </si>
  <si>
    <t>US</t>
  </si>
  <si>
    <t xml:space="preserve">CA Estimate </t>
  </si>
  <si>
    <t>supply Curve</t>
  </si>
  <si>
    <t>Landfill Gas</t>
  </si>
  <si>
    <t>$/mmbtu</t>
  </si>
  <si>
    <t>Bcf/Year</t>
  </si>
  <si>
    <t>Supply BCf/y</t>
  </si>
  <si>
    <t xml:space="preserve">Supply </t>
  </si>
  <si>
    <t>Initial</t>
  </si>
  <si>
    <t>Low</t>
  </si>
  <si>
    <t>BCF/y</t>
  </si>
  <si>
    <t>End</t>
  </si>
  <si>
    <t>High</t>
  </si>
  <si>
    <t>Intial</t>
  </si>
  <si>
    <t>WWT Gas</t>
  </si>
  <si>
    <t>MSW Gas</t>
  </si>
  <si>
    <t>Dairy Manure</t>
  </si>
  <si>
    <t>Forest/Ag Residue</t>
  </si>
  <si>
    <t>MMcf</t>
  </si>
  <si>
    <t>Data 1: U.S. Natural Gas Consumption by End Use</t>
  </si>
  <si>
    <t>Year</t>
  </si>
  <si>
    <t>Total (End use + Power Generation)</t>
  </si>
  <si>
    <t>End Use Only (R/C/I/T)</t>
  </si>
  <si>
    <t>Sourcekey</t>
  </si>
  <si>
    <t>N9140US2</t>
  </si>
  <si>
    <t>N9160US2</t>
  </si>
  <si>
    <t>NA1840_NUS_2</t>
  </si>
  <si>
    <t>NA1850_NUS_2</t>
  </si>
  <si>
    <t>N9170US2</t>
  </si>
  <si>
    <t>N3060US2</t>
  </si>
  <si>
    <t>N3010US2</t>
  </si>
  <si>
    <t>N3020US2</t>
  </si>
  <si>
    <t>N3035US2</t>
  </si>
  <si>
    <t>N3025US2</t>
  </si>
  <si>
    <t>N3045US2</t>
  </si>
  <si>
    <t>Date</t>
  </si>
  <si>
    <t>U.S. Natural Gas Total Consumption (MMcf)</t>
  </si>
  <si>
    <t>U.S. Natural Gas Lease and Plant Fuel Consumption (MMcf)</t>
  </si>
  <si>
    <t>U.S. Natural Gas Lease Fuel Consumption (MMcf)</t>
  </si>
  <si>
    <t>U.S. Natural Gas Plant Fuel Consumption (MMcf)</t>
  </si>
  <si>
    <t>U.S. Natural Gas Pipeline &amp; Distribution Use (MMcf)</t>
  </si>
  <si>
    <t>Natural Gas Delivered to Consumers in the U.S. (MMcf)</t>
  </si>
  <si>
    <t>U.S. Natural Gas Residential Consumption (MMcf)</t>
  </si>
  <si>
    <t>Natural Gas Deliveries to Commercial Consumers (Including Vehicle Fuel through 1996) in the U.S. (MMcf)</t>
  </si>
  <si>
    <t>U.S. Natural Gas Industrial Consumption (MMcf)</t>
  </si>
  <si>
    <t>U.S. Natural Gas Vehicle Fuel Consumption (MMcf)</t>
  </si>
  <si>
    <t>U.S. Natural Gas Deliveries to Electric Power Consumers (MMcf)</t>
  </si>
  <si>
    <t>5 Year Ave</t>
  </si>
  <si>
    <t>Mcf</t>
  </si>
  <si>
    <t>Data 1: Washington Natural Gas Consumption by End Use</t>
  </si>
  <si>
    <t>MMBtu</t>
  </si>
  <si>
    <t>NA1490_SWA_2</t>
  </si>
  <si>
    <t>NA1470_SWA_2</t>
  </si>
  <si>
    <t>NA1480_SWA_2</t>
  </si>
  <si>
    <t>N3060WA2</t>
  </si>
  <si>
    <t>N3010WA2</t>
  </si>
  <si>
    <t>N3020WA2</t>
  </si>
  <si>
    <t>N3035WA2</t>
  </si>
  <si>
    <t>NA1570_SWA_2</t>
  </si>
  <si>
    <t>N3045WA2</t>
  </si>
  <si>
    <t>Washington Natural Gas Total Consumption (MMcf)</t>
  </si>
  <si>
    <t>Washington Natural Gas Lease and Plant Fuel Consumption (MMcf)</t>
  </si>
  <si>
    <t>Washington Natural Gas Pipeline and Distribution Use (MMcf)</t>
  </si>
  <si>
    <t>Natural Gas Delivered to Consumers in Washington (Including Vehicle Fuel) (MMcf)</t>
  </si>
  <si>
    <t>Washington Natural Gas Residential Consumption (MMcf)</t>
  </si>
  <si>
    <t>Natural Gas Deliveries to Commercial Consumers (Including Vehicle Fuel through 1996) in Washington (MMcf)</t>
  </si>
  <si>
    <t>Washington Natural Gas Industrial Consumption (MMcf)</t>
  </si>
  <si>
    <t>Washington Natural Gas Vehicle Fuel Consumption (MMcf)</t>
  </si>
  <si>
    <t>Washington Natural Gas Deliveries to Electric Power Consumers (MMcf)</t>
  </si>
  <si>
    <t>Montana</t>
  </si>
  <si>
    <t>Data 1: Oregon Natural Gas Consumption by End Use</t>
  </si>
  <si>
    <t>NA1490_SOR_2</t>
  </si>
  <si>
    <t>NA1470_SOR_2</t>
  </si>
  <si>
    <t>NA1840_SOR_2</t>
  </si>
  <si>
    <t>NA1480_SOR_2</t>
  </si>
  <si>
    <t>N3060OR2</t>
  </si>
  <si>
    <t>N3010OR2</t>
  </si>
  <si>
    <t>N3020OR2</t>
  </si>
  <si>
    <t>N3035OR2</t>
  </si>
  <si>
    <t>NA1570_SOR_2</t>
  </si>
  <si>
    <t>N3045OR2</t>
  </si>
  <si>
    <t>Oregon Natural Gas Total Consumption (MMcf)</t>
  </si>
  <si>
    <t>Oregon Natural Gas Lease and Plant Fuel Consumption (MMcf)</t>
  </si>
  <si>
    <t>Oregon Natural Gas Lease Fuel Consumption (MMcf)</t>
  </si>
  <si>
    <t>Oregon Natural Gas Pipeline and Distribution Use (MMcf)</t>
  </si>
  <si>
    <t>Natural Gas Delivered to Consumers in Oregon (Including Vehicle Fuel) (MMcf)</t>
  </si>
  <si>
    <t>Oregon Natural Gas Residential Consumption (MMcf)</t>
  </si>
  <si>
    <t>Natural Gas Deliveries to Commercial Consumers (Including Vehicle Fuel through 1996) in Oregon (MMcf)</t>
  </si>
  <si>
    <t>Oregon Natural Gas Industrial Consumption (MMcf)</t>
  </si>
  <si>
    <t>Oregon Natural Gas Vehicle Fuel Consumption (MMcf)</t>
  </si>
  <si>
    <t>Oregon Natural Gas Deliveries to Electric Power Consumers (MMcf)</t>
  </si>
  <si>
    <t>Data 1: Montana Natural Gas Consumption by End Use</t>
  </si>
  <si>
    <t>NA1490_SMT_2</t>
  </si>
  <si>
    <t>NA1470_SMT_2</t>
  </si>
  <si>
    <t>NA1840_SMT_2</t>
  </si>
  <si>
    <t>NA1850_SMT_2</t>
  </si>
  <si>
    <t>NA1480_SMT_2</t>
  </si>
  <si>
    <t>N3060MT2</t>
  </si>
  <si>
    <t>N3010MT2</t>
  </si>
  <si>
    <t>N3020MT2</t>
  </si>
  <si>
    <t>N3035MT2</t>
  </si>
  <si>
    <t>NA1570_SMT_2</t>
  </si>
  <si>
    <t>N3045MT2</t>
  </si>
  <si>
    <t>Montana Natural Gas Total Consumption (MMcf)</t>
  </si>
  <si>
    <t>Montana Natural Gas Lease and Plant Fuel Consumption (MMcf)</t>
  </si>
  <si>
    <t>Montana Natural Gas Lease Fuel Consumption (MMcf)</t>
  </si>
  <si>
    <t>Montana Natural Gas Plant Fuel Consumption (MMcf)</t>
  </si>
  <si>
    <t>Montana Natural Gas Pipeline and Distribution Use (MMcf)</t>
  </si>
  <si>
    <t>Natural Gas Delivered to Consumers in Montana (Including Vehicle Fuel) (MMcf)</t>
  </si>
  <si>
    <t>Montana Natural Gas Residential Consumption (MMcf)</t>
  </si>
  <si>
    <t>Natural Gas Deliveries to Commercial Consumers (Including Vehicle Fuel through 1996) in Montana (MMcf)</t>
  </si>
  <si>
    <t>Montana Natural Gas Industrial Consumption (MMcf)</t>
  </si>
  <si>
    <t>Montana Natural Gas Vehicle Fuel Consumption (MMcf)</t>
  </si>
  <si>
    <t>Montana Natural Gas Deliveries to Electric Power Consumers (MMcf)</t>
  </si>
  <si>
    <t>Data 1: Idaho Natural Gas Consumption by End Use</t>
  </si>
  <si>
    <t>NA1490_SID_2</t>
  </si>
  <si>
    <t>NA1470_SID_2</t>
  </si>
  <si>
    <t>NGM_EPG0_VCL_SID_MMCF</t>
  </si>
  <si>
    <t>NGM_EPG0_VCF_SID_MMCF</t>
  </si>
  <si>
    <t>NA1480_SID_2</t>
  </si>
  <si>
    <t>N3060ID2</t>
  </si>
  <si>
    <t>N3010ID2</t>
  </si>
  <si>
    <t>N3020ID2</t>
  </si>
  <si>
    <t>N3035ID2</t>
  </si>
  <si>
    <t>NA1570_SID_2</t>
  </si>
  <si>
    <t>N3045ID2</t>
  </si>
  <si>
    <t>Idaho Natural Gas Total Consumption (MMcf)</t>
  </si>
  <si>
    <t>Idaho Natural Gas Lease and Plant Fuel Consumption (MMcf)</t>
  </si>
  <si>
    <t>Idaho Natural Gas Lease Fuel Consumption (MMcf)</t>
  </si>
  <si>
    <t>Idaho Plant Fuel Consumption of Natural Gas (Million Cubic Feet)</t>
  </si>
  <si>
    <t>Idaho Natural Gas Pipeline and Distribution Use (MMcf)</t>
  </si>
  <si>
    <t>Natural Gas Delivered to Consumers in Idaho (Including Vehicle Fuel) (MMcf)</t>
  </si>
  <si>
    <t>Idaho Natural Gas Residential Consumption (MMcf)</t>
  </si>
  <si>
    <t>Natural Gas Deliveries to Commercial Consumers (Including Vehicle Fuel through 1996) in Idaho (MMcf)</t>
  </si>
  <si>
    <t>Idaho Natural Gas Industrial Consumption (MMcf)</t>
  </si>
  <si>
    <t>Idaho Natural Gas Vehicle Fuel Consumption (MMcf)</t>
  </si>
  <si>
    <t>Idaho Natural Gas Deliveries to Electric Power Consumers (MMcf)</t>
  </si>
  <si>
    <t>Conversions</t>
  </si>
  <si>
    <t>Oregon Department of Energy</t>
  </si>
  <si>
    <t>Biogas and Renewable Natural Gas Inventory</t>
  </si>
  <si>
    <t>SB 334 (2017)</t>
  </si>
  <si>
    <t>2018 Report to the Oregon Legislature</t>
  </si>
  <si>
    <t>https://www.oregon.gov/energy/Data-and-Reports/Documents/2018-RNG-Inventory-Report.pdf</t>
  </si>
  <si>
    <t>Washington State Department of Commerce &amp; WSU Energy Program</t>
  </si>
  <si>
    <t>Promoting Renewable Natural Gas in Washington State</t>
  </si>
  <si>
    <t>A Report ot the Washington State Legislature</t>
  </si>
  <si>
    <t>December 2018</t>
  </si>
  <si>
    <t>https://www.commerce.wa.gov/wp-content/uploads/2019/01/Energy-Promoting-RNG-in-Washington-State.pdf</t>
  </si>
  <si>
    <t>https://gasfoundation.org/wp-content/uploads/2019/12/AGF-2019-RNG-Study-Full-Report-FINAL-12-18-19.pdf</t>
  </si>
  <si>
    <t xml:space="preserve">ICF Study for the American Gas Foundation </t>
  </si>
  <si>
    <t>Renewable Sources of Natural Gas: Supply and Emissions Reduction Assessment</t>
  </si>
  <si>
    <t>Study</t>
  </si>
  <si>
    <t>ICF Low</t>
  </si>
  <si>
    <t>ICF High</t>
  </si>
  <si>
    <t>Average Annual End-Use Gas Consumption (2016-2020)
Tbtu</t>
  </si>
  <si>
    <t>Tbtu</t>
  </si>
  <si>
    <t>OR</t>
  </si>
  <si>
    <t>WA</t>
  </si>
  <si>
    <t>ID</t>
  </si>
  <si>
    <t>MT</t>
  </si>
  <si>
    <t>NW (OR-WA-ID-MT)</t>
  </si>
  <si>
    <t>Thermal Gasification (TG) RNG as % of End-Use Consumption</t>
  </si>
  <si>
    <t>OR Dept of Energy</t>
  </si>
  <si>
    <t>Gross Annual Methane Potential - cubic feet</t>
  </si>
  <si>
    <t>Anaerobic Digestion</t>
  </si>
  <si>
    <t>Thermal Gasification</t>
  </si>
  <si>
    <t>Ag manure</t>
  </si>
  <si>
    <t>Forest residuals</t>
  </si>
  <si>
    <t>Wastewater</t>
  </si>
  <si>
    <t>Ag residuals</t>
  </si>
  <si>
    <t>Food waste</t>
  </si>
  <si>
    <t>Landfill</t>
  </si>
  <si>
    <t>Oregon Dept of Energy</t>
  </si>
  <si>
    <t>cf</t>
  </si>
  <si>
    <t>WA Dept of Commerce</t>
  </si>
  <si>
    <t>ICF Study</t>
  </si>
  <si>
    <t>2040 - Tbtu</t>
  </si>
  <si>
    <t>Animal Manure</t>
  </si>
  <si>
    <t>WRRF</t>
  </si>
  <si>
    <t>AD</t>
  </si>
  <si>
    <t>Food Waste</t>
  </si>
  <si>
    <t>Ag Residue</t>
  </si>
  <si>
    <t>Forestry and Forest Residue</t>
  </si>
  <si>
    <t>Energy Crops</t>
  </si>
  <si>
    <t>MSW (non-biogenic)</t>
  </si>
  <si>
    <t>Non-biogenic</t>
  </si>
  <si>
    <t>P2G</t>
  </si>
  <si>
    <t>Syn gas</t>
  </si>
  <si>
    <t>Low Potential</t>
  </si>
  <si>
    <t>Table 4</t>
  </si>
  <si>
    <t>High Potential</t>
  </si>
  <si>
    <t>NRDC Adjustment</t>
  </si>
  <si>
    <t>%</t>
  </si>
  <si>
    <t>total</t>
  </si>
  <si>
    <t>TD</t>
  </si>
  <si>
    <t>TG</t>
  </si>
  <si>
    <t>Table 38,39</t>
  </si>
  <si>
    <t>Power Gen</t>
  </si>
  <si>
    <t>R/C/I/T</t>
  </si>
  <si>
    <t>Pipeline &amp; Distribution</t>
  </si>
  <si>
    <t>Anaerobic Digestion + Thermal Gasification
AD + TG
Tbtu</t>
  </si>
  <si>
    <t>Anaerobic Digestion + Thermal Gasification as % of End-Use Consumption</t>
  </si>
  <si>
    <t>Anaerobic Digestion (AD)
Tbtu</t>
  </si>
  <si>
    <t>Anaerobic Digestion (AD) RNG as % of End-Use Consumption</t>
  </si>
  <si>
    <t>Thermal Gasification (TG)
Tbtu
*excluding non-biogenic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</si>
</sst>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0.0"/>
    <numFmt numFmtId="166" formatCode="#,##0.0"/>
  </numFmts>
  <fonts count="12" x14ac:knownFonts="1">
    <font>
      <sz val="10"/>
      <color theme="1"/>
      <name val="Arial"/>
      <family val="2"/>
    </font>
    <font>
      <b/>
      <u/>
      <sz val="10"/>
      <color rgb="FFC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7"/>
      <name val="Arial"/>
      <family val="2"/>
    </font>
    <font>
      <b/>
      <sz val="12"/>
      <color indexed="1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2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7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0" fillId="3" borderId="0" xfId="0" applyFill="1"/>
    <xf numFmtId="0" fontId="3" fillId="0" borderId="0" xfId="0" applyFont="1" applyAlignment="1">
      <alignment wrapText="1"/>
    </xf>
    <xf numFmtId="0" fontId="3" fillId="0" borderId="0" xfId="0" applyFont="1"/>
    <xf numFmtId="3" fontId="0" fillId="0" borderId="0" xfId="0" applyNumberFormat="1"/>
    <xf numFmtId="0" fontId="2" fillId="4" borderId="0" xfId="0" applyFont="1" applyFill="1"/>
    <xf numFmtId="0" fontId="0" fillId="4" borderId="0" xfId="0" applyFill="1"/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2" fontId="0" fillId="5" borderId="0" xfId="0" applyNumberFormat="1" applyFill="1"/>
    <xf numFmtId="2" fontId="0" fillId="0" borderId="0" xfId="0" applyNumberFormat="1"/>
    <xf numFmtId="0" fontId="0" fillId="0" borderId="1" xfId="0" applyBorder="1"/>
    <xf numFmtId="2" fontId="0" fillId="6" borderId="0" xfId="0" applyNumberFormat="1" applyFill="1"/>
    <xf numFmtId="0" fontId="0" fillId="0" borderId="0" xfId="0" applyAlignment="1">
      <alignment wrapText="1"/>
    </xf>
    <xf numFmtId="0" fontId="6" fillId="6" borderId="0" xfId="0" applyFont="1" applyFill="1"/>
    <xf numFmtId="0" fontId="5" fillId="0" borderId="0" xfId="1" quotePrefix="1" applyAlignment="1" applyProtection="1">
      <alignment horizontal="left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4" fontId="0" fillId="0" borderId="0" xfId="0" applyNumberFormat="1"/>
    <xf numFmtId="0" fontId="0" fillId="0" borderId="2" xfId="0" applyBorder="1"/>
    <xf numFmtId="3" fontId="0" fillId="0" borderId="3" xfId="0" applyNumberFormat="1" applyBorder="1"/>
    <xf numFmtId="3" fontId="0" fillId="0" borderId="4" xfId="0" applyNumberFormat="1" applyBorder="1"/>
    <xf numFmtId="0" fontId="6" fillId="7" borderId="0" xfId="0" applyFont="1" applyFill="1"/>
    <xf numFmtId="0" fontId="5" fillId="0" borderId="0" xfId="1" quotePrefix="1" applyAlignment="1" applyProtection="1">
      <alignment horizontal="left"/>
    </xf>
    <xf numFmtId="0" fontId="6" fillId="8" borderId="0" xfId="0" applyFont="1" applyFill="1"/>
    <xf numFmtId="0" fontId="6" fillId="9" borderId="0" xfId="0" applyFont="1" applyFill="1"/>
    <xf numFmtId="0" fontId="10" fillId="9" borderId="0" xfId="0" applyFont="1" applyFill="1"/>
    <xf numFmtId="0" fontId="11" fillId="9" borderId="0" xfId="0" applyFont="1" applyFill="1"/>
    <xf numFmtId="0" fontId="5" fillId="0" borderId="1" xfId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3" fontId="0" fillId="0" borderId="0" xfId="0" applyNumberFormat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13" xfId="1" applyBorder="1"/>
    <xf numFmtId="49" fontId="0" fillId="0" borderId="12" xfId="0" quotePrefix="1" applyNumberFormat="1" applyBorder="1"/>
    <xf numFmtId="0" fontId="0" fillId="0" borderId="12" xfId="0" quotePrefix="1" applyBorder="1"/>
    <xf numFmtId="0" fontId="0" fillId="0" borderId="0" xfId="0" applyBorder="1"/>
    <xf numFmtId="0" fontId="0" fillId="0" borderId="14" xfId="0" applyBorder="1"/>
    <xf numFmtId="0" fontId="0" fillId="0" borderId="4" xfId="0" applyBorder="1"/>
    <xf numFmtId="0" fontId="0" fillId="0" borderId="3" xfId="0" applyBorder="1"/>
    <xf numFmtId="0" fontId="4" fillId="0" borderId="2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3" fontId="0" fillId="0" borderId="14" xfId="0" applyNumberFormat="1" applyBorder="1"/>
    <xf numFmtId="0" fontId="0" fillId="0" borderId="15" xfId="0" applyBorder="1"/>
    <xf numFmtId="0" fontId="0" fillId="0" borderId="0" xfId="0" applyFill="1" applyBorder="1"/>
    <xf numFmtId="0" fontId="0" fillId="0" borderId="7" xfId="0" applyFill="1" applyBorder="1"/>
    <xf numFmtId="0" fontId="0" fillId="0" borderId="14" xfId="0" applyFill="1" applyBorder="1"/>
    <xf numFmtId="0" fontId="0" fillId="0" borderId="5" xfId="0" applyFill="1" applyBorder="1"/>
    <xf numFmtId="0" fontId="0" fillId="0" borderId="9" xfId="0" applyFill="1" applyBorder="1"/>
    <xf numFmtId="0" fontId="0" fillId="0" borderId="2" xfId="0" applyFill="1" applyBorder="1"/>
    <xf numFmtId="0" fontId="0" fillId="11" borderId="0" xfId="0" applyFill="1"/>
    <xf numFmtId="0" fontId="5" fillId="0" borderId="0" xfId="1" applyBorder="1" applyAlignment="1">
      <alignment wrapText="1"/>
    </xf>
    <xf numFmtId="0" fontId="0" fillId="10" borderId="2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RNG_Forecast!$L$31</c:f>
              <c:strCache>
                <c:ptCount val="1"/>
                <c:pt idx="0">
                  <c:v>Annual Demand-Northwest-Res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RNG_Forecast!$M$9:$AL$9</c:f>
              <c:numCache>
                <c:formatCode>General</c:formatCode>
                <c:ptCount val="2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</c:numCache>
            </c:numRef>
          </c:cat>
          <c:val>
            <c:numRef>
              <c:f>RNG_Forecast!$M$31:$AL$31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0.85</c:v>
                </c:pt>
                <c:pt idx="6">
                  <c:v>1.55</c:v>
                </c:pt>
                <c:pt idx="7">
                  <c:v>1.55</c:v>
                </c:pt>
                <c:pt idx="8">
                  <c:v>1.55</c:v>
                </c:pt>
                <c:pt idx="9">
                  <c:v>1.55</c:v>
                </c:pt>
                <c:pt idx="10">
                  <c:v>3.15</c:v>
                </c:pt>
                <c:pt idx="11">
                  <c:v>3.15</c:v>
                </c:pt>
                <c:pt idx="12">
                  <c:v>3.15</c:v>
                </c:pt>
                <c:pt idx="13">
                  <c:v>4.8</c:v>
                </c:pt>
                <c:pt idx="14">
                  <c:v>4.8</c:v>
                </c:pt>
                <c:pt idx="15">
                  <c:v>7.8</c:v>
                </c:pt>
                <c:pt idx="16">
                  <c:v>7.8</c:v>
                </c:pt>
                <c:pt idx="17">
                  <c:v>7.9</c:v>
                </c:pt>
                <c:pt idx="18">
                  <c:v>10</c:v>
                </c:pt>
                <c:pt idx="19">
                  <c:v>10</c:v>
                </c:pt>
                <c:pt idx="20">
                  <c:v>11.6</c:v>
                </c:pt>
                <c:pt idx="21">
                  <c:v>13.7</c:v>
                </c:pt>
                <c:pt idx="22">
                  <c:v>15.3</c:v>
                </c:pt>
                <c:pt idx="23">
                  <c:v>15.5</c:v>
                </c:pt>
                <c:pt idx="24">
                  <c:v>15.5</c:v>
                </c:pt>
                <c:pt idx="25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6-4069-B23B-390F3278BA39}"/>
            </c:ext>
          </c:extLst>
        </c:ser>
        <c:ser>
          <c:idx val="1"/>
          <c:order val="1"/>
          <c:tx>
            <c:strRef>
              <c:f>RNG_Forecast!$L$32</c:f>
              <c:strCache>
                <c:ptCount val="1"/>
                <c:pt idx="0">
                  <c:v>Annual Demand-Northwest-Com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RNG_Forecast!$M$9:$AL$9</c:f>
              <c:numCache>
                <c:formatCode>General</c:formatCode>
                <c:ptCount val="2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</c:numCache>
            </c:numRef>
          </c:cat>
          <c:val>
            <c:numRef>
              <c:f>RNG_Forecast!$M$32:$AL$32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0.65200000000000002</c:v>
                </c:pt>
                <c:pt idx="6">
                  <c:v>1.052</c:v>
                </c:pt>
                <c:pt idx="7">
                  <c:v>1.052</c:v>
                </c:pt>
                <c:pt idx="8">
                  <c:v>1.052</c:v>
                </c:pt>
                <c:pt idx="9">
                  <c:v>1.052</c:v>
                </c:pt>
                <c:pt idx="10">
                  <c:v>2.3039999999999998</c:v>
                </c:pt>
                <c:pt idx="11">
                  <c:v>2.3039999999999998</c:v>
                </c:pt>
                <c:pt idx="12">
                  <c:v>2.3039999999999998</c:v>
                </c:pt>
                <c:pt idx="13">
                  <c:v>3.2040000000000002</c:v>
                </c:pt>
                <c:pt idx="14">
                  <c:v>3.3039999999999998</c:v>
                </c:pt>
                <c:pt idx="15">
                  <c:v>5.5039999999999996</c:v>
                </c:pt>
                <c:pt idx="16">
                  <c:v>5.5039999999999996</c:v>
                </c:pt>
                <c:pt idx="17">
                  <c:v>5.556</c:v>
                </c:pt>
                <c:pt idx="18">
                  <c:v>6.96</c:v>
                </c:pt>
                <c:pt idx="19">
                  <c:v>7.06</c:v>
                </c:pt>
                <c:pt idx="20">
                  <c:v>8.16</c:v>
                </c:pt>
                <c:pt idx="21">
                  <c:v>9.7159999999999993</c:v>
                </c:pt>
                <c:pt idx="22">
                  <c:v>10.916</c:v>
                </c:pt>
                <c:pt idx="23">
                  <c:v>11.215999999999999</c:v>
                </c:pt>
                <c:pt idx="24">
                  <c:v>11.215999999999999</c:v>
                </c:pt>
                <c:pt idx="25">
                  <c:v>11.316000000000001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56-4069-B23B-390F3278BA39}"/>
            </c:ext>
          </c:extLst>
        </c:ser>
        <c:ser>
          <c:idx val="2"/>
          <c:order val="2"/>
          <c:tx>
            <c:strRef>
              <c:f>RNG_Forecast!$L$33</c:f>
              <c:strCache>
                <c:ptCount val="1"/>
                <c:pt idx="0">
                  <c:v>Annual Demand-Northwest-Ind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RNG_Forecast!$M$9:$AL$9</c:f>
              <c:numCache>
                <c:formatCode>General</c:formatCode>
                <c:ptCount val="2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</c:numCache>
            </c:numRef>
          </c:cat>
          <c:val>
            <c:numRef>
              <c:f>RNG_Forecast!$M$33:$AL$33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0.73599999999999999</c:v>
                </c:pt>
                <c:pt idx="6">
                  <c:v>1.3360000000000001</c:v>
                </c:pt>
                <c:pt idx="7">
                  <c:v>1.3360000000000001</c:v>
                </c:pt>
                <c:pt idx="8">
                  <c:v>1.3360000000000001</c:v>
                </c:pt>
                <c:pt idx="9">
                  <c:v>1.3360000000000001</c:v>
                </c:pt>
                <c:pt idx="10">
                  <c:v>2.6360000000000001</c:v>
                </c:pt>
                <c:pt idx="11">
                  <c:v>2.6360000000000001</c:v>
                </c:pt>
                <c:pt idx="12">
                  <c:v>2.6360000000000001</c:v>
                </c:pt>
                <c:pt idx="13">
                  <c:v>3.9359999999999999</c:v>
                </c:pt>
                <c:pt idx="14">
                  <c:v>3.8359999999999999</c:v>
                </c:pt>
                <c:pt idx="15">
                  <c:v>6.2359999999999998</c:v>
                </c:pt>
                <c:pt idx="16">
                  <c:v>6.2359999999999998</c:v>
                </c:pt>
                <c:pt idx="17">
                  <c:v>6.2359999999999998</c:v>
                </c:pt>
                <c:pt idx="18">
                  <c:v>7.6719999999999997</c:v>
                </c:pt>
                <c:pt idx="19">
                  <c:v>7.6719999999999997</c:v>
                </c:pt>
                <c:pt idx="20">
                  <c:v>8.8719999999999999</c:v>
                </c:pt>
                <c:pt idx="21">
                  <c:v>10.407999999999999</c:v>
                </c:pt>
                <c:pt idx="22">
                  <c:v>11.407999999999999</c:v>
                </c:pt>
                <c:pt idx="23">
                  <c:v>11.507999999999999</c:v>
                </c:pt>
                <c:pt idx="24">
                  <c:v>11.407999999999999</c:v>
                </c:pt>
                <c:pt idx="25">
                  <c:v>11.507999999999999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56-4069-B23B-390F3278BA39}"/>
            </c:ext>
          </c:extLst>
        </c:ser>
        <c:ser>
          <c:idx val="3"/>
          <c:order val="3"/>
          <c:tx>
            <c:strRef>
              <c:f>RNG_Forecast!$L$34</c:f>
              <c:strCache>
                <c:ptCount val="1"/>
                <c:pt idx="0">
                  <c:v>Annual Demand-Northwest-Transp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RNG_Forecast!$M$9:$AL$9</c:f>
              <c:numCache>
                <c:formatCode>General</c:formatCode>
                <c:ptCount val="2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</c:numCache>
            </c:numRef>
          </c:cat>
          <c:val>
            <c:numRef>
              <c:f>RNG_Forecast!$M$34:$AL$34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0.64300000000000002</c:v>
                </c:pt>
                <c:pt idx="11">
                  <c:v>0.64300000000000002</c:v>
                </c:pt>
                <c:pt idx="12">
                  <c:v>0.64300000000000002</c:v>
                </c:pt>
                <c:pt idx="13">
                  <c:v>0.84299999999999997</c:v>
                </c:pt>
                <c:pt idx="14">
                  <c:v>0.84299999999999997</c:v>
                </c:pt>
                <c:pt idx="15">
                  <c:v>1.343</c:v>
                </c:pt>
                <c:pt idx="16">
                  <c:v>1.343</c:v>
                </c:pt>
                <c:pt idx="17">
                  <c:v>1.343</c:v>
                </c:pt>
                <c:pt idx="18">
                  <c:v>1.643</c:v>
                </c:pt>
                <c:pt idx="19">
                  <c:v>1.643</c:v>
                </c:pt>
                <c:pt idx="20">
                  <c:v>1.9430000000000001</c:v>
                </c:pt>
                <c:pt idx="21">
                  <c:v>2.286</c:v>
                </c:pt>
                <c:pt idx="22">
                  <c:v>2.4860000000000002</c:v>
                </c:pt>
                <c:pt idx="23">
                  <c:v>2.4860000000000002</c:v>
                </c:pt>
                <c:pt idx="24">
                  <c:v>2.4860000000000002</c:v>
                </c:pt>
                <c:pt idx="25">
                  <c:v>2.4860000000000002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56-4069-B23B-390F3278B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692704"/>
        <c:axId val="304796320"/>
      </c:areaChart>
      <c:catAx>
        <c:axId val="34569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796320"/>
        <c:crosses val="autoZero"/>
        <c:auto val="1"/>
        <c:lblAlgn val="ctr"/>
        <c:lblOffset val="100"/>
        <c:noMultiLvlLbl val="0"/>
      </c:catAx>
      <c:valAx>
        <c:axId val="30479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Tbtu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692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RNG_Forecast!$L$36</c:f>
              <c:strCache>
                <c:ptCount val="1"/>
                <c:pt idx="0">
                  <c:v>Annual Demand-Idaho-Total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RNG_Forecast!$M$9:$AL$9</c:f>
              <c:numCache>
                <c:formatCode>General</c:formatCode>
                <c:ptCount val="2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</c:numCache>
            </c:numRef>
          </c:cat>
          <c:val>
            <c:numRef>
              <c:f>RNG_Forecast!$M$36:$AL$36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0.7</c:v>
                </c:pt>
                <c:pt idx="11">
                  <c:v>0.7</c:v>
                </c:pt>
                <c:pt idx="12">
                  <c:v>0.7</c:v>
                </c:pt>
                <c:pt idx="13">
                  <c:v>0.9</c:v>
                </c:pt>
                <c:pt idx="14">
                  <c:v>0.9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2.9</c:v>
                </c:pt>
                <c:pt idx="22">
                  <c:v>2.8</c:v>
                </c:pt>
                <c:pt idx="23">
                  <c:v>2.9</c:v>
                </c:pt>
                <c:pt idx="24">
                  <c:v>2.9</c:v>
                </c:pt>
                <c:pt idx="2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8-4D46-AB1E-60CF6443BFB7}"/>
            </c:ext>
          </c:extLst>
        </c:ser>
        <c:ser>
          <c:idx val="1"/>
          <c:order val="1"/>
          <c:tx>
            <c:strRef>
              <c:f>RNG_Forecast!$L$37</c:f>
              <c:strCache>
                <c:ptCount val="1"/>
                <c:pt idx="0">
                  <c:v>Annual Demand-W Montana-Total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RNG_Forecast!$M$9:$AL$9</c:f>
              <c:numCache>
                <c:formatCode>General</c:formatCode>
                <c:ptCount val="2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</c:numCache>
            </c:numRef>
          </c:cat>
          <c:val>
            <c:numRef>
              <c:f>RNG_Forecast!$M$37:$AL$37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0.13800000000000001</c:v>
                </c:pt>
                <c:pt idx="6">
                  <c:v>0.13800000000000001</c:v>
                </c:pt>
                <c:pt idx="7">
                  <c:v>0.13800000000000001</c:v>
                </c:pt>
                <c:pt idx="8">
                  <c:v>0.13800000000000001</c:v>
                </c:pt>
                <c:pt idx="9">
                  <c:v>0.13800000000000001</c:v>
                </c:pt>
                <c:pt idx="10">
                  <c:v>0.23300000000000001</c:v>
                </c:pt>
                <c:pt idx="11">
                  <c:v>0.23300000000000001</c:v>
                </c:pt>
                <c:pt idx="12">
                  <c:v>0.23300000000000001</c:v>
                </c:pt>
                <c:pt idx="13">
                  <c:v>0.28299999999999997</c:v>
                </c:pt>
                <c:pt idx="14">
                  <c:v>0.28299999999999997</c:v>
                </c:pt>
                <c:pt idx="15">
                  <c:v>0.28299999999999997</c:v>
                </c:pt>
                <c:pt idx="16">
                  <c:v>0.28299999999999997</c:v>
                </c:pt>
                <c:pt idx="17">
                  <c:v>0.33500000000000002</c:v>
                </c:pt>
                <c:pt idx="18">
                  <c:v>0.57499999999999996</c:v>
                </c:pt>
                <c:pt idx="19">
                  <c:v>0.57499999999999996</c:v>
                </c:pt>
                <c:pt idx="20">
                  <c:v>0.57499999999999996</c:v>
                </c:pt>
                <c:pt idx="21">
                  <c:v>0.91</c:v>
                </c:pt>
                <c:pt idx="22">
                  <c:v>0.91</c:v>
                </c:pt>
                <c:pt idx="23">
                  <c:v>0.91</c:v>
                </c:pt>
                <c:pt idx="24">
                  <c:v>0.91</c:v>
                </c:pt>
                <c:pt idx="25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8-4D46-AB1E-60CF6443BFB7}"/>
            </c:ext>
          </c:extLst>
        </c:ser>
        <c:ser>
          <c:idx val="2"/>
          <c:order val="2"/>
          <c:tx>
            <c:strRef>
              <c:f>RNG_Forecast!$L$38</c:f>
              <c:strCache>
                <c:ptCount val="1"/>
                <c:pt idx="0">
                  <c:v>Annual Demand-Oregon-Total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RNG_Forecast!$M$9:$AL$9</c:f>
              <c:numCache>
                <c:formatCode>General</c:formatCode>
                <c:ptCount val="2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</c:numCache>
            </c:numRef>
          </c:cat>
          <c:val>
            <c:numRef>
              <c:f>RNG_Forecast!$M$38:$AL$38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2.9</c:v>
                </c:pt>
                <c:pt idx="11">
                  <c:v>2.9</c:v>
                </c:pt>
                <c:pt idx="12">
                  <c:v>2.9</c:v>
                </c:pt>
                <c:pt idx="13">
                  <c:v>4.3</c:v>
                </c:pt>
                <c:pt idx="14">
                  <c:v>4.3</c:v>
                </c:pt>
                <c:pt idx="15">
                  <c:v>7.3</c:v>
                </c:pt>
                <c:pt idx="16">
                  <c:v>7.3</c:v>
                </c:pt>
                <c:pt idx="17">
                  <c:v>7.4</c:v>
                </c:pt>
                <c:pt idx="18">
                  <c:v>8.9</c:v>
                </c:pt>
                <c:pt idx="19">
                  <c:v>8.9</c:v>
                </c:pt>
                <c:pt idx="20">
                  <c:v>10.5</c:v>
                </c:pt>
                <c:pt idx="21">
                  <c:v>12.1</c:v>
                </c:pt>
                <c:pt idx="22">
                  <c:v>13.6</c:v>
                </c:pt>
                <c:pt idx="23">
                  <c:v>13.8</c:v>
                </c:pt>
                <c:pt idx="24">
                  <c:v>13.8</c:v>
                </c:pt>
                <c:pt idx="25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8-4D46-AB1E-60CF6443BFB7}"/>
            </c:ext>
          </c:extLst>
        </c:ser>
        <c:ser>
          <c:idx val="3"/>
          <c:order val="3"/>
          <c:tx>
            <c:strRef>
              <c:f>RNG_Forecast!$L$39</c:f>
              <c:strCache>
                <c:ptCount val="1"/>
                <c:pt idx="0">
                  <c:v>Annual Demand-Washington-Total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RNG_Forecast!$M$9:$AL$9</c:f>
              <c:numCache>
                <c:formatCode>General</c:formatCode>
                <c:ptCount val="2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</c:numCache>
            </c:numRef>
          </c:cat>
          <c:val>
            <c:numRef>
              <c:f>RNG_Forecast!$M$39:$AL$39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4.9000000000000004</c:v>
                </c:pt>
                <c:pt idx="11">
                  <c:v>4.9000000000000004</c:v>
                </c:pt>
                <c:pt idx="12">
                  <c:v>4.9000000000000004</c:v>
                </c:pt>
                <c:pt idx="13">
                  <c:v>7.3</c:v>
                </c:pt>
                <c:pt idx="14">
                  <c:v>7.3</c:v>
                </c:pt>
                <c:pt idx="15">
                  <c:v>12.3</c:v>
                </c:pt>
                <c:pt idx="16">
                  <c:v>12.3</c:v>
                </c:pt>
                <c:pt idx="17">
                  <c:v>12.3</c:v>
                </c:pt>
                <c:pt idx="18">
                  <c:v>14.9</c:v>
                </c:pt>
                <c:pt idx="19">
                  <c:v>15</c:v>
                </c:pt>
                <c:pt idx="20">
                  <c:v>17.600000000000001</c:v>
                </c:pt>
                <c:pt idx="21">
                  <c:v>20.2</c:v>
                </c:pt>
                <c:pt idx="22">
                  <c:v>22.8</c:v>
                </c:pt>
                <c:pt idx="23">
                  <c:v>23.1</c:v>
                </c:pt>
                <c:pt idx="24">
                  <c:v>23</c:v>
                </c:pt>
                <c:pt idx="25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8-4D46-AB1E-60CF6443B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383248"/>
        <c:axId val="304833344"/>
      </c:areaChart>
      <c:catAx>
        <c:axId val="3843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833344"/>
        <c:crosses val="autoZero"/>
        <c:auto val="1"/>
        <c:lblAlgn val="ctr"/>
        <c:lblOffset val="100"/>
        <c:noMultiLvlLbl val="0"/>
      </c:catAx>
      <c:valAx>
        <c:axId val="30483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Tbtu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383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'Cost Estimate'!$R$5</c:f>
              <c:strCache>
                <c:ptCount val="1"/>
                <c:pt idx="0">
                  <c:v>$/mmbtu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'Cost Estimate'!$Q$6:$Q$205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</c:numCache>
            </c:numRef>
          </c:xVal>
          <c:yVal>
            <c:numRef>
              <c:f>'Cost Estimate'!$R$6:$R$205</c:f>
              <c:numCache>
                <c:formatCode>0.00</c:formatCode>
                <c:ptCount val="200"/>
                <c:pt idx="0">
                  <c:v>8</c:v>
                </c:pt>
                <c:pt idx="1">
                  <c:v>8.1851851851851851</c:v>
                </c:pt>
                <c:pt idx="2">
                  <c:v>8.3703703703703702</c:v>
                </c:pt>
                <c:pt idx="3">
                  <c:v>8.5555555555555554</c:v>
                </c:pt>
                <c:pt idx="4">
                  <c:v>8.7407407407407405</c:v>
                </c:pt>
                <c:pt idx="5">
                  <c:v>8.9259259259259256</c:v>
                </c:pt>
                <c:pt idx="6">
                  <c:v>9.1111111111111107</c:v>
                </c:pt>
                <c:pt idx="7">
                  <c:v>9.2962962962962958</c:v>
                </c:pt>
                <c:pt idx="8">
                  <c:v>9.481481481481481</c:v>
                </c:pt>
                <c:pt idx="9">
                  <c:v>9.6666666666666661</c:v>
                </c:pt>
                <c:pt idx="10">
                  <c:v>9.8518518518518512</c:v>
                </c:pt>
                <c:pt idx="11">
                  <c:v>10.037037037037036</c:v>
                </c:pt>
                <c:pt idx="12">
                  <c:v>10.222222222222221</c:v>
                </c:pt>
                <c:pt idx="13">
                  <c:v>10.407407407407407</c:v>
                </c:pt>
                <c:pt idx="14">
                  <c:v>10.592592592592592</c:v>
                </c:pt>
                <c:pt idx="15">
                  <c:v>10.777777777777777</c:v>
                </c:pt>
                <c:pt idx="16">
                  <c:v>10.962962962962962</c:v>
                </c:pt>
                <c:pt idx="17">
                  <c:v>11.148148148148147</c:v>
                </c:pt>
                <c:pt idx="18">
                  <c:v>11.333333333333332</c:v>
                </c:pt>
                <c:pt idx="19">
                  <c:v>11.518518518518517</c:v>
                </c:pt>
                <c:pt idx="20">
                  <c:v>11.703703703703702</c:v>
                </c:pt>
                <c:pt idx="21">
                  <c:v>11.888888888888888</c:v>
                </c:pt>
                <c:pt idx="22">
                  <c:v>12.074074074074073</c:v>
                </c:pt>
                <c:pt idx="23">
                  <c:v>12.259259259259258</c:v>
                </c:pt>
                <c:pt idx="24">
                  <c:v>12.444444444444443</c:v>
                </c:pt>
                <c:pt idx="25">
                  <c:v>12.629629629629628</c:v>
                </c:pt>
                <c:pt idx="26">
                  <c:v>12.814814814814813</c:v>
                </c:pt>
                <c:pt idx="27">
                  <c:v>12.999999999999998</c:v>
                </c:pt>
                <c:pt idx="28">
                  <c:v>13.185185185185183</c:v>
                </c:pt>
                <c:pt idx="29">
                  <c:v>13.370370370370368</c:v>
                </c:pt>
                <c:pt idx="30">
                  <c:v>13.555555555555554</c:v>
                </c:pt>
                <c:pt idx="31">
                  <c:v>13.740740740740739</c:v>
                </c:pt>
                <c:pt idx="32">
                  <c:v>13.925925925925924</c:v>
                </c:pt>
                <c:pt idx="33">
                  <c:v>14.111111111111109</c:v>
                </c:pt>
                <c:pt idx="34">
                  <c:v>14.296296296296294</c:v>
                </c:pt>
                <c:pt idx="35">
                  <c:v>14.481481481481479</c:v>
                </c:pt>
                <c:pt idx="36">
                  <c:v>14.666666666666664</c:v>
                </c:pt>
                <c:pt idx="37">
                  <c:v>14.851851851851849</c:v>
                </c:pt>
                <c:pt idx="38">
                  <c:v>15.037037037037035</c:v>
                </c:pt>
                <c:pt idx="39">
                  <c:v>15.22222222222222</c:v>
                </c:pt>
                <c:pt idx="40">
                  <c:v>15.407407407407405</c:v>
                </c:pt>
                <c:pt idx="41">
                  <c:v>15.59259259259259</c:v>
                </c:pt>
                <c:pt idx="42">
                  <c:v>15.777777777777775</c:v>
                </c:pt>
                <c:pt idx="43">
                  <c:v>15.96296296296296</c:v>
                </c:pt>
                <c:pt idx="44">
                  <c:v>16.148148148148145</c:v>
                </c:pt>
                <c:pt idx="45">
                  <c:v>16.333333333333332</c:v>
                </c:pt>
                <c:pt idx="46">
                  <c:v>16.518518518518519</c:v>
                </c:pt>
                <c:pt idx="47">
                  <c:v>16.703703703703706</c:v>
                </c:pt>
                <c:pt idx="48">
                  <c:v>16.888888888888893</c:v>
                </c:pt>
                <c:pt idx="49">
                  <c:v>17.07407407407408</c:v>
                </c:pt>
                <c:pt idx="50">
                  <c:v>17.259259259259267</c:v>
                </c:pt>
                <c:pt idx="51">
                  <c:v>17.444444444444454</c:v>
                </c:pt>
                <c:pt idx="52">
                  <c:v>17.62962962962964</c:v>
                </c:pt>
                <c:pt idx="53">
                  <c:v>17.814814814814827</c:v>
                </c:pt>
                <c:pt idx="54">
                  <c:v>18</c:v>
                </c:pt>
                <c:pt idx="55">
                  <c:v>18.285714285714285</c:v>
                </c:pt>
                <c:pt idx="56">
                  <c:v>18.571428571428569</c:v>
                </c:pt>
                <c:pt idx="57">
                  <c:v>18.857142857142854</c:v>
                </c:pt>
                <c:pt idx="58">
                  <c:v>19.142857142857139</c:v>
                </c:pt>
                <c:pt idx="59">
                  <c:v>19.428571428571423</c:v>
                </c:pt>
                <c:pt idx="60">
                  <c:v>19.714285714285708</c:v>
                </c:pt>
                <c:pt idx="61">
                  <c:v>20</c:v>
                </c:pt>
                <c:pt idx="62">
                  <c:v>20.102941176470587</c:v>
                </c:pt>
                <c:pt idx="63">
                  <c:v>20.205882352941174</c:v>
                </c:pt>
                <c:pt idx="64">
                  <c:v>20.308823529411761</c:v>
                </c:pt>
                <c:pt idx="65">
                  <c:v>20.411764705882348</c:v>
                </c:pt>
                <c:pt idx="66">
                  <c:v>20.514705882352935</c:v>
                </c:pt>
                <c:pt idx="67">
                  <c:v>20.617647058823522</c:v>
                </c:pt>
                <c:pt idx="68">
                  <c:v>20.720588235294109</c:v>
                </c:pt>
                <c:pt idx="69">
                  <c:v>20.823529411764696</c:v>
                </c:pt>
                <c:pt idx="70">
                  <c:v>20.926470588235283</c:v>
                </c:pt>
                <c:pt idx="71">
                  <c:v>21.02941176470587</c:v>
                </c:pt>
                <c:pt idx="72">
                  <c:v>21.132352941176457</c:v>
                </c:pt>
                <c:pt idx="73">
                  <c:v>21.235294117647044</c:v>
                </c:pt>
                <c:pt idx="74">
                  <c:v>21.338235294117631</c:v>
                </c:pt>
                <c:pt idx="75">
                  <c:v>21.441176470588218</c:v>
                </c:pt>
                <c:pt idx="76">
                  <c:v>21.544117647058805</c:v>
                </c:pt>
                <c:pt idx="77">
                  <c:v>21.647058823529392</c:v>
                </c:pt>
                <c:pt idx="78">
                  <c:v>21.749999999999979</c:v>
                </c:pt>
                <c:pt idx="79">
                  <c:v>21.852941176470566</c:v>
                </c:pt>
                <c:pt idx="80">
                  <c:v>21.955882352941153</c:v>
                </c:pt>
                <c:pt idx="81">
                  <c:v>22.05882352941174</c:v>
                </c:pt>
                <c:pt idx="82">
                  <c:v>22.161764705882327</c:v>
                </c:pt>
                <c:pt idx="83">
                  <c:v>22.264705882352914</c:v>
                </c:pt>
                <c:pt idx="84">
                  <c:v>22.367647058823501</c:v>
                </c:pt>
                <c:pt idx="85">
                  <c:v>22.470588235294088</c:v>
                </c:pt>
                <c:pt idx="86">
                  <c:v>22.573529411764675</c:v>
                </c:pt>
                <c:pt idx="87">
                  <c:v>22.676470588235262</c:v>
                </c:pt>
                <c:pt idx="88">
                  <c:v>22.779411764705848</c:v>
                </c:pt>
                <c:pt idx="89">
                  <c:v>22.882352941176435</c:v>
                </c:pt>
                <c:pt idx="90">
                  <c:v>22.985294117647022</c:v>
                </c:pt>
                <c:pt idx="91">
                  <c:v>23.088235294117609</c:v>
                </c:pt>
                <c:pt idx="92">
                  <c:v>23.191176470588196</c:v>
                </c:pt>
                <c:pt idx="93">
                  <c:v>23.294117647058783</c:v>
                </c:pt>
                <c:pt idx="94">
                  <c:v>23.39705882352937</c:v>
                </c:pt>
                <c:pt idx="95">
                  <c:v>23.499999999999957</c:v>
                </c:pt>
                <c:pt idx="96">
                  <c:v>23.602941176470544</c:v>
                </c:pt>
                <c:pt idx="97">
                  <c:v>23.705882352941131</c:v>
                </c:pt>
                <c:pt idx="98">
                  <c:v>23.808823529411718</c:v>
                </c:pt>
                <c:pt idx="99">
                  <c:v>23.911764705882305</c:v>
                </c:pt>
                <c:pt idx="100">
                  <c:v>24.014705882352892</c:v>
                </c:pt>
                <c:pt idx="101">
                  <c:v>24.117647058823479</c:v>
                </c:pt>
                <c:pt idx="102">
                  <c:v>24.220588235294066</c:v>
                </c:pt>
                <c:pt idx="103">
                  <c:v>24.323529411764653</c:v>
                </c:pt>
                <c:pt idx="104">
                  <c:v>24.42647058823524</c:v>
                </c:pt>
                <c:pt idx="105">
                  <c:v>24.529411764705827</c:v>
                </c:pt>
                <c:pt idx="106">
                  <c:v>24.632352941176414</c:v>
                </c:pt>
                <c:pt idx="107">
                  <c:v>24.735294117647001</c:v>
                </c:pt>
                <c:pt idx="108">
                  <c:v>24.838235294117588</c:v>
                </c:pt>
                <c:pt idx="109">
                  <c:v>24.941176470588175</c:v>
                </c:pt>
                <c:pt idx="110">
                  <c:v>25.044117647058762</c:v>
                </c:pt>
                <c:pt idx="111">
                  <c:v>25.147058823529349</c:v>
                </c:pt>
                <c:pt idx="112">
                  <c:v>25.249999999999936</c:v>
                </c:pt>
                <c:pt idx="113">
                  <c:v>25.352941176470523</c:v>
                </c:pt>
                <c:pt idx="114">
                  <c:v>25.45588235294111</c:v>
                </c:pt>
                <c:pt idx="115">
                  <c:v>25.558823529411697</c:v>
                </c:pt>
                <c:pt idx="116">
                  <c:v>25.661764705882284</c:v>
                </c:pt>
                <c:pt idx="117">
                  <c:v>25.764705882352871</c:v>
                </c:pt>
                <c:pt idx="118">
                  <c:v>25.867647058823458</c:v>
                </c:pt>
                <c:pt idx="119">
                  <c:v>25.970588235294045</c:v>
                </c:pt>
                <c:pt idx="120">
                  <c:v>26.073529411764632</c:v>
                </c:pt>
                <c:pt idx="121">
                  <c:v>26.176470588235219</c:v>
                </c:pt>
                <c:pt idx="122">
                  <c:v>26.279411764705806</c:v>
                </c:pt>
                <c:pt idx="123">
                  <c:v>26.382352941176393</c:v>
                </c:pt>
                <c:pt idx="124">
                  <c:v>26.48529411764698</c:v>
                </c:pt>
                <c:pt idx="125">
                  <c:v>26.588235294117567</c:v>
                </c:pt>
                <c:pt idx="126">
                  <c:v>26.691176470588154</c:v>
                </c:pt>
                <c:pt idx="127">
                  <c:v>26.794117647058741</c:v>
                </c:pt>
                <c:pt idx="128">
                  <c:v>26.897058823529328</c:v>
                </c:pt>
                <c:pt idx="129" formatCode="General">
                  <c:v>27</c:v>
                </c:pt>
                <c:pt idx="130">
                  <c:v>27.185714285714287</c:v>
                </c:pt>
                <c:pt idx="131">
                  <c:v>27.371428571428574</c:v>
                </c:pt>
                <c:pt idx="132">
                  <c:v>27.55714285714286</c:v>
                </c:pt>
                <c:pt idx="133">
                  <c:v>27.742857142857147</c:v>
                </c:pt>
                <c:pt idx="134">
                  <c:v>27.928571428571434</c:v>
                </c:pt>
                <c:pt idx="135">
                  <c:v>28.114285714285721</c:v>
                </c:pt>
                <c:pt idx="136">
                  <c:v>28.300000000000008</c:v>
                </c:pt>
                <c:pt idx="137">
                  <c:v>28.485714285714295</c:v>
                </c:pt>
                <c:pt idx="138">
                  <c:v>28.671428571428581</c:v>
                </c:pt>
                <c:pt idx="139">
                  <c:v>28.857142857142868</c:v>
                </c:pt>
                <c:pt idx="140">
                  <c:v>29.042857142857155</c:v>
                </c:pt>
                <c:pt idx="141">
                  <c:v>29.228571428571442</c:v>
                </c:pt>
                <c:pt idx="142">
                  <c:v>29.414285714285729</c:v>
                </c:pt>
                <c:pt idx="143">
                  <c:v>29.600000000000016</c:v>
                </c:pt>
                <c:pt idx="144">
                  <c:v>29.785714285714302</c:v>
                </c:pt>
                <c:pt idx="145">
                  <c:v>29.971428571428589</c:v>
                </c:pt>
                <c:pt idx="146">
                  <c:v>30.157142857142876</c:v>
                </c:pt>
                <c:pt idx="147">
                  <c:v>30.342857142857163</c:v>
                </c:pt>
                <c:pt idx="148">
                  <c:v>30.52857142857145</c:v>
                </c:pt>
                <c:pt idx="149">
                  <c:v>30.714285714285737</c:v>
                </c:pt>
                <c:pt idx="150">
                  <c:v>30.900000000000023</c:v>
                </c:pt>
                <c:pt idx="151">
                  <c:v>31.08571428571431</c:v>
                </c:pt>
                <c:pt idx="152">
                  <c:v>31.271428571428597</c:v>
                </c:pt>
                <c:pt idx="153">
                  <c:v>31.457142857142884</c:v>
                </c:pt>
                <c:pt idx="154">
                  <c:v>31.642857142857171</c:v>
                </c:pt>
                <c:pt idx="155">
                  <c:v>31.828571428571458</c:v>
                </c:pt>
                <c:pt idx="156">
                  <c:v>32.014285714285741</c:v>
                </c:pt>
                <c:pt idx="157">
                  <c:v>32.200000000000024</c:v>
                </c:pt>
                <c:pt idx="158">
                  <c:v>32.385714285714307</c:v>
                </c:pt>
                <c:pt idx="159">
                  <c:v>32.571428571428591</c:v>
                </c:pt>
                <c:pt idx="160">
                  <c:v>32.757142857142874</c:v>
                </c:pt>
                <c:pt idx="161">
                  <c:v>32.942857142857157</c:v>
                </c:pt>
                <c:pt idx="162">
                  <c:v>33.128571428571441</c:v>
                </c:pt>
                <c:pt idx="163">
                  <c:v>33.314285714285724</c:v>
                </c:pt>
                <c:pt idx="164">
                  <c:v>33.500000000000007</c:v>
                </c:pt>
                <c:pt idx="165">
                  <c:v>33.68571428571429</c:v>
                </c:pt>
                <c:pt idx="166">
                  <c:v>33.871428571428574</c:v>
                </c:pt>
                <c:pt idx="167">
                  <c:v>34.057142857142857</c:v>
                </c:pt>
                <c:pt idx="168">
                  <c:v>34.24285714285714</c:v>
                </c:pt>
                <c:pt idx="169">
                  <c:v>34.428571428571423</c:v>
                </c:pt>
                <c:pt idx="170">
                  <c:v>34.614285714285707</c:v>
                </c:pt>
                <c:pt idx="171">
                  <c:v>34.79999999999999</c:v>
                </c:pt>
                <c:pt idx="172">
                  <c:v>34.985714285714273</c:v>
                </c:pt>
                <c:pt idx="173">
                  <c:v>35.171428571428557</c:v>
                </c:pt>
                <c:pt idx="174">
                  <c:v>35.35714285714284</c:v>
                </c:pt>
                <c:pt idx="175">
                  <c:v>35.542857142857123</c:v>
                </c:pt>
                <c:pt idx="176">
                  <c:v>35.728571428571406</c:v>
                </c:pt>
                <c:pt idx="177">
                  <c:v>35.91428571428569</c:v>
                </c:pt>
                <c:pt idx="178">
                  <c:v>36.099999999999973</c:v>
                </c:pt>
                <c:pt idx="179">
                  <c:v>36.285714285714256</c:v>
                </c:pt>
                <c:pt idx="180">
                  <c:v>36.47142857142854</c:v>
                </c:pt>
                <c:pt idx="181">
                  <c:v>36.657142857142823</c:v>
                </c:pt>
                <c:pt idx="182">
                  <c:v>36.842857142857106</c:v>
                </c:pt>
                <c:pt idx="183">
                  <c:v>37.028571428571389</c:v>
                </c:pt>
                <c:pt idx="184">
                  <c:v>37.214285714285673</c:v>
                </c:pt>
                <c:pt idx="185">
                  <c:v>37.399999999999956</c:v>
                </c:pt>
                <c:pt idx="186">
                  <c:v>37.585714285714239</c:v>
                </c:pt>
                <c:pt idx="187">
                  <c:v>37.771428571428523</c:v>
                </c:pt>
                <c:pt idx="188">
                  <c:v>37.957142857142806</c:v>
                </c:pt>
                <c:pt idx="189">
                  <c:v>38.142857142857089</c:v>
                </c:pt>
                <c:pt idx="190">
                  <c:v>38.328571428571372</c:v>
                </c:pt>
                <c:pt idx="191">
                  <c:v>38.514285714285656</c:v>
                </c:pt>
                <c:pt idx="192">
                  <c:v>38.699999999999939</c:v>
                </c:pt>
                <c:pt idx="193">
                  <c:v>38.885714285714222</c:v>
                </c:pt>
                <c:pt idx="194">
                  <c:v>39.071428571428505</c:v>
                </c:pt>
                <c:pt idx="195">
                  <c:v>39.257142857142789</c:v>
                </c:pt>
                <c:pt idx="196">
                  <c:v>39.442857142857072</c:v>
                </c:pt>
                <c:pt idx="197">
                  <c:v>39.628571428571355</c:v>
                </c:pt>
                <c:pt idx="198">
                  <c:v>39.814285714285639</c:v>
                </c:pt>
                <c:pt idx="199" formatCode="General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3C-41C3-987C-5F24AE50F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853048"/>
        <c:axId val="927853376"/>
      </c:scatterChart>
      <c:valAx>
        <c:axId val="927853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Supply RNG BCF/yr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853376"/>
        <c:crosses val="autoZero"/>
        <c:crossBetween val="midCat"/>
      </c:valAx>
      <c:valAx>
        <c:axId val="92785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$/mmbtu RNG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853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</a:t>
            </a:r>
            <a:r>
              <a:rPr lang="en-US" baseline="0"/>
              <a:t> of RNG Cost ($/mmbtu) by supply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'Cost Estimate'!$R$5</c:f>
              <c:strCache>
                <c:ptCount val="1"/>
                <c:pt idx="0">
                  <c:v>$/mmbtu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'Cost Estimate'!$Q$6:$Q$205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</c:numCache>
            </c:numRef>
          </c:xVal>
          <c:yVal>
            <c:numRef>
              <c:f>'Cost Estimate'!$R$6:$R$205</c:f>
              <c:numCache>
                <c:formatCode>0.00</c:formatCode>
                <c:ptCount val="200"/>
                <c:pt idx="0">
                  <c:v>8</c:v>
                </c:pt>
                <c:pt idx="1">
                  <c:v>8.1851851851851851</c:v>
                </c:pt>
                <c:pt idx="2">
                  <c:v>8.3703703703703702</c:v>
                </c:pt>
                <c:pt idx="3">
                  <c:v>8.5555555555555554</c:v>
                </c:pt>
                <c:pt idx="4">
                  <c:v>8.7407407407407405</c:v>
                </c:pt>
                <c:pt idx="5">
                  <c:v>8.9259259259259256</c:v>
                </c:pt>
                <c:pt idx="6">
                  <c:v>9.1111111111111107</c:v>
                </c:pt>
                <c:pt idx="7">
                  <c:v>9.2962962962962958</c:v>
                </c:pt>
                <c:pt idx="8">
                  <c:v>9.481481481481481</c:v>
                </c:pt>
                <c:pt idx="9">
                  <c:v>9.6666666666666661</c:v>
                </c:pt>
                <c:pt idx="10">
                  <c:v>9.8518518518518512</c:v>
                </c:pt>
                <c:pt idx="11">
                  <c:v>10.037037037037036</c:v>
                </c:pt>
                <c:pt idx="12">
                  <c:v>10.222222222222221</c:v>
                </c:pt>
                <c:pt idx="13">
                  <c:v>10.407407407407407</c:v>
                </c:pt>
                <c:pt idx="14">
                  <c:v>10.592592592592592</c:v>
                </c:pt>
                <c:pt idx="15">
                  <c:v>10.777777777777777</c:v>
                </c:pt>
                <c:pt idx="16">
                  <c:v>10.962962962962962</c:v>
                </c:pt>
                <c:pt idx="17">
                  <c:v>11.148148148148147</c:v>
                </c:pt>
                <c:pt idx="18">
                  <c:v>11.333333333333332</c:v>
                </c:pt>
                <c:pt idx="19">
                  <c:v>11.518518518518517</c:v>
                </c:pt>
                <c:pt idx="20">
                  <c:v>11.703703703703702</c:v>
                </c:pt>
                <c:pt idx="21">
                  <c:v>11.888888888888888</c:v>
                </c:pt>
                <c:pt idx="22">
                  <c:v>12.074074074074073</c:v>
                </c:pt>
                <c:pt idx="23">
                  <c:v>12.259259259259258</c:v>
                </c:pt>
                <c:pt idx="24">
                  <c:v>12.444444444444443</c:v>
                </c:pt>
                <c:pt idx="25">
                  <c:v>12.629629629629628</c:v>
                </c:pt>
                <c:pt idx="26">
                  <c:v>12.814814814814813</c:v>
                </c:pt>
                <c:pt idx="27">
                  <c:v>12.999999999999998</c:v>
                </c:pt>
                <c:pt idx="28">
                  <c:v>13.185185185185183</c:v>
                </c:pt>
                <c:pt idx="29">
                  <c:v>13.370370370370368</c:v>
                </c:pt>
                <c:pt idx="30">
                  <c:v>13.555555555555554</c:v>
                </c:pt>
                <c:pt idx="31">
                  <c:v>13.740740740740739</c:v>
                </c:pt>
                <c:pt idx="32">
                  <c:v>13.925925925925924</c:v>
                </c:pt>
                <c:pt idx="33">
                  <c:v>14.111111111111109</c:v>
                </c:pt>
                <c:pt idx="34">
                  <c:v>14.296296296296294</c:v>
                </c:pt>
                <c:pt idx="35">
                  <c:v>14.481481481481479</c:v>
                </c:pt>
                <c:pt idx="36">
                  <c:v>14.666666666666664</c:v>
                </c:pt>
                <c:pt idx="37">
                  <c:v>14.851851851851849</c:v>
                </c:pt>
                <c:pt idx="38">
                  <c:v>15.037037037037035</c:v>
                </c:pt>
                <c:pt idx="39">
                  <c:v>15.22222222222222</c:v>
                </c:pt>
                <c:pt idx="40">
                  <c:v>15.407407407407405</c:v>
                </c:pt>
                <c:pt idx="41">
                  <c:v>15.59259259259259</c:v>
                </c:pt>
                <c:pt idx="42">
                  <c:v>15.777777777777775</c:v>
                </c:pt>
                <c:pt idx="43">
                  <c:v>15.96296296296296</c:v>
                </c:pt>
                <c:pt idx="44">
                  <c:v>16.148148148148145</c:v>
                </c:pt>
                <c:pt idx="45">
                  <c:v>16.333333333333332</c:v>
                </c:pt>
                <c:pt idx="46">
                  <c:v>16.518518518518519</c:v>
                </c:pt>
                <c:pt idx="47">
                  <c:v>16.703703703703706</c:v>
                </c:pt>
                <c:pt idx="48">
                  <c:v>16.888888888888893</c:v>
                </c:pt>
                <c:pt idx="49">
                  <c:v>17.07407407407408</c:v>
                </c:pt>
                <c:pt idx="50">
                  <c:v>17.259259259259267</c:v>
                </c:pt>
                <c:pt idx="51">
                  <c:v>17.444444444444454</c:v>
                </c:pt>
                <c:pt idx="52">
                  <c:v>17.62962962962964</c:v>
                </c:pt>
                <c:pt idx="53">
                  <c:v>17.814814814814827</c:v>
                </c:pt>
                <c:pt idx="54">
                  <c:v>18</c:v>
                </c:pt>
                <c:pt idx="55">
                  <c:v>18.285714285714285</c:v>
                </c:pt>
                <c:pt idx="56">
                  <c:v>18.571428571428569</c:v>
                </c:pt>
                <c:pt idx="57">
                  <c:v>18.857142857142854</c:v>
                </c:pt>
                <c:pt idx="58">
                  <c:v>19.142857142857139</c:v>
                </c:pt>
                <c:pt idx="59">
                  <c:v>19.428571428571423</c:v>
                </c:pt>
                <c:pt idx="60">
                  <c:v>19.714285714285708</c:v>
                </c:pt>
                <c:pt idx="61">
                  <c:v>20</c:v>
                </c:pt>
                <c:pt idx="62">
                  <c:v>20.102941176470587</c:v>
                </c:pt>
                <c:pt idx="63">
                  <c:v>20.205882352941174</c:v>
                </c:pt>
                <c:pt idx="64">
                  <c:v>20.308823529411761</c:v>
                </c:pt>
                <c:pt idx="65">
                  <c:v>20.411764705882348</c:v>
                </c:pt>
                <c:pt idx="66">
                  <c:v>20.514705882352935</c:v>
                </c:pt>
                <c:pt idx="67">
                  <c:v>20.617647058823522</c:v>
                </c:pt>
                <c:pt idx="68">
                  <c:v>20.720588235294109</c:v>
                </c:pt>
                <c:pt idx="69">
                  <c:v>20.823529411764696</c:v>
                </c:pt>
                <c:pt idx="70">
                  <c:v>20.926470588235283</c:v>
                </c:pt>
                <c:pt idx="71">
                  <c:v>21.02941176470587</c:v>
                </c:pt>
                <c:pt idx="72">
                  <c:v>21.132352941176457</c:v>
                </c:pt>
                <c:pt idx="73">
                  <c:v>21.235294117647044</c:v>
                </c:pt>
                <c:pt idx="74">
                  <c:v>21.338235294117631</c:v>
                </c:pt>
                <c:pt idx="75">
                  <c:v>21.441176470588218</c:v>
                </c:pt>
                <c:pt idx="76">
                  <c:v>21.544117647058805</c:v>
                </c:pt>
                <c:pt idx="77">
                  <c:v>21.647058823529392</c:v>
                </c:pt>
                <c:pt idx="78">
                  <c:v>21.749999999999979</c:v>
                </c:pt>
                <c:pt idx="79">
                  <c:v>21.852941176470566</c:v>
                </c:pt>
                <c:pt idx="80">
                  <c:v>21.955882352941153</c:v>
                </c:pt>
                <c:pt idx="81">
                  <c:v>22.05882352941174</c:v>
                </c:pt>
                <c:pt idx="82">
                  <c:v>22.161764705882327</c:v>
                </c:pt>
                <c:pt idx="83">
                  <c:v>22.264705882352914</c:v>
                </c:pt>
                <c:pt idx="84">
                  <c:v>22.367647058823501</c:v>
                </c:pt>
                <c:pt idx="85">
                  <c:v>22.470588235294088</c:v>
                </c:pt>
                <c:pt idx="86">
                  <c:v>22.573529411764675</c:v>
                </c:pt>
                <c:pt idx="87">
                  <c:v>22.676470588235262</c:v>
                </c:pt>
                <c:pt idx="88">
                  <c:v>22.779411764705848</c:v>
                </c:pt>
                <c:pt idx="89">
                  <c:v>22.882352941176435</c:v>
                </c:pt>
                <c:pt idx="90">
                  <c:v>22.985294117647022</c:v>
                </c:pt>
                <c:pt idx="91">
                  <c:v>23.088235294117609</c:v>
                </c:pt>
                <c:pt idx="92">
                  <c:v>23.191176470588196</c:v>
                </c:pt>
                <c:pt idx="93">
                  <c:v>23.294117647058783</c:v>
                </c:pt>
                <c:pt idx="94">
                  <c:v>23.39705882352937</c:v>
                </c:pt>
                <c:pt idx="95">
                  <c:v>23.499999999999957</c:v>
                </c:pt>
                <c:pt idx="96">
                  <c:v>23.602941176470544</c:v>
                </c:pt>
                <c:pt idx="97">
                  <c:v>23.705882352941131</c:v>
                </c:pt>
                <c:pt idx="98">
                  <c:v>23.808823529411718</c:v>
                </c:pt>
                <c:pt idx="99">
                  <c:v>23.911764705882305</c:v>
                </c:pt>
                <c:pt idx="100">
                  <c:v>24.014705882352892</c:v>
                </c:pt>
                <c:pt idx="101">
                  <c:v>24.117647058823479</c:v>
                </c:pt>
                <c:pt idx="102">
                  <c:v>24.220588235294066</c:v>
                </c:pt>
                <c:pt idx="103">
                  <c:v>24.323529411764653</c:v>
                </c:pt>
                <c:pt idx="104">
                  <c:v>24.42647058823524</c:v>
                </c:pt>
                <c:pt idx="105">
                  <c:v>24.529411764705827</c:v>
                </c:pt>
                <c:pt idx="106">
                  <c:v>24.632352941176414</c:v>
                </c:pt>
                <c:pt idx="107">
                  <c:v>24.735294117647001</c:v>
                </c:pt>
                <c:pt idx="108">
                  <c:v>24.838235294117588</c:v>
                </c:pt>
                <c:pt idx="109">
                  <c:v>24.941176470588175</c:v>
                </c:pt>
                <c:pt idx="110">
                  <c:v>25.044117647058762</c:v>
                </c:pt>
                <c:pt idx="111">
                  <c:v>25.147058823529349</c:v>
                </c:pt>
                <c:pt idx="112">
                  <c:v>25.249999999999936</c:v>
                </c:pt>
                <c:pt idx="113">
                  <c:v>25.352941176470523</c:v>
                </c:pt>
                <c:pt idx="114">
                  <c:v>25.45588235294111</c:v>
                </c:pt>
                <c:pt idx="115">
                  <c:v>25.558823529411697</c:v>
                </c:pt>
                <c:pt idx="116">
                  <c:v>25.661764705882284</c:v>
                </c:pt>
                <c:pt idx="117">
                  <c:v>25.764705882352871</c:v>
                </c:pt>
                <c:pt idx="118">
                  <c:v>25.867647058823458</c:v>
                </c:pt>
                <c:pt idx="119">
                  <c:v>25.970588235294045</c:v>
                </c:pt>
                <c:pt idx="120">
                  <c:v>26.073529411764632</c:v>
                </c:pt>
                <c:pt idx="121">
                  <c:v>26.176470588235219</c:v>
                </c:pt>
                <c:pt idx="122">
                  <c:v>26.279411764705806</c:v>
                </c:pt>
                <c:pt idx="123">
                  <c:v>26.382352941176393</c:v>
                </c:pt>
                <c:pt idx="124">
                  <c:v>26.48529411764698</c:v>
                </c:pt>
                <c:pt idx="125">
                  <c:v>26.588235294117567</c:v>
                </c:pt>
                <c:pt idx="126">
                  <c:v>26.691176470588154</c:v>
                </c:pt>
                <c:pt idx="127">
                  <c:v>26.794117647058741</c:v>
                </c:pt>
                <c:pt idx="128">
                  <c:v>26.897058823529328</c:v>
                </c:pt>
                <c:pt idx="129" formatCode="General">
                  <c:v>27</c:v>
                </c:pt>
                <c:pt idx="130">
                  <c:v>27.185714285714287</c:v>
                </c:pt>
                <c:pt idx="131">
                  <c:v>27.371428571428574</c:v>
                </c:pt>
                <c:pt idx="132">
                  <c:v>27.55714285714286</c:v>
                </c:pt>
                <c:pt idx="133">
                  <c:v>27.742857142857147</c:v>
                </c:pt>
                <c:pt idx="134">
                  <c:v>27.928571428571434</c:v>
                </c:pt>
                <c:pt idx="135">
                  <c:v>28.114285714285721</c:v>
                </c:pt>
                <c:pt idx="136">
                  <c:v>28.300000000000008</c:v>
                </c:pt>
                <c:pt idx="137">
                  <c:v>28.485714285714295</c:v>
                </c:pt>
                <c:pt idx="138">
                  <c:v>28.671428571428581</c:v>
                </c:pt>
                <c:pt idx="139">
                  <c:v>28.857142857142868</c:v>
                </c:pt>
                <c:pt idx="140">
                  <c:v>29.042857142857155</c:v>
                </c:pt>
                <c:pt idx="141">
                  <c:v>29.228571428571442</c:v>
                </c:pt>
                <c:pt idx="142">
                  <c:v>29.414285714285729</c:v>
                </c:pt>
                <c:pt idx="143">
                  <c:v>29.600000000000016</c:v>
                </c:pt>
                <c:pt idx="144">
                  <c:v>29.785714285714302</c:v>
                </c:pt>
                <c:pt idx="145">
                  <c:v>29.971428571428589</c:v>
                </c:pt>
                <c:pt idx="146">
                  <c:v>30.157142857142876</c:v>
                </c:pt>
                <c:pt idx="147">
                  <c:v>30.342857142857163</c:v>
                </c:pt>
                <c:pt idx="148">
                  <c:v>30.52857142857145</c:v>
                </c:pt>
                <c:pt idx="149">
                  <c:v>30.714285714285737</c:v>
                </c:pt>
                <c:pt idx="150">
                  <c:v>30.900000000000023</c:v>
                </c:pt>
                <c:pt idx="151">
                  <c:v>31.08571428571431</c:v>
                </c:pt>
                <c:pt idx="152">
                  <c:v>31.271428571428597</c:v>
                </c:pt>
                <c:pt idx="153">
                  <c:v>31.457142857142884</c:v>
                </c:pt>
                <c:pt idx="154">
                  <c:v>31.642857142857171</c:v>
                </c:pt>
                <c:pt idx="155">
                  <c:v>31.828571428571458</c:v>
                </c:pt>
                <c:pt idx="156">
                  <c:v>32.014285714285741</c:v>
                </c:pt>
                <c:pt idx="157">
                  <c:v>32.200000000000024</c:v>
                </c:pt>
                <c:pt idx="158">
                  <c:v>32.385714285714307</c:v>
                </c:pt>
                <c:pt idx="159">
                  <c:v>32.571428571428591</c:v>
                </c:pt>
                <c:pt idx="160">
                  <c:v>32.757142857142874</c:v>
                </c:pt>
                <c:pt idx="161">
                  <c:v>32.942857142857157</c:v>
                </c:pt>
                <c:pt idx="162">
                  <c:v>33.128571428571441</c:v>
                </c:pt>
                <c:pt idx="163">
                  <c:v>33.314285714285724</c:v>
                </c:pt>
                <c:pt idx="164">
                  <c:v>33.500000000000007</c:v>
                </c:pt>
                <c:pt idx="165">
                  <c:v>33.68571428571429</c:v>
                </c:pt>
                <c:pt idx="166">
                  <c:v>33.871428571428574</c:v>
                </c:pt>
                <c:pt idx="167">
                  <c:v>34.057142857142857</c:v>
                </c:pt>
                <c:pt idx="168">
                  <c:v>34.24285714285714</c:v>
                </c:pt>
                <c:pt idx="169">
                  <c:v>34.428571428571423</c:v>
                </c:pt>
                <c:pt idx="170">
                  <c:v>34.614285714285707</c:v>
                </c:pt>
                <c:pt idx="171">
                  <c:v>34.79999999999999</c:v>
                </c:pt>
                <c:pt idx="172">
                  <c:v>34.985714285714273</c:v>
                </c:pt>
                <c:pt idx="173">
                  <c:v>35.171428571428557</c:v>
                </c:pt>
                <c:pt idx="174">
                  <c:v>35.35714285714284</c:v>
                </c:pt>
                <c:pt idx="175">
                  <c:v>35.542857142857123</c:v>
                </c:pt>
                <c:pt idx="176">
                  <c:v>35.728571428571406</c:v>
                </c:pt>
                <c:pt idx="177">
                  <c:v>35.91428571428569</c:v>
                </c:pt>
                <c:pt idx="178">
                  <c:v>36.099999999999973</c:v>
                </c:pt>
                <c:pt idx="179">
                  <c:v>36.285714285714256</c:v>
                </c:pt>
                <c:pt idx="180">
                  <c:v>36.47142857142854</c:v>
                </c:pt>
                <c:pt idx="181">
                  <c:v>36.657142857142823</c:v>
                </c:pt>
                <c:pt idx="182">
                  <c:v>36.842857142857106</c:v>
                </c:pt>
                <c:pt idx="183">
                  <c:v>37.028571428571389</c:v>
                </c:pt>
                <c:pt idx="184">
                  <c:v>37.214285714285673</c:v>
                </c:pt>
                <c:pt idx="185">
                  <c:v>37.399999999999956</c:v>
                </c:pt>
                <c:pt idx="186">
                  <c:v>37.585714285714239</c:v>
                </c:pt>
                <c:pt idx="187">
                  <c:v>37.771428571428523</c:v>
                </c:pt>
                <c:pt idx="188">
                  <c:v>37.957142857142806</c:v>
                </c:pt>
                <c:pt idx="189">
                  <c:v>38.142857142857089</c:v>
                </c:pt>
                <c:pt idx="190">
                  <c:v>38.328571428571372</c:v>
                </c:pt>
                <c:pt idx="191">
                  <c:v>38.514285714285656</c:v>
                </c:pt>
                <c:pt idx="192">
                  <c:v>38.699999999999939</c:v>
                </c:pt>
                <c:pt idx="193">
                  <c:v>38.885714285714222</c:v>
                </c:pt>
                <c:pt idx="194">
                  <c:v>39.071428571428505</c:v>
                </c:pt>
                <c:pt idx="195">
                  <c:v>39.257142857142789</c:v>
                </c:pt>
                <c:pt idx="196">
                  <c:v>39.442857142857072</c:v>
                </c:pt>
                <c:pt idx="197">
                  <c:v>39.628571428571355</c:v>
                </c:pt>
                <c:pt idx="198">
                  <c:v>39.814285714285639</c:v>
                </c:pt>
                <c:pt idx="199" formatCode="General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66-4D6F-A150-1CF56A1B6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853048"/>
        <c:axId val="927853376"/>
      </c:scatterChart>
      <c:valAx>
        <c:axId val="927853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Supply RNG BCF/yr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853376"/>
        <c:crosses val="autoZero"/>
        <c:crossBetween val="midCat"/>
      </c:valAx>
      <c:valAx>
        <c:axId val="92785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$/mmbtu RNG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853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10</xdr:col>
      <xdr:colOff>171450</xdr:colOff>
      <xdr:row>20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5C0A43-EB03-4EDE-844D-0EDD6914BBDD}"/>
            </a:ext>
          </a:extLst>
        </xdr:cNvPr>
        <xdr:cNvSpPr txBox="1"/>
      </xdr:nvSpPr>
      <xdr:spPr>
        <a:xfrm>
          <a:off x="628650" y="180975"/>
          <a:ext cx="5638800" cy="312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Renewable</a:t>
          </a:r>
          <a:r>
            <a:rPr lang="en-US" sz="1100" baseline="0"/>
            <a:t> Natural Gas Workbook</a:t>
          </a:r>
        </a:p>
        <a:p>
          <a:endParaRPr lang="en-US" sz="1100" baseline="0"/>
        </a:p>
        <a:p>
          <a:r>
            <a:rPr lang="en-US" sz="1100" baseline="0"/>
            <a:t>Questions ?  Contact: </a:t>
          </a:r>
        </a:p>
        <a:p>
          <a:r>
            <a:rPr lang="en-US" sz="1100" baseline="0"/>
            <a:t>Steven Simmons</a:t>
          </a:r>
        </a:p>
        <a:p>
          <a:r>
            <a:rPr lang="en-US" sz="1100"/>
            <a:t>https://www.nwcouncil.org/</a:t>
          </a:r>
        </a:p>
        <a:p>
          <a:endParaRPr lang="en-US" sz="1100"/>
        </a:p>
        <a:p>
          <a:r>
            <a:rPr lang="en-US" sz="1100"/>
            <a:t>This workbook contains:</a:t>
          </a:r>
        </a:p>
        <a:p>
          <a:r>
            <a:rPr lang="en-US" sz="1100" b="1">
              <a:solidFill>
                <a:srgbClr val="0070C0"/>
              </a:solidFill>
            </a:rPr>
            <a:t>RNG_Forecast</a:t>
          </a:r>
          <a:r>
            <a:rPr lang="en-US" sz="1100" baseline="0"/>
            <a:t>  this is the forecast of renewable natural gas used in the power plan</a:t>
          </a:r>
        </a:p>
        <a:p>
          <a:r>
            <a:rPr lang="en-US" sz="1100" b="1" baseline="0">
              <a:solidFill>
                <a:srgbClr val="0070C0"/>
              </a:solidFill>
            </a:rPr>
            <a:t>Cost Estimate </a:t>
          </a:r>
          <a:r>
            <a:rPr lang="en-US" sz="1100" baseline="0"/>
            <a:t>this is the derived supply curve cost for RNG</a:t>
          </a:r>
        </a:p>
        <a:p>
          <a:r>
            <a:rPr lang="en-US" sz="1100" b="1" baseline="0">
              <a:solidFill>
                <a:srgbClr val="0070C0"/>
              </a:solidFill>
            </a:rPr>
            <a:t>Natural Gas Consumption</a:t>
          </a:r>
          <a:r>
            <a:rPr lang="en-US" sz="1100" baseline="0"/>
            <a:t> holds historic natural gas consumption data for the Northwest</a:t>
          </a:r>
        </a:p>
        <a:p>
          <a:r>
            <a:rPr lang="en-US" sz="1100" b="1" baseline="0">
              <a:solidFill>
                <a:srgbClr val="0070C0"/>
              </a:solidFill>
            </a:rPr>
            <a:t>Studies  </a:t>
          </a:r>
          <a:r>
            <a:rPr lang="en-US" sz="1100" baseline="0"/>
            <a:t>summarizes the three RNG studies quoted in the materials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411480</xdr:colOff>
      <xdr:row>2</xdr:row>
      <xdr:rowOff>68580</xdr:rowOff>
    </xdr:from>
    <xdr:to>
      <xdr:col>5</xdr:col>
      <xdr:colOff>53340</xdr:colOff>
      <xdr:row>20</xdr:row>
      <xdr:rowOff>129540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92F136-DA6A-4C14-829D-CD136932711B}"/>
            </a:ext>
          </a:extLst>
        </xdr:cNvPr>
        <xdr:cNvSpPr txBox="1"/>
      </xdr:nvSpPr>
      <xdr:spPr>
        <a:xfrm>
          <a:off x="411480" y="403860"/>
          <a:ext cx="2689860" cy="3078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/>
            <a:t>09.16.2020</a:t>
          </a:r>
        </a:p>
        <a:p>
          <a:r>
            <a:rPr lang="en-US" sz="1100"/>
            <a:t>Forecast of natural</a:t>
          </a:r>
          <a:r>
            <a:rPr lang="en-US" sz="1100" baseline="0"/>
            <a:t> gas end use - broken out by fossil gas and renewable natural gas</a:t>
          </a:r>
        </a:p>
        <a:p>
          <a:endParaRPr lang="en-US" sz="1100" baseline="0"/>
        </a:p>
        <a:p>
          <a:r>
            <a:rPr lang="en-US" sz="1100" baseline="0"/>
            <a:t>base case with climate change</a:t>
          </a:r>
        </a:p>
        <a:p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Energy2020 Model Version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20.07.07</a:t>
          </a:r>
          <a:r>
            <a:rPr lang="en-US"/>
            <a:t> </a:t>
          </a:r>
        </a:p>
        <a:p>
          <a:endParaRPr lang="en-US" sz="1100"/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Units are in TBtu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7</xdr:row>
      <xdr:rowOff>152400</xdr:rowOff>
    </xdr:from>
    <xdr:to>
      <xdr:col>8</xdr:col>
      <xdr:colOff>601980</xdr:colOff>
      <xdr:row>30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2160E8-7A9B-446C-AC8F-2C857DEEA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</xdr:colOff>
      <xdr:row>7</xdr:row>
      <xdr:rowOff>160020</xdr:rowOff>
    </xdr:from>
    <xdr:to>
      <xdr:col>16</xdr:col>
      <xdr:colOff>7620</xdr:colOff>
      <xdr:row>31</xdr:row>
      <xdr:rowOff>7620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2989DF6-3080-4302-BDF2-3F8132D5B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68580</xdr:colOff>
      <xdr:row>2</xdr:row>
      <xdr:rowOff>45720</xdr:rowOff>
    </xdr:from>
    <xdr:to>
      <xdr:col>15</xdr:col>
      <xdr:colOff>228600</xdr:colOff>
      <xdr:row>6</xdr:row>
      <xdr:rowOff>76200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B8069C8-3B35-44C1-BB47-58D9124661F5}"/>
            </a:ext>
          </a:extLst>
        </xdr:cNvPr>
        <xdr:cNvSpPr txBox="1"/>
      </xdr:nvSpPr>
      <xdr:spPr>
        <a:xfrm>
          <a:off x="6164580" y="381000"/>
          <a:ext cx="3208020" cy="701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RNG Forecast - End Use</a:t>
          </a:r>
        </a:p>
        <a:p>
          <a:r>
            <a:rPr lang="en-US" sz="1100"/>
            <a:t>By State</a:t>
          </a:r>
        </a:p>
      </xdr:txBody>
    </xdr:sp>
    <xdr:clientData/>
  </xdr:twoCellAnchor>
  <xdr:twoCellAnchor>
    <xdr:from>
      <xdr:col>3</xdr:col>
      <xdr:colOff>228600</xdr:colOff>
      <xdr:row>2</xdr:row>
      <xdr:rowOff>152400</xdr:rowOff>
    </xdr:from>
    <xdr:to>
      <xdr:col>7</xdr:col>
      <xdr:colOff>22860</xdr:colOff>
      <xdr:row>6</xdr:row>
      <xdr:rowOff>38100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4A1783C-63F3-4956-8EEF-5B0360D7EAAC}"/>
            </a:ext>
          </a:extLst>
        </xdr:cNvPr>
        <xdr:cNvSpPr txBox="1"/>
      </xdr:nvSpPr>
      <xdr:spPr>
        <a:xfrm>
          <a:off x="2057400" y="487680"/>
          <a:ext cx="2232660" cy="556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RNG Forecast - End Use</a:t>
          </a:r>
        </a:p>
        <a:p>
          <a:r>
            <a:rPr lang="en-US" sz="1100"/>
            <a:t>By Sector</a:t>
          </a:r>
        </a:p>
      </xdr:txBody>
    </xdr:sp>
    <xdr:clientData/>
  </xdr:twoCellAnchor>
  <xdr:twoCellAnchor>
    <xdr:from>
      <xdr:col>17</xdr:col>
      <xdr:colOff>0</xdr:colOff>
      <xdr:row>7</xdr:row>
      <xdr:rowOff>0</xdr:rowOff>
    </xdr:from>
    <xdr:to>
      <xdr:col>27</xdr:col>
      <xdr:colOff>247226</xdr:colOff>
      <xdr:row>32</xdr:row>
      <xdr:rowOff>116416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3EFAA34-535D-413D-AD89-C6AB28DC8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434340</xdr:colOff>
      <xdr:row>1</xdr:row>
      <xdr:rowOff>76200</xdr:rowOff>
    </xdr:from>
    <xdr:to>
      <xdr:col>23</xdr:col>
      <xdr:colOff>213360</xdr:colOff>
      <xdr:row>5</xdr:row>
      <xdr:rowOff>15240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DE38D70-6B4E-4343-B7B2-9ED3E212C142}"/>
            </a:ext>
          </a:extLst>
        </xdr:cNvPr>
        <xdr:cNvSpPr txBox="1"/>
      </xdr:nvSpPr>
      <xdr:spPr>
        <a:xfrm>
          <a:off x="11407140" y="243840"/>
          <a:ext cx="282702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Estimate of RNG Cost ($/mmbtu) by supply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0.37573</cdr:x>
      <cdr:y>0.31302</cdr:y>
    </cdr:from>
    <cdr:to>
      <cdr:x>0.52923</cdr:x>
      <cdr:y>0.40147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DDC43CC-2D05-44CD-A439-85A59A4163EC}"/>
            </a:ext>
          </a:extLst>
        </cdr:cNvPr>
        <cdr:cNvSpPr txBox="1"/>
      </cdr:nvSpPr>
      <cdr:spPr>
        <a:xfrm xmlns:a="http://schemas.openxmlformats.org/drawingml/2006/main">
          <a:off x="2383366" y="1348316"/>
          <a:ext cx="973667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0.38775</cdr:x>
      <cdr:y>0.2914</cdr:y>
    </cdr:from>
    <cdr:to>
      <cdr:x>0.54258</cdr:x>
      <cdr:y>0.36413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CC9A90C8-219D-42CD-BE33-F1F266407333}"/>
            </a:ext>
          </a:extLst>
        </cdr:cNvPr>
        <cdr:cNvSpPr txBox="1"/>
      </cdr:nvSpPr>
      <cdr:spPr>
        <a:xfrm xmlns:a="http://schemas.openxmlformats.org/drawingml/2006/main">
          <a:off x="2459566" y="1255183"/>
          <a:ext cx="982134" cy="31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0.69314</cdr:x>
      <cdr:y>0.27439</cdr:y>
    </cdr:from>
    <cdr:to>
      <cdr:x>0.92472</cdr:x>
      <cdr:y>0.37316</cdr:y>
    </cdr:to>
    <cdr:sp macro="" textlink="">
      <cdr:nvSpPr>
        <cdr:cNvPr id="5" name="TextBox 5">
          <a:extLst xmlns:a="http://schemas.openxmlformats.org/drawingml/2006/main">
            <a:ext uri="{FF2B5EF4-FFF2-40B4-BE49-F238E27FC236}">
              <a16:creationId xmlns:a16="http://schemas.microsoft.com/office/drawing/2014/main" id="{45383CC2-813A-4F67-927C-B27DE94AF972}"/>
            </a:ext>
          </a:extLst>
        </cdr:cNvPr>
        <cdr:cNvSpPr txBox="1"/>
      </cdr:nvSpPr>
      <cdr:spPr>
        <a:xfrm xmlns:a="http://schemas.openxmlformats.org/drawingml/2006/main">
          <a:off x="4396737" y="1181933"/>
          <a:ext cx="1468964" cy="42544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Forest/Ag</a:t>
          </a:r>
          <a:r>
            <a:rPr lang="en-US" sz="1100" baseline="0"/>
            <a:t> Residue</a:t>
          </a:r>
          <a:endParaRPr lang="en-US" sz="1100"/>
        </a:p>
      </cdr:txBody>
    </cdr:sp>
  </cdr:relSizeAnchor>
  <cdr:relSizeAnchor xmlns:cdr="http://schemas.openxmlformats.org/drawingml/2006/chartDrawing">
    <cdr:from>
      <cdr:x>0.14015</cdr:x>
      <cdr:y>0.73514</cdr:y>
    </cdr:from>
    <cdr:to>
      <cdr:x>0.311</cdr:x>
      <cdr:y>0.82948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A3CE4AD9-FCA2-4804-BA32-8F8488543D3F}"/>
            </a:ext>
          </a:extLst>
        </cdr:cNvPr>
        <cdr:cNvSpPr txBox="1"/>
      </cdr:nvSpPr>
      <cdr:spPr>
        <a:xfrm xmlns:a="http://schemas.openxmlformats.org/drawingml/2006/main">
          <a:off x="889000" y="3166534"/>
          <a:ext cx="1083733" cy="40639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Landfill</a:t>
          </a:r>
          <a:r>
            <a:rPr lang="en-US" sz="1100" baseline="0"/>
            <a:t> Gas</a:t>
          </a:r>
          <a:endParaRPr lang="en-US" sz="1100"/>
        </a:p>
      </cdr:txBody>
    </cdr:sp>
  </cdr:relSizeAnchor>
  <cdr:relSizeAnchor xmlns:cdr="http://schemas.openxmlformats.org/drawingml/2006/chartDrawing">
    <cdr:from>
      <cdr:x>0.31233</cdr:x>
      <cdr:y>0.57002</cdr:y>
    </cdr:from>
    <cdr:to>
      <cdr:x>0.54391</cdr:x>
      <cdr:y>0.66879</cdr:y>
    </cdr:to>
    <cdr:sp macro="" textlink="">
      <cdr:nvSpPr>
        <cdr:cNvPr id="7" name="TextBox 5">
          <a:extLst xmlns:a="http://schemas.openxmlformats.org/drawingml/2006/main">
            <a:ext uri="{FF2B5EF4-FFF2-40B4-BE49-F238E27FC236}">
              <a16:creationId xmlns:a16="http://schemas.microsoft.com/office/drawing/2014/main" id="{B07F42F3-3B11-4927-9BD5-4A8218270132}"/>
            </a:ext>
          </a:extLst>
        </cdr:cNvPr>
        <cdr:cNvSpPr txBox="1"/>
      </cdr:nvSpPr>
      <cdr:spPr>
        <a:xfrm xmlns:a="http://schemas.openxmlformats.org/drawingml/2006/main">
          <a:off x="1981200" y="2455333"/>
          <a:ext cx="1468964" cy="42544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WWT</a:t>
          </a:r>
          <a:r>
            <a:rPr lang="en-US" sz="1100" baseline="0"/>
            <a:t> gas and Muni Solid Waster</a:t>
          </a:r>
          <a:endParaRPr lang="en-US" sz="1100"/>
        </a:p>
      </cdr:txBody>
    </cdr:sp>
  </cdr:relSizeAnchor>
  <cdr:relSizeAnchor xmlns:cdr="http://schemas.openxmlformats.org/drawingml/2006/chartDrawing">
    <cdr:from>
      <cdr:x>0.32501</cdr:x>
      <cdr:y>0.2459</cdr:y>
    </cdr:from>
    <cdr:to>
      <cdr:x>0.55659</cdr:x>
      <cdr:y>0.34467</cdr:y>
    </cdr:to>
    <cdr:sp macro="" textlink="">
      <cdr:nvSpPr>
        <cdr:cNvPr id="8" name="TextBox 5">
          <a:extLst xmlns:a="http://schemas.openxmlformats.org/drawingml/2006/main">
            <a:ext uri="{FF2B5EF4-FFF2-40B4-BE49-F238E27FC236}">
              <a16:creationId xmlns:a16="http://schemas.microsoft.com/office/drawing/2014/main" id="{64878B3C-AA01-481B-AB1E-F90978BF4235}"/>
            </a:ext>
          </a:extLst>
        </cdr:cNvPr>
        <cdr:cNvSpPr txBox="1"/>
      </cdr:nvSpPr>
      <cdr:spPr>
        <a:xfrm xmlns:a="http://schemas.openxmlformats.org/drawingml/2006/main">
          <a:off x="2061617" y="1059194"/>
          <a:ext cx="1468964" cy="42544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Dairy</a:t>
          </a:r>
          <a:r>
            <a:rPr lang="en-US" sz="1100" baseline="0"/>
            <a:t> Manure</a:t>
          </a:r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1</xdr:row>
      <xdr:rowOff>15240</xdr:rowOff>
    </xdr:from>
    <xdr:to>
      <xdr:col>4</xdr:col>
      <xdr:colOff>411480</xdr:colOff>
      <xdr:row>20</xdr:row>
      <xdr:rowOff>83820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26BD44A-ED25-4AB0-9157-BAE28F920562}"/>
            </a:ext>
          </a:extLst>
        </xdr:cNvPr>
        <xdr:cNvSpPr txBox="1"/>
      </xdr:nvSpPr>
      <xdr:spPr>
        <a:xfrm>
          <a:off x="662940" y="182880"/>
          <a:ext cx="2186940" cy="3253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ICF</a:t>
          </a:r>
          <a:r>
            <a:rPr lang="en-US" sz="1100" baseline="0"/>
            <a:t> White Paper for CA</a:t>
          </a:r>
        </a:p>
        <a:p>
          <a:r>
            <a:rPr lang="en-US" sz="1100" baseline="0"/>
            <a:t>Design Principles for a Renewable Gas Standard 2017</a:t>
          </a:r>
        </a:p>
        <a:p>
          <a:endParaRPr lang="en-US" sz="1100" baseline="0"/>
        </a:p>
        <a:p>
          <a:r>
            <a:rPr lang="en-US" sz="1100" baseline="0"/>
            <a:t>exhibit 3 &amp; 4</a:t>
          </a:r>
        </a:p>
        <a:p>
          <a:r>
            <a:rPr lang="en-US" sz="1100" baseline="0"/>
            <a:t>Supply and Cost Curve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  <xdr:twoCellAnchor>
    <xdr:from>
      <xdr:col>21</xdr:col>
      <xdr:colOff>16933</xdr:colOff>
      <xdr:row>2</xdr:row>
      <xdr:rowOff>33865</xdr:rowOff>
    </xdr:from>
    <xdr:to>
      <xdr:col>53</xdr:col>
      <xdr:colOff>196426</xdr:colOff>
      <xdr:row>27</xdr:row>
      <xdr:rowOff>107948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7B0B400-DAB9-4DF9-9F04-7A95FF7B9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0.37573</cdr:x>
      <cdr:y>0.31302</cdr:y>
    </cdr:from>
    <cdr:to>
      <cdr:x>0.52923</cdr:x>
      <cdr:y>0.40147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DDC43CC-2D05-44CD-A439-85A59A4163EC}"/>
            </a:ext>
          </a:extLst>
        </cdr:cNvPr>
        <cdr:cNvSpPr txBox="1"/>
      </cdr:nvSpPr>
      <cdr:spPr>
        <a:xfrm xmlns:a="http://schemas.openxmlformats.org/drawingml/2006/main">
          <a:off x="2383366" y="1348316"/>
          <a:ext cx="973667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0.38775</cdr:x>
      <cdr:y>0.2914</cdr:y>
    </cdr:from>
    <cdr:to>
      <cdr:x>0.54258</cdr:x>
      <cdr:y>0.36413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CC9A90C8-219D-42CD-BE33-F1F266407333}"/>
            </a:ext>
          </a:extLst>
        </cdr:cNvPr>
        <cdr:cNvSpPr txBox="1"/>
      </cdr:nvSpPr>
      <cdr:spPr>
        <a:xfrm xmlns:a="http://schemas.openxmlformats.org/drawingml/2006/main">
          <a:off x="2459566" y="1255183"/>
          <a:ext cx="982134" cy="31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0.68473</cdr:x>
      <cdr:y>0.32039</cdr:y>
    </cdr:from>
    <cdr:to>
      <cdr:x>0.91631</cdr:x>
      <cdr:y>0.41916</cdr:y>
    </cdr:to>
    <cdr:sp macro="" textlink="">
      <cdr:nvSpPr>
        <cdr:cNvPr id="5" name="TextBox 5">
          <a:extLst xmlns:a="http://schemas.openxmlformats.org/drawingml/2006/main">
            <a:ext uri="{FF2B5EF4-FFF2-40B4-BE49-F238E27FC236}">
              <a16:creationId xmlns:a16="http://schemas.microsoft.com/office/drawing/2014/main" id="{45383CC2-813A-4F67-927C-B27DE94AF972}"/>
            </a:ext>
          </a:extLst>
        </cdr:cNvPr>
        <cdr:cNvSpPr txBox="1"/>
      </cdr:nvSpPr>
      <cdr:spPr>
        <a:xfrm xmlns:a="http://schemas.openxmlformats.org/drawingml/2006/main">
          <a:off x="4343400" y="1380066"/>
          <a:ext cx="1468966" cy="42545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Forest/Ag</a:t>
          </a:r>
          <a:r>
            <a:rPr lang="en-US" sz="1100" baseline="0"/>
            <a:t> Residue</a:t>
          </a:r>
          <a:endParaRPr lang="en-US" sz="1100"/>
        </a:p>
      </cdr:txBody>
    </cdr:sp>
  </cdr:relSizeAnchor>
  <cdr:relSizeAnchor xmlns:cdr="http://schemas.openxmlformats.org/drawingml/2006/chartDrawing">
    <cdr:from>
      <cdr:x>0.14015</cdr:x>
      <cdr:y>0.73514</cdr:y>
    </cdr:from>
    <cdr:to>
      <cdr:x>0.311</cdr:x>
      <cdr:y>0.82948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A3CE4AD9-FCA2-4804-BA32-8F8488543D3F}"/>
            </a:ext>
          </a:extLst>
        </cdr:cNvPr>
        <cdr:cNvSpPr txBox="1"/>
      </cdr:nvSpPr>
      <cdr:spPr>
        <a:xfrm xmlns:a="http://schemas.openxmlformats.org/drawingml/2006/main">
          <a:off x="889000" y="3166534"/>
          <a:ext cx="1083733" cy="40639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Landfill</a:t>
          </a:r>
          <a:r>
            <a:rPr lang="en-US" sz="1100" baseline="0"/>
            <a:t> Gas</a:t>
          </a:r>
          <a:endParaRPr lang="en-US" sz="1100"/>
        </a:p>
      </cdr:txBody>
    </cdr:sp>
  </cdr:relSizeAnchor>
  <cdr:relSizeAnchor xmlns:cdr="http://schemas.openxmlformats.org/drawingml/2006/chartDrawing">
    <cdr:from>
      <cdr:x>0.31233</cdr:x>
      <cdr:y>0.57002</cdr:y>
    </cdr:from>
    <cdr:to>
      <cdr:x>0.54391</cdr:x>
      <cdr:y>0.66879</cdr:y>
    </cdr:to>
    <cdr:sp macro="" textlink="">
      <cdr:nvSpPr>
        <cdr:cNvPr id="7" name="TextBox 5">
          <a:extLst xmlns:a="http://schemas.openxmlformats.org/drawingml/2006/main">
            <a:ext uri="{FF2B5EF4-FFF2-40B4-BE49-F238E27FC236}">
              <a16:creationId xmlns:a16="http://schemas.microsoft.com/office/drawing/2014/main" id="{B07F42F3-3B11-4927-9BD5-4A8218270132}"/>
            </a:ext>
          </a:extLst>
        </cdr:cNvPr>
        <cdr:cNvSpPr txBox="1"/>
      </cdr:nvSpPr>
      <cdr:spPr>
        <a:xfrm xmlns:a="http://schemas.openxmlformats.org/drawingml/2006/main">
          <a:off x="1981200" y="2455333"/>
          <a:ext cx="1468964" cy="42544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WWT</a:t>
          </a:r>
          <a:r>
            <a:rPr lang="en-US" sz="1100" baseline="0"/>
            <a:t> gas and Muni Solid Waster</a:t>
          </a:r>
          <a:endParaRPr lang="en-US" sz="1100"/>
        </a:p>
      </cdr:txBody>
    </cdr:sp>
  </cdr:relSizeAnchor>
  <cdr:relSizeAnchor xmlns:cdr="http://schemas.openxmlformats.org/drawingml/2006/chartDrawing">
    <cdr:from>
      <cdr:x>0.34303</cdr:x>
      <cdr:y>0.28305</cdr:y>
    </cdr:from>
    <cdr:to>
      <cdr:x>0.57461</cdr:x>
      <cdr:y>0.38182</cdr:y>
    </cdr:to>
    <cdr:sp macro="" textlink="">
      <cdr:nvSpPr>
        <cdr:cNvPr id="8" name="TextBox 5">
          <a:extLst xmlns:a="http://schemas.openxmlformats.org/drawingml/2006/main">
            <a:ext uri="{FF2B5EF4-FFF2-40B4-BE49-F238E27FC236}">
              <a16:creationId xmlns:a16="http://schemas.microsoft.com/office/drawing/2014/main" id="{64878B3C-AA01-481B-AB1E-F90978BF4235}"/>
            </a:ext>
          </a:extLst>
        </cdr:cNvPr>
        <cdr:cNvSpPr txBox="1"/>
      </cdr:nvSpPr>
      <cdr:spPr>
        <a:xfrm xmlns:a="http://schemas.openxmlformats.org/drawingml/2006/main">
          <a:off x="2175934" y="1219200"/>
          <a:ext cx="1468964" cy="42544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Dairy</a:t>
          </a:r>
          <a:r>
            <a:rPr lang="en-US" sz="1100" baseline="0"/>
            <a:t> Manure</a:t>
          </a:r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0</xdr:row>
      <xdr:rowOff>171450</xdr:rowOff>
    </xdr:from>
    <xdr:to>
      <xdr:col>5</xdr:col>
      <xdr:colOff>714375</xdr:colOff>
      <xdr:row>10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22CE93C-DB9F-4B54-BB89-D94E960EBA8A}"/>
            </a:ext>
          </a:extLst>
        </xdr:cNvPr>
        <xdr:cNvSpPr txBox="1"/>
      </xdr:nvSpPr>
      <xdr:spPr>
        <a:xfrm>
          <a:off x="425450" y="171450"/>
          <a:ext cx="3979863" cy="26781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01.20.2022</a:t>
          </a:r>
        </a:p>
        <a:p>
          <a:endParaRPr lang="en-US" sz="1100" b="1" u="sng"/>
        </a:p>
        <a:p>
          <a:r>
            <a:rPr lang="en-US" sz="1100"/>
            <a:t>Natural</a:t>
          </a:r>
          <a:r>
            <a:rPr lang="en-US" sz="1100" baseline="0"/>
            <a:t> gas consumption data for the four Northwest states and the US.</a:t>
          </a:r>
        </a:p>
        <a:p>
          <a:endParaRPr lang="en-US" sz="1100" baseline="0"/>
        </a:p>
        <a:p>
          <a:r>
            <a:rPr lang="en-US" sz="1100" baseline="0"/>
            <a:t>The data was pulled from the US Energy Information Administration (EIA) using the following EIA query:</a:t>
          </a:r>
        </a:p>
        <a:p>
          <a:r>
            <a:rPr lang="en-US" sz="1100" i="1"/>
            <a:t>https://www.eia.gov/dnav/ng/ng_cons_sum_dcu_nus_a.htm</a:t>
          </a:r>
        </a:p>
        <a:p>
          <a:endParaRPr 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Gas units are in MMcf (million cubic feet)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End Use defined as gas consumed in the residential, commercial, industrial, and transportation sectors as well as a percentage of the distribution fuel consumption.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2021PowerPlan">
  <a:themeElements>
    <a:clrScheme name="2021PowerPlan">
      <a:dk1>
        <a:srgbClr val="000000"/>
      </a:dk1>
      <a:lt1>
        <a:srgbClr val="FEFFFF"/>
      </a:lt1>
      <a:dk2>
        <a:srgbClr val="EFE8CF"/>
      </a:dk2>
      <a:lt2>
        <a:srgbClr val="FEFFFF"/>
      </a:lt2>
      <a:accent1>
        <a:srgbClr val="02BAD2"/>
      </a:accent1>
      <a:accent2>
        <a:srgbClr val="03B28B"/>
      </a:accent2>
      <a:accent3>
        <a:srgbClr val="9AC368"/>
      </a:accent3>
      <a:accent4>
        <a:srgbClr val="F7C719"/>
      </a:accent4>
      <a:accent5>
        <a:srgbClr val="F77F38"/>
      </a:accent5>
      <a:accent6>
        <a:srgbClr val="F23E49"/>
      </a:accent6>
      <a:hlink>
        <a:srgbClr val="2F395F"/>
      </a:hlink>
      <a:folHlink>
        <a:srgbClr val="576C7D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2021PowerPlan" id="{FE2D48F6-2255-4CA2-8CDC-3AD959F99ED5}" vid="{EB538543-5F3B-42A0-95F9-DFDD7530CAA6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gasfoundation.org/wp-content/uploads/2019/12/AGF-2019-RNG-Study-Full-Report-FINAL-12-18-19.pdf" TargetMode="External"/><Relationship Id="rId2" Type="http://schemas.openxmlformats.org/officeDocument/2006/relationships/hyperlink" Target="https://www.oregon.gov/energy/Data-and-Reports/Documents/2018-RNG-Inventory-Report.pdf" TargetMode="External"/><Relationship Id="rId1" Type="http://schemas.openxmlformats.org/officeDocument/2006/relationships/hyperlink" Target="https://www.commerce.wa.gov/wp-content/uploads/2019/01/Energy-Promoting-RNG-in-Washington-State.pdf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73282-9981-4A84-A1B2-BCF8AFE405DE}">
  <dimension ref="A1"/>
  <sheetViews>
    <sheetView tabSelected="1" workbookViewId="0">
      <selection activeCell="O21" sqref="O2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B885C-4D86-4D9E-B0A4-AD40D65A91AD}">
  <dimension ref="G9:AQ39"/>
  <sheetViews>
    <sheetView workbookViewId="0">
      <selection activeCell="D29" sqref="D29"/>
    </sheetView>
  </sheetViews>
  <sheetFormatPr defaultRowHeight="12.75" x14ac:dyDescent="0.2"/>
  <cols>
    <col min="7" max="7" width="21.7109375" bestFit="1" customWidth="1"/>
    <col min="8" max="8" width="10.7109375" bestFit="1" customWidth="1"/>
    <col min="9" max="9" width="6.7109375" bestFit="1" customWidth="1"/>
    <col min="10" max="10" width="5.5703125" bestFit="1" customWidth="1"/>
    <col min="11" max="11" width="14" bestFit="1" customWidth="1"/>
    <col min="12" max="12" width="29.140625" bestFit="1" customWidth="1"/>
    <col min="13" max="43" width="5" bestFit="1" customWidth="1"/>
  </cols>
  <sheetData>
    <row r="9" spans="7:43" x14ac:dyDescent="0.2">
      <c r="G9" s="1" t="s">
        <v>0</v>
      </c>
      <c r="H9" s="1" t="s">
        <v>1</v>
      </c>
      <c r="I9" s="1" t="s">
        <v>2</v>
      </c>
      <c r="J9" s="1" t="s">
        <v>3</v>
      </c>
      <c r="K9" s="1" t="s">
        <v>4</v>
      </c>
      <c r="L9" s="1" t="s">
        <v>5</v>
      </c>
      <c r="M9" s="1">
        <v>2020</v>
      </c>
      <c r="N9" s="1">
        <v>2021</v>
      </c>
      <c r="O9" s="1">
        <v>2022</v>
      </c>
      <c r="P9" s="1">
        <v>2023</v>
      </c>
      <c r="Q9" s="1">
        <v>2024</v>
      </c>
      <c r="R9" s="1">
        <v>2025</v>
      </c>
      <c r="S9" s="1">
        <v>2026</v>
      </c>
      <c r="T9" s="1">
        <v>2027</v>
      </c>
      <c r="U9" s="1">
        <v>2028</v>
      </c>
      <c r="V9" s="1">
        <v>2029</v>
      </c>
      <c r="W9" s="1">
        <v>2030</v>
      </c>
      <c r="X9" s="1">
        <v>2031</v>
      </c>
      <c r="Y9" s="1">
        <v>2032</v>
      </c>
      <c r="Z9" s="1">
        <v>2033</v>
      </c>
      <c r="AA9" s="1">
        <v>2034</v>
      </c>
      <c r="AB9" s="1">
        <v>2035</v>
      </c>
      <c r="AC9" s="1">
        <v>2036</v>
      </c>
      <c r="AD9" s="1">
        <v>2037</v>
      </c>
      <c r="AE9" s="1">
        <v>2038</v>
      </c>
      <c r="AF9" s="1">
        <v>2039</v>
      </c>
      <c r="AG9" s="1">
        <v>2040</v>
      </c>
      <c r="AH9" s="1">
        <v>2041</v>
      </c>
      <c r="AI9" s="1">
        <v>2042</v>
      </c>
      <c r="AJ9" s="1">
        <v>2043</v>
      </c>
      <c r="AK9" s="1">
        <v>2044</v>
      </c>
      <c r="AL9" s="1">
        <v>2045</v>
      </c>
      <c r="AM9" s="1">
        <v>2046</v>
      </c>
      <c r="AN9" s="1">
        <v>2047</v>
      </c>
      <c r="AO9" s="1">
        <v>2048</v>
      </c>
      <c r="AP9" s="1">
        <v>2049</v>
      </c>
      <c r="AQ9" s="1">
        <v>2050</v>
      </c>
    </row>
    <row r="11" spans="7:43" x14ac:dyDescent="0.2">
      <c r="G11" s="2" t="s">
        <v>6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3" spans="7:43" x14ac:dyDescent="0.2">
      <c r="G13" s="4" t="s">
        <v>7</v>
      </c>
      <c r="H13" s="5" t="s">
        <v>8</v>
      </c>
      <c r="I13" s="5" t="s">
        <v>9</v>
      </c>
      <c r="J13" s="5" t="s">
        <v>10</v>
      </c>
      <c r="K13" s="5" t="s">
        <v>11</v>
      </c>
      <c r="L13" t="s">
        <v>22</v>
      </c>
      <c r="M13" s="6">
        <v>477.72629999999998</v>
      </c>
      <c r="N13" s="6">
        <v>469.62479999999999</v>
      </c>
      <c r="O13" s="6">
        <v>474.48759999999999</v>
      </c>
      <c r="P13" s="6">
        <v>468.54149999999998</v>
      </c>
      <c r="Q13" s="6">
        <v>469.11689999999999</v>
      </c>
      <c r="R13" s="6">
        <v>473.30309999999997</v>
      </c>
      <c r="S13" s="6">
        <v>455.51600000000002</v>
      </c>
      <c r="T13" s="6">
        <v>477.67919999999998</v>
      </c>
      <c r="U13" s="6">
        <v>490.41180000000003</v>
      </c>
      <c r="V13" s="6">
        <v>473.6404</v>
      </c>
      <c r="W13" s="6">
        <v>451.1447</v>
      </c>
      <c r="X13" s="6">
        <v>463.74439999999998</v>
      </c>
      <c r="Y13" s="6">
        <v>483.50310000000002</v>
      </c>
      <c r="Z13" s="6">
        <v>467.64460000000003</v>
      </c>
      <c r="AA13" s="6">
        <v>479.58670000000001</v>
      </c>
      <c r="AB13" s="6">
        <v>487.38380000000001</v>
      </c>
      <c r="AC13" s="6">
        <v>475.6207</v>
      </c>
      <c r="AD13" s="6">
        <v>462.36770000000001</v>
      </c>
      <c r="AE13" s="6">
        <v>476.33</v>
      </c>
      <c r="AF13" s="6">
        <v>460.4665</v>
      </c>
      <c r="AG13" s="6">
        <v>479.3929</v>
      </c>
      <c r="AH13" s="6">
        <v>465.64870000000002</v>
      </c>
      <c r="AI13" s="6">
        <v>453.98950000000002</v>
      </c>
      <c r="AJ13" s="6">
        <v>475.42759999999998</v>
      </c>
      <c r="AK13" s="6">
        <v>465.55790000000002</v>
      </c>
      <c r="AL13" s="6">
        <v>491.99900000000002</v>
      </c>
      <c r="AM13" s="6">
        <v>467.27730000000003</v>
      </c>
      <c r="AN13" s="6">
        <v>466.42320000000001</v>
      </c>
      <c r="AO13" s="6">
        <v>471.54640000000001</v>
      </c>
      <c r="AP13" s="6">
        <v>469.53809999999999</v>
      </c>
      <c r="AQ13" s="6">
        <v>483.79070000000002</v>
      </c>
    </row>
    <row r="14" spans="7:43" x14ac:dyDescent="0.2">
      <c r="H14" s="5"/>
      <c r="I14" s="5"/>
      <c r="J14" s="5"/>
      <c r="K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</row>
    <row r="15" spans="7:43" x14ac:dyDescent="0.2">
      <c r="G15" s="4" t="s">
        <v>7</v>
      </c>
      <c r="H15" s="5" t="s">
        <v>8</v>
      </c>
      <c r="I15" s="5" t="s">
        <v>12</v>
      </c>
      <c r="J15" s="5" t="s">
        <v>10</v>
      </c>
      <c r="K15" s="5" t="s">
        <v>11</v>
      </c>
      <c r="L15" t="s">
        <v>23</v>
      </c>
      <c r="M15" s="6">
        <v>159.0164</v>
      </c>
      <c r="N15" s="6">
        <v>152.64490000000001</v>
      </c>
      <c r="O15" s="6">
        <v>158.7492</v>
      </c>
      <c r="P15" s="6">
        <v>153.15600000000001</v>
      </c>
      <c r="Q15" s="6">
        <v>153.3809</v>
      </c>
      <c r="R15" s="6">
        <v>157.15539999999999</v>
      </c>
      <c r="S15" s="6">
        <v>142.15790000000001</v>
      </c>
      <c r="T15" s="6">
        <v>160.9144</v>
      </c>
      <c r="U15" s="6">
        <v>171.49600000000001</v>
      </c>
      <c r="V15" s="6">
        <v>156.89179999999999</v>
      </c>
      <c r="W15" s="6">
        <v>139.07239999999999</v>
      </c>
      <c r="X15" s="6">
        <v>148.82859999999999</v>
      </c>
      <c r="Y15" s="6">
        <v>164.9151</v>
      </c>
      <c r="Z15" s="6">
        <v>152.47290000000001</v>
      </c>
      <c r="AA15" s="6">
        <v>161.87459999999999</v>
      </c>
      <c r="AB15" s="6">
        <v>171.53360000000001</v>
      </c>
      <c r="AC15" s="6">
        <v>160.90620000000001</v>
      </c>
      <c r="AD15" s="6">
        <v>148.1797</v>
      </c>
      <c r="AE15" s="6">
        <v>161.92490000000001</v>
      </c>
      <c r="AF15" s="6">
        <v>147.55279999999999</v>
      </c>
      <c r="AG15" s="6">
        <v>164.8322</v>
      </c>
      <c r="AH15" s="6">
        <v>154.72919999999999</v>
      </c>
      <c r="AI15" s="6">
        <v>145.3134</v>
      </c>
      <c r="AJ15" s="6">
        <v>162.59280000000001</v>
      </c>
      <c r="AK15" s="6">
        <v>152.93</v>
      </c>
      <c r="AL15" s="6">
        <v>174.04740000000001</v>
      </c>
      <c r="AM15" s="6">
        <v>152.09350000000001</v>
      </c>
      <c r="AN15" s="6">
        <v>149.99539999999999</v>
      </c>
      <c r="AO15" s="6">
        <v>152.58359999999999</v>
      </c>
      <c r="AP15" s="6">
        <v>149.32159999999999</v>
      </c>
      <c r="AQ15" s="6">
        <v>159.5909</v>
      </c>
    </row>
    <row r="16" spans="7:43" x14ac:dyDescent="0.2">
      <c r="G16" s="4" t="s">
        <v>7</v>
      </c>
      <c r="H16" s="5" t="s">
        <v>8</v>
      </c>
      <c r="I16" s="5" t="s">
        <v>13</v>
      </c>
      <c r="J16" s="5" t="s">
        <v>10</v>
      </c>
      <c r="K16" s="5" t="s">
        <v>11</v>
      </c>
      <c r="L16" t="s">
        <v>24</v>
      </c>
      <c r="M16" s="6">
        <v>118.68729999999999</v>
      </c>
      <c r="N16" s="6">
        <v>118.39530000000001</v>
      </c>
      <c r="O16" s="6">
        <v>119.5467</v>
      </c>
      <c r="P16" s="6">
        <v>119.6567</v>
      </c>
      <c r="Q16" s="6">
        <v>120.4157</v>
      </c>
      <c r="R16" s="6">
        <v>121.721</v>
      </c>
      <c r="S16" s="6">
        <v>120.2484</v>
      </c>
      <c r="T16" s="6">
        <v>124.5231</v>
      </c>
      <c r="U16" s="6">
        <v>127.5774</v>
      </c>
      <c r="V16" s="6">
        <v>126.2958</v>
      </c>
      <c r="W16" s="6">
        <v>124.06829999999999</v>
      </c>
      <c r="X16" s="6">
        <v>127.2296</v>
      </c>
      <c r="Y16" s="6">
        <v>131.6455</v>
      </c>
      <c r="Z16" s="6">
        <v>130.4579</v>
      </c>
      <c r="AA16" s="6">
        <v>133.48580000000001</v>
      </c>
      <c r="AB16" s="6">
        <v>135.0102</v>
      </c>
      <c r="AC16" s="6">
        <v>134.54230000000001</v>
      </c>
      <c r="AD16" s="6">
        <v>134.27629999999999</v>
      </c>
      <c r="AE16" s="6">
        <v>137.15</v>
      </c>
      <c r="AF16" s="6">
        <v>136.44409999999999</v>
      </c>
      <c r="AG16" s="6">
        <v>140.31209999999999</v>
      </c>
      <c r="AH16" s="6">
        <v>138.9777</v>
      </c>
      <c r="AI16" s="6">
        <v>138.3449</v>
      </c>
      <c r="AJ16" s="6">
        <v>143.02449999999999</v>
      </c>
      <c r="AK16" s="6">
        <v>143.0334</v>
      </c>
      <c r="AL16" s="6">
        <v>148.721</v>
      </c>
      <c r="AM16" s="6">
        <v>146.59780000000001</v>
      </c>
      <c r="AN16" s="6">
        <v>147.9486</v>
      </c>
      <c r="AO16" s="6">
        <v>150.47839999999999</v>
      </c>
      <c r="AP16" s="6">
        <v>151.8767</v>
      </c>
      <c r="AQ16" s="6">
        <v>155.4939</v>
      </c>
    </row>
    <row r="17" spans="7:43" x14ac:dyDescent="0.2">
      <c r="G17" s="4" t="s">
        <v>7</v>
      </c>
      <c r="H17" s="5" t="s">
        <v>8</v>
      </c>
      <c r="I17" s="5" t="s">
        <v>14</v>
      </c>
      <c r="J17" s="5" t="s">
        <v>10</v>
      </c>
      <c r="K17" s="5" t="s">
        <v>11</v>
      </c>
      <c r="L17" t="s">
        <v>25</v>
      </c>
      <c r="M17" s="6">
        <v>162.79990000000001</v>
      </c>
      <c r="N17" s="6">
        <v>161.41569999999999</v>
      </c>
      <c r="O17" s="6">
        <v>159.2201</v>
      </c>
      <c r="P17" s="6">
        <v>158.79669999999999</v>
      </c>
      <c r="Q17" s="6">
        <v>158.458</v>
      </c>
      <c r="R17" s="6">
        <v>157.64150000000001</v>
      </c>
      <c r="S17" s="6">
        <v>156.40960000000001</v>
      </c>
      <c r="T17" s="6">
        <v>155.63249999999999</v>
      </c>
      <c r="U17" s="6">
        <v>154.81809999999999</v>
      </c>
      <c r="V17" s="6">
        <v>154.02959999999999</v>
      </c>
      <c r="W17" s="6">
        <v>152.1028</v>
      </c>
      <c r="X17" s="6">
        <v>151.85749999999999</v>
      </c>
      <c r="Y17" s="6">
        <v>151.2021</v>
      </c>
      <c r="Z17" s="6">
        <v>149.2715</v>
      </c>
      <c r="AA17" s="6">
        <v>148.87880000000001</v>
      </c>
      <c r="AB17" s="6">
        <v>146.09870000000001</v>
      </c>
      <c r="AC17" s="6">
        <v>145.54179999999999</v>
      </c>
      <c r="AD17" s="6">
        <v>145.38839999999999</v>
      </c>
      <c r="AE17" s="6">
        <v>143.1499</v>
      </c>
      <c r="AF17" s="6">
        <v>142.48840000000001</v>
      </c>
      <c r="AG17" s="6">
        <v>140.6814</v>
      </c>
      <c r="AH17" s="6">
        <v>138.8399</v>
      </c>
      <c r="AI17" s="6">
        <v>137.5514</v>
      </c>
      <c r="AJ17" s="6">
        <v>137.15199999999999</v>
      </c>
      <c r="AK17" s="6">
        <v>137.05959999999999</v>
      </c>
      <c r="AL17" s="6">
        <v>136.827</v>
      </c>
      <c r="AM17" s="6">
        <v>136.3083</v>
      </c>
      <c r="AN17" s="6">
        <v>136.33699999999999</v>
      </c>
      <c r="AO17" s="6">
        <v>136.37889999999999</v>
      </c>
      <c r="AP17" s="6">
        <v>136.35669999999999</v>
      </c>
      <c r="AQ17" s="6">
        <v>136.62299999999999</v>
      </c>
    </row>
    <row r="18" spans="7:43" x14ac:dyDescent="0.2">
      <c r="G18" s="4" t="s">
        <v>7</v>
      </c>
      <c r="H18" s="5" t="s">
        <v>8</v>
      </c>
      <c r="I18" s="5" t="s">
        <v>15</v>
      </c>
      <c r="J18" s="5" t="s">
        <v>10</v>
      </c>
      <c r="K18" s="5" t="s">
        <v>11</v>
      </c>
      <c r="L18" t="s">
        <v>26</v>
      </c>
      <c r="M18" s="6">
        <v>37.222799999999999</v>
      </c>
      <c r="N18" s="6">
        <v>37.168900000000001</v>
      </c>
      <c r="O18" s="6">
        <v>36.971600000000002</v>
      </c>
      <c r="P18" s="6">
        <v>36.932200000000002</v>
      </c>
      <c r="Q18" s="6">
        <v>36.862299999999998</v>
      </c>
      <c r="R18" s="6">
        <v>36.7851</v>
      </c>
      <c r="S18" s="6">
        <v>36.700099999999999</v>
      </c>
      <c r="T18" s="6">
        <v>36.609299999999998</v>
      </c>
      <c r="U18" s="6">
        <v>36.520299999999999</v>
      </c>
      <c r="V18" s="6">
        <v>36.423299999999998</v>
      </c>
      <c r="W18" s="6">
        <v>35.9011</v>
      </c>
      <c r="X18" s="6">
        <v>35.828699999999998</v>
      </c>
      <c r="Y18" s="6">
        <v>35.740299999999998</v>
      </c>
      <c r="Z18" s="6">
        <v>35.442300000000003</v>
      </c>
      <c r="AA18" s="6">
        <v>35.347499999999997</v>
      </c>
      <c r="AB18" s="6">
        <v>34.741300000000003</v>
      </c>
      <c r="AC18" s="6">
        <v>34.630400000000002</v>
      </c>
      <c r="AD18" s="6">
        <v>34.523200000000003</v>
      </c>
      <c r="AE18" s="6">
        <v>34.1053</v>
      </c>
      <c r="AF18" s="6">
        <v>33.981299999999997</v>
      </c>
      <c r="AG18" s="6">
        <v>33.567300000000003</v>
      </c>
      <c r="AH18" s="6">
        <v>33.101999999999997</v>
      </c>
      <c r="AI18" s="6">
        <v>32.779800000000002</v>
      </c>
      <c r="AJ18" s="6">
        <v>32.658200000000001</v>
      </c>
      <c r="AK18" s="6">
        <v>32.5349</v>
      </c>
      <c r="AL18" s="6">
        <v>32.403599999999997</v>
      </c>
      <c r="AM18" s="6">
        <v>32.277799999999999</v>
      </c>
      <c r="AN18" s="6">
        <v>32.142099999999999</v>
      </c>
      <c r="AO18" s="6">
        <v>32.105499999999999</v>
      </c>
      <c r="AP18" s="6">
        <v>31.9831</v>
      </c>
      <c r="AQ18" s="6">
        <v>32.082900000000002</v>
      </c>
    </row>
    <row r="20" spans="7:43" x14ac:dyDescent="0.2">
      <c r="G20" s="4" t="s">
        <v>7</v>
      </c>
      <c r="H20" t="s">
        <v>16</v>
      </c>
      <c r="I20" t="s">
        <v>9</v>
      </c>
      <c r="J20" s="5" t="s">
        <v>10</v>
      </c>
      <c r="K20" s="5" t="s">
        <v>11</v>
      </c>
      <c r="L20" t="s">
        <v>27</v>
      </c>
      <c r="M20" s="6">
        <v>84.85</v>
      </c>
      <c r="N20" s="6">
        <v>83.458200000000005</v>
      </c>
      <c r="O20" s="6">
        <v>84.112200000000001</v>
      </c>
      <c r="P20" s="6">
        <v>83.823700000000002</v>
      </c>
      <c r="Q20" s="6">
        <v>84.451300000000003</v>
      </c>
      <c r="R20" s="6">
        <v>86.246499999999997</v>
      </c>
      <c r="S20" s="6">
        <v>83.479299999999995</v>
      </c>
      <c r="T20" s="6">
        <v>87.868799999999993</v>
      </c>
      <c r="U20" s="6">
        <v>89.385000000000005</v>
      </c>
      <c r="V20" s="6">
        <v>86.959000000000003</v>
      </c>
      <c r="W20" s="6">
        <v>85.162000000000006</v>
      </c>
      <c r="X20" s="6">
        <v>87.741799999999998</v>
      </c>
      <c r="Y20" s="6">
        <v>90.613399999999999</v>
      </c>
      <c r="Z20" s="6">
        <v>87.987899999999996</v>
      </c>
      <c r="AA20" s="6">
        <v>89.483599999999996</v>
      </c>
      <c r="AB20" s="6">
        <v>91.830200000000005</v>
      </c>
      <c r="AC20" s="6">
        <v>91.304299999999998</v>
      </c>
      <c r="AD20" s="6">
        <v>88.609300000000005</v>
      </c>
      <c r="AE20" s="6">
        <v>90.775400000000005</v>
      </c>
      <c r="AF20" s="6">
        <v>88.425799999999995</v>
      </c>
      <c r="AG20" s="6">
        <v>90.609700000000004</v>
      </c>
      <c r="AH20" s="6">
        <v>89.712000000000003</v>
      </c>
      <c r="AI20" s="6">
        <v>89.321899999999999</v>
      </c>
      <c r="AJ20" s="6">
        <v>92.938999999999993</v>
      </c>
      <c r="AK20" s="6">
        <v>91.703699999999998</v>
      </c>
      <c r="AL20" s="6">
        <v>96.214500000000001</v>
      </c>
      <c r="AM20" s="6">
        <v>90.716999999999999</v>
      </c>
      <c r="AN20" s="6">
        <v>92.223200000000006</v>
      </c>
      <c r="AO20" s="6">
        <v>93.111199999999997</v>
      </c>
      <c r="AP20" s="6">
        <v>93.100800000000007</v>
      </c>
      <c r="AQ20" s="6">
        <v>95.817099999999996</v>
      </c>
    </row>
    <row r="21" spans="7:43" x14ac:dyDescent="0.2">
      <c r="G21" s="4" t="s">
        <v>7</v>
      </c>
      <c r="H21" t="s">
        <v>17</v>
      </c>
      <c r="I21" t="s">
        <v>9</v>
      </c>
      <c r="J21" s="5" t="s">
        <v>10</v>
      </c>
      <c r="K21" s="5" t="s">
        <v>11</v>
      </c>
      <c r="L21" t="s">
        <v>28</v>
      </c>
      <c r="M21" s="6">
        <v>31.4084</v>
      </c>
      <c r="N21" s="6">
        <v>30.299199999999999</v>
      </c>
      <c r="O21" s="6">
        <v>30.088699999999999</v>
      </c>
      <c r="P21" s="6">
        <v>29.596299999999999</v>
      </c>
      <c r="Q21" s="6">
        <v>29.195799999999998</v>
      </c>
      <c r="R21" s="6">
        <v>28.941600000000001</v>
      </c>
      <c r="S21" s="6">
        <v>27.897500000000001</v>
      </c>
      <c r="T21" s="6">
        <v>28.703900000000001</v>
      </c>
      <c r="U21" s="6">
        <v>29.113099999999999</v>
      </c>
      <c r="V21" s="6">
        <v>28.2498</v>
      </c>
      <c r="W21" s="6">
        <v>27.167400000000001</v>
      </c>
      <c r="X21" s="6">
        <v>27.5459</v>
      </c>
      <c r="Y21" s="6">
        <v>28.136199999999999</v>
      </c>
      <c r="Z21" s="6">
        <v>27.400400000000001</v>
      </c>
      <c r="AA21" s="6">
        <v>27.7789</v>
      </c>
      <c r="AB21" s="6">
        <v>28.216200000000001</v>
      </c>
      <c r="AC21" s="6">
        <v>27.752199999999998</v>
      </c>
      <c r="AD21" s="6">
        <v>26.914200000000001</v>
      </c>
      <c r="AE21" s="6">
        <v>27.505299999999998</v>
      </c>
      <c r="AF21" s="6">
        <v>26.750299999999999</v>
      </c>
      <c r="AG21" s="6">
        <v>27.646699999999999</v>
      </c>
      <c r="AH21" s="6">
        <v>26.996099999999998</v>
      </c>
      <c r="AI21" s="6">
        <v>26.607399999999998</v>
      </c>
      <c r="AJ21" s="6">
        <v>27.439599999999999</v>
      </c>
      <c r="AK21" s="6">
        <v>27.155999999999999</v>
      </c>
      <c r="AL21" s="6">
        <v>28.124099999999999</v>
      </c>
      <c r="AM21" s="6">
        <v>26.816700000000001</v>
      </c>
      <c r="AN21" s="6">
        <v>27.014800000000001</v>
      </c>
      <c r="AO21" s="6">
        <v>27.0928</v>
      </c>
      <c r="AP21" s="6">
        <v>27.077100000000002</v>
      </c>
      <c r="AQ21" s="6">
        <v>27.677</v>
      </c>
    </row>
    <row r="22" spans="7:43" x14ac:dyDescent="0.2">
      <c r="G22" s="4" t="s">
        <v>7</v>
      </c>
      <c r="H22" t="s">
        <v>18</v>
      </c>
      <c r="I22" t="s">
        <v>9</v>
      </c>
      <c r="J22" s="5" t="s">
        <v>10</v>
      </c>
      <c r="K22" s="5" t="s">
        <v>11</v>
      </c>
      <c r="L22" t="s">
        <v>29</v>
      </c>
      <c r="M22" s="6">
        <v>132.88890000000001</v>
      </c>
      <c r="N22" s="6">
        <v>130.25470000000001</v>
      </c>
      <c r="O22" s="6">
        <v>132.22819999999999</v>
      </c>
      <c r="P22" s="6">
        <v>130.1739</v>
      </c>
      <c r="Q22" s="6">
        <v>129.91489999999999</v>
      </c>
      <c r="R22" s="6">
        <v>131.4444</v>
      </c>
      <c r="S22" s="6">
        <v>125.4037</v>
      </c>
      <c r="T22" s="6">
        <v>133.12739999999999</v>
      </c>
      <c r="U22" s="6">
        <v>137.72460000000001</v>
      </c>
      <c r="V22" s="6">
        <v>131.45519999999999</v>
      </c>
      <c r="W22" s="6">
        <v>123.6354</v>
      </c>
      <c r="X22" s="6">
        <v>127.70610000000001</v>
      </c>
      <c r="Y22" s="6">
        <v>135.0573</v>
      </c>
      <c r="Z22" s="6">
        <v>129.51840000000001</v>
      </c>
      <c r="AA22" s="6">
        <v>133.71379999999999</v>
      </c>
      <c r="AB22" s="6">
        <v>136.69069999999999</v>
      </c>
      <c r="AC22" s="6">
        <v>131.63470000000001</v>
      </c>
      <c r="AD22" s="6">
        <v>127.7411</v>
      </c>
      <c r="AE22" s="6">
        <v>132.4983</v>
      </c>
      <c r="AF22" s="6">
        <v>127.17740000000001</v>
      </c>
      <c r="AG22" s="6">
        <v>133.70009999999999</v>
      </c>
      <c r="AH22" s="6">
        <v>128.7868</v>
      </c>
      <c r="AI22" s="6">
        <v>124.59829999999999</v>
      </c>
      <c r="AJ22" s="6">
        <v>132.06790000000001</v>
      </c>
      <c r="AK22" s="6">
        <v>127.6955</v>
      </c>
      <c r="AL22" s="6">
        <v>137.1765</v>
      </c>
      <c r="AM22" s="6">
        <v>129.55269999999999</v>
      </c>
      <c r="AN22" s="6">
        <v>128.0412</v>
      </c>
      <c r="AO22" s="6">
        <v>130.62540000000001</v>
      </c>
      <c r="AP22" s="6">
        <v>129.5685</v>
      </c>
      <c r="AQ22" s="6">
        <v>134.61789999999999</v>
      </c>
    </row>
    <row r="23" spans="7:43" x14ac:dyDescent="0.2">
      <c r="G23" s="4" t="s">
        <v>7</v>
      </c>
      <c r="H23" t="s">
        <v>19</v>
      </c>
      <c r="I23" t="s">
        <v>9</v>
      </c>
      <c r="J23" s="5" t="s">
        <v>10</v>
      </c>
      <c r="K23" s="5" t="s">
        <v>11</v>
      </c>
      <c r="L23" t="s">
        <v>30</v>
      </c>
      <c r="M23" s="6">
        <v>228.57900000000001</v>
      </c>
      <c r="N23" s="6">
        <v>225.61269999999999</v>
      </c>
      <c r="O23" s="6">
        <v>228.05840000000001</v>
      </c>
      <c r="P23" s="6">
        <v>224.94759999999999</v>
      </c>
      <c r="Q23" s="6">
        <v>225.5549</v>
      </c>
      <c r="R23" s="6">
        <v>226.6705</v>
      </c>
      <c r="S23" s="6">
        <v>218.7355</v>
      </c>
      <c r="T23" s="6">
        <v>227.97919999999999</v>
      </c>
      <c r="U23" s="6">
        <v>234.18899999999999</v>
      </c>
      <c r="V23" s="6">
        <v>226.97640000000001</v>
      </c>
      <c r="W23" s="6">
        <v>215.1799</v>
      </c>
      <c r="X23" s="6">
        <v>220.75069999999999</v>
      </c>
      <c r="Y23" s="6">
        <v>229.6962</v>
      </c>
      <c r="Z23" s="6">
        <v>222.7379</v>
      </c>
      <c r="AA23" s="6">
        <v>228.6105</v>
      </c>
      <c r="AB23" s="6">
        <v>230.64670000000001</v>
      </c>
      <c r="AC23" s="6">
        <v>224.92949999999999</v>
      </c>
      <c r="AD23" s="6">
        <v>219.10310000000001</v>
      </c>
      <c r="AE23" s="6">
        <v>225.55099999999999</v>
      </c>
      <c r="AF23" s="6">
        <v>218.1129</v>
      </c>
      <c r="AG23" s="6">
        <v>227.43639999999999</v>
      </c>
      <c r="AH23" s="6">
        <v>220.15389999999999</v>
      </c>
      <c r="AI23" s="6">
        <v>213.46180000000001</v>
      </c>
      <c r="AJ23" s="6">
        <v>222.9811</v>
      </c>
      <c r="AK23" s="6">
        <v>219.0027</v>
      </c>
      <c r="AL23" s="6">
        <v>230.4838</v>
      </c>
      <c r="AM23" s="6">
        <v>220.1909</v>
      </c>
      <c r="AN23" s="6">
        <v>219.1439</v>
      </c>
      <c r="AO23" s="6">
        <v>220.71700000000001</v>
      </c>
      <c r="AP23" s="6">
        <v>219.79179999999999</v>
      </c>
      <c r="AQ23" s="6">
        <v>225.6788</v>
      </c>
    </row>
    <row r="25" spans="7:43" x14ac:dyDescent="0.2">
      <c r="G25" s="1" t="s">
        <v>0</v>
      </c>
      <c r="H25" s="1" t="s">
        <v>1</v>
      </c>
      <c r="I25" s="1" t="s">
        <v>2</v>
      </c>
      <c r="J25" s="1" t="s">
        <v>3</v>
      </c>
      <c r="K25" s="1" t="s">
        <v>4</v>
      </c>
      <c r="L25" s="1" t="s">
        <v>5</v>
      </c>
      <c r="M25" s="1">
        <v>2020</v>
      </c>
      <c r="N25" s="1">
        <v>2021</v>
      </c>
      <c r="O25" s="1">
        <v>2022</v>
      </c>
      <c r="P25" s="1">
        <v>2023</v>
      </c>
      <c r="Q25" s="1">
        <v>2024</v>
      </c>
      <c r="R25" s="1">
        <v>2025</v>
      </c>
      <c r="S25" s="1">
        <v>2026</v>
      </c>
      <c r="T25" s="1">
        <v>2027</v>
      </c>
      <c r="U25" s="1">
        <v>2028</v>
      </c>
      <c r="V25" s="1">
        <v>2029</v>
      </c>
      <c r="W25" s="1">
        <v>2030</v>
      </c>
      <c r="X25" s="1">
        <v>2031</v>
      </c>
      <c r="Y25" s="1">
        <v>2032</v>
      </c>
      <c r="Z25" s="1">
        <v>2033</v>
      </c>
      <c r="AA25" s="1">
        <v>2034</v>
      </c>
      <c r="AB25" s="1">
        <v>2035</v>
      </c>
      <c r="AC25" s="1">
        <v>2036</v>
      </c>
      <c r="AD25" s="1">
        <v>2037</v>
      </c>
      <c r="AE25" s="1">
        <v>2038</v>
      </c>
      <c r="AF25" s="1">
        <v>2039</v>
      </c>
      <c r="AG25" s="1">
        <v>2040</v>
      </c>
      <c r="AH25" s="1">
        <v>2041</v>
      </c>
      <c r="AI25" s="1">
        <v>2042</v>
      </c>
      <c r="AJ25" s="1">
        <v>2043</v>
      </c>
      <c r="AK25" s="1">
        <v>2044</v>
      </c>
      <c r="AL25" s="1">
        <v>2045</v>
      </c>
      <c r="AM25" s="1">
        <v>2046</v>
      </c>
      <c r="AN25" s="1">
        <v>2047</v>
      </c>
      <c r="AO25" s="1">
        <v>2048</v>
      </c>
      <c r="AP25" s="1">
        <v>2049</v>
      </c>
      <c r="AQ25" s="1">
        <v>2050</v>
      </c>
    </row>
    <row r="27" spans="7:43" x14ac:dyDescent="0.2">
      <c r="G27" s="7" t="s">
        <v>20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</row>
    <row r="28" spans="7:43" x14ac:dyDescent="0.2">
      <c r="G28" s="4"/>
      <c r="H28" s="5"/>
      <c r="I28" s="5"/>
      <c r="J28" s="5"/>
      <c r="K28" s="5"/>
    </row>
    <row r="29" spans="7:43" x14ac:dyDescent="0.2">
      <c r="G29" s="4" t="s">
        <v>21</v>
      </c>
      <c r="H29" s="5" t="s">
        <v>8</v>
      </c>
      <c r="I29" s="5" t="s">
        <v>9</v>
      </c>
      <c r="J29" s="5" t="s">
        <v>10</v>
      </c>
      <c r="K29" s="5" t="s">
        <v>11</v>
      </c>
      <c r="L29" t="s">
        <v>22</v>
      </c>
      <c r="M29" s="6">
        <v>0</v>
      </c>
      <c r="N29" s="6">
        <v>0</v>
      </c>
      <c r="O29" s="6">
        <v>2</v>
      </c>
      <c r="P29" s="6">
        <v>2</v>
      </c>
      <c r="Q29" s="6">
        <v>2</v>
      </c>
      <c r="R29" s="6">
        <v>2.4380000000000002</v>
      </c>
      <c r="S29" s="6">
        <v>4.1379999999999999</v>
      </c>
      <c r="T29" s="6">
        <v>4.1379999999999999</v>
      </c>
      <c r="U29" s="6">
        <v>4.1379999999999999</v>
      </c>
      <c r="V29" s="6">
        <v>4.1379999999999999</v>
      </c>
      <c r="W29" s="6">
        <v>8.7330000000000005</v>
      </c>
      <c r="X29" s="6">
        <v>8.7330000000000005</v>
      </c>
      <c r="Y29" s="6">
        <v>8.7330000000000005</v>
      </c>
      <c r="Z29" s="6">
        <v>12.782999999999999</v>
      </c>
      <c r="AA29" s="6">
        <v>12.782999999999999</v>
      </c>
      <c r="AB29" s="6">
        <v>20.882999999999999</v>
      </c>
      <c r="AC29" s="6">
        <v>20.882999999999999</v>
      </c>
      <c r="AD29" s="6">
        <v>21.035</v>
      </c>
      <c r="AE29" s="6">
        <v>26.274999999999999</v>
      </c>
      <c r="AF29" s="6">
        <v>26.375</v>
      </c>
      <c r="AG29" s="6">
        <v>30.574999999999999</v>
      </c>
      <c r="AH29" s="6">
        <v>36.11</v>
      </c>
      <c r="AI29" s="6">
        <v>40.11</v>
      </c>
      <c r="AJ29" s="6">
        <v>40.71</v>
      </c>
      <c r="AK29" s="6">
        <v>40.61</v>
      </c>
      <c r="AL29" s="6">
        <v>41.11</v>
      </c>
      <c r="AM29" s="6">
        <v>42.502000000000002</v>
      </c>
      <c r="AN29" s="6">
        <v>42.701999999999998</v>
      </c>
      <c r="AO29" s="6">
        <v>42.966000000000001</v>
      </c>
      <c r="AP29" s="6">
        <v>43.317999999999998</v>
      </c>
      <c r="AQ29" s="6">
        <v>43.417999999999999</v>
      </c>
    </row>
    <row r="30" spans="7:43" x14ac:dyDescent="0.2">
      <c r="H30" s="5"/>
      <c r="I30" s="5"/>
      <c r="J30" s="5"/>
      <c r="K30" s="5"/>
      <c r="M30" s="6"/>
    </row>
    <row r="31" spans="7:43" x14ac:dyDescent="0.2">
      <c r="G31" s="4" t="s">
        <v>21</v>
      </c>
      <c r="H31" s="5" t="s">
        <v>8</v>
      </c>
      <c r="I31" s="5" t="s">
        <v>12</v>
      </c>
      <c r="J31" s="5" t="s">
        <v>10</v>
      </c>
      <c r="K31" s="5" t="s">
        <v>11</v>
      </c>
      <c r="L31" t="s">
        <v>23</v>
      </c>
      <c r="M31" s="6">
        <v>0</v>
      </c>
      <c r="N31" s="6">
        <v>0</v>
      </c>
      <c r="O31" s="6">
        <v>0.7</v>
      </c>
      <c r="P31" s="6">
        <v>0.7</v>
      </c>
      <c r="Q31" s="6">
        <v>0.7</v>
      </c>
      <c r="R31" s="6">
        <v>0.85</v>
      </c>
      <c r="S31" s="6">
        <v>1.55</v>
      </c>
      <c r="T31" s="6">
        <v>1.55</v>
      </c>
      <c r="U31" s="6">
        <v>1.55</v>
      </c>
      <c r="V31" s="6">
        <v>1.55</v>
      </c>
      <c r="W31" s="6">
        <v>3.15</v>
      </c>
      <c r="X31" s="6">
        <v>3.15</v>
      </c>
      <c r="Y31" s="6">
        <v>3.15</v>
      </c>
      <c r="Z31" s="6">
        <v>4.8</v>
      </c>
      <c r="AA31" s="6">
        <v>4.8</v>
      </c>
      <c r="AB31" s="6">
        <v>7.8</v>
      </c>
      <c r="AC31" s="6">
        <v>7.8</v>
      </c>
      <c r="AD31" s="6">
        <v>7.9</v>
      </c>
      <c r="AE31" s="6">
        <v>10</v>
      </c>
      <c r="AF31" s="6">
        <v>10</v>
      </c>
      <c r="AG31" s="6">
        <v>11.6</v>
      </c>
      <c r="AH31" s="6">
        <v>13.7</v>
      </c>
      <c r="AI31" s="6">
        <v>15.3</v>
      </c>
      <c r="AJ31" s="6">
        <v>15.5</v>
      </c>
      <c r="AK31" s="6">
        <v>15.5</v>
      </c>
      <c r="AL31" s="6">
        <v>15.8</v>
      </c>
      <c r="AM31" s="6">
        <v>16.3</v>
      </c>
      <c r="AN31" s="6">
        <v>16.5</v>
      </c>
      <c r="AO31" s="6">
        <v>16.7</v>
      </c>
      <c r="AP31" s="6">
        <v>16.899999999999999</v>
      </c>
      <c r="AQ31" s="6">
        <v>17</v>
      </c>
    </row>
    <row r="32" spans="7:43" x14ac:dyDescent="0.2">
      <c r="G32" s="4" t="s">
        <v>21</v>
      </c>
      <c r="H32" s="5" t="s">
        <v>8</v>
      </c>
      <c r="I32" s="5" t="s">
        <v>13</v>
      </c>
      <c r="J32" s="5" t="s">
        <v>10</v>
      </c>
      <c r="K32" s="5" t="s">
        <v>11</v>
      </c>
      <c r="L32" t="s">
        <v>24</v>
      </c>
      <c r="M32" s="6">
        <v>0</v>
      </c>
      <c r="N32" s="6">
        <v>0</v>
      </c>
      <c r="O32" s="6">
        <v>0.5</v>
      </c>
      <c r="P32" s="6">
        <v>0.5</v>
      </c>
      <c r="Q32" s="6">
        <v>0.5</v>
      </c>
      <c r="R32" s="6">
        <v>0.65200000000000002</v>
      </c>
      <c r="S32" s="6">
        <v>1.052</v>
      </c>
      <c r="T32" s="6">
        <v>1.052</v>
      </c>
      <c r="U32" s="6">
        <v>1.052</v>
      </c>
      <c r="V32" s="6">
        <v>1.052</v>
      </c>
      <c r="W32" s="6">
        <v>2.3039999999999998</v>
      </c>
      <c r="X32" s="6">
        <v>2.3039999999999998</v>
      </c>
      <c r="Y32" s="6">
        <v>2.3039999999999998</v>
      </c>
      <c r="Z32" s="6">
        <v>3.2040000000000002</v>
      </c>
      <c r="AA32" s="6">
        <v>3.3039999999999998</v>
      </c>
      <c r="AB32" s="6">
        <v>5.5039999999999996</v>
      </c>
      <c r="AC32" s="6">
        <v>5.5039999999999996</v>
      </c>
      <c r="AD32" s="6">
        <v>5.556</v>
      </c>
      <c r="AE32" s="6">
        <v>6.96</v>
      </c>
      <c r="AF32" s="6">
        <v>7.06</v>
      </c>
      <c r="AG32" s="6">
        <v>8.16</v>
      </c>
      <c r="AH32" s="6">
        <v>9.7159999999999993</v>
      </c>
      <c r="AI32" s="6">
        <v>10.916</v>
      </c>
      <c r="AJ32" s="6">
        <v>11.215999999999999</v>
      </c>
      <c r="AK32" s="6">
        <v>11.215999999999999</v>
      </c>
      <c r="AL32" s="6">
        <v>11.316000000000001</v>
      </c>
      <c r="AM32" s="6">
        <v>11.972</v>
      </c>
      <c r="AN32" s="6">
        <v>11.972</v>
      </c>
      <c r="AO32" s="6">
        <v>12.272</v>
      </c>
      <c r="AP32" s="6">
        <v>12.423999999999999</v>
      </c>
      <c r="AQ32" s="6">
        <v>12.423999999999999</v>
      </c>
    </row>
    <row r="33" spans="7:43" x14ac:dyDescent="0.2">
      <c r="G33" s="4" t="s">
        <v>21</v>
      </c>
      <c r="H33" s="5" t="s">
        <v>8</v>
      </c>
      <c r="I33" s="5" t="s">
        <v>14</v>
      </c>
      <c r="J33" s="5" t="s">
        <v>10</v>
      </c>
      <c r="K33" s="5" t="s">
        <v>11</v>
      </c>
      <c r="L33" t="s">
        <v>25</v>
      </c>
      <c r="M33" s="6">
        <v>0</v>
      </c>
      <c r="N33" s="6">
        <v>0</v>
      </c>
      <c r="O33" s="6">
        <v>0.6</v>
      </c>
      <c r="P33" s="6">
        <v>0.6</v>
      </c>
      <c r="Q33" s="6">
        <v>0.6</v>
      </c>
      <c r="R33" s="6">
        <v>0.73599999999999999</v>
      </c>
      <c r="S33" s="6">
        <v>1.3360000000000001</v>
      </c>
      <c r="T33" s="6">
        <v>1.3360000000000001</v>
      </c>
      <c r="U33" s="6">
        <v>1.3360000000000001</v>
      </c>
      <c r="V33" s="6">
        <v>1.3360000000000001</v>
      </c>
      <c r="W33" s="6">
        <v>2.6360000000000001</v>
      </c>
      <c r="X33" s="6">
        <v>2.6360000000000001</v>
      </c>
      <c r="Y33" s="6">
        <v>2.6360000000000001</v>
      </c>
      <c r="Z33" s="6">
        <v>3.9359999999999999</v>
      </c>
      <c r="AA33" s="6">
        <v>3.8359999999999999</v>
      </c>
      <c r="AB33" s="6">
        <v>6.2359999999999998</v>
      </c>
      <c r="AC33" s="6">
        <v>6.2359999999999998</v>
      </c>
      <c r="AD33" s="6">
        <v>6.2359999999999998</v>
      </c>
      <c r="AE33" s="6">
        <v>7.6719999999999997</v>
      </c>
      <c r="AF33" s="6">
        <v>7.6719999999999997</v>
      </c>
      <c r="AG33" s="6">
        <v>8.8719999999999999</v>
      </c>
      <c r="AH33" s="6">
        <v>10.407999999999999</v>
      </c>
      <c r="AI33" s="6">
        <v>11.407999999999999</v>
      </c>
      <c r="AJ33" s="6">
        <v>11.507999999999999</v>
      </c>
      <c r="AK33" s="6">
        <v>11.407999999999999</v>
      </c>
      <c r="AL33" s="6">
        <v>11.507999999999999</v>
      </c>
      <c r="AM33" s="6">
        <v>11.744</v>
      </c>
      <c r="AN33" s="6">
        <v>11.744</v>
      </c>
      <c r="AO33" s="6">
        <v>11.608000000000001</v>
      </c>
      <c r="AP33" s="6">
        <v>11.608000000000001</v>
      </c>
      <c r="AQ33" s="6">
        <v>11.608000000000001</v>
      </c>
    </row>
    <row r="34" spans="7:43" x14ac:dyDescent="0.2">
      <c r="G34" s="4" t="s">
        <v>21</v>
      </c>
      <c r="H34" s="5" t="s">
        <v>8</v>
      </c>
      <c r="I34" s="5" t="s">
        <v>15</v>
      </c>
      <c r="J34" s="5" t="s">
        <v>10</v>
      </c>
      <c r="K34" s="5" t="s">
        <v>11</v>
      </c>
      <c r="L34" t="s">
        <v>26</v>
      </c>
      <c r="M34" s="6">
        <v>0</v>
      </c>
      <c r="N34" s="6">
        <v>0</v>
      </c>
      <c r="O34" s="6">
        <v>0.2</v>
      </c>
      <c r="P34" s="6">
        <v>0.2</v>
      </c>
      <c r="Q34" s="6">
        <v>0.2</v>
      </c>
      <c r="R34" s="6">
        <v>0.2</v>
      </c>
      <c r="S34" s="6">
        <v>0.2</v>
      </c>
      <c r="T34" s="6">
        <v>0.2</v>
      </c>
      <c r="U34" s="6">
        <v>0.2</v>
      </c>
      <c r="V34" s="6">
        <v>0.2</v>
      </c>
      <c r="W34" s="6">
        <v>0.64300000000000002</v>
      </c>
      <c r="X34" s="6">
        <v>0.64300000000000002</v>
      </c>
      <c r="Y34" s="6">
        <v>0.64300000000000002</v>
      </c>
      <c r="Z34" s="6">
        <v>0.84299999999999997</v>
      </c>
      <c r="AA34" s="6">
        <v>0.84299999999999997</v>
      </c>
      <c r="AB34" s="6">
        <v>1.343</v>
      </c>
      <c r="AC34" s="6">
        <v>1.343</v>
      </c>
      <c r="AD34" s="6">
        <v>1.343</v>
      </c>
      <c r="AE34" s="6">
        <v>1.643</v>
      </c>
      <c r="AF34" s="6">
        <v>1.643</v>
      </c>
      <c r="AG34" s="6">
        <v>1.9430000000000001</v>
      </c>
      <c r="AH34" s="6">
        <v>2.286</v>
      </c>
      <c r="AI34" s="6">
        <v>2.4860000000000002</v>
      </c>
      <c r="AJ34" s="6">
        <v>2.4860000000000002</v>
      </c>
      <c r="AK34" s="6">
        <v>2.4860000000000002</v>
      </c>
      <c r="AL34" s="6">
        <v>2.4860000000000002</v>
      </c>
      <c r="AM34" s="6">
        <v>2.4860000000000002</v>
      </c>
      <c r="AN34" s="6">
        <v>2.4860000000000002</v>
      </c>
      <c r="AO34" s="6">
        <v>2.3860000000000001</v>
      </c>
      <c r="AP34" s="6">
        <v>2.3860000000000001</v>
      </c>
      <c r="AQ34" s="6">
        <v>2.3860000000000001</v>
      </c>
    </row>
    <row r="36" spans="7:43" x14ac:dyDescent="0.2">
      <c r="G36" s="4" t="s">
        <v>21</v>
      </c>
      <c r="H36" t="s">
        <v>16</v>
      </c>
      <c r="I36" t="s">
        <v>9</v>
      </c>
      <c r="J36" s="5" t="s">
        <v>10</v>
      </c>
      <c r="K36" s="5" t="s">
        <v>11</v>
      </c>
      <c r="L36" t="s">
        <v>27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0.3</v>
      </c>
      <c r="S36" s="6">
        <v>0.3</v>
      </c>
      <c r="T36" s="6">
        <v>0.3</v>
      </c>
      <c r="U36" s="6">
        <v>0.3</v>
      </c>
      <c r="V36" s="6">
        <v>0.3</v>
      </c>
      <c r="W36" s="6">
        <v>0.7</v>
      </c>
      <c r="X36" s="6">
        <v>0.7</v>
      </c>
      <c r="Y36" s="6">
        <v>0.7</v>
      </c>
      <c r="Z36" s="6">
        <v>0.9</v>
      </c>
      <c r="AA36" s="6">
        <v>0.9</v>
      </c>
      <c r="AB36" s="6">
        <v>1</v>
      </c>
      <c r="AC36" s="6">
        <v>1</v>
      </c>
      <c r="AD36" s="6">
        <v>1</v>
      </c>
      <c r="AE36" s="6">
        <v>1.9</v>
      </c>
      <c r="AF36" s="6">
        <v>1.9</v>
      </c>
      <c r="AG36" s="6">
        <v>1.9</v>
      </c>
      <c r="AH36" s="6">
        <v>2.9</v>
      </c>
      <c r="AI36" s="6">
        <v>2.8</v>
      </c>
      <c r="AJ36" s="6">
        <v>2.9</v>
      </c>
      <c r="AK36" s="6">
        <v>2.9</v>
      </c>
      <c r="AL36" s="6">
        <v>3</v>
      </c>
      <c r="AM36" s="6">
        <v>4</v>
      </c>
      <c r="AN36" s="6">
        <v>4</v>
      </c>
      <c r="AO36" s="6">
        <v>4.0999999999999996</v>
      </c>
      <c r="AP36" s="6">
        <v>4.0999999999999996</v>
      </c>
      <c r="AQ36" s="6">
        <v>4.0999999999999996</v>
      </c>
    </row>
    <row r="37" spans="7:43" x14ac:dyDescent="0.2">
      <c r="G37" s="4" t="s">
        <v>21</v>
      </c>
      <c r="H37" t="s">
        <v>17</v>
      </c>
      <c r="I37" t="s">
        <v>9</v>
      </c>
      <c r="J37" s="5" t="s">
        <v>10</v>
      </c>
      <c r="K37" s="5" t="s">
        <v>11</v>
      </c>
      <c r="L37" t="s">
        <v>28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0.13800000000000001</v>
      </c>
      <c r="S37" s="6">
        <v>0.13800000000000001</v>
      </c>
      <c r="T37" s="6">
        <v>0.13800000000000001</v>
      </c>
      <c r="U37" s="6">
        <v>0.13800000000000001</v>
      </c>
      <c r="V37" s="6">
        <v>0.13800000000000001</v>
      </c>
      <c r="W37" s="6">
        <v>0.23300000000000001</v>
      </c>
      <c r="X37" s="6">
        <v>0.23300000000000001</v>
      </c>
      <c r="Y37" s="6">
        <v>0.23300000000000001</v>
      </c>
      <c r="Z37" s="6">
        <v>0.28299999999999997</v>
      </c>
      <c r="AA37" s="6">
        <v>0.28299999999999997</v>
      </c>
      <c r="AB37" s="6">
        <v>0.28299999999999997</v>
      </c>
      <c r="AC37" s="6">
        <v>0.28299999999999997</v>
      </c>
      <c r="AD37" s="6">
        <v>0.33500000000000002</v>
      </c>
      <c r="AE37" s="6">
        <v>0.57499999999999996</v>
      </c>
      <c r="AF37" s="6">
        <v>0.57499999999999996</v>
      </c>
      <c r="AG37" s="6">
        <v>0.57499999999999996</v>
      </c>
      <c r="AH37" s="6">
        <v>0.91</v>
      </c>
      <c r="AI37" s="6">
        <v>0.91</v>
      </c>
      <c r="AJ37" s="6">
        <v>0.91</v>
      </c>
      <c r="AK37" s="6">
        <v>0.91</v>
      </c>
      <c r="AL37" s="6">
        <v>0.91</v>
      </c>
      <c r="AM37" s="6">
        <v>1.202</v>
      </c>
      <c r="AN37" s="6">
        <v>1.202</v>
      </c>
      <c r="AO37" s="6">
        <v>1.1659999999999999</v>
      </c>
      <c r="AP37" s="6">
        <v>1.218</v>
      </c>
      <c r="AQ37" s="6">
        <v>1.218</v>
      </c>
    </row>
    <row r="38" spans="7:43" x14ac:dyDescent="0.2">
      <c r="G38" s="4" t="s">
        <v>21</v>
      </c>
      <c r="H38" t="s">
        <v>18</v>
      </c>
      <c r="I38" t="s">
        <v>9</v>
      </c>
      <c r="J38" s="5" t="s">
        <v>10</v>
      </c>
      <c r="K38" s="5" t="s">
        <v>11</v>
      </c>
      <c r="L38" t="s">
        <v>29</v>
      </c>
      <c r="M38" s="6">
        <v>0</v>
      </c>
      <c r="N38" s="6">
        <v>0</v>
      </c>
      <c r="O38" s="6">
        <v>0.7</v>
      </c>
      <c r="P38" s="6">
        <v>0.7</v>
      </c>
      <c r="Q38" s="6">
        <v>0.7</v>
      </c>
      <c r="R38" s="6">
        <v>0.7</v>
      </c>
      <c r="S38" s="6">
        <v>1.4</v>
      </c>
      <c r="T38" s="6">
        <v>1.4</v>
      </c>
      <c r="U38" s="6">
        <v>1.4</v>
      </c>
      <c r="V38" s="6">
        <v>1.4</v>
      </c>
      <c r="W38" s="6">
        <v>2.9</v>
      </c>
      <c r="X38" s="6">
        <v>2.9</v>
      </c>
      <c r="Y38" s="6">
        <v>2.9</v>
      </c>
      <c r="Z38" s="6">
        <v>4.3</v>
      </c>
      <c r="AA38" s="6">
        <v>4.3</v>
      </c>
      <c r="AB38" s="6">
        <v>7.3</v>
      </c>
      <c r="AC38" s="6">
        <v>7.3</v>
      </c>
      <c r="AD38" s="6">
        <v>7.4</v>
      </c>
      <c r="AE38" s="6">
        <v>8.9</v>
      </c>
      <c r="AF38" s="6">
        <v>8.9</v>
      </c>
      <c r="AG38" s="6">
        <v>10.5</v>
      </c>
      <c r="AH38" s="6">
        <v>12.1</v>
      </c>
      <c r="AI38" s="6">
        <v>13.6</v>
      </c>
      <c r="AJ38" s="6">
        <v>13.8</v>
      </c>
      <c r="AK38" s="6">
        <v>13.8</v>
      </c>
      <c r="AL38" s="6">
        <v>13.9</v>
      </c>
      <c r="AM38" s="6">
        <v>14</v>
      </c>
      <c r="AN38" s="6">
        <v>14.1</v>
      </c>
      <c r="AO38" s="6">
        <v>14.2</v>
      </c>
      <c r="AP38" s="6">
        <v>14.3</v>
      </c>
      <c r="AQ38" s="6">
        <v>14.3</v>
      </c>
    </row>
    <row r="39" spans="7:43" x14ac:dyDescent="0.2">
      <c r="G39" s="4" t="s">
        <v>21</v>
      </c>
      <c r="H39" t="s">
        <v>19</v>
      </c>
      <c r="I39" t="s">
        <v>9</v>
      </c>
      <c r="J39" s="5" t="s">
        <v>10</v>
      </c>
      <c r="K39" s="5" t="s">
        <v>11</v>
      </c>
      <c r="L39" t="s">
        <v>30</v>
      </c>
      <c r="M39" s="6">
        <v>0</v>
      </c>
      <c r="N39" s="6">
        <v>0</v>
      </c>
      <c r="O39" s="6">
        <v>1.3</v>
      </c>
      <c r="P39" s="6">
        <v>1.3</v>
      </c>
      <c r="Q39" s="6">
        <v>1.3</v>
      </c>
      <c r="R39" s="6">
        <v>1.3</v>
      </c>
      <c r="S39" s="6">
        <v>2.2999999999999998</v>
      </c>
      <c r="T39" s="6">
        <v>2.2999999999999998</v>
      </c>
      <c r="U39" s="6">
        <v>2.2999999999999998</v>
      </c>
      <c r="V39" s="6">
        <v>2.2999999999999998</v>
      </c>
      <c r="W39" s="6">
        <v>4.9000000000000004</v>
      </c>
      <c r="X39" s="6">
        <v>4.9000000000000004</v>
      </c>
      <c r="Y39" s="6">
        <v>4.9000000000000004</v>
      </c>
      <c r="Z39" s="6">
        <v>7.3</v>
      </c>
      <c r="AA39" s="6">
        <v>7.3</v>
      </c>
      <c r="AB39" s="6">
        <v>12.3</v>
      </c>
      <c r="AC39" s="6">
        <v>12.3</v>
      </c>
      <c r="AD39" s="6">
        <v>12.3</v>
      </c>
      <c r="AE39" s="6">
        <v>14.9</v>
      </c>
      <c r="AF39" s="6">
        <v>15</v>
      </c>
      <c r="AG39" s="6">
        <v>17.600000000000001</v>
      </c>
      <c r="AH39" s="6">
        <v>20.2</v>
      </c>
      <c r="AI39" s="6">
        <v>22.8</v>
      </c>
      <c r="AJ39" s="6">
        <v>23.1</v>
      </c>
      <c r="AK39" s="6">
        <v>23</v>
      </c>
      <c r="AL39" s="6">
        <v>23.3</v>
      </c>
      <c r="AM39" s="6">
        <v>23.3</v>
      </c>
      <c r="AN39" s="6">
        <v>23.4</v>
      </c>
      <c r="AO39" s="6">
        <v>23.5</v>
      </c>
      <c r="AP39" s="6">
        <v>23.7</v>
      </c>
      <c r="AQ39" s="6">
        <v>23.8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7DE8D-55E8-4318-8B31-2650496E7748}">
  <dimension ref="A1"/>
  <sheetViews>
    <sheetView workbookViewId="0">
      <selection activeCell="V35" sqref="V35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9479-B045-4F00-8D14-52ACB9EE10C6}">
  <dimension ref="F1:S205"/>
  <sheetViews>
    <sheetView topLeftCell="J1" zoomScale="90" zoomScaleNormal="90" workbookViewId="0">
      <selection activeCell="BG38" sqref="BG38"/>
    </sheetView>
  </sheetViews>
  <sheetFormatPr defaultRowHeight="12.75" x14ac:dyDescent="0.2"/>
  <cols>
    <col min="6" max="6" width="16.140625" bestFit="1" customWidth="1"/>
    <col min="7" max="7" width="5.28515625" bestFit="1" customWidth="1"/>
    <col min="8" max="8" width="7.85546875" bestFit="1" customWidth="1"/>
    <col min="9" max="9" width="4.7109375" bestFit="1" customWidth="1"/>
    <col min="10" max="10" width="8.28515625" bestFit="1" customWidth="1"/>
    <col min="12" max="13" width="11.7109375" bestFit="1" customWidth="1"/>
    <col min="14" max="14" width="7.85546875" bestFit="1" customWidth="1"/>
    <col min="16" max="16" width="7.85546875" bestFit="1" customWidth="1"/>
    <col min="17" max="17" width="7.140625" bestFit="1" customWidth="1"/>
    <col min="18" max="18" width="12.42578125" bestFit="1" customWidth="1"/>
    <col min="19" max="19" width="5.5703125" bestFit="1" customWidth="1"/>
    <col min="20" max="26" width="2" bestFit="1" customWidth="1"/>
    <col min="27" max="67" width="3" bestFit="1" customWidth="1"/>
  </cols>
  <sheetData>
    <row r="1" spans="6:18" x14ac:dyDescent="0.2">
      <c r="F1" t="s">
        <v>31</v>
      </c>
    </row>
    <row r="2" spans="6:18" x14ac:dyDescent="0.2">
      <c r="F2" t="s">
        <v>32</v>
      </c>
      <c r="L2" t="s">
        <v>33</v>
      </c>
    </row>
    <row r="3" spans="6:18" x14ac:dyDescent="0.2">
      <c r="Q3" t="s">
        <v>34</v>
      </c>
      <c r="R3" t="s">
        <v>35</v>
      </c>
    </row>
    <row r="4" spans="6:18" x14ac:dyDescent="0.2">
      <c r="F4" s="9" t="s">
        <v>36</v>
      </c>
      <c r="G4" s="9"/>
      <c r="H4" s="9" t="s">
        <v>37</v>
      </c>
      <c r="I4" s="9"/>
      <c r="J4" t="s">
        <v>38</v>
      </c>
      <c r="L4" t="s">
        <v>39</v>
      </c>
      <c r="Q4" t="s">
        <v>40</v>
      </c>
    </row>
    <row r="5" spans="6:18" x14ac:dyDescent="0.2">
      <c r="F5" s="9"/>
      <c r="G5" s="9" t="s">
        <v>41</v>
      </c>
      <c r="H5" s="9">
        <v>9</v>
      </c>
      <c r="I5" s="9" t="s">
        <v>42</v>
      </c>
      <c r="J5">
        <v>22</v>
      </c>
      <c r="M5" t="s">
        <v>39</v>
      </c>
      <c r="N5" t="s">
        <v>37</v>
      </c>
      <c r="Q5" t="s">
        <v>43</v>
      </c>
      <c r="R5" t="s">
        <v>37</v>
      </c>
    </row>
    <row r="6" spans="6:18" x14ac:dyDescent="0.2">
      <c r="F6" s="9"/>
      <c r="G6" s="9" t="s">
        <v>44</v>
      </c>
      <c r="H6" s="10">
        <v>18</v>
      </c>
      <c r="I6" s="9" t="s">
        <v>45</v>
      </c>
      <c r="J6">
        <v>55</v>
      </c>
      <c r="K6" s="11">
        <f>J6</f>
        <v>55</v>
      </c>
      <c r="L6" t="s">
        <v>46</v>
      </c>
      <c r="M6">
        <v>0</v>
      </c>
      <c r="N6">
        <v>5</v>
      </c>
      <c r="Q6">
        <v>1</v>
      </c>
      <c r="R6" s="12">
        <v>8</v>
      </c>
    </row>
    <row r="7" spans="6:18" x14ac:dyDescent="0.2">
      <c r="F7" s="9"/>
      <c r="G7" s="9"/>
      <c r="H7" s="9"/>
      <c r="I7" s="9"/>
      <c r="L7" t="s">
        <v>44</v>
      </c>
      <c r="M7">
        <v>400</v>
      </c>
      <c r="Q7">
        <v>2</v>
      </c>
      <c r="R7" s="13">
        <f>R6 + P$60</f>
        <v>8.1851851851851851</v>
      </c>
    </row>
    <row r="8" spans="6:18" x14ac:dyDescent="0.2">
      <c r="F8" s="9" t="s">
        <v>47</v>
      </c>
      <c r="G8" s="9"/>
      <c r="H8" s="9" t="s">
        <v>37</v>
      </c>
      <c r="I8" s="9"/>
      <c r="J8" t="s">
        <v>38</v>
      </c>
      <c r="Q8">
        <v>3</v>
      </c>
      <c r="R8" s="13">
        <f t="shared" ref="R8:R59" si="0">R7 + P$60</f>
        <v>8.3703703703703702</v>
      </c>
    </row>
    <row r="9" spans="6:18" x14ac:dyDescent="0.2">
      <c r="F9" s="9"/>
      <c r="G9" s="9" t="s">
        <v>41</v>
      </c>
      <c r="H9" s="9">
        <v>18</v>
      </c>
      <c r="I9" s="9" t="s">
        <v>42</v>
      </c>
      <c r="J9">
        <v>4</v>
      </c>
      <c r="L9" t="s">
        <v>46</v>
      </c>
      <c r="M9">
        <v>400</v>
      </c>
      <c r="N9">
        <v>7.5</v>
      </c>
      <c r="Q9">
        <v>4</v>
      </c>
      <c r="R9" s="13">
        <f t="shared" si="0"/>
        <v>8.5555555555555554</v>
      </c>
    </row>
    <row r="10" spans="6:18" x14ac:dyDescent="0.2">
      <c r="F10" s="9"/>
      <c r="G10" s="9" t="s">
        <v>44</v>
      </c>
      <c r="H10" s="10">
        <v>20</v>
      </c>
      <c r="I10" s="9" t="s">
        <v>45</v>
      </c>
      <c r="J10">
        <v>7</v>
      </c>
      <c r="K10" s="11">
        <f>K6+J10</f>
        <v>62</v>
      </c>
      <c r="L10" t="s">
        <v>44</v>
      </c>
      <c r="M10">
        <v>800</v>
      </c>
      <c r="Q10">
        <v>5</v>
      </c>
      <c r="R10" s="13">
        <f t="shared" si="0"/>
        <v>8.7407407407407405</v>
      </c>
    </row>
    <row r="11" spans="6:18" x14ac:dyDescent="0.2">
      <c r="F11" s="9"/>
      <c r="G11" s="9"/>
      <c r="H11" s="9"/>
      <c r="I11" s="9"/>
      <c r="Q11">
        <v>6</v>
      </c>
      <c r="R11" s="13">
        <f t="shared" si="0"/>
        <v>8.9259259259259256</v>
      </c>
    </row>
    <row r="12" spans="6:18" x14ac:dyDescent="0.2">
      <c r="F12" s="9" t="s">
        <v>48</v>
      </c>
      <c r="G12" s="9"/>
      <c r="H12" s="9" t="s">
        <v>37</v>
      </c>
      <c r="I12" s="9"/>
      <c r="J12" t="s">
        <v>38</v>
      </c>
      <c r="L12" t="s">
        <v>46</v>
      </c>
      <c r="M12">
        <v>800</v>
      </c>
      <c r="N12">
        <v>10</v>
      </c>
      <c r="Q12">
        <v>7</v>
      </c>
      <c r="R12" s="13">
        <f t="shared" si="0"/>
        <v>9.1111111111111107</v>
      </c>
    </row>
    <row r="13" spans="6:18" x14ac:dyDescent="0.2">
      <c r="F13" s="9"/>
      <c r="G13" s="9" t="s">
        <v>41</v>
      </c>
      <c r="H13" s="9">
        <v>20</v>
      </c>
      <c r="I13" s="9" t="s">
        <v>42</v>
      </c>
      <c r="J13">
        <v>22</v>
      </c>
      <c r="L13" t="s">
        <v>44</v>
      </c>
      <c r="M13">
        <v>1000</v>
      </c>
      <c r="Q13">
        <v>8</v>
      </c>
      <c r="R13" s="13">
        <f t="shared" si="0"/>
        <v>9.2962962962962958</v>
      </c>
    </row>
    <row r="14" spans="6:18" x14ac:dyDescent="0.2">
      <c r="F14" s="9"/>
      <c r="G14" s="9" t="s">
        <v>44</v>
      </c>
      <c r="H14" s="10">
        <v>25</v>
      </c>
      <c r="I14" s="9" t="s">
        <v>45</v>
      </c>
      <c r="J14">
        <v>50</v>
      </c>
      <c r="K14" s="11">
        <f>K10+J14</f>
        <v>112</v>
      </c>
      <c r="Q14">
        <v>9</v>
      </c>
      <c r="R14" s="13">
        <f t="shared" si="0"/>
        <v>9.481481481481481</v>
      </c>
    </row>
    <row r="15" spans="6:18" x14ac:dyDescent="0.2">
      <c r="F15" s="9"/>
      <c r="G15" s="9"/>
      <c r="H15" s="9"/>
      <c r="I15" s="9"/>
      <c r="L15" t="s">
        <v>46</v>
      </c>
      <c r="M15">
        <v>1000</v>
      </c>
      <c r="N15">
        <v>13</v>
      </c>
      <c r="Q15">
        <v>10</v>
      </c>
      <c r="R15" s="13">
        <f t="shared" si="0"/>
        <v>9.6666666666666661</v>
      </c>
    </row>
    <row r="16" spans="6:18" x14ac:dyDescent="0.2">
      <c r="F16" s="9" t="s">
        <v>49</v>
      </c>
      <c r="G16" s="9"/>
      <c r="H16" s="9" t="s">
        <v>37</v>
      </c>
      <c r="I16" s="9"/>
      <c r="J16" t="s">
        <v>38</v>
      </c>
      <c r="L16" t="s">
        <v>44</v>
      </c>
      <c r="M16">
        <v>2100</v>
      </c>
      <c r="Q16">
        <v>11</v>
      </c>
      <c r="R16" s="13">
        <f t="shared" si="0"/>
        <v>9.8518518518518512</v>
      </c>
    </row>
    <row r="17" spans="6:18" x14ac:dyDescent="0.2">
      <c r="F17" s="9"/>
      <c r="G17" s="9" t="s">
        <v>41</v>
      </c>
      <c r="H17" s="9">
        <v>25</v>
      </c>
      <c r="I17" s="9" t="s">
        <v>42</v>
      </c>
      <c r="J17">
        <v>12</v>
      </c>
      <c r="Q17">
        <v>12</v>
      </c>
      <c r="R17" s="13">
        <f t="shared" si="0"/>
        <v>10.037037037037036</v>
      </c>
    </row>
    <row r="18" spans="6:18" x14ac:dyDescent="0.2">
      <c r="G18" s="9" t="s">
        <v>44</v>
      </c>
      <c r="H18" s="10">
        <v>27</v>
      </c>
      <c r="I18" s="9" t="s">
        <v>45</v>
      </c>
      <c r="J18">
        <v>18</v>
      </c>
      <c r="K18" s="11">
        <f>K14+J18</f>
        <v>130</v>
      </c>
      <c r="L18" t="s">
        <v>46</v>
      </c>
      <c r="M18">
        <v>1000</v>
      </c>
      <c r="N18">
        <v>15</v>
      </c>
      <c r="Q18">
        <v>13</v>
      </c>
      <c r="R18" s="13">
        <f t="shared" si="0"/>
        <v>10.222222222222221</v>
      </c>
    </row>
    <row r="19" spans="6:18" x14ac:dyDescent="0.2">
      <c r="L19" t="s">
        <v>44</v>
      </c>
      <c r="M19">
        <v>2100</v>
      </c>
      <c r="N19">
        <v>35</v>
      </c>
      <c r="Q19">
        <v>14</v>
      </c>
      <c r="R19" s="13">
        <f t="shared" si="0"/>
        <v>10.407407407407407</v>
      </c>
    </row>
    <row r="20" spans="6:18" x14ac:dyDescent="0.2">
      <c r="F20" s="9" t="s">
        <v>50</v>
      </c>
      <c r="G20" s="9"/>
      <c r="H20" s="9" t="s">
        <v>37</v>
      </c>
      <c r="I20" s="9"/>
      <c r="J20" t="s">
        <v>38</v>
      </c>
      <c r="Q20">
        <v>15</v>
      </c>
      <c r="R20" s="13">
        <f t="shared" si="0"/>
        <v>10.592592592592592</v>
      </c>
    </row>
    <row r="21" spans="6:18" x14ac:dyDescent="0.2">
      <c r="F21" s="9"/>
      <c r="G21" s="9" t="s">
        <v>41</v>
      </c>
      <c r="H21" s="9">
        <v>27</v>
      </c>
      <c r="I21" s="9" t="s">
        <v>42</v>
      </c>
      <c r="J21">
        <v>14</v>
      </c>
      <c r="Q21">
        <v>16</v>
      </c>
      <c r="R21" s="13">
        <f t="shared" si="0"/>
        <v>10.777777777777777</v>
      </c>
    </row>
    <row r="22" spans="6:18" x14ac:dyDescent="0.2">
      <c r="G22" s="9" t="s">
        <v>44</v>
      </c>
      <c r="H22" s="10">
        <v>40</v>
      </c>
      <c r="I22" s="9" t="s">
        <v>45</v>
      </c>
      <c r="J22">
        <f>45+32</f>
        <v>77</v>
      </c>
      <c r="K22" s="11">
        <f>K18+J22</f>
        <v>207</v>
      </c>
      <c r="Q22">
        <v>17</v>
      </c>
      <c r="R22" s="13">
        <f t="shared" si="0"/>
        <v>10.962962962962962</v>
      </c>
    </row>
    <row r="23" spans="6:18" x14ac:dyDescent="0.2">
      <c r="Q23">
        <v>18</v>
      </c>
      <c r="R23" s="13">
        <f t="shared" si="0"/>
        <v>11.148148148148147</v>
      </c>
    </row>
    <row r="24" spans="6:18" x14ac:dyDescent="0.2">
      <c r="F24" s="9"/>
      <c r="G24" s="9"/>
      <c r="H24" s="9"/>
      <c r="I24" s="9"/>
      <c r="Q24">
        <v>19</v>
      </c>
      <c r="R24" s="13">
        <f t="shared" si="0"/>
        <v>11.333333333333332</v>
      </c>
    </row>
    <row r="25" spans="6:18" x14ac:dyDescent="0.2">
      <c r="F25" s="9"/>
      <c r="G25" s="9"/>
      <c r="H25" s="9"/>
      <c r="I25" s="9"/>
      <c r="Q25">
        <v>20</v>
      </c>
      <c r="R25" s="13">
        <f t="shared" si="0"/>
        <v>11.518518518518517</v>
      </c>
    </row>
    <row r="26" spans="6:18" x14ac:dyDescent="0.2">
      <c r="G26" s="9"/>
      <c r="H26" s="9"/>
      <c r="I26" s="9"/>
      <c r="Q26">
        <v>21</v>
      </c>
      <c r="R26" s="13">
        <f t="shared" si="0"/>
        <v>11.703703703703702</v>
      </c>
    </row>
    <row r="27" spans="6:18" x14ac:dyDescent="0.2">
      <c r="Q27">
        <v>22</v>
      </c>
      <c r="R27" s="13">
        <f t="shared" si="0"/>
        <v>11.888888888888888</v>
      </c>
    </row>
    <row r="28" spans="6:18" x14ac:dyDescent="0.2">
      <c r="Q28">
        <v>23</v>
      </c>
      <c r="R28" s="13">
        <f t="shared" si="0"/>
        <v>12.074074074074073</v>
      </c>
    </row>
    <row r="29" spans="6:18" x14ac:dyDescent="0.2">
      <c r="Q29">
        <v>24</v>
      </c>
      <c r="R29" s="13">
        <f t="shared" si="0"/>
        <v>12.259259259259258</v>
      </c>
    </row>
    <row r="30" spans="6:18" x14ac:dyDescent="0.2">
      <c r="Q30">
        <v>25</v>
      </c>
      <c r="R30" s="13">
        <f t="shared" si="0"/>
        <v>12.444444444444443</v>
      </c>
    </row>
    <row r="31" spans="6:18" x14ac:dyDescent="0.2">
      <c r="Q31">
        <v>26</v>
      </c>
      <c r="R31" s="13">
        <f t="shared" si="0"/>
        <v>12.629629629629628</v>
      </c>
    </row>
    <row r="32" spans="6:18" x14ac:dyDescent="0.2">
      <c r="Q32">
        <v>27</v>
      </c>
      <c r="R32" s="13">
        <f t="shared" si="0"/>
        <v>12.814814814814813</v>
      </c>
    </row>
    <row r="33" spans="17:18" x14ac:dyDescent="0.2">
      <c r="Q33">
        <v>28</v>
      </c>
      <c r="R33" s="13">
        <f t="shared" si="0"/>
        <v>12.999999999999998</v>
      </c>
    </row>
    <row r="34" spans="17:18" x14ac:dyDescent="0.2">
      <c r="Q34">
        <v>29</v>
      </c>
      <c r="R34" s="13">
        <f t="shared" si="0"/>
        <v>13.185185185185183</v>
      </c>
    </row>
    <row r="35" spans="17:18" x14ac:dyDescent="0.2">
      <c r="Q35">
        <v>30</v>
      </c>
      <c r="R35" s="13">
        <f t="shared" si="0"/>
        <v>13.370370370370368</v>
      </c>
    </row>
    <row r="36" spans="17:18" x14ac:dyDescent="0.2">
      <c r="Q36">
        <v>31</v>
      </c>
      <c r="R36" s="13">
        <f t="shared" si="0"/>
        <v>13.555555555555554</v>
      </c>
    </row>
    <row r="37" spans="17:18" x14ac:dyDescent="0.2">
      <c r="Q37">
        <v>32</v>
      </c>
      <c r="R37" s="13">
        <f t="shared" si="0"/>
        <v>13.740740740740739</v>
      </c>
    </row>
    <row r="38" spans="17:18" x14ac:dyDescent="0.2">
      <c r="Q38">
        <v>33</v>
      </c>
      <c r="R38" s="13">
        <f t="shared" si="0"/>
        <v>13.925925925925924</v>
      </c>
    </row>
    <row r="39" spans="17:18" x14ac:dyDescent="0.2">
      <c r="Q39">
        <v>34</v>
      </c>
      <c r="R39" s="13">
        <f t="shared" si="0"/>
        <v>14.111111111111109</v>
      </c>
    </row>
    <row r="40" spans="17:18" x14ac:dyDescent="0.2">
      <c r="Q40">
        <v>35</v>
      </c>
      <c r="R40" s="13">
        <f t="shared" si="0"/>
        <v>14.296296296296294</v>
      </c>
    </row>
    <row r="41" spans="17:18" x14ac:dyDescent="0.2">
      <c r="Q41">
        <v>36</v>
      </c>
      <c r="R41" s="13">
        <f t="shared" si="0"/>
        <v>14.481481481481479</v>
      </c>
    </row>
    <row r="42" spans="17:18" x14ac:dyDescent="0.2">
      <c r="Q42">
        <v>37</v>
      </c>
      <c r="R42" s="13">
        <f t="shared" si="0"/>
        <v>14.666666666666664</v>
      </c>
    </row>
    <row r="43" spans="17:18" x14ac:dyDescent="0.2">
      <c r="Q43">
        <v>38</v>
      </c>
      <c r="R43" s="13">
        <f t="shared" si="0"/>
        <v>14.851851851851849</v>
      </c>
    </row>
    <row r="44" spans="17:18" x14ac:dyDescent="0.2">
      <c r="Q44">
        <v>39</v>
      </c>
      <c r="R44" s="13">
        <f t="shared" si="0"/>
        <v>15.037037037037035</v>
      </c>
    </row>
    <row r="45" spans="17:18" x14ac:dyDescent="0.2">
      <c r="Q45">
        <v>40</v>
      </c>
      <c r="R45" s="13">
        <f t="shared" si="0"/>
        <v>15.22222222222222</v>
      </c>
    </row>
    <row r="46" spans="17:18" x14ac:dyDescent="0.2">
      <c r="Q46">
        <v>41</v>
      </c>
      <c r="R46" s="13">
        <f t="shared" si="0"/>
        <v>15.407407407407405</v>
      </c>
    </row>
    <row r="47" spans="17:18" x14ac:dyDescent="0.2">
      <c r="Q47">
        <v>42</v>
      </c>
      <c r="R47" s="13">
        <f t="shared" si="0"/>
        <v>15.59259259259259</v>
      </c>
    </row>
    <row r="48" spans="17:18" x14ac:dyDescent="0.2">
      <c r="Q48">
        <v>43</v>
      </c>
      <c r="R48" s="13">
        <f t="shared" si="0"/>
        <v>15.777777777777775</v>
      </c>
    </row>
    <row r="49" spans="16:19" x14ac:dyDescent="0.2">
      <c r="Q49">
        <v>44</v>
      </c>
      <c r="R49" s="13">
        <f t="shared" si="0"/>
        <v>15.96296296296296</v>
      </c>
    </row>
    <row r="50" spans="16:19" x14ac:dyDescent="0.2">
      <c r="Q50">
        <v>45</v>
      </c>
      <c r="R50" s="13">
        <f t="shared" si="0"/>
        <v>16.148148148148145</v>
      </c>
    </row>
    <row r="51" spans="16:19" x14ac:dyDescent="0.2">
      <c r="Q51">
        <v>46</v>
      </c>
      <c r="R51" s="13">
        <f t="shared" si="0"/>
        <v>16.333333333333332</v>
      </c>
    </row>
    <row r="52" spans="16:19" x14ac:dyDescent="0.2">
      <c r="Q52">
        <v>47</v>
      </c>
      <c r="R52" s="13">
        <f t="shared" si="0"/>
        <v>16.518518518518519</v>
      </c>
    </row>
    <row r="53" spans="16:19" x14ac:dyDescent="0.2">
      <c r="Q53">
        <v>48</v>
      </c>
      <c r="R53" s="13">
        <f t="shared" si="0"/>
        <v>16.703703703703706</v>
      </c>
    </row>
    <row r="54" spans="16:19" x14ac:dyDescent="0.2">
      <c r="Q54">
        <v>49</v>
      </c>
      <c r="R54" s="13">
        <f t="shared" si="0"/>
        <v>16.888888888888893</v>
      </c>
    </row>
    <row r="55" spans="16:19" x14ac:dyDescent="0.2">
      <c r="Q55">
        <v>50</v>
      </c>
      <c r="R55" s="13">
        <f t="shared" si="0"/>
        <v>17.07407407407408</v>
      </c>
    </row>
    <row r="56" spans="16:19" x14ac:dyDescent="0.2">
      <c r="Q56">
        <v>51</v>
      </c>
      <c r="R56" s="13">
        <f t="shared" si="0"/>
        <v>17.259259259259267</v>
      </c>
    </row>
    <row r="57" spans="16:19" x14ac:dyDescent="0.2">
      <c r="Q57">
        <v>52</v>
      </c>
      <c r="R57" s="13">
        <f t="shared" si="0"/>
        <v>17.444444444444454</v>
      </c>
    </row>
    <row r="58" spans="16:19" x14ac:dyDescent="0.2">
      <c r="Q58">
        <v>53</v>
      </c>
      <c r="R58" s="13">
        <f t="shared" si="0"/>
        <v>17.62962962962964</v>
      </c>
    </row>
    <row r="59" spans="16:19" ht="13.5" thickBot="1" x14ac:dyDescent="0.25">
      <c r="Q59">
        <v>54</v>
      </c>
      <c r="R59" s="13">
        <f t="shared" si="0"/>
        <v>17.814814814814827</v>
      </c>
      <c r="S59" s="13"/>
    </row>
    <row r="60" spans="16:19" ht="13.5" thickBot="1" x14ac:dyDescent="0.25">
      <c r="P60" s="14">
        <f>(R60-R6)/(Q60-Q6)</f>
        <v>0.18518518518518517</v>
      </c>
      <c r="Q60">
        <v>55</v>
      </c>
      <c r="R60" s="12">
        <f>H6</f>
        <v>18</v>
      </c>
    </row>
    <row r="61" spans="16:19" x14ac:dyDescent="0.2">
      <c r="Q61">
        <v>56</v>
      </c>
      <c r="R61" s="13">
        <f>R60+$P$67</f>
        <v>18.285714285714285</v>
      </c>
    </row>
    <row r="62" spans="16:19" x14ac:dyDescent="0.2">
      <c r="Q62">
        <v>57</v>
      </c>
      <c r="R62" s="13">
        <f t="shared" ref="R62:R66" si="1">R61+$P$67</f>
        <v>18.571428571428569</v>
      </c>
    </row>
    <row r="63" spans="16:19" x14ac:dyDescent="0.2">
      <c r="Q63">
        <v>58</v>
      </c>
      <c r="R63" s="13">
        <f t="shared" si="1"/>
        <v>18.857142857142854</v>
      </c>
    </row>
    <row r="64" spans="16:19" x14ac:dyDescent="0.2">
      <c r="Q64">
        <v>59</v>
      </c>
      <c r="R64" s="13">
        <f t="shared" si="1"/>
        <v>19.142857142857139</v>
      </c>
    </row>
    <row r="65" spans="16:18" x14ac:dyDescent="0.2">
      <c r="Q65">
        <v>60</v>
      </c>
      <c r="R65" s="13">
        <f t="shared" si="1"/>
        <v>19.428571428571423</v>
      </c>
    </row>
    <row r="66" spans="16:18" ht="13.5" thickBot="1" x14ac:dyDescent="0.25">
      <c r="Q66">
        <v>61</v>
      </c>
      <c r="R66" s="13">
        <f t="shared" si="1"/>
        <v>19.714285714285708</v>
      </c>
    </row>
    <row r="67" spans="16:18" ht="13.5" thickBot="1" x14ac:dyDescent="0.25">
      <c r="P67" s="14">
        <f>(R67-R60)/(Q67-Q60)</f>
        <v>0.2857142857142857</v>
      </c>
      <c r="Q67">
        <v>62</v>
      </c>
      <c r="R67" s="15">
        <f>H10</f>
        <v>20</v>
      </c>
    </row>
    <row r="68" spans="16:18" x14ac:dyDescent="0.2">
      <c r="Q68">
        <v>63</v>
      </c>
      <c r="R68" s="13">
        <f t="shared" ref="R68:R131" si="2">R67+$P$135</f>
        <v>20.102941176470587</v>
      </c>
    </row>
    <row r="69" spans="16:18" x14ac:dyDescent="0.2">
      <c r="Q69">
        <v>64</v>
      </c>
      <c r="R69" s="13">
        <f t="shared" si="2"/>
        <v>20.205882352941174</v>
      </c>
    </row>
    <row r="70" spans="16:18" x14ac:dyDescent="0.2">
      <c r="Q70">
        <v>65</v>
      </c>
      <c r="R70" s="13">
        <f t="shared" si="2"/>
        <v>20.308823529411761</v>
      </c>
    </row>
    <row r="71" spans="16:18" x14ac:dyDescent="0.2">
      <c r="Q71">
        <v>66</v>
      </c>
      <c r="R71" s="13">
        <f t="shared" si="2"/>
        <v>20.411764705882348</v>
      </c>
    </row>
    <row r="72" spans="16:18" x14ac:dyDescent="0.2">
      <c r="Q72">
        <v>67</v>
      </c>
      <c r="R72" s="13">
        <f t="shared" si="2"/>
        <v>20.514705882352935</v>
      </c>
    </row>
    <row r="73" spans="16:18" x14ac:dyDescent="0.2">
      <c r="Q73">
        <v>68</v>
      </c>
      <c r="R73" s="13">
        <f t="shared" si="2"/>
        <v>20.617647058823522</v>
      </c>
    </row>
    <row r="74" spans="16:18" x14ac:dyDescent="0.2">
      <c r="Q74">
        <v>69</v>
      </c>
      <c r="R74" s="13">
        <f t="shared" si="2"/>
        <v>20.720588235294109</v>
      </c>
    </row>
    <row r="75" spans="16:18" x14ac:dyDescent="0.2">
      <c r="Q75">
        <v>70</v>
      </c>
      <c r="R75" s="13">
        <f t="shared" si="2"/>
        <v>20.823529411764696</v>
      </c>
    </row>
    <row r="76" spans="16:18" x14ac:dyDescent="0.2">
      <c r="Q76">
        <v>71</v>
      </c>
      <c r="R76" s="13">
        <f t="shared" si="2"/>
        <v>20.926470588235283</v>
      </c>
    </row>
    <row r="77" spans="16:18" x14ac:dyDescent="0.2">
      <c r="Q77">
        <v>72</v>
      </c>
      <c r="R77" s="13">
        <f t="shared" si="2"/>
        <v>21.02941176470587</v>
      </c>
    </row>
    <row r="78" spans="16:18" x14ac:dyDescent="0.2">
      <c r="Q78">
        <v>73</v>
      </c>
      <c r="R78" s="13">
        <f t="shared" si="2"/>
        <v>21.132352941176457</v>
      </c>
    </row>
    <row r="79" spans="16:18" x14ac:dyDescent="0.2">
      <c r="Q79">
        <v>74</v>
      </c>
      <c r="R79" s="13">
        <f t="shared" si="2"/>
        <v>21.235294117647044</v>
      </c>
    </row>
    <row r="80" spans="16:18" x14ac:dyDescent="0.2">
      <c r="Q80">
        <v>75</v>
      </c>
      <c r="R80" s="13">
        <f t="shared" si="2"/>
        <v>21.338235294117631</v>
      </c>
    </row>
    <row r="81" spans="17:18" x14ac:dyDescent="0.2">
      <c r="Q81">
        <v>76</v>
      </c>
      <c r="R81" s="13">
        <f t="shared" si="2"/>
        <v>21.441176470588218</v>
      </c>
    </row>
    <row r="82" spans="17:18" x14ac:dyDescent="0.2">
      <c r="Q82">
        <v>77</v>
      </c>
      <c r="R82" s="13">
        <f t="shared" si="2"/>
        <v>21.544117647058805</v>
      </c>
    </row>
    <row r="83" spans="17:18" x14ac:dyDescent="0.2">
      <c r="Q83">
        <v>78</v>
      </c>
      <c r="R83" s="13">
        <f t="shared" si="2"/>
        <v>21.647058823529392</v>
      </c>
    </row>
    <row r="84" spans="17:18" x14ac:dyDescent="0.2">
      <c r="Q84">
        <v>79</v>
      </c>
      <c r="R84" s="13">
        <f t="shared" si="2"/>
        <v>21.749999999999979</v>
      </c>
    </row>
    <row r="85" spans="17:18" x14ac:dyDescent="0.2">
      <c r="Q85">
        <v>80</v>
      </c>
      <c r="R85" s="13">
        <f t="shared" si="2"/>
        <v>21.852941176470566</v>
      </c>
    </row>
    <row r="86" spans="17:18" x14ac:dyDescent="0.2">
      <c r="Q86">
        <v>81</v>
      </c>
      <c r="R86" s="13">
        <f t="shared" si="2"/>
        <v>21.955882352941153</v>
      </c>
    </row>
    <row r="87" spans="17:18" x14ac:dyDescent="0.2">
      <c r="Q87">
        <v>82</v>
      </c>
      <c r="R87" s="13">
        <f t="shared" si="2"/>
        <v>22.05882352941174</v>
      </c>
    </row>
    <row r="88" spans="17:18" x14ac:dyDescent="0.2">
      <c r="Q88">
        <v>83</v>
      </c>
      <c r="R88" s="13">
        <f t="shared" si="2"/>
        <v>22.161764705882327</v>
      </c>
    </row>
    <row r="89" spans="17:18" x14ac:dyDescent="0.2">
      <c r="Q89">
        <v>84</v>
      </c>
      <c r="R89" s="13">
        <f t="shared" si="2"/>
        <v>22.264705882352914</v>
      </c>
    </row>
    <row r="90" spans="17:18" x14ac:dyDescent="0.2">
      <c r="Q90">
        <v>85</v>
      </c>
      <c r="R90" s="13">
        <f t="shared" si="2"/>
        <v>22.367647058823501</v>
      </c>
    </row>
    <row r="91" spans="17:18" x14ac:dyDescent="0.2">
      <c r="Q91">
        <v>86</v>
      </c>
      <c r="R91" s="13">
        <f t="shared" si="2"/>
        <v>22.470588235294088</v>
      </c>
    </row>
    <row r="92" spans="17:18" x14ac:dyDescent="0.2">
      <c r="Q92">
        <v>87</v>
      </c>
      <c r="R92" s="13">
        <f t="shared" si="2"/>
        <v>22.573529411764675</v>
      </c>
    </row>
    <row r="93" spans="17:18" x14ac:dyDescent="0.2">
      <c r="Q93">
        <v>88</v>
      </c>
      <c r="R93" s="13">
        <f t="shared" si="2"/>
        <v>22.676470588235262</v>
      </c>
    </row>
    <row r="94" spans="17:18" x14ac:dyDescent="0.2">
      <c r="Q94">
        <v>89</v>
      </c>
      <c r="R94" s="13">
        <f t="shared" si="2"/>
        <v>22.779411764705848</v>
      </c>
    </row>
    <row r="95" spans="17:18" x14ac:dyDescent="0.2">
      <c r="Q95">
        <v>90</v>
      </c>
      <c r="R95" s="13">
        <f t="shared" si="2"/>
        <v>22.882352941176435</v>
      </c>
    </row>
    <row r="96" spans="17:18" x14ac:dyDescent="0.2">
      <c r="Q96">
        <v>91</v>
      </c>
      <c r="R96" s="13">
        <f t="shared" si="2"/>
        <v>22.985294117647022</v>
      </c>
    </row>
    <row r="97" spans="17:18" x14ac:dyDescent="0.2">
      <c r="Q97">
        <v>92</v>
      </c>
      <c r="R97" s="13">
        <f t="shared" si="2"/>
        <v>23.088235294117609</v>
      </c>
    </row>
    <row r="98" spans="17:18" x14ac:dyDescent="0.2">
      <c r="Q98">
        <v>93</v>
      </c>
      <c r="R98" s="13">
        <f t="shared" si="2"/>
        <v>23.191176470588196</v>
      </c>
    </row>
    <row r="99" spans="17:18" x14ac:dyDescent="0.2">
      <c r="Q99">
        <v>94</v>
      </c>
      <c r="R99" s="13">
        <f t="shared" si="2"/>
        <v>23.294117647058783</v>
      </c>
    </row>
    <row r="100" spans="17:18" x14ac:dyDescent="0.2">
      <c r="Q100">
        <v>95</v>
      </c>
      <c r="R100" s="13">
        <f t="shared" si="2"/>
        <v>23.39705882352937</v>
      </c>
    </row>
    <row r="101" spans="17:18" x14ac:dyDescent="0.2">
      <c r="Q101">
        <v>96</v>
      </c>
      <c r="R101" s="13">
        <f t="shared" si="2"/>
        <v>23.499999999999957</v>
      </c>
    </row>
    <row r="102" spans="17:18" x14ac:dyDescent="0.2">
      <c r="Q102">
        <v>97</v>
      </c>
      <c r="R102" s="13">
        <f t="shared" si="2"/>
        <v>23.602941176470544</v>
      </c>
    </row>
    <row r="103" spans="17:18" x14ac:dyDescent="0.2">
      <c r="Q103">
        <v>98</v>
      </c>
      <c r="R103" s="13">
        <f t="shared" si="2"/>
        <v>23.705882352941131</v>
      </c>
    </row>
    <row r="104" spans="17:18" x14ac:dyDescent="0.2">
      <c r="Q104">
        <v>99</v>
      </c>
      <c r="R104" s="13">
        <f t="shared" si="2"/>
        <v>23.808823529411718</v>
      </c>
    </row>
    <row r="105" spans="17:18" x14ac:dyDescent="0.2">
      <c r="Q105">
        <v>100</v>
      </c>
      <c r="R105" s="13">
        <f t="shared" si="2"/>
        <v>23.911764705882305</v>
      </c>
    </row>
    <row r="106" spans="17:18" x14ac:dyDescent="0.2">
      <c r="Q106">
        <v>101</v>
      </c>
      <c r="R106" s="13">
        <f t="shared" si="2"/>
        <v>24.014705882352892</v>
      </c>
    </row>
    <row r="107" spans="17:18" x14ac:dyDescent="0.2">
      <c r="Q107">
        <v>102</v>
      </c>
      <c r="R107" s="13">
        <f t="shared" si="2"/>
        <v>24.117647058823479</v>
      </c>
    </row>
    <row r="108" spans="17:18" x14ac:dyDescent="0.2">
      <c r="Q108">
        <v>103</v>
      </c>
      <c r="R108" s="13">
        <f t="shared" si="2"/>
        <v>24.220588235294066</v>
      </c>
    </row>
    <row r="109" spans="17:18" x14ac:dyDescent="0.2">
      <c r="Q109">
        <v>104</v>
      </c>
      <c r="R109" s="13">
        <f t="shared" si="2"/>
        <v>24.323529411764653</v>
      </c>
    </row>
    <row r="110" spans="17:18" x14ac:dyDescent="0.2">
      <c r="Q110">
        <v>105</v>
      </c>
      <c r="R110" s="13">
        <f t="shared" si="2"/>
        <v>24.42647058823524</v>
      </c>
    </row>
    <row r="111" spans="17:18" x14ac:dyDescent="0.2">
      <c r="Q111">
        <v>106</v>
      </c>
      <c r="R111" s="13">
        <f t="shared" si="2"/>
        <v>24.529411764705827</v>
      </c>
    </row>
    <row r="112" spans="17:18" x14ac:dyDescent="0.2">
      <c r="Q112">
        <v>107</v>
      </c>
      <c r="R112" s="13">
        <f t="shared" si="2"/>
        <v>24.632352941176414</v>
      </c>
    </row>
    <row r="113" spans="17:18" x14ac:dyDescent="0.2">
      <c r="Q113">
        <v>108</v>
      </c>
      <c r="R113" s="13">
        <f t="shared" si="2"/>
        <v>24.735294117647001</v>
      </c>
    </row>
    <row r="114" spans="17:18" x14ac:dyDescent="0.2">
      <c r="Q114">
        <v>109</v>
      </c>
      <c r="R114" s="13">
        <f t="shared" si="2"/>
        <v>24.838235294117588</v>
      </c>
    </row>
    <row r="115" spans="17:18" x14ac:dyDescent="0.2">
      <c r="Q115">
        <v>110</v>
      </c>
      <c r="R115" s="13">
        <f t="shared" si="2"/>
        <v>24.941176470588175</v>
      </c>
    </row>
    <row r="116" spans="17:18" x14ac:dyDescent="0.2">
      <c r="Q116">
        <v>111</v>
      </c>
      <c r="R116" s="13">
        <f t="shared" si="2"/>
        <v>25.044117647058762</v>
      </c>
    </row>
    <row r="117" spans="17:18" x14ac:dyDescent="0.2">
      <c r="Q117">
        <v>112</v>
      </c>
      <c r="R117" s="13">
        <f t="shared" si="2"/>
        <v>25.147058823529349</v>
      </c>
    </row>
    <row r="118" spans="17:18" x14ac:dyDescent="0.2">
      <c r="Q118">
        <v>113</v>
      </c>
      <c r="R118" s="13">
        <f t="shared" si="2"/>
        <v>25.249999999999936</v>
      </c>
    </row>
    <row r="119" spans="17:18" x14ac:dyDescent="0.2">
      <c r="Q119">
        <v>114</v>
      </c>
      <c r="R119" s="13">
        <f t="shared" si="2"/>
        <v>25.352941176470523</v>
      </c>
    </row>
    <row r="120" spans="17:18" x14ac:dyDescent="0.2">
      <c r="Q120">
        <v>115</v>
      </c>
      <c r="R120" s="13">
        <f t="shared" si="2"/>
        <v>25.45588235294111</v>
      </c>
    </row>
    <row r="121" spans="17:18" x14ac:dyDescent="0.2">
      <c r="Q121">
        <v>116</v>
      </c>
      <c r="R121" s="13">
        <f t="shared" si="2"/>
        <v>25.558823529411697</v>
      </c>
    </row>
    <row r="122" spans="17:18" x14ac:dyDescent="0.2">
      <c r="Q122">
        <v>117</v>
      </c>
      <c r="R122" s="13">
        <f t="shared" si="2"/>
        <v>25.661764705882284</v>
      </c>
    </row>
    <row r="123" spans="17:18" x14ac:dyDescent="0.2">
      <c r="Q123">
        <v>118</v>
      </c>
      <c r="R123" s="13">
        <f t="shared" si="2"/>
        <v>25.764705882352871</v>
      </c>
    </row>
    <row r="124" spans="17:18" x14ac:dyDescent="0.2">
      <c r="Q124">
        <v>119</v>
      </c>
      <c r="R124" s="13">
        <f t="shared" si="2"/>
        <v>25.867647058823458</v>
      </c>
    </row>
    <row r="125" spans="17:18" x14ac:dyDescent="0.2">
      <c r="Q125">
        <v>120</v>
      </c>
      <c r="R125" s="13">
        <f t="shared" si="2"/>
        <v>25.970588235294045</v>
      </c>
    </row>
    <row r="126" spans="17:18" x14ac:dyDescent="0.2">
      <c r="Q126">
        <v>121</v>
      </c>
      <c r="R126" s="13">
        <f t="shared" si="2"/>
        <v>26.073529411764632</v>
      </c>
    </row>
    <row r="127" spans="17:18" x14ac:dyDescent="0.2">
      <c r="Q127">
        <v>122</v>
      </c>
      <c r="R127" s="13">
        <f t="shared" si="2"/>
        <v>26.176470588235219</v>
      </c>
    </row>
    <row r="128" spans="17:18" x14ac:dyDescent="0.2">
      <c r="Q128">
        <v>123</v>
      </c>
      <c r="R128" s="13">
        <f t="shared" si="2"/>
        <v>26.279411764705806</v>
      </c>
    </row>
    <row r="129" spans="16:18" x14ac:dyDescent="0.2">
      <c r="Q129">
        <v>124</v>
      </c>
      <c r="R129" s="13">
        <f t="shared" si="2"/>
        <v>26.382352941176393</v>
      </c>
    </row>
    <row r="130" spans="16:18" x14ac:dyDescent="0.2">
      <c r="Q130">
        <v>125</v>
      </c>
      <c r="R130" s="13">
        <f t="shared" si="2"/>
        <v>26.48529411764698</v>
      </c>
    </row>
    <row r="131" spans="16:18" x14ac:dyDescent="0.2">
      <c r="Q131">
        <v>126</v>
      </c>
      <c r="R131" s="13">
        <f t="shared" si="2"/>
        <v>26.588235294117567</v>
      </c>
    </row>
    <row r="132" spans="16:18" x14ac:dyDescent="0.2">
      <c r="Q132">
        <v>127</v>
      </c>
      <c r="R132" s="13">
        <f t="shared" ref="R132:R134" si="3">R131+$P$135</f>
        <v>26.691176470588154</v>
      </c>
    </row>
    <row r="133" spans="16:18" x14ac:dyDescent="0.2">
      <c r="Q133">
        <v>128</v>
      </c>
      <c r="R133" s="13">
        <f t="shared" si="3"/>
        <v>26.794117647058741</v>
      </c>
    </row>
    <row r="134" spans="16:18" ht="13.5" thickBot="1" x14ac:dyDescent="0.25">
      <c r="Q134">
        <v>129</v>
      </c>
      <c r="R134" s="13">
        <f t="shared" si="3"/>
        <v>26.897058823529328</v>
      </c>
    </row>
    <row r="135" spans="16:18" ht="13.5" thickBot="1" x14ac:dyDescent="0.25">
      <c r="P135" s="14">
        <f>(R135-R67)/(Q135-Q67)</f>
        <v>0.10294117647058823</v>
      </c>
      <c r="Q135">
        <v>130</v>
      </c>
      <c r="R135" s="11">
        <f>H18</f>
        <v>27</v>
      </c>
    </row>
    <row r="136" spans="16:18" x14ac:dyDescent="0.2">
      <c r="Q136">
        <v>131</v>
      </c>
      <c r="R136" s="13">
        <f>R135+$P$205</f>
        <v>27.185714285714287</v>
      </c>
    </row>
    <row r="137" spans="16:18" x14ac:dyDescent="0.2">
      <c r="Q137">
        <v>132</v>
      </c>
      <c r="R137" s="13">
        <f t="shared" ref="R137:R200" si="4">R136+$P$205</f>
        <v>27.371428571428574</v>
      </c>
    </row>
    <row r="138" spans="16:18" x14ac:dyDescent="0.2">
      <c r="Q138">
        <v>133</v>
      </c>
      <c r="R138" s="13">
        <f t="shared" si="4"/>
        <v>27.55714285714286</v>
      </c>
    </row>
    <row r="139" spans="16:18" x14ac:dyDescent="0.2">
      <c r="Q139">
        <v>134</v>
      </c>
      <c r="R139" s="13">
        <f t="shared" si="4"/>
        <v>27.742857142857147</v>
      </c>
    </row>
    <row r="140" spans="16:18" x14ac:dyDescent="0.2">
      <c r="Q140">
        <v>135</v>
      </c>
      <c r="R140" s="13">
        <f t="shared" si="4"/>
        <v>27.928571428571434</v>
      </c>
    </row>
    <row r="141" spans="16:18" x14ac:dyDescent="0.2">
      <c r="Q141">
        <v>136</v>
      </c>
      <c r="R141" s="13">
        <f t="shared" si="4"/>
        <v>28.114285714285721</v>
      </c>
    </row>
    <row r="142" spans="16:18" x14ac:dyDescent="0.2">
      <c r="Q142">
        <v>137</v>
      </c>
      <c r="R142" s="13">
        <f t="shared" si="4"/>
        <v>28.300000000000008</v>
      </c>
    </row>
    <row r="143" spans="16:18" x14ac:dyDescent="0.2">
      <c r="Q143">
        <v>138</v>
      </c>
      <c r="R143" s="13">
        <f t="shared" si="4"/>
        <v>28.485714285714295</v>
      </c>
    </row>
    <row r="144" spans="16:18" x14ac:dyDescent="0.2">
      <c r="Q144">
        <v>139</v>
      </c>
      <c r="R144" s="13">
        <f t="shared" si="4"/>
        <v>28.671428571428581</v>
      </c>
    </row>
    <row r="145" spans="17:18" x14ac:dyDescent="0.2">
      <c r="Q145">
        <v>140</v>
      </c>
      <c r="R145" s="13">
        <f t="shared" si="4"/>
        <v>28.857142857142868</v>
      </c>
    </row>
    <row r="146" spans="17:18" x14ac:dyDescent="0.2">
      <c r="Q146">
        <v>141</v>
      </c>
      <c r="R146" s="13">
        <f t="shared" si="4"/>
        <v>29.042857142857155</v>
      </c>
    </row>
    <row r="147" spans="17:18" x14ac:dyDescent="0.2">
      <c r="Q147">
        <v>142</v>
      </c>
      <c r="R147" s="13">
        <f t="shared" si="4"/>
        <v>29.228571428571442</v>
      </c>
    </row>
    <row r="148" spans="17:18" x14ac:dyDescent="0.2">
      <c r="Q148">
        <v>143</v>
      </c>
      <c r="R148" s="13">
        <f t="shared" si="4"/>
        <v>29.414285714285729</v>
      </c>
    </row>
    <row r="149" spans="17:18" x14ac:dyDescent="0.2">
      <c r="Q149">
        <v>144</v>
      </c>
      <c r="R149" s="13">
        <f t="shared" si="4"/>
        <v>29.600000000000016</v>
      </c>
    </row>
    <row r="150" spans="17:18" x14ac:dyDescent="0.2">
      <c r="Q150">
        <v>145</v>
      </c>
      <c r="R150" s="13">
        <f t="shared" si="4"/>
        <v>29.785714285714302</v>
      </c>
    </row>
    <row r="151" spans="17:18" x14ac:dyDescent="0.2">
      <c r="Q151">
        <v>146</v>
      </c>
      <c r="R151" s="13">
        <f t="shared" si="4"/>
        <v>29.971428571428589</v>
      </c>
    </row>
    <row r="152" spans="17:18" x14ac:dyDescent="0.2">
      <c r="Q152">
        <v>147</v>
      </c>
      <c r="R152" s="13">
        <f t="shared" si="4"/>
        <v>30.157142857142876</v>
      </c>
    </row>
    <row r="153" spans="17:18" x14ac:dyDescent="0.2">
      <c r="Q153">
        <v>148</v>
      </c>
      <c r="R153" s="13">
        <f t="shared" si="4"/>
        <v>30.342857142857163</v>
      </c>
    </row>
    <row r="154" spans="17:18" x14ac:dyDescent="0.2">
      <c r="Q154">
        <v>149</v>
      </c>
      <c r="R154" s="13">
        <f t="shared" si="4"/>
        <v>30.52857142857145</v>
      </c>
    </row>
    <row r="155" spans="17:18" x14ac:dyDescent="0.2">
      <c r="Q155">
        <v>150</v>
      </c>
      <c r="R155" s="13">
        <f t="shared" si="4"/>
        <v>30.714285714285737</v>
      </c>
    </row>
    <row r="156" spans="17:18" x14ac:dyDescent="0.2">
      <c r="Q156">
        <v>151</v>
      </c>
      <c r="R156" s="13">
        <f t="shared" si="4"/>
        <v>30.900000000000023</v>
      </c>
    </row>
    <row r="157" spans="17:18" x14ac:dyDescent="0.2">
      <c r="Q157">
        <v>152</v>
      </c>
      <c r="R157" s="13">
        <f t="shared" si="4"/>
        <v>31.08571428571431</v>
      </c>
    </row>
    <row r="158" spans="17:18" x14ac:dyDescent="0.2">
      <c r="Q158">
        <v>153</v>
      </c>
      <c r="R158" s="13">
        <f t="shared" si="4"/>
        <v>31.271428571428597</v>
      </c>
    </row>
    <row r="159" spans="17:18" x14ac:dyDescent="0.2">
      <c r="Q159">
        <v>154</v>
      </c>
      <c r="R159" s="13">
        <f t="shared" si="4"/>
        <v>31.457142857142884</v>
      </c>
    </row>
    <row r="160" spans="17:18" x14ac:dyDescent="0.2">
      <c r="Q160">
        <v>155</v>
      </c>
      <c r="R160" s="13">
        <f t="shared" si="4"/>
        <v>31.642857142857171</v>
      </c>
    </row>
    <row r="161" spans="17:18" x14ac:dyDescent="0.2">
      <c r="Q161">
        <v>156</v>
      </c>
      <c r="R161" s="13">
        <f t="shared" si="4"/>
        <v>31.828571428571458</v>
      </c>
    </row>
    <row r="162" spans="17:18" x14ac:dyDescent="0.2">
      <c r="Q162">
        <v>157</v>
      </c>
      <c r="R162" s="13">
        <f t="shared" si="4"/>
        <v>32.014285714285741</v>
      </c>
    </row>
    <row r="163" spans="17:18" x14ac:dyDescent="0.2">
      <c r="Q163">
        <v>158</v>
      </c>
      <c r="R163" s="13">
        <f t="shared" si="4"/>
        <v>32.200000000000024</v>
      </c>
    </row>
    <row r="164" spans="17:18" x14ac:dyDescent="0.2">
      <c r="Q164">
        <v>159</v>
      </c>
      <c r="R164" s="13">
        <f t="shared" si="4"/>
        <v>32.385714285714307</v>
      </c>
    </row>
    <row r="165" spans="17:18" x14ac:dyDescent="0.2">
      <c r="Q165">
        <v>160</v>
      </c>
      <c r="R165" s="13">
        <f t="shared" si="4"/>
        <v>32.571428571428591</v>
      </c>
    </row>
    <row r="166" spans="17:18" x14ac:dyDescent="0.2">
      <c r="Q166">
        <v>161</v>
      </c>
      <c r="R166" s="13">
        <f t="shared" si="4"/>
        <v>32.757142857142874</v>
      </c>
    </row>
    <row r="167" spans="17:18" x14ac:dyDescent="0.2">
      <c r="Q167">
        <v>162</v>
      </c>
      <c r="R167" s="13">
        <f t="shared" si="4"/>
        <v>32.942857142857157</v>
      </c>
    </row>
    <row r="168" spans="17:18" x14ac:dyDescent="0.2">
      <c r="Q168">
        <v>163</v>
      </c>
      <c r="R168" s="13">
        <f t="shared" si="4"/>
        <v>33.128571428571441</v>
      </c>
    </row>
    <row r="169" spans="17:18" x14ac:dyDescent="0.2">
      <c r="Q169">
        <v>164</v>
      </c>
      <c r="R169" s="13">
        <f t="shared" si="4"/>
        <v>33.314285714285724</v>
      </c>
    </row>
    <row r="170" spans="17:18" x14ac:dyDescent="0.2">
      <c r="Q170">
        <v>165</v>
      </c>
      <c r="R170" s="13">
        <f t="shared" si="4"/>
        <v>33.500000000000007</v>
      </c>
    </row>
    <row r="171" spans="17:18" x14ac:dyDescent="0.2">
      <c r="Q171">
        <v>166</v>
      </c>
      <c r="R171" s="13">
        <f t="shared" si="4"/>
        <v>33.68571428571429</v>
      </c>
    </row>
    <row r="172" spans="17:18" x14ac:dyDescent="0.2">
      <c r="Q172">
        <v>167</v>
      </c>
      <c r="R172" s="13">
        <f t="shared" si="4"/>
        <v>33.871428571428574</v>
      </c>
    </row>
    <row r="173" spans="17:18" x14ac:dyDescent="0.2">
      <c r="Q173">
        <v>168</v>
      </c>
      <c r="R173" s="13">
        <f t="shared" si="4"/>
        <v>34.057142857142857</v>
      </c>
    </row>
    <row r="174" spans="17:18" x14ac:dyDescent="0.2">
      <c r="Q174">
        <v>169</v>
      </c>
      <c r="R174" s="13">
        <f t="shared" si="4"/>
        <v>34.24285714285714</v>
      </c>
    </row>
    <row r="175" spans="17:18" x14ac:dyDescent="0.2">
      <c r="Q175">
        <v>170</v>
      </c>
      <c r="R175" s="13">
        <f t="shared" si="4"/>
        <v>34.428571428571423</v>
      </c>
    </row>
    <row r="176" spans="17:18" x14ac:dyDescent="0.2">
      <c r="Q176">
        <v>171</v>
      </c>
      <c r="R176" s="13">
        <f t="shared" si="4"/>
        <v>34.614285714285707</v>
      </c>
    </row>
    <row r="177" spans="17:18" x14ac:dyDescent="0.2">
      <c r="Q177">
        <v>172</v>
      </c>
      <c r="R177" s="13">
        <f t="shared" si="4"/>
        <v>34.79999999999999</v>
      </c>
    </row>
    <row r="178" spans="17:18" x14ac:dyDescent="0.2">
      <c r="Q178">
        <v>173</v>
      </c>
      <c r="R178" s="13">
        <f t="shared" si="4"/>
        <v>34.985714285714273</v>
      </c>
    </row>
    <row r="179" spans="17:18" x14ac:dyDescent="0.2">
      <c r="Q179">
        <v>174</v>
      </c>
      <c r="R179" s="13">
        <f t="shared" si="4"/>
        <v>35.171428571428557</v>
      </c>
    </row>
    <row r="180" spans="17:18" x14ac:dyDescent="0.2">
      <c r="Q180">
        <v>175</v>
      </c>
      <c r="R180" s="13">
        <f t="shared" si="4"/>
        <v>35.35714285714284</v>
      </c>
    </row>
    <row r="181" spans="17:18" x14ac:dyDescent="0.2">
      <c r="Q181">
        <v>176</v>
      </c>
      <c r="R181" s="13">
        <f t="shared" si="4"/>
        <v>35.542857142857123</v>
      </c>
    </row>
    <row r="182" spans="17:18" x14ac:dyDescent="0.2">
      <c r="Q182">
        <v>177</v>
      </c>
      <c r="R182" s="13">
        <f t="shared" si="4"/>
        <v>35.728571428571406</v>
      </c>
    </row>
    <row r="183" spans="17:18" x14ac:dyDescent="0.2">
      <c r="Q183">
        <v>178</v>
      </c>
      <c r="R183" s="13">
        <f t="shared" si="4"/>
        <v>35.91428571428569</v>
      </c>
    </row>
    <row r="184" spans="17:18" x14ac:dyDescent="0.2">
      <c r="Q184">
        <v>179</v>
      </c>
      <c r="R184" s="13">
        <f t="shared" si="4"/>
        <v>36.099999999999973</v>
      </c>
    </row>
    <row r="185" spans="17:18" x14ac:dyDescent="0.2">
      <c r="Q185">
        <v>180</v>
      </c>
      <c r="R185" s="13">
        <f t="shared" si="4"/>
        <v>36.285714285714256</v>
      </c>
    </row>
    <row r="186" spans="17:18" x14ac:dyDescent="0.2">
      <c r="Q186">
        <v>181</v>
      </c>
      <c r="R186" s="13">
        <f t="shared" si="4"/>
        <v>36.47142857142854</v>
      </c>
    </row>
    <row r="187" spans="17:18" x14ac:dyDescent="0.2">
      <c r="Q187">
        <v>182</v>
      </c>
      <c r="R187" s="13">
        <f t="shared" si="4"/>
        <v>36.657142857142823</v>
      </c>
    </row>
    <row r="188" spans="17:18" x14ac:dyDescent="0.2">
      <c r="Q188">
        <v>183</v>
      </c>
      <c r="R188" s="13">
        <f t="shared" si="4"/>
        <v>36.842857142857106</v>
      </c>
    </row>
    <row r="189" spans="17:18" x14ac:dyDescent="0.2">
      <c r="Q189">
        <v>184</v>
      </c>
      <c r="R189" s="13">
        <f t="shared" si="4"/>
        <v>37.028571428571389</v>
      </c>
    </row>
    <row r="190" spans="17:18" x14ac:dyDescent="0.2">
      <c r="Q190">
        <v>185</v>
      </c>
      <c r="R190" s="13">
        <f t="shared" si="4"/>
        <v>37.214285714285673</v>
      </c>
    </row>
    <row r="191" spans="17:18" x14ac:dyDescent="0.2">
      <c r="Q191">
        <v>186</v>
      </c>
      <c r="R191" s="13">
        <f t="shared" si="4"/>
        <v>37.399999999999956</v>
      </c>
    </row>
    <row r="192" spans="17:18" x14ac:dyDescent="0.2">
      <c r="Q192">
        <v>187</v>
      </c>
      <c r="R192" s="13">
        <f t="shared" si="4"/>
        <v>37.585714285714239</v>
      </c>
    </row>
    <row r="193" spans="16:18" x14ac:dyDescent="0.2">
      <c r="Q193">
        <v>188</v>
      </c>
      <c r="R193" s="13">
        <f t="shared" si="4"/>
        <v>37.771428571428523</v>
      </c>
    </row>
    <row r="194" spans="16:18" x14ac:dyDescent="0.2">
      <c r="Q194">
        <v>189</v>
      </c>
      <c r="R194" s="13">
        <f t="shared" si="4"/>
        <v>37.957142857142806</v>
      </c>
    </row>
    <row r="195" spans="16:18" x14ac:dyDescent="0.2">
      <c r="Q195">
        <v>190</v>
      </c>
      <c r="R195" s="13">
        <f t="shared" si="4"/>
        <v>38.142857142857089</v>
      </c>
    </row>
    <row r="196" spans="16:18" x14ac:dyDescent="0.2">
      <c r="Q196">
        <v>191</v>
      </c>
      <c r="R196" s="13">
        <f t="shared" si="4"/>
        <v>38.328571428571372</v>
      </c>
    </row>
    <row r="197" spans="16:18" x14ac:dyDescent="0.2">
      <c r="Q197">
        <v>192</v>
      </c>
      <c r="R197" s="13">
        <f t="shared" si="4"/>
        <v>38.514285714285656</v>
      </c>
    </row>
    <row r="198" spans="16:18" x14ac:dyDescent="0.2">
      <c r="Q198">
        <v>193</v>
      </c>
      <c r="R198" s="13">
        <f t="shared" si="4"/>
        <v>38.699999999999939</v>
      </c>
    </row>
    <row r="199" spans="16:18" x14ac:dyDescent="0.2">
      <c r="Q199">
        <v>194</v>
      </c>
      <c r="R199" s="13">
        <f t="shared" si="4"/>
        <v>38.885714285714222</v>
      </c>
    </row>
    <row r="200" spans="16:18" x14ac:dyDescent="0.2">
      <c r="Q200">
        <v>195</v>
      </c>
      <c r="R200" s="13">
        <f t="shared" si="4"/>
        <v>39.071428571428505</v>
      </c>
    </row>
    <row r="201" spans="16:18" x14ac:dyDescent="0.2">
      <c r="Q201">
        <v>196</v>
      </c>
      <c r="R201" s="13">
        <f t="shared" ref="R201:R204" si="5">R200+$P$205</f>
        <v>39.257142857142789</v>
      </c>
    </row>
    <row r="202" spans="16:18" x14ac:dyDescent="0.2">
      <c r="Q202">
        <v>197</v>
      </c>
      <c r="R202" s="13">
        <f t="shared" si="5"/>
        <v>39.442857142857072</v>
      </c>
    </row>
    <row r="203" spans="16:18" x14ac:dyDescent="0.2">
      <c r="Q203">
        <v>198</v>
      </c>
      <c r="R203" s="13">
        <f t="shared" si="5"/>
        <v>39.628571428571355</v>
      </c>
    </row>
    <row r="204" spans="16:18" ht="13.5" thickBot="1" x14ac:dyDescent="0.25">
      <c r="Q204">
        <v>199</v>
      </c>
      <c r="R204" s="13">
        <f t="shared" si="5"/>
        <v>39.814285714285639</v>
      </c>
    </row>
    <row r="205" spans="16:18" ht="13.5" thickBot="1" x14ac:dyDescent="0.25">
      <c r="P205" s="14">
        <f>(R205-R135)/(Q205-Q135)</f>
        <v>0.18571428571428572</v>
      </c>
      <c r="Q205">
        <v>200</v>
      </c>
      <c r="R205" s="11">
        <f>H22</f>
        <v>40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13BD8-3B08-4D09-BFE2-37D4FF31E191}">
  <dimension ref="B1:AC58"/>
  <sheetViews>
    <sheetView zoomScale="120" zoomScaleNormal="120" workbookViewId="0">
      <selection activeCell="F15" sqref="F15"/>
    </sheetView>
  </sheetViews>
  <sheetFormatPr defaultRowHeight="12.75" x14ac:dyDescent="0.2"/>
  <cols>
    <col min="2" max="2" width="12.7109375" bestFit="1" customWidth="1"/>
    <col min="4" max="4" width="20.42578125" customWidth="1"/>
    <col min="5" max="5" width="5.5703125" bestFit="1" customWidth="1"/>
    <col min="6" max="6" width="20.42578125" customWidth="1"/>
    <col min="7" max="7" width="11.7109375" bestFit="1" customWidth="1"/>
    <col min="8" max="8" width="14" customWidth="1"/>
    <col min="9" max="9" width="12.5703125" bestFit="1" customWidth="1"/>
    <col min="11" max="13" width="2.28515625" customWidth="1"/>
    <col min="14" max="14" width="11.85546875" customWidth="1"/>
    <col min="15" max="15" width="12.5703125" bestFit="1" customWidth="1"/>
    <col min="16" max="16" width="12" bestFit="1" customWidth="1"/>
    <col min="17" max="17" width="5" customWidth="1"/>
    <col min="18" max="18" width="15.5703125" bestFit="1" customWidth="1"/>
    <col min="19" max="19" width="42.7109375" customWidth="1"/>
    <col min="20" max="20" width="17.140625" customWidth="1"/>
    <col min="21" max="21" width="17" customWidth="1"/>
    <col min="22" max="22" width="21.28515625" customWidth="1"/>
    <col min="23" max="23" width="17.140625" customWidth="1"/>
    <col min="24" max="24" width="16" customWidth="1"/>
    <col min="25" max="25" width="19" customWidth="1"/>
    <col min="26" max="26" width="33" customWidth="1"/>
    <col min="27" max="27" width="19.5703125" customWidth="1"/>
    <col min="28" max="28" width="22.5703125" customWidth="1"/>
    <col min="29" max="29" width="25.85546875" customWidth="1"/>
  </cols>
  <sheetData>
    <row r="1" spans="2:29" ht="13.5" thickBot="1" x14ac:dyDescent="0.25">
      <c r="D1" s="16"/>
      <c r="E1" s="16"/>
      <c r="F1" s="16"/>
      <c r="O1" s="34"/>
      <c r="P1" s="63"/>
      <c r="Q1" s="63"/>
    </row>
    <row r="2" spans="2:29" ht="31.5" x14ac:dyDescent="0.25">
      <c r="G2" s="17" t="s">
        <v>19</v>
      </c>
      <c r="H2" t="s">
        <v>51</v>
      </c>
      <c r="K2" s="62"/>
      <c r="L2" s="62"/>
      <c r="M2" s="62"/>
      <c r="R2" s="18"/>
      <c r="S2" s="19" t="s">
        <v>52</v>
      </c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2:29" ht="38.25" x14ac:dyDescent="0.2">
      <c r="G3" t="s">
        <v>53</v>
      </c>
      <c r="H3" s="16" t="s">
        <v>54</v>
      </c>
      <c r="I3" s="16" t="s">
        <v>55</v>
      </c>
      <c r="K3" s="62"/>
      <c r="L3" s="62"/>
      <c r="M3" s="62"/>
      <c r="R3" s="20" t="s">
        <v>56</v>
      </c>
      <c r="S3" s="21" t="s">
        <v>57</v>
      </c>
      <c r="T3" s="21" t="s">
        <v>58</v>
      </c>
      <c r="U3" s="21" t="s">
        <v>59</v>
      </c>
      <c r="V3" s="21" t="s">
        <v>60</v>
      </c>
      <c r="W3" s="21" t="s">
        <v>61</v>
      </c>
      <c r="X3" s="21" t="s">
        <v>62</v>
      </c>
      <c r="Y3" s="21" t="s">
        <v>63</v>
      </c>
      <c r="Z3" s="21" t="s">
        <v>64</v>
      </c>
      <c r="AA3" s="21" t="s">
        <v>65</v>
      </c>
      <c r="AB3" s="21" t="s">
        <v>66</v>
      </c>
      <c r="AC3" s="21" t="s">
        <v>67</v>
      </c>
    </row>
    <row r="4" spans="2:29" ht="63.75" x14ac:dyDescent="0.2">
      <c r="G4">
        <v>2016</v>
      </c>
      <c r="H4" s="6">
        <f>N16+O16+P16</f>
        <v>301418</v>
      </c>
      <c r="I4" s="6">
        <f>P16+(P16/(O16+P16)*N16)</f>
        <v>216311.64316832094</v>
      </c>
      <c r="K4" s="62"/>
      <c r="L4" s="62"/>
      <c r="M4" s="62"/>
      <c r="N4" s="16" t="s">
        <v>232</v>
      </c>
      <c r="O4" s="16" t="s">
        <v>230</v>
      </c>
      <c r="P4" s="16" t="s">
        <v>231</v>
      </c>
      <c r="R4" s="22" t="s">
        <v>68</v>
      </c>
      <c r="S4" s="23" t="s">
        <v>69</v>
      </c>
      <c r="T4" s="23" t="s">
        <v>70</v>
      </c>
      <c r="U4" s="23" t="s">
        <v>71</v>
      </c>
      <c r="V4" s="23" t="s">
        <v>72</v>
      </c>
      <c r="W4" s="23" t="s">
        <v>73</v>
      </c>
      <c r="X4" s="23" t="s">
        <v>74</v>
      </c>
      <c r="Y4" s="23" t="s">
        <v>75</v>
      </c>
      <c r="Z4" s="23" t="s">
        <v>76</v>
      </c>
      <c r="AA4" s="23" t="s">
        <v>77</v>
      </c>
      <c r="AB4" s="23" t="s">
        <v>78</v>
      </c>
      <c r="AC4" s="23" t="s">
        <v>79</v>
      </c>
    </row>
    <row r="5" spans="2:29" x14ac:dyDescent="0.2">
      <c r="G5">
        <v>2017</v>
      </c>
      <c r="H5" s="6">
        <f t="shared" ref="H5:H8" si="0">N17+O17+P17</f>
        <v>324882</v>
      </c>
      <c r="I5" s="6">
        <f t="shared" ref="I5:I8" si="1">P17+(P17/(O17+P17)*N17)</f>
        <v>241118.90138240592</v>
      </c>
      <c r="K5" s="62"/>
      <c r="L5" s="62"/>
      <c r="M5" s="62"/>
      <c r="N5" s="6">
        <f>W5</f>
        <v>686732</v>
      </c>
      <c r="O5" s="6">
        <f>AC5</f>
        <v>9985270</v>
      </c>
      <c r="P5" s="6">
        <f>Y5+Z5+AA5+AB5</f>
        <v>15226888</v>
      </c>
      <c r="R5" s="24">
        <v>42551</v>
      </c>
      <c r="S5" s="41">
        <v>27444220</v>
      </c>
      <c r="T5" s="6">
        <v>1545330</v>
      </c>
      <c r="U5" s="6">
        <v>1126088</v>
      </c>
      <c r="V5" s="6">
        <v>419242</v>
      </c>
      <c r="W5" s="6">
        <v>686732</v>
      </c>
      <c r="X5" s="6">
        <v>25212159</v>
      </c>
      <c r="Y5" s="6">
        <v>4346588</v>
      </c>
      <c r="Z5" s="6">
        <v>3109584</v>
      </c>
      <c r="AA5" s="6">
        <v>7728688</v>
      </c>
      <c r="AB5" s="6">
        <v>42028</v>
      </c>
      <c r="AC5" s="6">
        <v>9985270</v>
      </c>
    </row>
    <row r="6" spans="2:29" x14ac:dyDescent="0.2">
      <c r="G6">
        <v>2018</v>
      </c>
      <c r="H6" s="6">
        <f t="shared" si="0"/>
        <v>307985</v>
      </c>
      <c r="I6" s="6">
        <f t="shared" si="1"/>
        <v>227961.56666542208</v>
      </c>
      <c r="K6" s="62"/>
      <c r="L6" s="62"/>
      <c r="M6" s="62"/>
      <c r="N6" s="6">
        <f t="shared" ref="N6:N9" si="2">W6</f>
        <v>722049</v>
      </c>
      <c r="O6" s="6">
        <f t="shared" ref="O6:O9" si="3">AC6</f>
        <v>9265555</v>
      </c>
      <c r="P6" s="6">
        <f t="shared" ref="P6:P9" si="4">Y6+Z6+AA6+AB6</f>
        <v>15569161</v>
      </c>
      <c r="R6" s="24">
        <v>42916</v>
      </c>
      <c r="S6" s="41">
        <v>27139699</v>
      </c>
      <c r="T6" s="6">
        <v>1582935</v>
      </c>
      <c r="U6" s="6">
        <v>1159864</v>
      </c>
      <c r="V6" s="6">
        <v>423071</v>
      </c>
      <c r="W6" s="6">
        <v>722049</v>
      </c>
      <c r="X6" s="6">
        <v>24834715</v>
      </c>
      <c r="Y6" s="6">
        <v>4413324</v>
      </c>
      <c r="Z6" s="6">
        <v>3164615</v>
      </c>
      <c r="AA6" s="6">
        <v>7943018</v>
      </c>
      <c r="AB6" s="6">
        <v>48204</v>
      </c>
      <c r="AC6" s="6">
        <v>9265555</v>
      </c>
    </row>
    <row r="7" spans="2:29" x14ac:dyDescent="0.2">
      <c r="G7">
        <v>2019</v>
      </c>
      <c r="H7" s="6">
        <f t="shared" si="0"/>
        <v>348265</v>
      </c>
      <c r="I7" s="6">
        <f t="shared" si="1"/>
        <v>238395.85754826094</v>
      </c>
      <c r="K7" s="62"/>
      <c r="L7" s="62"/>
      <c r="M7" s="62"/>
      <c r="N7" s="6">
        <f t="shared" si="2"/>
        <v>876535</v>
      </c>
      <c r="O7" s="6">
        <f t="shared" si="3"/>
        <v>10588937</v>
      </c>
      <c r="P7" s="6">
        <f t="shared" si="4"/>
        <v>16979221</v>
      </c>
      <c r="R7" s="24">
        <v>43281</v>
      </c>
      <c r="S7" s="41">
        <v>30138930</v>
      </c>
      <c r="T7" s="6">
        <v>1694238</v>
      </c>
      <c r="U7" s="6">
        <v>1248046</v>
      </c>
      <c r="V7" s="6">
        <v>446192</v>
      </c>
      <c r="W7" s="6">
        <v>876535</v>
      </c>
      <c r="X7" s="6">
        <v>27568157</v>
      </c>
      <c r="Y7" s="6">
        <v>4997554</v>
      </c>
      <c r="Z7" s="6">
        <v>3513954</v>
      </c>
      <c r="AA7" s="6">
        <v>8417300</v>
      </c>
      <c r="AB7" s="6">
        <v>50413</v>
      </c>
      <c r="AC7" s="6">
        <v>10588937</v>
      </c>
    </row>
    <row r="8" spans="2:29" ht="13.5" thickBot="1" x14ac:dyDescent="0.25">
      <c r="G8">
        <v>2020</v>
      </c>
      <c r="H8" s="6">
        <f t="shared" si="0"/>
        <v>328687</v>
      </c>
      <c r="I8" s="6">
        <f t="shared" si="1"/>
        <v>229073.16259113958</v>
      </c>
      <c r="K8" s="62"/>
      <c r="L8" s="62"/>
      <c r="M8" s="62"/>
      <c r="N8" s="6">
        <f t="shared" si="2"/>
        <v>1018095</v>
      </c>
      <c r="O8" s="6">
        <f t="shared" si="3"/>
        <v>11288096</v>
      </c>
      <c r="P8" s="6">
        <f t="shared" si="4"/>
        <v>17002911</v>
      </c>
      <c r="R8" s="24">
        <v>43646</v>
      </c>
      <c r="S8" s="41">
        <v>31132041</v>
      </c>
      <c r="T8" s="6">
        <v>1822940</v>
      </c>
      <c r="U8" s="6">
        <v>1332506</v>
      </c>
      <c r="V8" s="6">
        <v>490434</v>
      </c>
      <c r="W8" s="6">
        <v>1018095</v>
      </c>
      <c r="X8" s="6">
        <v>28291006</v>
      </c>
      <c r="Y8" s="6">
        <v>5018519</v>
      </c>
      <c r="Z8" s="6">
        <v>3514566</v>
      </c>
      <c r="AA8" s="6">
        <v>8416660</v>
      </c>
      <c r="AB8" s="6">
        <v>53166</v>
      </c>
      <c r="AC8" s="6">
        <v>11288096</v>
      </c>
    </row>
    <row r="9" spans="2:29" ht="13.5" thickBot="1" x14ac:dyDescent="0.25">
      <c r="G9" s="25" t="s">
        <v>80</v>
      </c>
      <c r="H9" s="26">
        <f>AVERAGE(H4:H8)</f>
        <v>322247.40000000002</v>
      </c>
      <c r="I9" s="27">
        <f>AVERAGE(I4:I8)</f>
        <v>230572.22627110989</v>
      </c>
      <c r="K9" s="62"/>
      <c r="L9" s="62"/>
      <c r="M9" s="62"/>
      <c r="N9" s="6">
        <f t="shared" si="2"/>
        <v>1007107</v>
      </c>
      <c r="O9" s="6">
        <f t="shared" si="3"/>
        <v>11615988</v>
      </c>
      <c r="P9" s="6">
        <f t="shared" si="4"/>
        <v>16044386</v>
      </c>
      <c r="R9" s="24">
        <v>44012</v>
      </c>
      <c r="S9" s="41">
        <v>30472212</v>
      </c>
      <c r="T9" s="6">
        <v>1804731</v>
      </c>
      <c r="U9" s="6">
        <v>1290554</v>
      </c>
      <c r="V9" s="6">
        <v>514177</v>
      </c>
      <c r="W9" s="6">
        <v>1007107</v>
      </c>
      <c r="X9" s="6">
        <v>27660375</v>
      </c>
      <c r="Y9" s="6">
        <v>4674311</v>
      </c>
      <c r="Z9" s="6">
        <v>3170221</v>
      </c>
      <c r="AA9" s="6">
        <v>8150724</v>
      </c>
      <c r="AB9" s="6">
        <v>49130</v>
      </c>
      <c r="AC9" s="6">
        <v>11615988</v>
      </c>
    </row>
    <row r="10" spans="2:29" x14ac:dyDescent="0.2">
      <c r="K10" s="62"/>
      <c r="L10" s="62"/>
      <c r="M10" s="62"/>
      <c r="S10" s="16"/>
    </row>
    <row r="11" spans="2:29" ht="13.5" thickBot="1" x14ac:dyDescent="0.25">
      <c r="G11" s="28" t="s">
        <v>18</v>
      </c>
      <c r="H11" t="s">
        <v>51</v>
      </c>
      <c r="K11" s="62"/>
      <c r="L11" s="62"/>
      <c r="M11" s="62"/>
      <c r="S11" s="16"/>
    </row>
    <row r="12" spans="2:29" ht="39" thickBot="1" x14ac:dyDescent="0.25">
      <c r="B12" s="51" t="s">
        <v>170</v>
      </c>
      <c r="C12" s="49"/>
      <c r="D12" s="50"/>
      <c r="E12" s="49"/>
      <c r="G12" t="s">
        <v>53</v>
      </c>
      <c r="H12" s="16" t="s">
        <v>54</v>
      </c>
      <c r="I12" s="16" t="s">
        <v>55</v>
      </c>
      <c r="K12" s="62"/>
      <c r="L12" s="62"/>
      <c r="M12" s="62"/>
      <c r="S12" s="16"/>
    </row>
    <row r="13" spans="2:29" ht="31.5" x14ac:dyDescent="0.25">
      <c r="B13" s="37">
        <v>1</v>
      </c>
      <c r="C13" s="38" t="s">
        <v>81</v>
      </c>
      <c r="D13" s="47">
        <v>1</v>
      </c>
      <c r="E13" s="38" t="s">
        <v>51</v>
      </c>
      <c r="G13">
        <v>2016</v>
      </c>
      <c r="H13" s="6">
        <f>N25+O25+P25</f>
        <v>235872</v>
      </c>
      <c r="I13" s="6">
        <f>P25 + (N25)*(P25/(P25+O25))</f>
        <v>126637.74473499702</v>
      </c>
      <c r="K13" s="62"/>
      <c r="L13" s="62"/>
      <c r="M13" s="62"/>
      <c r="R13" s="29"/>
      <c r="S13" s="19" t="s">
        <v>82</v>
      </c>
    </row>
    <row r="14" spans="2:29" ht="13.5" thickBot="1" x14ac:dyDescent="0.25">
      <c r="B14" s="39">
        <v>1.0369999999999999</v>
      </c>
      <c r="C14" s="40" t="s">
        <v>83</v>
      </c>
      <c r="D14" s="48">
        <f>B14*1000/1000000</f>
        <v>1.0369999999999999E-3</v>
      </c>
      <c r="E14" s="40" t="s">
        <v>188</v>
      </c>
      <c r="G14">
        <v>2017</v>
      </c>
      <c r="H14" s="6">
        <f t="shared" ref="H14:H17" si="5">N26+O26+P26</f>
        <v>247174</v>
      </c>
      <c r="I14" s="6">
        <f t="shared" ref="I14:I17" si="6">P26 + (N26)*(P26/(P26+O26))</f>
        <v>140526.07714696787</v>
      </c>
      <c r="K14" s="62"/>
      <c r="L14" s="62"/>
      <c r="M14" s="62"/>
      <c r="R14" s="20" t="s">
        <v>56</v>
      </c>
      <c r="S14" s="21" t="s">
        <v>84</v>
      </c>
      <c r="T14" s="21" t="s">
        <v>85</v>
      </c>
      <c r="U14" s="21" t="s">
        <v>86</v>
      </c>
      <c r="V14" s="21" t="s">
        <v>87</v>
      </c>
      <c r="W14" s="21" t="s">
        <v>88</v>
      </c>
      <c r="X14" s="21" t="s">
        <v>89</v>
      </c>
      <c r="Y14" s="21" t="s">
        <v>90</v>
      </c>
      <c r="Z14" s="21" t="s">
        <v>91</v>
      </c>
      <c r="AA14" s="21" t="s">
        <v>92</v>
      </c>
    </row>
    <row r="15" spans="2:29" ht="114.75" x14ac:dyDescent="0.2">
      <c r="D15" s="35">
        <v>1</v>
      </c>
      <c r="E15" s="36" t="s">
        <v>206</v>
      </c>
      <c r="G15">
        <v>2018</v>
      </c>
      <c r="H15" s="6">
        <f t="shared" si="5"/>
        <v>255686</v>
      </c>
      <c r="I15" s="6">
        <f t="shared" si="6"/>
        <v>129173.09554635735</v>
      </c>
      <c r="K15" s="62"/>
      <c r="L15" s="62"/>
      <c r="M15" s="62"/>
      <c r="N15" s="16" t="s">
        <v>232</v>
      </c>
      <c r="O15" s="16" t="s">
        <v>230</v>
      </c>
      <c r="P15" s="16" t="s">
        <v>231</v>
      </c>
      <c r="R15" s="22" t="s">
        <v>68</v>
      </c>
      <c r="S15" s="23" t="s">
        <v>93</v>
      </c>
      <c r="T15" s="23" t="s">
        <v>94</v>
      </c>
      <c r="U15" s="23" t="s">
        <v>95</v>
      </c>
      <c r="V15" s="23" t="s">
        <v>96</v>
      </c>
      <c r="W15" s="23" t="s">
        <v>97</v>
      </c>
      <c r="X15" s="23" t="s">
        <v>98</v>
      </c>
      <c r="Y15" s="23" t="s">
        <v>99</v>
      </c>
      <c r="Z15" s="23" t="s">
        <v>100</v>
      </c>
      <c r="AA15" s="23" t="s">
        <v>101</v>
      </c>
    </row>
    <row r="16" spans="2:29" ht="13.5" thickBot="1" x14ac:dyDescent="0.25">
      <c r="D16" s="39">
        <f>(B14/1000)/(1000000)</f>
        <v>1.037E-9</v>
      </c>
      <c r="E16" s="40" t="s">
        <v>188</v>
      </c>
      <c r="G16">
        <v>2019</v>
      </c>
      <c r="H16" s="6">
        <f t="shared" si="5"/>
        <v>286997</v>
      </c>
      <c r="I16" s="6">
        <f t="shared" si="6"/>
        <v>140220.31624810162</v>
      </c>
      <c r="K16" s="62"/>
      <c r="L16" s="62"/>
      <c r="M16" s="62"/>
      <c r="N16">
        <f>U16</f>
        <v>11965</v>
      </c>
      <c r="O16">
        <f>AA16</f>
        <v>81728</v>
      </c>
      <c r="P16">
        <f>W16+Z16+X16+Y16</f>
        <v>207725</v>
      </c>
      <c r="R16" s="24">
        <v>42551</v>
      </c>
      <c r="S16" s="16">
        <v>301418</v>
      </c>
      <c r="U16">
        <v>11965</v>
      </c>
      <c r="V16">
        <v>289453</v>
      </c>
      <c r="W16">
        <v>76321</v>
      </c>
      <c r="X16">
        <v>51634</v>
      </c>
      <c r="Y16">
        <v>79275</v>
      </c>
      <c r="Z16">
        <v>495</v>
      </c>
      <c r="AA16">
        <v>81728</v>
      </c>
    </row>
    <row r="17" spans="7:28" ht="13.5" thickBot="1" x14ac:dyDescent="0.25">
      <c r="G17">
        <v>2020</v>
      </c>
      <c r="H17" s="6">
        <f t="shared" si="5"/>
        <v>267373</v>
      </c>
      <c r="I17" s="6">
        <f t="shared" si="6"/>
        <v>133509.34473222276</v>
      </c>
      <c r="K17" s="62"/>
      <c r="L17" s="62"/>
      <c r="M17" s="62"/>
      <c r="N17">
        <f t="shared" ref="N17:N20" si="7">U17</f>
        <v>12311</v>
      </c>
      <c r="O17">
        <f t="shared" ref="O17:O20" si="8">AA17</f>
        <v>80589</v>
      </c>
      <c r="P17">
        <f t="shared" ref="P17:P20" si="9">W17+Z17+X17+Y17</f>
        <v>231982</v>
      </c>
      <c r="R17" s="24">
        <v>42916</v>
      </c>
      <c r="S17" s="16">
        <v>324882</v>
      </c>
      <c r="U17">
        <v>12311</v>
      </c>
      <c r="V17">
        <v>312571</v>
      </c>
      <c r="W17">
        <v>91028</v>
      </c>
      <c r="X17">
        <v>60096</v>
      </c>
      <c r="Y17">
        <v>80656</v>
      </c>
      <c r="Z17">
        <v>202</v>
      </c>
      <c r="AA17">
        <v>80589</v>
      </c>
    </row>
    <row r="18" spans="7:28" ht="13.5" thickBot="1" x14ac:dyDescent="0.25">
      <c r="G18" s="25" t="s">
        <v>80</v>
      </c>
      <c r="H18" s="26">
        <f>AVERAGE(H13:H17)</f>
        <v>258620.4</v>
      </c>
      <c r="I18" s="27">
        <f>AVERAGE(I13:I17)</f>
        <v>134013.31568172932</v>
      </c>
      <c r="K18" s="62"/>
      <c r="L18" s="62"/>
      <c r="M18" s="62"/>
      <c r="N18">
        <f t="shared" si="7"/>
        <v>13372</v>
      </c>
      <c r="O18">
        <f t="shared" si="8"/>
        <v>76549</v>
      </c>
      <c r="P18">
        <f t="shared" si="9"/>
        <v>218064</v>
      </c>
      <c r="R18" s="24">
        <v>43281</v>
      </c>
      <c r="S18" s="16">
        <v>307985</v>
      </c>
      <c r="U18">
        <v>13372</v>
      </c>
      <c r="V18">
        <v>294613</v>
      </c>
      <c r="W18">
        <v>83567</v>
      </c>
      <c r="X18">
        <v>57014</v>
      </c>
      <c r="Y18">
        <v>77303</v>
      </c>
      <c r="Z18">
        <v>180</v>
      </c>
      <c r="AA18">
        <v>76549</v>
      </c>
    </row>
    <row r="19" spans="7:28" x14ac:dyDescent="0.2">
      <c r="K19" s="62"/>
      <c r="L19" s="62"/>
      <c r="M19" s="62"/>
      <c r="N19">
        <f t="shared" si="7"/>
        <v>12797</v>
      </c>
      <c r="O19">
        <f t="shared" si="8"/>
        <v>105832</v>
      </c>
      <c r="P19">
        <f t="shared" si="9"/>
        <v>229636</v>
      </c>
      <c r="R19" s="24">
        <v>43646</v>
      </c>
      <c r="S19" s="16">
        <v>348265</v>
      </c>
      <c r="U19">
        <v>12797</v>
      </c>
      <c r="V19">
        <v>335468</v>
      </c>
      <c r="W19">
        <v>89967</v>
      </c>
      <c r="X19">
        <v>61010</v>
      </c>
      <c r="Y19">
        <v>78490</v>
      </c>
      <c r="Z19">
        <v>169</v>
      </c>
      <c r="AA19">
        <v>105832</v>
      </c>
    </row>
    <row r="20" spans="7:28" x14ac:dyDescent="0.2">
      <c r="G20" s="30" t="s">
        <v>102</v>
      </c>
      <c r="H20" t="s">
        <v>51</v>
      </c>
      <c r="K20" s="62"/>
      <c r="L20" s="62"/>
      <c r="M20" s="62"/>
      <c r="N20">
        <f t="shared" si="7"/>
        <v>11591</v>
      </c>
      <c r="O20">
        <f t="shared" si="8"/>
        <v>96101</v>
      </c>
      <c r="P20">
        <f t="shared" si="9"/>
        <v>220995</v>
      </c>
      <c r="R20" s="24">
        <v>44012</v>
      </c>
      <c r="S20" s="16">
        <v>328688</v>
      </c>
      <c r="U20">
        <v>11591</v>
      </c>
      <c r="V20">
        <v>317096</v>
      </c>
      <c r="W20">
        <v>87194</v>
      </c>
      <c r="X20">
        <v>55548</v>
      </c>
      <c r="Y20">
        <v>78130</v>
      </c>
      <c r="Z20">
        <v>123</v>
      </c>
      <c r="AA20">
        <v>96101</v>
      </c>
    </row>
    <row r="21" spans="7:28" ht="38.25" x14ac:dyDescent="0.2">
      <c r="G21" t="s">
        <v>53</v>
      </c>
      <c r="H21" s="16" t="s">
        <v>54</v>
      </c>
      <c r="I21" s="16" t="s">
        <v>55</v>
      </c>
      <c r="K21" s="62"/>
      <c r="L21" s="62"/>
      <c r="M21" s="62"/>
      <c r="S21" s="16"/>
    </row>
    <row r="22" spans="7:28" ht="31.5" x14ac:dyDescent="0.25">
      <c r="G22">
        <v>2016</v>
      </c>
      <c r="H22" s="6">
        <f>N35+O35+P35</f>
        <v>67600</v>
      </c>
      <c r="I22" s="6">
        <f>P35 + (N35)*(P35/(P35+O35))</f>
        <v>62189.942099922402</v>
      </c>
      <c r="K22" s="62"/>
      <c r="L22" s="62"/>
      <c r="M22" s="62"/>
      <c r="O22" s="16"/>
      <c r="P22" s="16"/>
      <c r="R22" s="29"/>
      <c r="S22" s="19" t="s">
        <v>103</v>
      </c>
    </row>
    <row r="23" spans="7:28" x14ac:dyDescent="0.2">
      <c r="G23">
        <v>2017</v>
      </c>
      <c r="H23" s="6">
        <f t="shared" ref="H23:H26" si="10">N36+O36+P36</f>
        <v>73496</v>
      </c>
      <c r="I23" s="6">
        <f t="shared" ref="I23:I26" si="11">P36 + (N36)*(P36/(P36+O36))</f>
        <v>68772.005703630581</v>
      </c>
      <c r="K23" s="62"/>
      <c r="L23" s="62"/>
      <c r="M23" s="62"/>
      <c r="R23" s="20" t="s">
        <v>56</v>
      </c>
      <c r="S23" s="21" t="s">
        <v>104</v>
      </c>
      <c r="T23" s="21" t="s">
        <v>105</v>
      </c>
      <c r="U23" s="21" t="s">
        <v>106</v>
      </c>
      <c r="V23" s="21" t="s">
        <v>107</v>
      </c>
      <c r="W23" s="21" t="s">
        <v>108</v>
      </c>
      <c r="X23" s="21" t="s">
        <v>109</v>
      </c>
      <c r="Y23" s="21" t="s">
        <v>110</v>
      </c>
      <c r="Z23" s="21" t="s">
        <v>111</v>
      </c>
      <c r="AA23" s="21" t="s">
        <v>112</v>
      </c>
      <c r="AB23" s="21" t="s">
        <v>113</v>
      </c>
    </row>
    <row r="24" spans="7:28" ht="89.25" x14ac:dyDescent="0.2">
      <c r="G24">
        <v>2018</v>
      </c>
      <c r="H24" s="6">
        <f t="shared" si="10"/>
        <v>79808</v>
      </c>
      <c r="I24" s="6">
        <f t="shared" si="11"/>
        <v>74646.14335435057</v>
      </c>
      <c r="K24" s="62"/>
      <c r="L24" s="62"/>
      <c r="M24" s="62"/>
      <c r="N24" s="16" t="s">
        <v>232</v>
      </c>
      <c r="O24" s="16" t="s">
        <v>230</v>
      </c>
      <c r="P24" s="16" t="s">
        <v>231</v>
      </c>
      <c r="R24" s="22" t="s">
        <v>68</v>
      </c>
      <c r="S24" s="23" t="s">
        <v>114</v>
      </c>
      <c r="T24" s="23" t="s">
        <v>115</v>
      </c>
      <c r="U24" s="23" t="s">
        <v>116</v>
      </c>
      <c r="V24" s="23" t="s">
        <v>117</v>
      </c>
      <c r="W24" s="23" t="s">
        <v>118</v>
      </c>
      <c r="X24" s="23" t="s">
        <v>119</v>
      </c>
      <c r="Y24" s="23" t="s">
        <v>120</v>
      </c>
      <c r="Z24" s="23" t="s">
        <v>121</v>
      </c>
      <c r="AA24" s="23" t="s">
        <v>122</v>
      </c>
      <c r="AB24" s="23" t="s">
        <v>123</v>
      </c>
    </row>
    <row r="25" spans="7:28" x14ac:dyDescent="0.2">
      <c r="G25">
        <v>2019</v>
      </c>
      <c r="H25" s="6">
        <f t="shared" si="10"/>
        <v>81433</v>
      </c>
      <c r="I25" s="6">
        <f t="shared" si="11"/>
        <v>75902.207042740964</v>
      </c>
      <c r="K25" s="62"/>
      <c r="L25" s="62"/>
      <c r="M25" s="62"/>
      <c r="N25">
        <f>V25</f>
        <v>4818</v>
      </c>
      <c r="O25">
        <f>AB25</f>
        <v>107003</v>
      </c>
      <c r="P25">
        <f>X25+Y25+Z25+AA25</f>
        <v>124051</v>
      </c>
      <c r="R25" s="24">
        <v>42551</v>
      </c>
      <c r="S25" s="16">
        <v>235912</v>
      </c>
      <c r="U25">
        <v>39</v>
      </c>
      <c r="V25">
        <v>4818</v>
      </c>
      <c r="W25">
        <v>231055</v>
      </c>
      <c r="X25">
        <v>39391</v>
      </c>
      <c r="Y25">
        <v>26667</v>
      </c>
      <c r="Z25">
        <v>57760</v>
      </c>
      <c r="AA25">
        <v>233</v>
      </c>
      <c r="AB25">
        <v>107003</v>
      </c>
    </row>
    <row r="26" spans="7:28" ht="13.5" thickBot="1" x14ac:dyDescent="0.25">
      <c r="G26">
        <v>2020</v>
      </c>
      <c r="H26" s="6">
        <f t="shared" si="10"/>
        <v>76866</v>
      </c>
      <c r="I26" s="6">
        <f t="shared" si="11"/>
        <v>72424.51337514566</v>
      </c>
      <c r="K26" s="62"/>
      <c r="L26" s="62"/>
      <c r="M26" s="62"/>
      <c r="N26">
        <f t="shared" ref="N26:N29" si="12">V26</f>
        <v>5298</v>
      </c>
      <c r="O26">
        <f t="shared" ref="O26:O29" si="13">AB26</f>
        <v>104362</v>
      </c>
      <c r="P26">
        <f t="shared" ref="P26:P29" si="14">X26+Y26+Z26+AA26</f>
        <v>137514</v>
      </c>
      <c r="R26" s="24">
        <v>42916</v>
      </c>
      <c r="S26" s="16">
        <v>247206</v>
      </c>
      <c r="U26">
        <v>31</v>
      </c>
      <c r="V26">
        <v>5298</v>
      </c>
      <c r="W26">
        <v>241877</v>
      </c>
      <c r="X26">
        <v>47841</v>
      </c>
      <c r="Y26">
        <v>31763</v>
      </c>
      <c r="Z26">
        <v>57849</v>
      </c>
      <c r="AA26">
        <v>61</v>
      </c>
      <c r="AB26">
        <v>104362</v>
      </c>
    </row>
    <row r="27" spans="7:28" ht="13.5" thickBot="1" x14ac:dyDescent="0.25">
      <c r="G27" s="25" t="s">
        <v>80</v>
      </c>
      <c r="H27" s="26">
        <f>AVERAGE(H22:H26)</f>
        <v>75840.600000000006</v>
      </c>
      <c r="I27" s="27">
        <f>AVERAGE(I22:I26)</f>
        <v>70786.962315158031</v>
      </c>
      <c r="K27" s="62"/>
      <c r="L27" s="62"/>
      <c r="M27" s="62"/>
      <c r="N27">
        <f t="shared" si="12"/>
        <v>6362</v>
      </c>
      <c r="O27">
        <f t="shared" si="13"/>
        <v>123365</v>
      </c>
      <c r="P27">
        <f t="shared" si="14"/>
        <v>125959</v>
      </c>
      <c r="R27" s="24">
        <v>43281</v>
      </c>
      <c r="S27" s="16">
        <v>255713</v>
      </c>
      <c r="U27">
        <v>26</v>
      </c>
      <c r="V27">
        <v>6362</v>
      </c>
      <c r="W27">
        <v>249324</v>
      </c>
      <c r="X27">
        <v>42625</v>
      </c>
      <c r="Y27">
        <v>28997</v>
      </c>
      <c r="Z27">
        <v>54267</v>
      </c>
      <c r="AA27">
        <v>70</v>
      </c>
      <c r="AB27">
        <v>123365</v>
      </c>
    </row>
    <row r="28" spans="7:28" x14ac:dyDescent="0.2">
      <c r="K28" s="62"/>
      <c r="L28" s="62"/>
      <c r="M28" s="62"/>
      <c r="N28">
        <f t="shared" si="12"/>
        <v>5838</v>
      </c>
      <c r="O28">
        <f t="shared" si="13"/>
        <v>143791</v>
      </c>
      <c r="P28">
        <f t="shared" si="14"/>
        <v>137368</v>
      </c>
      <c r="R28" s="24">
        <v>43646</v>
      </c>
      <c r="S28" s="16">
        <v>287017</v>
      </c>
      <c r="U28">
        <v>20</v>
      </c>
      <c r="V28">
        <v>5838</v>
      </c>
      <c r="W28">
        <v>281160</v>
      </c>
      <c r="X28">
        <v>47927</v>
      </c>
      <c r="Y28">
        <v>32379</v>
      </c>
      <c r="Z28">
        <v>57008</v>
      </c>
      <c r="AA28">
        <v>54</v>
      </c>
      <c r="AB28">
        <v>143791</v>
      </c>
    </row>
    <row r="29" spans="7:28" x14ac:dyDescent="0.2">
      <c r="G29" s="31" t="s">
        <v>16</v>
      </c>
      <c r="H29" t="s">
        <v>51</v>
      </c>
      <c r="K29" s="62"/>
      <c r="L29" s="62"/>
      <c r="M29" s="62"/>
      <c r="N29">
        <f t="shared" si="12"/>
        <v>7026</v>
      </c>
      <c r="O29">
        <f t="shared" si="13"/>
        <v>130346</v>
      </c>
      <c r="P29">
        <f t="shared" si="14"/>
        <v>130001</v>
      </c>
      <c r="R29" s="24">
        <v>44012</v>
      </c>
      <c r="S29" s="16">
        <v>267388</v>
      </c>
      <c r="U29">
        <v>16</v>
      </c>
      <c r="V29">
        <v>7026</v>
      </c>
      <c r="W29">
        <v>260347</v>
      </c>
      <c r="X29">
        <v>45487</v>
      </c>
      <c r="Y29">
        <v>28351</v>
      </c>
      <c r="Z29">
        <v>56114</v>
      </c>
      <c r="AA29">
        <v>49</v>
      </c>
      <c r="AB29">
        <v>130346</v>
      </c>
    </row>
    <row r="30" spans="7:28" ht="38.25" x14ac:dyDescent="0.2">
      <c r="G30" t="s">
        <v>53</v>
      </c>
      <c r="H30" s="16" t="s">
        <v>54</v>
      </c>
      <c r="I30" s="16" t="s">
        <v>55</v>
      </c>
      <c r="K30" s="62"/>
      <c r="L30" s="62"/>
      <c r="M30" s="62"/>
      <c r="S30" s="16"/>
    </row>
    <row r="31" spans="7:28" x14ac:dyDescent="0.2">
      <c r="G31">
        <v>2016</v>
      </c>
      <c r="H31" s="6">
        <f>N44+O44+P44</f>
        <v>106254</v>
      </c>
      <c r="I31" s="6">
        <f>P44 + (N44)*(P44/(P44+O44))</f>
        <v>81657.306911618667</v>
      </c>
      <c r="K31" s="62"/>
      <c r="L31" s="62"/>
      <c r="M31" s="62"/>
      <c r="S31" s="16"/>
    </row>
    <row r="32" spans="7:28" ht="31.5" x14ac:dyDescent="0.25">
      <c r="G32">
        <v>2017</v>
      </c>
      <c r="H32" s="6">
        <f t="shared" ref="H32:H35" si="15">N45+O45+P45</f>
        <v>111274</v>
      </c>
      <c r="I32" s="6">
        <f t="shared" ref="I32:I35" si="16">P45 + (N45)*(P45/(P45+O45))</f>
        <v>89185.151395556226</v>
      </c>
      <c r="K32" s="62"/>
      <c r="L32" s="62"/>
      <c r="M32" s="62"/>
      <c r="R32" s="29"/>
      <c r="S32" s="19" t="s">
        <v>124</v>
      </c>
    </row>
    <row r="33" spans="7:29" x14ac:dyDescent="0.2">
      <c r="G33">
        <v>2018</v>
      </c>
      <c r="H33" s="6">
        <f t="shared" si="15"/>
        <v>111643</v>
      </c>
      <c r="I33" s="6">
        <f t="shared" si="16"/>
        <v>86485.614947668888</v>
      </c>
      <c r="K33" s="62"/>
      <c r="L33" s="62"/>
      <c r="M33" s="62"/>
      <c r="R33" s="20" t="s">
        <v>56</v>
      </c>
      <c r="S33" s="21" t="s">
        <v>125</v>
      </c>
      <c r="T33" s="21" t="s">
        <v>126</v>
      </c>
      <c r="U33" s="21" t="s">
        <v>127</v>
      </c>
      <c r="V33" s="21" t="s">
        <v>128</v>
      </c>
      <c r="W33" s="21" t="s">
        <v>129</v>
      </c>
      <c r="X33" s="21" t="s">
        <v>130</v>
      </c>
      <c r="Y33" s="21" t="s">
        <v>131</v>
      </c>
      <c r="Z33" s="21" t="s">
        <v>132</v>
      </c>
      <c r="AA33" s="21" t="s">
        <v>133</v>
      </c>
      <c r="AB33" s="21" t="s">
        <v>134</v>
      </c>
      <c r="AC33" s="21" t="s">
        <v>135</v>
      </c>
    </row>
    <row r="34" spans="7:29" ht="89.25" x14ac:dyDescent="0.2">
      <c r="G34">
        <v>2019</v>
      </c>
      <c r="H34" s="6">
        <f t="shared" si="15"/>
        <v>129302</v>
      </c>
      <c r="I34" s="6">
        <f t="shared" si="16"/>
        <v>95968.832039265253</v>
      </c>
      <c r="K34" s="62"/>
      <c r="L34" s="62"/>
      <c r="M34" s="62"/>
      <c r="N34" s="16" t="s">
        <v>232</v>
      </c>
      <c r="O34" s="16" t="s">
        <v>230</v>
      </c>
      <c r="P34" s="16" t="s">
        <v>231</v>
      </c>
      <c r="R34" s="22" t="s">
        <v>68</v>
      </c>
      <c r="S34" s="23" t="s">
        <v>136</v>
      </c>
      <c r="T34" s="23" t="s">
        <v>137</v>
      </c>
      <c r="U34" s="23" t="s">
        <v>138</v>
      </c>
      <c r="V34" s="23" t="s">
        <v>139</v>
      </c>
      <c r="W34" s="23" t="s">
        <v>140</v>
      </c>
      <c r="X34" s="23" t="s">
        <v>141</v>
      </c>
      <c r="Y34" s="23" t="s">
        <v>142</v>
      </c>
      <c r="Z34" s="23" t="s">
        <v>143</v>
      </c>
      <c r="AA34" s="23" t="s">
        <v>144</v>
      </c>
      <c r="AB34" s="23" t="s">
        <v>145</v>
      </c>
      <c r="AC34" s="23" t="s">
        <v>146</v>
      </c>
    </row>
    <row r="35" spans="7:29" ht="13.5" thickBot="1" x14ac:dyDescent="0.25">
      <c r="G35">
        <v>2020</v>
      </c>
      <c r="H35" s="6">
        <f t="shared" si="15"/>
        <v>126727</v>
      </c>
      <c r="I35" s="6">
        <f t="shared" si="16"/>
        <v>94003.010829753941</v>
      </c>
      <c r="K35" s="62"/>
      <c r="L35" s="62"/>
      <c r="M35" s="62"/>
      <c r="N35">
        <f>V35</f>
        <v>588</v>
      </c>
      <c r="O35">
        <f>AC35</f>
        <v>5363</v>
      </c>
      <c r="P35">
        <f>Y35+Z35+AA35+AB35</f>
        <v>61649</v>
      </c>
      <c r="R35" s="24">
        <v>42551</v>
      </c>
      <c r="S35" s="16">
        <v>75037</v>
      </c>
      <c r="U35">
        <v>2826</v>
      </c>
      <c r="V35">
        <v>588</v>
      </c>
      <c r="W35">
        <v>4612</v>
      </c>
      <c r="X35">
        <v>67011</v>
      </c>
      <c r="Y35">
        <v>19100</v>
      </c>
      <c r="Z35">
        <v>21314</v>
      </c>
      <c r="AA35">
        <v>21233</v>
      </c>
      <c r="AB35">
        <v>2</v>
      </c>
      <c r="AC35">
        <v>5363</v>
      </c>
    </row>
    <row r="36" spans="7:29" ht="13.5" thickBot="1" x14ac:dyDescent="0.25">
      <c r="G36" s="25" t="s">
        <v>80</v>
      </c>
      <c r="H36" s="26">
        <f>AVERAGE(H31:H35)</f>
        <v>117040</v>
      </c>
      <c r="I36" s="27">
        <f>AVERAGE(I31:I35)</f>
        <v>89459.983224772586</v>
      </c>
      <c r="K36" s="62"/>
      <c r="L36" s="62"/>
      <c r="M36" s="62"/>
      <c r="N36">
        <f t="shared" ref="N36:N39" si="17">V36</f>
        <v>560</v>
      </c>
      <c r="O36">
        <f t="shared" ref="O36:O39" si="18">AC36</f>
        <v>4688</v>
      </c>
      <c r="P36">
        <f t="shared" ref="P36:P39" si="19">Y36+Z36+AA36+AB36</f>
        <v>68248</v>
      </c>
      <c r="R36" s="24">
        <v>42916</v>
      </c>
      <c r="S36" s="16">
        <v>80036</v>
      </c>
      <c r="U36">
        <v>2753</v>
      </c>
      <c r="V36">
        <v>560</v>
      </c>
      <c r="W36">
        <v>3789</v>
      </c>
      <c r="X36">
        <v>72935</v>
      </c>
      <c r="Y36">
        <v>21481</v>
      </c>
      <c r="Z36">
        <v>23374</v>
      </c>
      <c r="AA36">
        <v>23393</v>
      </c>
      <c r="AC36">
        <v>4688</v>
      </c>
    </row>
    <row r="37" spans="7:29" x14ac:dyDescent="0.2">
      <c r="K37" s="62"/>
      <c r="L37" s="62"/>
      <c r="M37" s="62"/>
      <c r="N37">
        <f t="shared" si="17"/>
        <v>508</v>
      </c>
      <c r="O37">
        <f t="shared" si="18"/>
        <v>5129</v>
      </c>
      <c r="P37">
        <f t="shared" si="19"/>
        <v>74171</v>
      </c>
      <c r="R37" s="24">
        <v>43281</v>
      </c>
      <c r="S37" s="16">
        <v>87034</v>
      </c>
      <c r="U37">
        <v>2919</v>
      </c>
      <c r="V37">
        <v>508</v>
      </c>
      <c r="W37">
        <v>4308</v>
      </c>
      <c r="X37">
        <v>79300</v>
      </c>
      <c r="Y37">
        <v>22619</v>
      </c>
      <c r="Z37">
        <v>26308</v>
      </c>
      <c r="AA37">
        <v>25244</v>
      </c>
      <c r="AC37">
        <v>5129</v>
      </c>
    </row>
    <row r="38" spans="7:29" x14ac:dyDescent="0.2">
      <c r="G38" s="32" t="s">
        <v>33</v>
      </c>
      <c r="H38" t="s">
        <v>51</v>
      </c>
      <c r="K38" s="62"/>
      <c r="L38" s="62"/>
      <c r="M38" s="62"/>
      <c r="N38">
        <f t="shared" si="17"/>
        <v>527</v>
      </c>
      <c r="O38">
        <f t="shared" si="18"/>
        <v>5495</v>
      </c>
      <c r="P38">
        <f t="shared" si="19"/>
        <v>75411</v>
      </c>
      <c r="R38" s="24">
        <v>43646</v>
      </c>
      <c r="S38" s="16">
        <v>88321</v>
      </c>
      <c r="U38">
        <v>3494</v>
      </c>
      <c r="V38">
        <v>527</v>
      </c>
      <c r="W38">
        <v>3394</v>
      </c>
      <c r="X38">
        <v>80906</v>
      </c>
      <c r="Y38">
        <v>23932</v>
      </c>
      <c r="Z38">
        <v>27790</v>
      </c>
      <c r="AA38">
        <v>23689</v>
      </c>
      <c r="AB38">
        <v>0</v>
      </c>
      <c r="AC38">
        <v>5495</v>
      </c>
    </row>
    <row r="39" spans="7:29" ht="38.25" x14ac:dyDescent="0.2">
      <c r="G39" t="s">
        <v>53</v>
      </c>
      <c r="H39" s="16" t="s">
        <v>54</v>
      </c>
      <c r="I39" s="16" t="s">
        <v>55</v>
      </c>
      <c r="K39" s="62"/>
      <c r="L39" s="62"/>
      <c r="M39" s="62"/>
      <c r="N39">
        <f t="shared" si="17"/>
        <v>493</v>
      </c>
      <c r="O39">
        <f t="shared" si="18"/>
        <v>4413</v>
      </c>
      <c r="P39">
        <f t="shared" si="19"/>
        <v>71960</v>
      </c>
      <c r="R39" s="24">
        <v>44012</v>
      </c>
      <c r="S39" s="16">
        <v>82590</v>
      </c>
      <c r="U39">
        <v>2428</v>
      </c>
      <c r="V39">
        <v>493</v>
      </c>
      <c r="W39">
        <v>3296</v>
      </c>
      <c r="X39">
        <v>76373</v>
      </c>
      <c r="Y39">
        <v>21764</v>
      </c>
      <c r="Z39">
        <v>25598</v>
      </c>
      <c r="AA39">
        <v>24598</v>
      </c>
      <c r="AB39">
        <v>0</v>
      </c>
      <c r="AC39">
        <v>4413</v>
      </c>
    </row>
    <row r="40" spans="7:29" x14ac:dyDescent="0.2">
      <c r="G40">
        <v>2016</v>
      </c>
      <c r="H40" s="6">
        <f>N5+O5+P5</f>
        <v>25898890</v>
      </c>
      <c r="I40" s="6">
        <f>P5 + (N5)*(P5/(P5+O5))</f>
        <v>15641639.932381829</v>
      </c>
      <c r="K40" s="62"/>
      <c r="L40" s="62"/>
      <c r="M40" s="62"/>
      <c r="S40" s="16"/>
    </row>
    <row r="41" spans="7:29" ht="31.5" x14ac:dyDescent="0.25">
      <c r="G41">
        <v>2017</v>
      </c>
      <c r="H41" s="6">
        <f t="shared" ref="H41:H44" si="20">N6+O6+P6</f>
        <v>25556765</v>
      </c>
      <c r="I41" s="6">
        <f t="shared" ref="I41:I44" si="21">P6 + (N6)*(P6/(P6+O6))</f>
        <v>16021821.587336252</v>
      </c>
      <c r="K41" s="62"/>
      <c r="L41" s="62"/>
      <c r="M41" s="62"/>
      <c r="R41" s="29"/>
      <c r="S41" s="19" t="s">
        <v>147</v>
      </c>
    </row>
    <row r="42" spans="7:29" ht="24" x14ac:dyDescent="0.2">
      <c r="G42">
        <v>2018</v>
      </c>
      <c r="H42" s="6">
        <f t="shared" si="20"/>
        <v>28444693</v>
      </c>
      <c r="I42" s="6">
        <f t="shared" si="21"/>
        <v>17519078.667648125</v>
      </c>
      <c r="K42" s="62"/>
      <c r="L42" s="62"/>
      <c r="M42" s="62"/>
      <c r="R42" s="20" t="s">
        <v>56</v>
      </c>
      <c r="S42" s="21" t="s">
        <v>148</v>
      </c>
      <c r="T42" s="21" t="s">
        <v>149</v>
      </c>
      <c r="U42" s="21" t="s">
        <v>150</v>
      </c>
      <c r="V42" s="21" t="s">
        <v>151</v>
      </c>
      <c r="W42" s="21" t="s">
        <v>152</v>
      </c>
      <c r="X42" s="21" t="s">
        <v>153</v>
      </c>
      <c r="Y42" s="21" t="s">
        <v>154</v>
      </c>
      <c r="Z42" s="21" t="s">
        <v>155</v>
      </c>
      <c r="AA42" s="21" t="s">
        <v>156</v>
      </c>
      <c r="AB42" s="21" t="s">
        <v>157</v>
      </c>
      <c r="AC42" s="21" t="s">
        <v>158</v>
      </c>
    </row>
    <row r="43" spans="7:29" ht="76.5" x14ac:dyDescent="0.2">
      <c r="G43">
        <v>2019</v>
      </c>
      <c r="H43" s="6">
        <f t="shared" si="20"/>
        <v>29309102</v>
      </c>
      <c r="I43" s="6">
        <f t="shared" si="21"/>
        <v>17614786.663335171</v>
      </c>
      <c r="K43" s="62"/>
      <c r="L43" s="62"/>
      <c r="M43" s="62"/>
      <c r="N43" s="16" t="s">
        <v>232</v>
      </c>
      <c r="O43" s="16" t="s">
        <v>230</v>
      </c>
      <c r="P43" s="16" t="s">
        <v>231</v>
      </c>
      <c r="R43" s="22" t="s">
        <v>68</v>
      </c>
      <c r="S43" s="23" t="s">
        <v>159</v>
      </c>
      <c r="T43" s="23" t="s">
        <v>160</v>
      </c>
      <c r="U43" s="23" t="s">
        <v>161</v>
      </c>
      <c r="V43" s="23" t="s">
        <v>162</v>
      </c>
      <c r="W43" s="23" t="s">
        <v>163</v>
      </c>
      <c r="X43" s="23" t="s">
        <v>164</v>
      </c>
      <c r="Y43" s="23" t="s">
        <v>165</v>
      </c>
      <c r="Z43" s="23" t="s">
        <v>166</v>
      </c>
      <c r="AA43" s="23" t="s">
        <v>167</v>
      </c>
      <c r="AB43" s="23" t="s">
        <v>168</v>
      </c>
      <c r="AC43" s="23" t="s">
        <v>169</v>
      </c>
    </row>
    <row r="44" spans="7:29" ht="13.5" thickBot="1" x14ac:dyDescent="0.25">
      <c r="G44">
        <v>2020</v>
      </c>
      <c r="H44" s="6">
        <f t="shared" si="20"/>
        <v>28667481</v>
      </c>
      <c r="I44" s="6">
        <f t="shared" si="21"/>
        <v>16628557.90784557</v>
      </c>
      <c r="K44" s="62"/>
      <c r="L44" s="62"/>
      <c r="M44" s="62"/>
      <c r="N44">
        <f>W44</f>
        <v>5554</v>
      </c>
      <c r="O44">
        <f>AC44</f>
        <v>23311</v>
      </c>
      <c r="P44">
        <f>Y44+Z44+AA44+AB44</f>
        <v>77389</v>
      </c>
      <c r="R44" s="24">
        <v>42551</v>
      </c>
      <c r="S44" s="16">
        <v>106306</v>
      </c>
      <c r="V44">
        <v>50</v>
      </c>
      <c r="W44">
        <v>5554</v>
      </c>
      <c r="X44">
        <v>100701</v>
      </c>
      <c r="Y44">
        <v>24889</v>
      </c>
      <c r="Z44">
        <v>17598</v>
      </c>
      <c r="AA44">
        <v>34761</v>
      </c>
      <c r="AB44">
        <v>141</v>
      </c>
      <c r="AC44">
        <v>23311</v>
      </c>
    </row>
    <row r="45" spans="7:29" ht="13.5" thickBot="1" x14ac:dyDescent="0.25">
      <c r="G45" s="25" t="s">
        <v>80</v>
      </c>
      <c r="H45" s="26">
        <f>AVERAGE(H40:H44)</f>
        <v>27575386.199999999</v>
      </c>
      <c r="I45" s="27">
        <f>AVERAGE(I40:I44)</f>
        <v>16685176.95170939</v>
      </c>
      <c r="K45" s="62"/>
      <c r="L45" s="62"/>
      <c r="M45" s="62"/>
      <c r="N45">
        <f t="shared" ref="N45:N48" si="22">W45</f>
        <v>5868</v>
      </c>
      <c r="O45">
        <f t="shared" ref="O45:O48" si="23">AC45</f>
        <v>20924</v>
      </c>
      <c r="P45">
        <f t="shared" ref="P45:P48" si="24">Y45+Z45+AA45+AB45</f>
        <v>84482</v>
      </c>
      <c r="R45" s="24">
        <v>42916</v>
      </c>
      <c r="S45" s="16">
        <v>111334</v>
      </c>
      <c r="U45">
        <v>1</v>
      </c>
      <c r="V45">
        <v>59</v>
      </c>
      <c r="W45">
        <v>5868</v>
      </c>
      <c r="X45">
        <v>105406</v>
      </c>
      <c r="Y45">
        <v>28799</v>
      </c>
      <c r="Z45">
        <v>19777</v>
      </c>
      <c r="AA45">
        <v>35856</v>
      </c>
      <c r="AB45">
        <v>50</v>
      </c>
      <c r="AC45">
        <v>20924</v>
      </c>
    </row>
    <row r="46" spans="7:29" x14ac:dyDescent="0.2">
      <c r="K46" s="62"/>
      <c r="L46" s="62"/>
      <c r="M46" s="62"/>
      <c r="N46">
        <f t="shared" si="22"/>
        <v>6543</v>
      </c>
      <c r="O46">
        <f t="shared" si="23"/>
        <v>23683</v>
      </c>
      <c r="P46">
        <f t="shared" si="24"/>
        <v>81417</v>
      </c>
      <c r="R46" s="24">
        <v>43281</v>
      </c>
      <c r="S46" s="16">
        <v>111700</v>
      </c>
      <c r="U46">
        <v>5</v>
      </c>
      <c r="V46">
        <v>52</v>
      </c>
      <c r="W46">
        <v>6543</v>
      </c>
      <c r="X46">
        <v>105100</v>
      </c>
      <c r="Y46">
        <v>27487</v>
      </c>
      <c r="Z46">
        <v>19113</v>
      </c>
      <c r="AA46">
        <v>34761</v>
      </c>
      <c r="AB46">
        <v>56</v>
      </c>
      <c r="AC46">
        <v>23683</v>
      </c>
    </row>
    <row r="47" spans="7:29" x14ac:dyDescent="0.2">
      <c r="G47" s="33" t="s">
        <v>8</v>
      </c>
      <c r="H47" t="s">
        <v>51</v>
      </c>
      <c r="K47" s="62"/>
      <c r="L47" s="62"/>
      <c r="M47" s="62"/>
      <c r="N47">
        <f t="shared" si="22"/>
        <v>7464</v>
      </c>
      <c r="O47">
        <f t="shared" si="23"/>
        <v>31409</v>
      </c>
      <c r="P47">
        <f t="shared" si="24"/>
        <v>90429</v>
      </c>
      <c r="R47" s="24">
        <v>43646</v>
      </c>
      <c r="S47" s="16">
        <v>129376</v>
      </c>
      <c r="U47">
        <v>27</v>
      </c>
      <c r="V47">
        <v>47</v>
      </c>
      <c r="W47">
        <v>7464</v>
      </c>
      <c r="X47">
        <v>121838</v>
      </c>
      <c r="Y47">
        <v>30803</v>
      </c>
      <c r="Z47">
        <v>20971</v>
      </c>
      <c r="AA47">
        <v>38598</v>
      </c>
      <c r="AB47">
        <v>57</v>
      </c>
      <c r="AC47">
        <v>31409</v>
      </c>
    </row>
    <row r="48" spans="7:29" ht="38.25" x14ac:dyDescent="0.2">
      <c r="G48" t="s">
        <v>53</v>
      </c>
      <c r="H48" s="16" t="s">
        <v>54</v>
      </c>
      <c r="I48" s="16" t="s">
        <v>55</v>
      </c>
      <c r="K48" s="62"/>
      <c r="L48" s="62"/>
      <c r="M48" s="62"/>
      <c r="N48">
        <f t="shared" si="22"/>
        <v>6595</v>
      </c>
      <c r="O48">
        <f t="shared" si="23"/>
        <v>31021</v>
      </c>
      <c r="P48">
        <f t="shared" si="24"/>
        <v>89111</v>
      </c>
      <c r="R48" s="24">
        <v>44012</v>
      </c>
      <c r="S48" s="16">
        <v>126737</v>
      </c>
      <c r="U48">
        <v>5</v>
      </c>
      <c r="V48">
        <v>6</v>
      </c>
      <c r="W48">
        <v>6595</v>
      </c>
      <c r="X48">
        <v>120131</v>
      </c>
      <c r="Y48">
        <v>30668</v>
      </c>
      <c r="Z48">
        <v>20001</v>
      </c>
      <c r="AA48">
        <v>38390</v>
      </c>
      <c r="AB48">
        <v>52</v>
      </c>
      <c r="AC48">
        <v>31021</v>
      </c>
    </row>
    <row r="49" spans="7:19" x14ac:dyDescent="0.2">
      <c r="G49">
        <v>2016</v>
      </c>
      <c r="H49" s="6">
        <f>H4+H13+H22+H31</f>
        <v>711144</v>
      </c>
      <c r="I49" s="6">
        <f>I4+I13+I22+I31</f>
        <v>486796.636914859</v>
      </c>
      <c r="K49" s="62"/>
      <c r="L49" s="62"/>
      <c r="M49" s="62"/>
      <c r="S49" s="16"/>
    </row>
    <row r="50" spans="7:19" x14ac:dyDescent="0.2">
      <c r="G50">
        <v>2017</v>
      </c>
      <c r="H50" s="6">
        <f t="shared" ref="H50:I53" si="25">H5+H14+H23+H32</f>
        <v>756826</v>
      </c>
      <c r="I50" s="6">
        <f t="shared" si="25"/>
        <v>539602.13562856056</v>
      </c>
      <c r="K50" s="62"/>
      <c r="L50" s="62"/>
      <c r="M50" s="62"/>
    </row>
    <row r="51" spans="7:19" x14ac:dyDescent="0.2">
      <c r="G51">
        <v>2018</v>
      </c>
      <c r="H51" s="6">
        <f t="shared" si="25"/>
        <v>755122</v>
      </c>
      <c r="I51" s="6">
        <f t="shared" si="25"/>
        <v>518266.42051379895</v>
      </c>
      <c r="K51" s="62"/>
      <c r="L51" s="62"/>
      <c r="M51" s="62"/>
    </row>
    <row r="52" spans="7:19" x14ac:dyDescent="0.2">
      <c r="G52">
        <v>2019</v>
      </c>
      <c r="H52" s="6">
        <f t="shared" si="25"/>
        <v>845997</v>
      </c>
      <c r="I52" s="6">
        <f t="shared" si="25"/>
        <v>550487.21287836879</v>
      </c>
      <c r="K52" s="62"/>
      <c r="L52" s="62"/>
      <c r="M52" s="62"/>
    </row>
    <row r="53" spans="7:19" ht="13.5" thickBot="1" x14ac:dyDescent="0.25">
      <c r="G53">
        <v>2020</v>
      </c>
      <c r="H53" s="6">
        <f t="shared" si="25"/>
        <v>799653</v>
      </c>
      <c r="I53" s="6">
        <f t="shared" si="25"/>
        <v>529010.03152826196</v>
      </c>
      <c r="K53" s="62"/>
      <c r="L53" s="62"/>
      <c r="M53" s="62"/>
    </row>
    <row r="54" spans="7:19" ht="13.5" thickBot="1" x14ac:dyDescent="0.25">
      <c r="G54" s="25" t="s">
        <v>80</v>
      </c>
      <c r="H54" s="26">
        <f>AVERAGE(H49:H53)</f>
        <v>773748.4</v>
      </c>
      <c r="I54" s="27">
        <f>AVERAGE(I49:I53)</f>
        <v>524832.48749276984</v>
      </c>
      <c r="K54" s="62"/>
      <c r="L54" s="62"/>
      <c r="M54" s="62"/>
    </row>
    <row r="55" spans="7:19" x14ac:dyDescent="0.2">
      <c r="K55" s="62"/>
      <c r="L55" s="62"/>
      <c r="M55" s="62"/>
    </row>
    <row r="56" spans="7:19" x14ac:dyDescent="0.2">
      <c r="K56" s="62"/>
      <c r="L56" s="62"/>
      <c r="M56" s="62"/>
    </row>
    <row r="57" spans="7:19" x14ac:dyDescent="0.2">
      <c r="K57" s="62"/>
      <c r="L57" s="62"/>
      <c r="M57" s="62"/>
    </row>
    <row r="58" spans="7:19" x14ac:dyDescent="0.2">
      <c r="K58" s="62"/>
      <c r="L58" s="62"/>
      <c r="M58" s="6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26FD9-0D56-420A-8C5A-E24AB62F324C}">
  <dimension ref="B1:M113"/>
  <sheetViews>
    <sheetView zoomScaleNormal="100" workbookViewId="0">
      <selection activeCell="J3" sqref="J3:L21"/>
    </sheetView>
  </sheetViews>
  <sheetFormatPr defaultRowHeight="12.75" x14ac:dyDescent="0.2"/>
  <cols>
    <col min="2" max="2" width="93.140625" bestFit="1" customWidth="1"/>
    <col min="4" max="4" width="25.42578125" bestFit="1" customWidth="1"/>
    <col min="5" max="5" width="21" bestFit="1" customWidth="1"/>
    <col min="6" max="6" width="17.85546875" bestFit="1" customWidth="1"/>
    <col min="7" max="7" width="12.5703125" bestFit="1" customWidth="1"/>
    <col min="8" max="8" width="20.140625" bestFit="1" customWidth="1"/>
    <col min="9" max="9" width="26.28515625" bestFit="1" customWidth="1"/>
    <col min="10" max="10" width="13.85546875" bestFit="1" customWidth="1"/>
    <col min="11" max="11" width="15" customWidth="1"/>
    <col min="12" max="12" width="13.42578125" bestFit="1" customWidth="1"/>
    <col min="13" max="13" width="12.7109375" bestFit="1" customWidth="1"/>
  </cols>
  <sheetData>
    <row r="1" spans="2:12" ht="13.5" thickBot="1" x14ac:dyDescent="0.25"/>
    <row r="2" spans="2:12" ht="77.25" thickBot="1" x14ac:dyDescent="0.25">
      <c r="B2" s="42" t="s">
        <v>171</v>
      </c>
      <c r="D2" s="64" t="s">
        <v>1</v>
      </c>
      <c r="E2" s="65" t="s">
        <v>184</v>
      </c>
      <c r="F2" s="66" t="s">
        <v>235</v>
      </c>
      <c r="G2" s="66" t="s">
        <v>237</v>
      </c>
      <c r="H2" s="66" t="s">
        <v>233</v>
      </c>
      <c r="I2" s="66" t="s">
        <v>187</v>
      </c>
      <c r="J2" s="67" t="s">
        <v>236</v>
      </c>
      <c r="K2" s="66" t="s">
        <v>194</v>
      </c>
      <c r="L2" s="67" t="s">
        <v>234</v>
      </c>
    </row>
    <row r="3" spans="2:12" x14ac:dyDescent="0.2">
      <c r="B3" s="43" t="s">
        <v>172</v>
      </c>
      <c r="D3" s="68" t="s">
        <v>33</v>
      </c>
      <c r="E3" s="69" t="s">
        <v>185</v>
      </c>
      <c r="F3" s="70">
        <f>F48</f>
        <v>812.8</v>
      </c>
      <c r="G3" s="71">
        <f>F49</f>
        <v>486.6</v>
      </c>
      <c r="H3" s="70">
        <f>F3+G3</f>
        <v>1299.4000000000001</v>
      </c>
      <c r="I3" s="70">
        <f>'Natural Gas Consumption'!I45*'Natural Gas Consumption'!D14</f>
        <v>17302.528498922635</v>
      </c>
      <c r="J3" s="82">
        <f>100*(F3/I3)</f>
        <v>4.6975793165178716</v>
      </c>
      <c r="K3" s="83">
        <f>100*(G3/I3)</f>
        <v>2.8123057276299175</v>
      </c>
      <c r="L3" s="82">
        <f>100*(H3/I3)</f>
        <v>7.50988504414779</v>
      </c>
    </row>
    <row r="4" spans="2:12" x14ac:dyDescent="0.2">
      <c r="B4" s="43" t="s">
        <v>173</v>
      </c>
      <c r="D4" s="68" t="s">
        <v>33</v>
      </c>
      <c r="E4" s="69" t="s">
        <v>186</v>
      </c>
      <c r="F4" s="70">
        <f>G48</f>
        <v>1425.3000000000002</v>
      </c>
      <c r="G4" s="71">
        <f>G49</f>
        <v>1713.9</v>
      </c>
      <c r="H4" s="70">
        <f>F4+G4</f>
        <v>3139.2000000000003</v>
      </c>
      <c r="I4" s="70">
        <f>I3</f>
        <v>17302.528498922635</v>
      </c>
      <c r="J4" s="82">
        <f>100*(F4/I4)</f>
        <v>8.2375243600306653</v>
      </c>
      <c r="K4" s="83">
        <f>100*(G4/I4)</f>
        <v>9.9054886695127724</v>
      </c>
      <c r="L4" s="82">
        <f>100*(H4/I4)</f>
        <v>18.14301302954344</v>
      </c>
    </row>
    <row r="5" spans="2:12" x14ac:dyDescent="0.2">
      <c r="B5" s="43" t="s">
        <v>174</v>
      </c>
      <c r="D5" s="68"/>
      <c r="E5" s="69"/>
      <c r="F5" s="72"/>
      <c r="G5" s="72"/>
      <c r="H5" s="72"/>
      <c r="I5" s="70"/>
      <c r="J5" s="82"/>
      <c r="K5" s="83"/>
      <c r="L5" s="82"/>
    </row>
    <row r="6" spans="2:12" ht="13.5" thickBot="1" x14ac:dyDescent="0.25">
      <c r="B6" s="44" t="s">
        <v>175</v>
      </c>
      <c r="D6" s="68" t="s">
        <v>189</v>
      </c>
      <c r="E6" s="69" t="s">
        <v>185</v>
      </c>
      <c r="F6" s="73">
        <f>F64</f>
        <v>8.6359999999999992</v>
      </c>
      <c r="G6" s="73">
        <f>F65</f>
        <v>3.2210000000000001</v>
      </c>
      <c r="H6" s="74">
        <f>F6+G6</f>
        <v>11.856999999999999</v>
      </c>
      <c r="I6" s="80">
        <f>'Natural Gas Consumption'!I18*'Natural Gas Consumption'!D14</f>
        <v>138.97180836195329</v>
      </c>
      <c r="J6" s="82">
        <f>100*(F6/I6)</f>
        <v>6.2142099910706072</v>
      </c>
      <c r="K6" s="83">
        <f>100*(G6/I6)</f>
        <v>2.3177362646176967</v>
      </c>
      <c r="L6" s="82">
        <f>100*(H6/I6)</f>
        <v>8.5319462556883039</v>
      </c>
    </row>
    <row r="7" spans="2:12" ht="13.5" thickBot="1" x14ac:dyDescent="0.25">
      <c r="D7" s="68" t="s">
        <v>189</v>
      </c>
      <c r="E7" s="69" t="s">
        <v>186</v>
      </c>
      <c r="F7" s="73">
        <f>G64</f>
        <v>14.777000000000001</v>
      </c>
      <c r="G7" s="73">
        <f>G65</f>
        <v>6.9740000000000002</v>
      </c>
      <c r="H7" s="74">
        <f>F7+G7</f>
        <v>21.751000000000001</v>
      </c>
      <c r="I7" s="80">
        <f>I6</f>
        <v>138.97180836195329</v>
      </c>
      <c r="J7" s="82">
        <f>100*(F7/I7)</f>
        <v>10.633091829324963</v>
      </c>
      <c r="K7" s="83">
        <f>100*(G7/I7)</f>
        <v>5.0182839830623456</v>
      </c>
      <c r="L7" s="82">
        <f>100*(H7/I7)</f>
        <v>15.651375812387307</v>
      </c>
    </row>
    <row r="8" spans="2:12" x14ac:dyDescent="0.2">
      <c r="B8" s="42" t="s">
        <v>176</v>
      </c>
      <c r="D8" s="68" t="s">
        <v>189</v>
      </c>
      <c r="E8" s="69" t="s">
        <v>195</v>
      </c>
      <c r="F8" s="75">
        <f>E32*'Natural Gas Consumption'!D16</f>
        <v>10.737595248759</v>
      </c>
      <c r="G8" s="75">
        <f>I32*'Natural Gas Consumption'!D16</f>
        <v>41.467435708000004</v>
      </c>
      <c r="H8" s="75">
        <f>F8+G8</f>
        <v>52.205030956759003</v>
      </c>
      <c r="I8" s="80">
        <f>I7</f>
        <v>138.97180836195329</v>
      </c>
      <c r="J8" s="82">
        <f>100*(F8/I8)</f>
        <v>7.7264557289150604</v>
      </c>
      <c r="K8" s="83">
        <f>100*(G8/I8)</f>
        <v>29.838739379427015</v>
      </c>
      <c r="L8" s="82">
        <f>100*(H8/I8)</f>
        <v>37.565195108342074</v>
      </c>
    </row>
    <row r="9" spans="2:12" x14ac:dyDescent="0.2">
      <c r="B9" s="43" t="s">
        <v>177</v>
      </c>
      <c r="D9" s="68"/>
      <c r="E9" s="69"/>
      <c r="F9" s="69"/>
      <c r="G9" s="69"/>
      <c r="H9" s="69"/>
      <c r="I9" s="80"/>
      <c r="J9" s="84"/>
      <c r="K9" s="73"/>
      <c r="L9" s="84"/>
    </row>
    <row r="10" spans="2:12" x14ac:dyDescent="0.2">
      <c r="B10" s="43" t="s">
        <v>178</v>
      </c>
      <c r="D10" s="68" t="s">
        <v>190</v>
      </c>
      <c r="E10" s="69" t="s">
        <v>185</v>
      </c>
      <c r="F10" s="73">
        <f>F80</f>
        <v>13.397999999999998</v>
      </c>
      <c r="G10" s="73">
        <f>F81</f>
        <v>6.2729999999999997</v>
      </c>
      <c r="H10" s="74">
        <f>F10+G10</f>
        <v>19.670999999999999</v>
      </c>
      <c r="I10" s="80">
        <f>'Natural Gas Consumption'!I9*'Natural Gas Consumption'!D14</f>
        <v>239.10339864314093</v>
      </c>
      <c r="J10" s="82">
        <f>100*(F10/I10)</f>
        <v>5.6034335254248555</v>
      </c>
      <c r="K10" s="83">
        <f>100*(G10/I10)</f>
        <v>2.6235511647253413</v>
      </c>
      <c r="L10" s="82">
        <f>100*(H10/I10)</f>
        <v>8.2269846901501982</v>
      </c>
    </row>
    <row r="11" spans="2:12" x14ac:dyDescent="0.2">
      <c r="B11" s="45" t="s">
        <v>179</v>
      </c>
      <c r="D11" s="68" t="s">
        <v>190</v>
      </c>
      <c r="E11" s="69" t="s">
        <v>186</v>
      </c>
      <c r="F11" s="73">
        <f>G80</f>
        <v>22.977999999999998</v>
      </c>
      <c r="G11" s="73">
        <f>G81</f>
        <v>14.597999999999999</v>
      </c>
      <c r="H11" s="74">
        <f>F11+G11</f>
        <v>37.575999999999993</v>
      </c>
      <c r="I11" s="80">
        <f>I10</f>
        <v>239.10339864314093</v>
      </c>
      <c r="J11" s="82">
        <f>100*(F11/I11)</f>
        <v>9.6100683346180276</v>
      </c>
      <c r="K11" s="83">
        <f>100*(G11/I11)</f>
        <v>6.105308449332143</v>
      </c>
      <c r="L11" s="82">
        <f>100*(H11/I11)</f>
        <v>15.71537678395017</v>
      </c>
    </row>
    <row r="12" spans="2:12" ht="13.5" thickBot="1" x14ac:dyDescent="0.25">
      <c r="B12" s="44" t="s">
        <v>180</v>
      </c>
      <c r="D12" s="68" t="s">
        <v>190</v>
      </c>
      <c r="E12" s="69" t="s">
        <v>207</v>
      </c>
      <c r="F12" s="73">
        <v>15.12642</v>
      </c>
      <c r="G12" s="69"/>
      <c r="H12" s="75">
        <f>F12+G12</f>
        <v>15.12642</v>
      </c>
      <c r="I12" s="80">
        <f>I10</f>
        <v>239.10339864314093</v>
      </c>
      <c r="J12" s="82">
        <f>100*(F12/I12)</f>
        <v>6.3263090720747162</v>
      </c>
      <c r="K12" s="83"/>
      <c r="L12" s="82">
        <f>100*(H12/I12)</f>
        <v>6.3263090720747162</v>
      </c>
    </row>
    <row r="13" spans="2:12" ht="13.5" thickBot="1" x14ac:dyDescent="0.25">
      <c r="D13" s="68"/>
      <c r="E13" s="69"/>
      <c r="F13" s="69"/>
      <c r="G13" s="69"/>
      <c r="H13" s="69"/>
      <c r="I13" s="80"/>
      <c r="J13" s="84"/>
      <c r="K13" s="73"/>
      <c r="L13" s="84"/>
    </row>
    <row r="14" spans="2:12" x14ac:dyDescent="0.2">
      <c r="B14" s="42" t="s">
        <v>182</v>
      </c>
      <c r="D14" s="68" t="s">
        <v>191</v>
      </c>
      <c r="E14" s="69" t="s">
        <v>185</v>
      </c>
      <c r="F14" s="73">
        <f>F96</f>
        <v>7.2169999999999996</v>
      </c>
      <c r="G14" s="73">
        <f>F97</f>
        <v>2.653</v>
      </c>
      <c r="H14" s="74">
        <f>F14+G14</f>
        <v>9.8699999999999992</v>
      </c>
      <c r="I14" s="80">
        <f>'Natural Gas Consumption'!I36*'Natural Gas Consumption'!D14</f>
        <v>92.770002604089171</v>
      </c>
      <c r="J14" s="82">
        <f>100*(F14/I14)</f>
        <v>7.779454346681117</v>
      </c>
      <c r="K14" s="83">
        <f>100*(G14/I14)</f>
        <v>2.8597606182271029</v>
      </c>
      <c r="L14" s="82">
        <f>100*(H14/I14)</f>
        <v>10.639214964908218</v>
      </c>
    </row>
    <row r="15" spans="2:12" x14ac:dyDescent="0.2">
      <c r="B15" s="43" t="s">
        <v>183</v>
      </c>
      <c r="D15" s="68" t="s">
        <v>191</v>
      </c>
      <c r="E15" s="69" t="s">
        <v>186</v>
      </c>
      <c r="F15" s="73">
        <f>G96</f>
        <v>13.999000000000001</v>
      </c>
      <c r="G15" s="73">
        <f>G97</f>
        <v>6.5410000000000004</v>
      </c>
      <c r="H15" s="74">
        <f>F15+G15</f>
        <v>20.54</v>
      </c>
      <c r="I15" s="80">
        <f>I14</f>
        <v>92.770002604089171</v>
      </c>
      <c r="J15" s="82">
        <f>100*(F15/I15)</f>
        <v>15.090007121960502</v>
      </c>
      <c r="K15" s="83">
        <f>100*(G15/I15)</f>
        <v>7.0507705253763593</v>
      </c>
      <c r="L15" s="82">
        <f>100*(H15/I15)</f>
        <v>22.140777647336861</v>
      </c>
    </row>
    <row r="16" spans="2:12" x14ac:dyDescent="0.2">
      <c r="B16" s="46" t="s">
        <v>179</v>
      </c>
      <c r="D16" s="68"/>
      <c r="E16" s="69"/>
      <c r="F16" s="73"/>
      <c r="G16" s="73"/>
      <c r="H16" s="69"/>
      <c r="I16" s="80"/>
      <c r="J16" s="84"/>
      <c r="K16" s="73"/>
      <c r="L16" s="84"/>
    </row>
    <row r="17" spans="2:12" ht="13.5" thickBot="1" x14ac:dyDescent="0.25">
      <c r="B17" s="44" t="s">
        <v>181</v>
      </c>
      <c r="D17" s="68" t="s">
        <v>192</v>
      </c>
      <c r="E17" s="69" t="s">
        <v>185</v>
      </c>
      <c r="F17" s="73">
        <f>F112</f>
        <v>5.3649999999999993</v>
      </c>
      <c r="G17" s="73">
        <f>G112</f>
        <v>10.18</v>
      </c>
      <c r="H17" s="74">
        <f>F17+G17</f>
        <v>15.544999999999998</v>
      </c>
      <c r="I17" s="80">
        <f>'Natural Gas Consumption'!I27*'Natural Gas Consumption'!D14</f>
        <v>73.406079920818868</v>
      </c>
      <c r="J17" s="82">
        <f>100*(F17/I17)</f>
        <v>7.3086589091626717</v>
      </c>
      <c r="K17" s="83">
        <f>100*(G17/I17)</f>
        <v>13.868061080200562</v>
      </c>
      <c r="L17" s="82">
        <f>100*(H17/I17)</f>
        <v>21.176719989363228</v>
      </c>
    </row>
    <row r="18" spans="2:12" x14ac:dyDescent="0.2">
      <c r="D18" s="68" t="s">
        <v>192</v>
      </c>
      <c r="E18" s="69" t="s">
        <v>186</v>
      </c>
      <c r="F18" s="73">
        <f>F113</f>
        <v>5.5889999999999995</v>
      </c>
      <c r="G18" s="73">
        <f>G113</f>
        <v>14.411</v>
      </c>
      <c r="H18" s="74">
        <f>F18+G18</f>
        <v>20</v>
      </c>
      <c r="I18" s="80">
        <f>I17</f>
        <v>73.406079920818868</v>
      </c>
      <c r="J18" s="82">
        <f>100*(F18/I18)</f>
        <v>7.6138107443262202</v>
      </c>
      <c r="K18" s="83">
        <f>100*(G18/I18)</f>
        <v>19.631888823847767</v>
      </c>
      <c r="L18" s="82">
        <f>100*(H18/I18)</f>
        <v>27.245699568173993</v>
      </c>
    </row>
    <row r="19" spans="2:12" x14ac:dyDescent="0.2">
      <c r="D19" s="68"/>
      <c r="E19" s="69"/>
      <c r="F19" s="69"/>
      <c r="G19" s="69"/>
      <c r="H19" s="69"/>
      <c r="I19" s="80"/>
      <c r="J19" s="84"/>
      <c r="K19" s="73"/>
      <c r="L19" s="84"/>
    </row>
    <row r="20" spans="2:12" x14ac:dyDescent="0.2">
      <c r="D20" s="68" t="s">
        <v>193</v>
      </c>
      <c r="E20" s="69" t="s">
        <v>185</v>
      </c>
      <c r="F20" s="73">
        <f>F6+F10+F14+F17</f>
        <v>34.616</v>
      </c>
      <c r="G20" s="73">
        <f>G6+G10+G14+G17</f>
        <v>22.326999999999998</v>
      </c>
      <c r="H20" s="74">
        <f>F20+G20</f>
        <v>56.942999999999998</v>
      </c>
      <c r="I20" s="80">
        <f>I6+I10+I14+I17</f>
        <v>544.25128953000228</v>
      </c>
      <c r="J20" s="82">
        <f>100*(F20/I20)</f>
        <v>6.3602972865518153</v>
      </c>
      <c r="K20" s="83">
        <f>100*(G20/I20)</f>
        <v>4.1023329534562736</v>
      </c>
      <c r="L20" s="82">
        <f>100*(H20/I20)</f>
        <v>10.462630240008089</v>
      </c>
    </row>
    <row r="21" spans="2:12" ht="13.5" thickBot="1" x14ac:dyDescent="0.25">
      <c r="D21" s="76" t="s">
        <v>193</v>
      </c>
      <c r="E21" s="77" t="s">
        <v>186</v>
      </c>
      <c r="F21" s="78">
        <f>F7+F11+F15+F18</f>
        <v>57.342999999999996</v>
      </c>
      <c r="G21" s="78">
        <f>G7+G11+G15+G18</f>
        <v>42.524000000000001</v>
      </c>
      <c r="H21" s="79">
        <f>F21+G21</f>
        <v>99.86699999999999</v>
      </c>
      <c r="I21" s="81">
        <f>I7+I11+I15+I18</f>
        <v>544.25128953000228</v>
      </c>
      <c r="J21" s="85">
        <f>100*(F21/I21)</f>
        <v>10.536125702066695</v>
      </c>
      <c r="K21" s="86">
        <f>100*(G21/I21)</f>
        <v>7.8133025714504685</v>
      </c>
      <c r="L21" s="85">
        <f>100*(H21/I21)</f>
        <v>18.349428273517162</v>
      </c>
    </row>
    <row r="23" spans="2:12" x14ac:dyDescent="0.2">
      <c r="D23" s="16"/>
    </row>
    <row r="26" spans="2:12" ht="13.5" thickBot="1" x14ac:dyDescent="0.25"/>
    <row r="27" spans="2:12" ht="26.25" thickBot="1" x14ac:dyDescent="0.25">
      <c r="D27" s="25" t="s">
        <v>205</v>
      </c>
      <c r="E27" s="52" t="s">
        <v>196</v>
      </c>
      <c r="F27" s="49" t="s">
        <v>197</v>
      </c>
      <c r="H27" s="25" t="s">
        <v>205</v>
      </c>
      <c r="I27" s="52" t="s">
        <v>196</v>
      </c>
      <c r="J27" s="53" t="s">
        <v>198</v>
      </c>
    </row>
    <row r="28" spans="2:12" x14ac:dyDescent="0.2">
      <c r="D28" s="37" t="s">
        <v>199</v>
      </c>
      <c r="E28" s="6">
        <v>4639626825</v>
      </c>
      <c r="F28" s="38"/>
      <c r="H28" s="37" t="s">
        <v>200</v>
      </c>
      <c r="I28" s="6">
        <v>16998109000</v>
      </c>
      <c r="J28" s="38"/>
    </row>
    <row r="29" spans="2:12" x14ac:dyDescent="0.2">
      <c r="D29" s="37" t="s">
        <v>201</v>
      </c>
      <c r="E29" s="6">
        <v>1225228606</v>
      </c>
      <c r="F29" s="38"/>
      <c r="H29" s="37" t="s">
        <v>202</v>
      </c>
      <c r="I29" s="6">
        <v>22989775000</v>
      </c>
      <c r="J29" s="38"/>
    </row>
    <row r="30" spans="2:12" x14ac:dyDescent="0.2">
      <c r="D30" s="37" t="s">
        <v>203</v>
      </c>
      <c r="E30" s="6">
        <v>138571656</v>
      </c>
      <c r="F30" s="38"/>
      <c r="H30" s="37"/>
      <c r="I30" s="6"/>
      <c r="J30" s="38"/>
    </row>
    <row r="31" spans="2:12" x14ac:dyDescent="0.2">
      <c r="D31" s="37" t="s">
        <v>204</v>
      </c>
      <c r="E31" s="6">
        <v>4351052420</v>
      </c>
      <c r="F31" s="38"/>
      <c r="H31" s="37"/>
      <c r="I31" s="6"/>
      <c r="J31" s="38"/>
    </row>
    <row r="32" spans="2:12" ht="13.5" thickBot="1" x14ac:dyDescent="0.25">
      <c r="D32" s="39" t="s">
        <v>9</v>
      </c>
      <c r="E32" s="54">
        <f>SUM(E28:E31)</f>
        <v>10354479507</v>
      </c>
      <c r="F32" s="40"/>
      <c r="H32" s="39" t="s">
        <v>9</v>
      </c>
      <c r="I32" s="54">
        <f>SUM(I28:I31)</f>
        <v>39987884000</v>
      </c>
      <c r="J32" s="40"/>
    </row>
    <row r="34" spans="4:13" ht="13.5" thickBot="1" x14ac:dyDescent="0.25"/>
    <row r="35" spans="4:13" x14ac:dyDescent="0.2">
      <c r="D35" s="35" t="s">
        <v>208</v>
      </c>
      <c r="E35" s="55" t="s">
        <v>222</v>
      </c>
      <c r="F35" s="55"/>
      <c r="G35" s="36"/>
      <c r="I35" s="35" t="s">
        <v>224</v>
      </c>
      <c r="J35" s="55"/>
      <c r="K35" s="55"/>
      <c r="L35" s="55"/>
      <c r="M35" s="36"/>
    </row>
    <row r="36" spans="4:13" x14ac:dyDescent="0.2">
      <c r="D36" s="37" t="s">
        <v>33</v>
      </c>
      <c r="E36" s="47"/>
      <c r="F36" s="47" t="s">
        <v>221</v>
      </c>
      <c r="G36" s="38" t="s">
        <v>223</v>
      </c>
      <c r="I36" s="37"/>
      <c r="J36" s="47"/>
      <c r="K36" s="47"/>
      <c r="L36" s="47" t="s">
        <v>221</v>
      </c>
      <c r="M36" s="38" t="s">
        <v>223</v>
      </c>
    </row>
    <row r="37" spans="4:13" ht="13.5" thickBot="1" x14ac:dyDescent="0.25">
      <c r="D37" s="39"/>
      <c r="E37" s="48"/>
      <c r="F37" s="48" t="s">
        <v>209</v>
      </c>
      <c r="G37" s="40" t="s">
        <v>209</v>
      </c>
      <c r="I37" s="39"/>
      <c r="J37" s="48"/>
      <c r="K37" s="48" t="s">
        <v>225</v>
      </c>
      <c r="L37" s="48" t="s">
        <v>209</v>
      </c>
      <c r="M37" s="40" t="s">
        <v>209</v>
      </c>
    </row>
    <row r="38" spans="4:13" x14ac:dyDescent="0.2">
      <c r="D38" s="37" t="s">
        <v>36</v>
      </c>
      <c r="E38" s="47" t="s">
        <v>212</v>
      </c>
      <c r="F38" s="47">
        <v>528.4</v>
      </c>
      <c r="G38" s="38">
        <v>865.6</v>
      </c>
      <c r="I38" s="37" t="s">
        <v>36</v>
      </c>
      <c r="J38" s="47" t="s">
        <v>212</v>
      </c>
      <c r="K38" s="47">
        <v>0.75</v>
      </c>
      <c r="L38" s="47">
        <f>$K38*F38</f>
        <v>396.29999999999995</v>
      </c>
      <c r="M38" s="38">
        <f>$K38*G38</f>
        <v>649.20000000000005</v>
      </c>
    </row>
    <row r="39" spans="4:13" x14ac:dyDescent="0.2">
      <c r="D39" s="37" t="s">
        <v>210</v>
      </c>
      <c r="E39" s="47" t="s">
        <v>212</v>
      </c>
      <c r="F39" s="47">
        <v>231.2</v>
      </c>
      <c r="G39" s="38">
        <v>462.3</v>
      </c>
      <c r="I39" s="37" t="s">
        <v>210</v>
      </c>
      <c r="J39" s="47" t="s">
        <v>212</v>
      </c>
      <c r="K39" s="47">
        <v>0.25</v>
      </c>
      <c r="L39" s="47">
        <f t="shared" ref="L39:M46" si="0">$K39*F39</f>
        <v>57.8</v>
      </c>
      <c r="M39" s="38">
        <f t="shared" si="0"/>
        <v>115.575</v>
      </c>
    </row>
    <row r="40" spans="4:13" x14ac:dyDescent="0.2">
      <c r="D40" s="37" t="s">
        <v>211</v>
      </c>
      <c r="E40" s="47" t="s">
        <v>212</v>
      </c>
      <c r="F40" s="47">
        <v>24</v>
      </c>
      <c r="G40" s="38">
        <v>33.5</v>
      </c>
      <c r="I40" s="37" t="s">
        <v>211</v>
      </c>
      <c r="J40" s="47" t="s">
        <v>212</v>
      </c>
      <c r="K40" s="47">
        <v>1</v>
      </c>
      <c r="L40" s="47">
        <f t="shared" si="0"/>
        <v>24</v>
      </c>
      <c r="M40" s="38">
        <f t="shared" si="0"/>
        <v>33.5</v>
      </c>
    </row>
    <row r="41" spans="4:13" x14ac:dyDescent="0.2">
      <c r="D41" s="37" t="s">
        <v>213</v>
      </c>
      <c r="E41" s="47" t="s">
        <v>212</v>
      </c>
      <c r="F41" s="47">
        <v>29.2</v>
      </c>
      <c r="G41" s="38">
        <v>63.9</v>
      </c>
      <c r="I41" s="37" t="s">
        <v>213</v>
      </c>
      <c r="J41" s="47" t="s">
        <v>212</v>
      </c>
      <c r="K41" s="56">
        <v>0.5</v>
      </c>
      <c r="L41" s="47">
        <f t="shared" si="0"/>
        <v>14.6</v>
      </c>
      <c r="M41" s="38">
        <f t="shared" si="0"/>
        <v>31.95</v>
      </c>
    </row>
    <row r="42" spans="4:13" x14ac:dyDescent="0.2">
      <c r="D42" s="37" t="s">
        <v>214</v>
      </c>
      <c r="E42" s="56" t="s">
        <v>228</v>
      </c>
      <c r="F42" s="47">
        <v>254.6</v>
      </c>
      <c r="G42" s="38">
        <v>640.5</v>
      </c>
      <c r="I42" s="37" t="s">
        <v>214</v>
      </c>
      <c r="J42" s="47"/>
      <c r="K42" s="47">
        <v>0.5</v>
      </c>
      <c r="L42" s="47">
        <f t="shared" si="0"/>
        <v>127.3</v>
      </c>
      <c r="M42" s="38">
        <f t="shared" si="0"/>
        <v>320.25</v>
      </c>
    </row>
    <row r="43" spans="4:13" x14ac:dyDescent="0.2">
      <c r="D43" s="37" t="s">
        <v>215</v>
      </c>
      <c r="E43" s="56" t="s">
        <v>228</v>
      </c>
      <c r="F43" s="47">
        <v>108.6</v>
      </c>
      <c r="G43" s="38">
        <v>235.8</v>
      </c>
      <c r="I43" s="37" t="s">
        <v>215</v>
      </c>
      <c r="J43" s="47"/>
      <c r="K43" s="47">
        <v>0.25</v>
      </c>
      <c r="L43" s="47">
        <f t="shared" si="0"/>
        <v>27.15</v>
      </c>
      <c r="M43" s="38">
        <f t="shared" si="0"/>
        <v>58.95</v>
      </c>
    </row>
    <row r="44" spans="4:13" x14ac:dyDescent="0.2">
      <c r="D44" s="37" t="s">
        <v>216</v>
      </c>
      <c r="E44" s="56" t="s">
        <v>228</v>
      </c>
      <c r="F44" s="47">
        <v>123.4</v>
      </c>
      <c r="G44" s="38">
        <v>837.6</v>
      </c>
      <c r="I44" s="37" t="s">
        <v>216</v>
      </c>
      <c r="J44" s="47"/>
      <c r="K44" s="47">
        <v>0.25</v>
      </c>
      <c r="L44" s="47">
        <f t="shared" si="0"/>
        <v>30.85</v>
      </c>
      <c r="M44" s="38">
        <f t="shared" si="0"/>
        <v>209.4</v>
      </c>
    </row>
    <row r="45" spans="4:13" x14ac:dyDescent="0.2">
      <c r="D45" s="37" t="s">
        <v>217</v>
      </c>
      <c r="E45" s="47" t="s">
        <v>218</v>
      </c>
      <c r="F45" s="47">
        <v>256.2</v>
      </c>
      <c r="G45" s="38">
        <v>694.8</v>
      </c>
      <c r="I45" s="37" t="s">
        <v>217</v>
      </c>
      <c r="J45" s="47" t="s">
        <v>218</v>
      </c>
      <c r="K45" s="56">
        <v>0</v>
      </c>
      <c r="L45" s="47">
        <f t="shared" si="0"/>
        <v>0</v>
      </c>
      <c r="M45" s="38">
        <f t="shared" si="0"/>
        <v>0</v>
      </c>
    </row>
    <row r="46" spans="4:13" ht="13.5" thickBot="1" x14ac:dyDescent="0.25">
      <c r="D46" s="37" t="s">
        <v>219</v>
      </c>
      <c r="E46" s="47" t="s">
        <v>220</v>
      </c>
      <c r="F46" s="47">
        <v>357.7</v>
      </c>
      <c r="G46" s="38">
        <v>678.7</v>
      </c>
      <c r="I46" s="39" t="s">
        <v>219</v>
      </c>
      <c r="J46" s="48" t="s">
        <v>220</v>
      </c>
      <c r="K46" s="58">
        <v>1</v>
      </c>
      <c r="L46" s="48">
        <f t="shared" si="0"/>
        <v>357.7</v>
      </c>
      <c r="M46" s="40">
        <f t="shared" si="0"/>
        <v>678.7</v>
      </c>
    </row>
    <row r="47" spans="4:13" ht="13.5" thickBot="1" x14ac:dyDescent="0.25">
      <c r="D47" s="57"/>
      <c r="E47" s="59" t="s">
        <v>226</v>
      </c>
      <c r="F47" s="55">
        <f>SUM(F38:F46)</f>
        <v>1913.3</v>
      </c>
      <c r="G47" s="36">
        <f>SUM(G38:G46)</f>
        <v>4512.7</v>
      </c>
      <c r="I47" s="61" t="s">
        <v>226</v>
      </c>
      <c r="J47" s="50"/>
      <c r="K47" s="50"/>
      <c r="L47" s="50">
        <f>SUM(L38:L46)</f>
        <v>1035.7</v>
      </c>
      <c r="M47" s="49">
        <f>SUM(M38:M46)</f>
        <v>2097.5250000000005</v>
      </c>
    </row>
    <row r="48" spans="4:13" x14ac:dyDescent="0.2">
      <c r="D48" s="57"/>
      <c r="E48" s="57" t="s">
        <v>212</v>
      </c>
      <c r="F48" s="47">
        <f>SUM(F38:F41)</f>
        <v>812.8</v>
      </c>
      <c r="G48" s="38">
        <f>SUM(G38:G41)</f>
        <v>1425.3000000000002</v>
      </c>
    </row>
    <row r="49" spans="4:7" ht="13.5" thickBot="1" x14ac:dyDescent="0.25">
      <c r="D49" s="60"/>
      <c r="E49" s="60" t="s">
        <v>227</v>
      </c>
      <c r="F49" s="48">
        <f>SUM(F42:F44)</f>
        <v>486.6</v>
      </c>
      <c r="G49" s="40">
        <f>SUM(G42:G44)</f>
        <v>1713.9</v>
      </c>
    </row>
    <row r="50" spans="4:7" ht="13.5" thickBot="1" x14ac:dyDescent="0.25">
      <c r="D50" s="47"/>
      <c r="E50" s="56"/>
      <c r="F50" s="47"/>
      <c r="G50" s="47"/>
    </row>
    <row r="51" spans="4:7" x14ac:dyDescent="0.2">
      <c r="D51" s="35" t="s">
        <v>208</v>
      </c>
      <c r="E51" s="55" t="s">
        <v>229</v>
      </c>
      <c r="F51" s="55"/>
      <c r="G51" s="36"/>
    </row>
    <row r="52" spans="4:7" x14ac:dyDescent="0.2">
      <c r="D52" s="37" t="s">
        <v>189</v>
      </c>
      <c r="E52" s="47"/>
      <c r="F52" s="47" t="s">
        <v>221</v>
      </c>
      <c r="G52" s="38" t="s">
        <v>223</v>
      </c>
    </row>
    <row r="53" spans="4:7" ht="13.5" thickBot="1" x14ac:dyDescent="0.25">
      <c r="D53" s="39"/>
      <c r="E53" s="48"/>
      <c r="F53" s="48" t="s">
        <v>209</v>
      </c>
      <c r="G53" s="40" t="s">
        <v>209</v>
      </c>
    </row>
    <row r="54" spans="4:7" x14ac:dyDescent="0.2">
      <c r="D54" s="37" t="s">
        <v>36</v>
      </c>
      <c r="E54" s="47" t="s">
        <v>212</v>
      </c>
      <c r="F54" s="47">
        <v>6.2370000000000001</v>
      </c>
      <c r="G54" s="38">
        <v>10.189</v>
      </c>
    </row>
    <row r="55" spans="4:7" x14ac:dyDescent="0.2">
      <c r="D55" s="37" t="s">
        <v>210</v>
      </c>
      <c r="E55" s="47" t="s">
        <v>212</v>
      </c>
      <c r="F55" s="47">
        <v>1.962</v>
      </c>
      <c r="G55" s="38">
        <v>3.9249999999999998</v>
      </c>
    </row>
    <row r="56" spans="4:7" x14ac:dyDescent="0.2">
      <c r="D56" s="37" t="s">
        <v>211</v>
      </c>
      <c r="E56" s="47" t="s">
        <v>212</v>
      </c>
      <c r="F56" s="47">
        <v>0.29299999999999998</v>
      </c>
      <c r="G56" s="38">
        <v>0.41099999999999998</v>
      </c>
    </row>
    <row r="57" spans="4:7" x14ac:dyDescent="0.2">
      <c r="D57" s="37" t="s">
        <v>213</v>
      </c>
      <c r="E57" s="47" t="s">
        <v>212</v>
      </c>
      <c r="F57" s="56">
        <v>0.14399999999999999</v>
      </c>
      <c r="G57" s="38">
        <v>0.252</v>
      </c>
    </row>
    <row r="58" spans="4:7" x14ac:dyDescent="0.2">
      <c r="D58" s="37" t="s">
        <v>214</v>
      </c>
      <c r="E58" s="56" t="s">
        <v>228</v>
      </c>
      <c r="F58" s="56">
        <v>1.06</v>
      </c>
      <c r="G58" s="38">
        <v>2.6509999999999998</v>
      </c>
    </row>
    <row r="59" spans="4:7" x14ac:dyDescent="0.2">
      <c r="D59" s="37" t="s">
        <v>215</v>
      </c>
      <c r="E59" s="56" t="s">
        <v>228</v>
      </c>
      <c r="F59" s="56">
        <v>2.161</v>
      </c>
      <c r="G59" s="38">
        <v>4.3230000000000004</v>
      </c>
    </row>
    <row r="60" spans="4:7" x14ac:dyDescent="0.2">
      <c r="D60" s="37" t="s">
        <v>216</v>
      </c>
      <c r="E60" s="56" t="s">
        <v>228</v>
      </c>
      <c r="F60" s="56">
        <v>0</v>
      </c>
      <c r="G60" s="38">
        <v>0</v>
      </c>
    </row>
    <row r="61" spans="4:7" x14ac:dyDescent="0.2">
      <c r="D61" s="37" t="s">
        <v>217</v>
      </c>
      <c r="E61" s="47" t="s">
        <v>218</v>
      </c>
      <c r="F61" s="56">
        <v>1.1639999999999999</v>
      </c>
      <c r="G61" s="38">
        <v>8.657</v>
      </c>
    </row>
    <row r="62" spans="4:7" ht="13.5" thickBot="1" x14ac:dyDescent="0.25">
      <c r="D62" s="37" t="s">
        <v>219</v>
      </c>
      <c r="E62" s="47" t="s">
        <v>220</v>
      </c>
      <c r="F62" s="47"/>
      <c r="G62" s="38"/>
    </row>
    <row r="63" spans="4:7" x14ac:dyDescent="0.2">
      <c r="D63" s="57"/>
      <c r="E63" s="59" t="s">
        <v>226</v>
      </c>
      <c r="F63" s="55">
        <f>SUM(F54:F62)</f>
        <v>13.020999999999999</v>
      </c>
      <c r="G63" s="36">
        <f>SUM(G54:G62)</f>
        <v>30.408000000000001</v>
      </c>
    </row>
    <row r="64" spans="4:7" x14ac:dyDescent="0.2">
      <c r="D64" s="57"/>
      <c r="E64" s="57" t="s">
        <v>212</v>
      </c>
      <c r="F64" s="47">
        <f>SUM(F54:F57)</f>
        <v>8.6359999999999992</v>
      </c>
      <c r="G64" s="38">
        <f>SUM(G54:G57)</f>
        <v>14.777000000000001</v>
      </c>
    </row>
    <row r="65" spans="4:7" ht="13.5" thickBot="1" x14ac:dyDescent="0.25">
      <c r="D65" s="60"/>
      <c r="E65" s="60" t="s">
        <v>227</v>
      </c>
      <c r="F65" s="48">
        <f>SUM(F58:F60)</f>
        <v>3.2210000000000001</v>
      </c>
      <c r="G65" s="40">
        <f>SUM(G58:G60)</f>
        <v>6.9740000000000002</v>
      </c>
    </row>
    <row r="66" spans="4:7" ht="13.5" thickBot="1" x14ac:dyDescent="0.25"/>
    <row r="67" spans="4:7" x14ac:dyDescent="0.2">
      <c r="D67" s="35" t="s">
        <v>208</v>
      </c>
      <c r="E67" s="55" t="s">
        <v>229</v>
      </c>
      <c r="F67" s="55"/>
      <c r="G67" s="36"/>
    </row>
    <row r="68" spans="4:7" x14ac:dyDescent="0.2">
      <c r="D68" s="37" t="s">
        <v>190</v>
      </c>
      <c r="E68" s="47"/>
      <c r="F68" s="47" t="s">
        <v>221</v>
      </c>
      <c r="G68" s="38" t="s">
        <v>223</v>
      </c>
    </row>
    <row r="69" spans="4:7" ht="13.5" thickBot="1" x14ac:dyDescent="0.25">
      <c r="D69" s="39"/>
      <c r="E69" s="48"/>
      <c r="F69" s="48" t="s">
        <v>209</v>
      </c>
      <c r="G69" s="40" t="s">
        <v>209</v>
      </c>
    </row>
    <row r="70" spans="4:7" x14ac:dyDescent="0.2">
      <c r="D70" s="37" t="s">
        <v>36</v>
      </c>
      <c r="E70" s="47" t="s">
        <v>212</v>
      </c>
      <c r="F70" s="47">
        <v>9.0519999999999996</v>
      </c>
      <c r="G70" s="38">
        <v>14.744999999999999</v>
      </c>
    </row>
    <row r="71" spans="4:7" x14ac:dyDescent="0.2">
      <c r="D71" s="37" t="s">
        <v>210</v>
      </c>
      <c r="E71" s="47" t="s">
        <v>212</v>
      </c>
      <c r="F71" s="47">
        <v>3.0339999999999998</v>
      </c>
      <c r="G71" s="38">
        <v>6.069</v>
      </c>
    </row>
    <row r="72" spans="4:7" x14ac:dyDescent="0.2">
      <c r="D72" s="37" t="s">
        <v>211</v>
      </c>
      <c r="E72" s="47" t="s">
        <v>212</v>
      </c>
      <c r="F72" s="47">
        <v>0.47199999999999998</v>
      </c>
      <c r="G72" s="38">
        <v>0.69399999999999995</v>
      </c>
    </row>
    <row r="73" spans="4:7" x14ac:dyDescent="0.2">
      <c r="D73" s="37" t="s">
        <v>213</v>
      </c>
      <c r="E73" s="47" t="s">
        <v>212</v>
      </c>
      <c r="F73" s="56">
        <v>0.84</v>
      </c>
      <c r="G73" s="38">
        <v>1.47</v>
      </c>
    </row>
    <row r="74" spans="4:7" x14ac:dyDescent="0.2">
      <c r="D74" s="37" t="s">
        <v>214</v>
      </c>
      <c r="E74" s="56" t="s">
        <v>228</v>
      </c>
      <c r="F74" s="56">
        <v>4.0999999999999996</v>
      </c>
      <c r="G74" s="38">
        <v>10.250999999999999</v>
      </c>
    </row>
    <row r="75" spans="4:7" x14ac:dyDescent="0.2">
      <c r="D75" s="37" t="s">
        <v>215</v>
      </c>
      <c r="E75" s="56" t="s">
        <v>228</v>
      </c>
      <c r="F75" s="56">
        <v>2.173</v>
      </c>
      <c r="G75" s="38">
        <v>4.3470000000000004</v>
      </c>
    </row>
    <row r="76" spans="4:7" x14ac:dyDescent="0.2">
      <c r="D76" s="37" t="s">
        <v>216</v>
      </c>
      <c r="E76" s="56" t="s">
        <v>228</v>
      </c>
      <c r="F76" s="56">
        <v>0</v>
      </c>
      <c r="G76" s="38">
        <v>0</v>
      </c>
    </row>
    <row r="77" spans="4:7" x14ac:dyDescent="0.2">
      <c r="D77" s="37" t="s">
        <v>217</v>
      </c>
      <c r="E77" s="47" t="s">
        <v>218</v>
      </c>
      <c r="F77" s="56">
        <v>6.7910000000000004</v>
      </c>
      <c r="G77" s="38">
        <v>15.313000000000001</v>
      </c>
    </row>
    <row r="78" spans="4:7" ht="13.5" thickBot="1" x14ac:dyDescent="0.25">
      <c r="D78" s="37" t="s">
        <v>219</v>
      </c>
      <c r="E78" s="47" t="s">
        <v>220</v>
      </c>
      <c r="F78" s="47"/>
      <c r="G78" s="38"/>
    </row>
    <row r="79" spans="4:7" x14ac:dyDescent="0.2">
      <c r="D79" s="57"/>
      <c r="E79" s="59" t="s">
        <v>226</v>
      </c>
      <c r="F79" s="55">
        <f>SUM(F70:F78)</f>
        <v>26.462</v>
      </c>
      <c r="G79" s="36">
        <f>SUM(G70:G78)</f>
        <v>52.889000000000003</v>
      </c>
    </row>
    <row r="80" spans="4:7" x14ac:dyDescent="0.2">
      <c r="D80" s="57"/>
      <c r="E80" s="57" t="s">
        <v>212</v>
      </c>
      <c r="F80" s="47">
        <f>SUM(F70:F73)</f>
        <v>13.397999999999998</v>
      </c>
      <c r="G80" s="38">
        <f>SUM(G70:G73)</f>
        <v>22.977999999999998</v>
      </c>
    </row>
    <row r="81" spans="4:7" ht="13.5" thickBot="1" x14ac:dyDescent="0.25">
      <c r="D81" s="60"/>
      <c r="E81" s="60" t="s">
        <v>227</v>
      </c>
      <c r="F81" s="48">
        <f>SUM(F74:F76)</f>
        <v>6.2729999999999997</v>
      </c>
      <c r="G81" s="40">
        <f>SUM(G74:G76)</f>
        <v>14.597999999999999</v>
      </c>
    </row>
    <row r="82" spans="4:7" ht="13.5" thickBot="1" x14ac:dyDescent="0.25"/>
    <row r="83" spans="4:7" x14ac:dyDescent="0.2">
      <c r="D83" s="35" t="s">
        <v>208</v>
      </c>
      <c r="E83" s="55" t="s">
        <v>229</v>
      </c>
      <c r="F83" s="55"/>
      <c r="G83" s="36"/>
    </row>
    <row r="84" spans="4:7" x14ac:dyDescent="0.2">
      <c r="D84" s="37" t="s">
        <v>191</v>
      </c>
      <c r="E84" s="47"/>
      <c r="F84" s="47" t="s">
        <v>221</v>
      </c>
      <c r="G84" s="38" t="s">
        <v>223</v>
      </c>
    </row>
    <row r="85" spans="4:7" ht="13.5" thickBot="1" x14ac:dyDescent="0.25">
      <c r="D85" s="39"/>
      <c r="E85" s="48"/>
      <c r="F85" s="48" t="s">
        <v>209</v>
      </c>
      <c r="G85" s="40" t="s">
        <v>209</v>
      </c>
    </row>
    <row r="86" spans="4:7" x14ac:dyDescent="0.2">
      <c r="D86" s="37" t="s">
        <v>36</v>
      </c>
      <c r="E86" s="47" t="s">
        <v>212</v>
      </c>
      <c r="F86" s="47">
        <v>1.544</v>
      </c>
      <c r="G86" s="38">
        <v>2.5990000000000002</v>
      </c>
    </row>
    <row r="87" spans="4:7" x14ac:dyDescent="0.2">
      <c r="D87" s="37" t="s">
        <v>210</v>
      </c>
      <c r="E87" s="47" t="s">
        <v>212</v>
      </c>
      <c r="F87" s="47">
        <v>5.6239999999999997</v>
      </c>
      <c r="G87" s="38">
        <v>11.247999999999999</v>
      </c>
    </row>
    <row r="88" spans="4:7" x14ac:dyDescent="0.2">
      <c r="D88" s="37" t="s">
        <v>211</v>
      </c>
      <c r="E88" s="47" t="s">
        <v>212</v>
      </c>
      <c r="F88" s="47">
        <v>4.9000000000000002E-2</v>
      </c>
      <c r="G88" s="38">
        <v>0.108</v>
      </c>
    </row>
    <row r="89" spans="4:7" x14ac:dyDescent="0.2">
      <c r="D89" s="37" t="s">
        <v>213</v>
      </c>
      <c r="E89" s="47" t="s">
        <v>212</v>
      </c>
      <c r="F89" s="56">
        <v>0</v>
      </c>
      <c r="G89" s="38">
        <v>4.3999999999999997E-2</v>
      </c>
    </row>
    <row r="90" spans="4:7" x14ac:dyDescent="0.2">
      <c r="D90" s="37" t="s">
        <v>214</v>
      </c>
      <c r="E90" s="56" t="s">
        <v>228</v>
      </c>
      <c r="F90" s="56">
        <v>2.2309999999999999</v>
      </c>
      <c r="G90" s="38">
        <v>5.5780000000000003</v>
      </c>
    </row>
    <row r="91" spans="4:7" x14ac:dyDescent="0.2">
      <c r="D91" s="37" t="s">
        <v>215</v>
      </c>
      <c r="E91" s="56" t="s">
        <v>228</v>
      </c>
      <c r="F91" s="56">
        <v>0.42199999999999999</v>
      </c>
      <c r="G91" s="38">
        <v>0.96299999999999997</v>
      </c>
    </row>
    <row r="92" spans="4:7" x14ac:dyDescent="0.2">
      <c r="D92" s="37" t="s">
        <v>216</v>
      </c>
      <c r="E92" s="56" t="s">
        <v>228</v>
      </c>
      <c r="F92" s="56">
        <v>0</v>
      </c>
      <c r="G92" s="38">
        <v>0</v>
      </c>
    </row>
    <row r="93" spans="4:7" x14ac:dyDescent="0.2">
      <c r="D93" s="37" t="s">
        <v>217</v>
      </c>
      <c r="E93" s="47" t="s">
        <v>218</v>
      </c>
      <c r="F93" s="56">
        <v>0.20100000000000001</v>
      </c>
      <c r="G93" s="38">
        <v>3.43</v>
      </c>
    </row>
    <row r="94" spans="4:7" ht="13.5" thickBot="1" x14ac:dyDescent="0.25">
      <c r="D94" s="37" t="s">
        <v>219</v>
      </c>
      <c r="E94" s="47" t="s">
        <v>220</v>
      </c>
      <c r="F94" s="47"/>
      <c r="G94" s="38"/>
    </row>
    <row r="95" spans="4:7" x14ac:dyDescent="0.2">
      <c r="D95" s="57"/>
      <c r="E95" s="59" t="s">
        <v>226</v>
      </c>
      <c r="F95" s="55">
        <f>SUM(F86:F94)</f>
        <v>10.071000000000002</v>
      </c>
      <c r="G95" s="36">
        <f>SUM(G86:G94)</f>
        <v>23.970000000000002</v>
      </c>
    </row>
    <row r="96" spans="4:7" x14ac:dyDescent="0.2">
      <c r="D96" s="57"/>
      <c r="E96" s="57" t="s">
        <v>212</v>
      </c>
      <c r="F96" s="47">
        <f>SUM(F86:F89)</f>
        <v>7.2169999999999996</v>
      </c>
      <c r="G96" s="38">
        <f>SUM(G86:G89)</f>
        <v>13.999000000000001</v>
      </c>
    </row>
    <row r="97" spans="4:7" ht="13.5" thickBot="1" x14ac:dyDescent="0.25">
      <c r="D97" s="60"/>
      <c r="E97" s="60" t="s">
        <v>227</v>
      </c>
      <c r="F97" s="48">
        <f>SUM(F90:F92)</f>
        <v>2.653</v>
      </c>
      <c r="G97" s="40">
        <f>SUM(G90:G92)</f>
        <v>6.5410000000000004</v>
      </c>
    </row>
    <row r="98" spans="4:7" ht="13.5" thickBot="1" x14ac:dyDescent="0.25"/>
    <row r="99" spans="4:7" x14ac:dyDescent="0.2">
      <c r="D99" s="35" t="s">
        <v>208</v>
      </c>
      <c r="E99" s="55" t="s">
        <v>229</v>
      </c>
      <c r="F99" s="55"/>
      <c r="G99" s="36"/>
    </row>
    <row r="100" spans="4:7" x14ac:dyDescent="0.2">
      <c r="D100" s="37" t="s">
        <v>192</v>
      </c>
      <c r="E100" s="47"/>
      <c r="F100" s="47" t="s">
        <v>221</v>
      </c>
      <c r="G100" s="38" t="s">
        <v>223</v>
      </c>
    </row>
    <row r="101" spans="4:7" ht="13.5" thickBot="1" x14ac:dyDescent="0.25">
      <c r="D101" s="39"/>
      <c r="E101" s="48"/>
      <c r="F101" s="48" t="s">
        <v>209</v>
      </c>
      <c r="G101" s="40" t="s">
        <v>209</v>
      </c>
    </row>
    <row r="102" spans="4:7" x14ac:dyDescent="0.2">
      <c r="D102" s="37" t="s">
        <v>36</v>
      </c>
      <c r="E102" s="47" t="s">
        <v>212</v>
      </c>
      <c r="F102" s="47">
        <v>1.43</v>
      </c>
      <c r="G102" s="38">
        <v>2.3199999999999998</v>
      </c>
    </row>
    <row r="103" spans="4:7" x14ac:dyDescent="0.2">
      <c r="D103" s="37" t="s">
        <v>210</v>
      </c>
      <c r="E103" s="47" t="s">
        <v>212</v>
      </c>
      <c r="F103" s="47">
        <v>3.9009999999999998</v>
      </c>
      <c r="G103" s="38">
        <v>7.8010000000000002</v>
      </c>
    </row>
    <row r="104" spans="4:7" x14ac:dyDescent="0.2">
      <c r="D104" s="37" t="s">
        <v>211</v>
      </c>
      <c r="E104" s="47" t="s">
        <v>212</v>
      </c>
      <c r="F104" s="47">
        <v>3.4000000000000002E-2</v>
      </c>
      <c r="G104" s="38">
        <v>5.8999999999999997E-2</v>
      </c>
    </row>
    <row r="105" spans="4:7" x14ac:dyDescent="0.2">
      <c r="D105" s="37" t="s">
        <v>213</v>
      </c>
      <c r="E105" s="47" t="s">
        <v>212</v>
      </c>
      <c r="F105" s="56">
        <v>0</v>
      </c>
      <c r="G105" s="38">
        <v>0</v>
      </c>
    </row>
    <row r="106" spans="4:7" x14ac:dyDescent="0.2">
      <c r="D106" s="37" t="s">
        <v>214</v>
      </c>
      <c r="E106" s="56" t="s">
        <v>228</v>
      </c>
      <c r="F106" s="56">
        <v>5.1269999999999998</v>
      </c>
      <c r="G106" s="38">
        <v>12.817</v>
      </c>
    </row>
    <row r="107" spans="4:7" x14ac:dyDescent="0.2">
      <c r="D107" s="37" t="s">
        <v>215</v>
      </c>
      <c r="E107" s="56" t="s">
        <v>228</v>
      </c>
      <c r="F107" s="56">
        <v>0.46200000000000002</v>
      </c>
      <c r="G107" s="38">
        <v>1.042</v>
      </c>
    </row>
    <row r="108" spans="4:7" x14ac:dyDescent="0.2">
      <c r="D108" s="37" t="s">
        <v>216</v>
      </c>
      <c r="E108" s="56" t="s">
        <v>228</v>
      </c>
      <c r="F108" s="56">
        <v>0</v>
      </c>
      <c r="G108" s="38">
        <v>0.55200000000000005</v>
      </c>
    </row>
    <row r="109" spans="4:7" x14ac:dyDescent="0.2">
      <c r="D109" s="37" t="s">
        <v>217</v>
      </c>
      <c r="E109" s="47" t="s">
        <v>218</v>
      </c>
      <c r="F109" s="56">
        <v>0</v>
      </c>
      <c r="G109" s="38">
        <v>2.2320000000000002</v>
      </c>
    </row>
    <row r="110" spans="4:7" ht="13.5" thickBot="1" x14ac:dyDescent="0.25">
      <c r="D110" s="37" t="s">
        <v>219</v>
      </c>
      <c r="E110" s="47" t="s">
        <v>220</v>
      </c>
      <c r="F110" s="47"/>
      <c r="G110" s="38"/>
    </row>
    <row r="111" spans="4:7" x14ac:dyDescent="0.2">
      <c r="D111" s="57"/>
      <c r="E111" s="59" t="s">
        <v>226</v>
      </c>
      <c r="F111" s="55">
        <f>SUM(F102:F110)</f>
        <v>10.953999999999999</v>
      </c>
      <c r="G111" s="36">
        <f>SUM(G102:G110)</f>
        <v>26.823</v>
      </c>
    </row>
    <row r="112" spans="4:7" x14ac:dyDescent="0.2">
      <c r="D112" s="57"/>
      <c r="E112" s="57" t="s">
        <v>212</v>
      </c>
      <c r="F112" s="47">
        <f>SUM(F102:F105)</f>
        <v>5.3649999999999993</v>
      </c>
      <c r="G112" s="38">
        <f>SUM(G102:G105)</f>
        <v>10.18</v>
      </c>
    </row>
    <row r="113" spans="4:7" ht="13.5" thickBot="1" x14ac:dyDescent="0.25">
      <c r="D113" s="60"/>
      <c r="E113" s="60" t="s">
        <v>227</v>
      </c>
      <c r="F113" s="48">
        <f>SUM(F106:F108)</f>
        <v>5.5889999999999995</v>
      </c>
      <c r="G113" s="40">
        <f>SUM(G106:G108)</f>
        <v>14.411</v>
      </c>
    </row>
  </sheetData>
  <hyperlinks>
    <hyperlink ref="B12" r:id="rId1" xr:uid="{890A445F-53A8-4D79-AC5F-47D1DCE8A64F}"/>
    <hyperlink ref="B6" r:id="rId2" xr:uid="{81E9CAC5-BD41-42B9-91D5-F148D776AFBC}"/>
    <hyperlink ref="B17" r:id="rId3" xr:uid="{3C114999-C69D-4DCD-B8AE-BB1F5D7C44B5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Information</vt:lpstr>
      <vt:lpstr>RNG_Forecast</vt:lpstr>
      <vt:lpstr>Charts</vt:lpstr>
      <vt:lpstr>Cost Estimate</vt:lpstr>
      <vt:lpstr>Natural Gas Consumption</vt:lpstr>
      <vt:lpstr>Studies</vt:lpstr>
    </vt:vector>
  </TitlesOfParts>
  <Company>Northwest Power and Conservation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Simmons</dc:creator>
  <cp:lastModifiedBy>Steven Simmons</cp:lastModifiedBy>
  <dcterms:created xsi:type="dcterms:W3CDTF">2020-09-16T16:47:18Z</dcterms:created>
  <dcterms:modified xsi:type="dcterms:W3CDTF">2022-01-25T20:52:27Z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{67C113AF-57B2-4B92-B114-0EC598DE3FD0}</vt:lpwstr>
  </property>
</Properties>
</file>