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19155" windowHeight="8535"/>
  </bookViews>
  <sheets>
    <sheet name="Budget Alternatives" sheetId="4" r:id="rId1"/>
    <sheet name="Category (2012)" sheetId="5" r:id="rId2"/>
    <sheet name="Category Detail (2012)" sheetId="6" r:id="rId3"/>
  </sheets>
  <externalReferences>
    <externalReference r:id="rId4"/>
  </externalReferences>
  <calcPr calcId="125725"/>
</workbook>
</file>

<file path=xl/calcChain.xml><?xml version="1.0" encoding="utf-8"?>
<calcChain xmlns="http://schemas.openxmlformats.org/spreadsheetml/2006/main">
  <c r="C28" i="4"/>
  <c r="E50" i="6"/>
  <c r="E49"/>
  <c r="E48"/>
  <c r="E47"/>
  <c r="E46"/>
  <c r="E45"/>
  <c r="E44"/>
  <c r="E43"/>
  <c r="E42"/>
  <c r="F60"/>
  <c r="E60"/>
  <c r="F59"/>
  <c r="E59"/>
  <c r="F58"/>
  <c r="E58"/>
  <c r="F57"/>
  <c r="E57"/>
  <c r="E28" i="4"/>
  <c r="E27"/>
  <c r="E26"/>
  <c r="D28"/>
  <c r="D27"/>
  <c r="D26"/>
  <c r="C27"/>
  <c r="C26"/>
  <c r="D18"/>
  <c r="D20" s="1"/>
  <c r="E32"/>
  <c r="E33"/>
  <c r="E34"/>
  <c r="E36" s="1"/>
  <c r="E35"/>
  <c r="D32"/>
  <c r="D33"/>
  <c r="D34"/>
  <c r="D36" s="1"/>
  <c r="D35"/>
  <c r="C32"/>
  <c r="C33"/>
  <c r="C34"/>
  <c r="C36" s="1"/>
  <c r="C35"/>
  <c r="T20"/>
  <c r="E37" s="1"/>
  <c r="O20"/>
  <c r="D37" s="1"/>
  <c r="J20"/>
  <c r="C37" s="1"/>
  <c r="R20"/>
  <c r="M20"/>
  <c r="H20"/>
  <c r="D29" l="1"/>
  <c r="E29"/>
  <c r="C29"/>
  <c r="C18" l="1"/>
  <c r="D101" i="6"/>
  <c r="F90"/>
  <c r="F17" i="5" s="1"/>
  <c r="D90" i="6"/>
  <c r="C90"/>
  <c r="B90"/>
  <c r="E89"/>
  <c r="E90" s="1"/>
  <c r="E17" i="5" s="1"/>
  <c r="E88" i="6"/>
  <c r="E87"/>
  <c r="F83"/>
  <c r="F16" i="5" s="1"/>
  <c r="D83" i="6"/>
  <c r="C83"/>
  <c r="E82"/>
  <c r="E83" s="1"/>
  <c r="E16" i="5" s="1"/>
  <c r="E81" i="6"/>
  <c r="B80"/>
  <c r="B83" s="1"/>
  <c r="F77"/>
  <c r="F15" i="5" s="1"/>
  <c r="D77" i="6"/>
  <c r="C77"/>
  <c r="E76"/>
  <c r="E77" s="1"/>
  <c r="E15" i="5" s="1"/>
  <c r="E75" i="6"/>
  <c r="E74"/>
  <c r="B73"/>
  <c r="B77" s="1"/>
  <c r="F70"/>
  <c r="F14" i="5" s="1"/>
  <c r="C70" i="6"/>
  <c r="C14" i="5" s="1"/>
  <c r="E69" i="6"/>
  <c r="D68"/>
  <c r="D70" s="1"/>
  <c r="D14" i="5" s="1"/>
  <c r="E67" i="6"/>
  <c r="E66"/>
  <c r="E65"/>
  <c r="B64"/>
  <c r="B70" s="1"/>
  <c r="D61"/>
  <c r="C61"/>
  <c r="C13" i="5" s="1"/>
  <c r="F61" i="6"/>
  <c r="F13" i="5" s="1"/>
  <c r="E61" i="6"/>
  <c r="E13" i="5" s="1"/>
  <c r="B56" i="6"/>
  <c r="B61" s="1"/>
  <c r="F53"/>
  <c r="D53"/>
  <c r="D12" i="5" s="1"/>
  <c r="C53" i="6"/>
  <c r="C12" i="5" s="1"/>
  <c r="B41" i="6"/>
  <c r="B53" s="1"/>
  <c r="D38"/>
  <c r="D11" i="5" s="1"/>
  <c r="C38" i="6"/>
  <c r="C11" i="5" s="1"/>
  <c r="F34" i="6"/>
  <c r="E34"/>
  <c r="F33"/>
  <c r="E33"/>
  <c r="F32"/>
  <c r="E32"/>
  <c r="F31"/>
  <c r="F38" s="1"/>
  <c r="F11" i="5" s="1"/>
  <c r="E31" i="6"/>
  <c r="E30"/>
  <c r="E29"/>
  <c r="E38" s="1"/>
  <c r="E11" i="5" s="1"/>
  <c r="B28" i="6"/>
  <c r="B38" s="1"/>
  <c r="M24"/>
  <c r="L24"/>
  <c r="F24"/>
  <c r="D24"/>
  <c r="C24"/>
  <c r="M23"/>
  <c r="L23"/>
  <c r="F23"/>
  <c r="D23"/>
  <c r="C23"/>
  <c r="E23" s="1"/>
  <c r="L22"/>
  <c r="F22"/>
  <c r="D22"/>
  <c r="C22"/>
  <c r="E22" s="1"/>
  <c r="M21"/>
  <c r="L21"/>
  <c r="F21"/>
  <c r="D21"/>
  <c r="C21"/>
  <c r="M20"/>
  <c r="L20"/>
  <c r="F20"/>
  <c r="E20"/>
  <c r="D20"/>
  <c r="C20"/>
  <c r="M19"/>
  <c r="L19"/>
  <c r="F19"/>
  <c r="D19"/>
  <c r="C19"/>
  <c r="E19" s="1"/>
  <c r="M18"/>
  <c r="L18"/>
  <c r="F18"/>
  <c r="D18"/>
  <c r="C18"/>
  <c r="B17"/>
  <c r="B25" s="1"/>
  <c r="L13"/>
  <c r="F13"/>
  <c r="D13"/>
  <c r="C13"/>
  <c r="M12"/>
  <c r="L12"/>
  <c r="F12"/>
  <c r="D12"/>
  <c r="C12"/>
  <c r="M11"/>
  <c r="L11"/>
  <c r="F11"/>
  <c r="D11"/>
  <c r="C11"/>
  <c r="E11" s="1"/>
  <c r="M10"/>
  <c r="L10"/>
  <c r="F10"/>
  <c r="D10"/>
  <c r="C10"/>
  <c r="B9"/>
  <c r="B14" s="1"/>
  <c r="B2"/>
  <c r="D17" i="5"/>
  <c r="C17"/>
  <c r="D16"/>
  <c r="C16"/>
  <c r="D15"/>
  <c r="C15"/>
  <c r="D13"/>
  <c r="F12"/>
  <c r="G10"/>
  <c r="G9"/>
  <c r="B2"/>
  <c r="E24" i="6" l="1"/>
  <c r="E12"/>
  <c r="E13"/>
  <c r="E53"/>
  <c r="E12" i="5" s="1"/>
  <c r="E10" i="6"/>
  <c r="E21"/>
  <c r="E18"/>
  <c r="F14"/>
  <c r="F9" i="5" s="1"/>
  <c r="D14" i="6"/>
  <c r="D9" i="5" s="1"/>
  <c r="E25" i="6"/>
  <c r="E10" i="5" s="1"/>
  <c r="F25" i="6"/>
  <c r="F10" i="5" s="1"/>
  <c r="D25" i="6"/>
  <c r="D10" i="5" s="1"/>
  <c r="C14" i="6"/>
  <c r="C25"/>
  <c r="C10" i="5" s="1"/>
  <c r="F96" i="6"/>
  <c r="E68"/>
  <c r="E70" s="1"/>
  <c r="E14" l="1"/>
  <c r="E9" i="5" s="1"/>
  <c r="F18"/>
  <c r="F95" i="6"/>
  <c r="F93"/>
  <c r="F98" s="1"/>
  <c r="D18" i="5"/>
  <c r="D93" i="6"/>
  <c r="D98" s="1"/>
  <c r="E14" i="5"/>
  <c r="C93" i="6"/>
  <c r="C9" i="5"/>
  <c r="C18" s="1"/>
  <c r="E18" l="1"/>
  <c r="E93" i="6"/>
  <c r="D102"/>
</calcChain>
</file>

<file path=xl/comments1.xml><?xml version="1.0" encoding="utf-8"?>
<comments xmlns="http://schemas.openxmlformats.org/spreadsheetml/2006/main">
  <authors>
    <author>Charlie Grist</author>
  </authors>
  <commentList>
    <comment ref="D8" authorId="0">
      <text>
        <r>
          <rPr>
            <b/>
            <sz val="9"/>
            <color indexed="81"/>
            <rFont val="Tahoma"/>
            <family val="2"/>
          </rPr>
          <t>Charlie Grist:</t>
        </r>
        <r>
          <rPr>
            <sz val="9"/>
            <color indexed="81"/>
            <rFont val="Tahoma"/>
            <family val="2"/>
          </rPr>
          <t xml:space="preserve">
RTF staff costs for measure review include crafting  the SOWs, management of contractor deliverables, subcommittee staffing, bringing proposals to RTF, and depositing results of RTF decisions into RTF library as appropriate. </t>
        </r>
      </text>
    </comment>
  </commentList>
</comments>
</file>

<file path=xl/sharedStrings.xml><?xml version="1.0" encoding="utf-8"?>
<sst xmlns="http://schemas.openxmlformats.org/spreadsheetml/2006/main" count="167" uniqueCount="115">
  <si>
    <t>FTE</t>
  </si>
  <si>
    <t>Admin</t>
  </si>
  <si>
    <t>Total</t>
  </si>
  <si>
    <t xml:space="preserve">Website, Database support, Conservation Tracking </t>
  </si>
  <si>
    <t>2011 Budget</t>
  </si>
  <si>
    <t>Category</t>
  </si>
  <si>
    <t>Category Level Budget for 2012</t>
  </si>
  <si>
    <t>Calendar 2012</t>
  </si>
  <si>
    <t>Contract</t>
  </si>
  <si>
    <t>RTF Staff</t>
  </si>
  <si>
    <t>Subtotal Funders</t>
  </si>
  <si>
    <t>Council Staff In Kind Contribution</t>
  </si>
  <si>
    <t>Note</t>
  </si>
  <si>
    <t>Existing Measure Review &amp; Updates</t>
  </si>
  <si>
    <t>New Measure Development &amp; Review of Unsolicited Proposals</t>
  </si>
  <si>
    <t>Standardization of Technical Analysis</t>
  </si>
  <si>
    <t>Scalable.  See Category Detail.</t>
  </si>
  <si>
    <t>Tool Development</t>
  </si>
  <si>
    <t>Options in Category Detail</t>
  </si>
  <si>
    <t>Research Projects &amp; Data Development</t>
  </si>
  <si>
    <t>Regional Coordination</t>
  </si>
  <si>
    <t>Fixed</t>
  </si>
  <si>
    <t>RTF Member Support &amp; Administration</t>
  </si>
  <si>
    <t>RTF Management</t>
  </si>
  <si>
    <t>Subtotal New Work</t>
  </si>
  <si>
    <t>Budget Category Detail Worksheet for 2012</t>
  </si>
  <si>
    <t>Cells are linked to worksheet  "Category"</t>
  </si>
  <si>
    <t>Grayed out text for deferred or eliminated work</t>
  </si>
  <si>
    <t>Enter Values in these columns for UES/Protocol</t>
  </si>
  <si>
    <t>n units</t>
  </si>
  <si>
    <t>Contract cost per unit</t>
  </si>
  <si>
    <t>RTF Staff cost per unit</t>
  </si>
  <si>
    <t>Council Staff cost per unit</t>
  </si>
  <si>
    <t>n per $120K</t>
  </si>
  <si>
    <t>Update Active UES Measures &amp; Measure Specifications</t>
  </si>
  <si>
    <t>Provisional to Active UES Measures</t>
  </si>
  <si>
    <t>Standard &amp; Provisional Protocols</t>
  </si>
  <si>
    <t>Convert existing "deemed calculators" to Standard/Provisional protocols</t>
  </si>
  <si>
    <t>Assume 5 for now.  Need to get RTF to prioritize.</t>
  </si>
  <si>
    <t>Review High-Priority New UES</t>
  </si>
  <si>
    <t>Review High-Priority New Standard Protocols with Calculators</t>
  </si>
  <si>
    <t xml:space="preserve">Develop New Measures for Small &amp; Rural </t>
  </si>
  <si>
    <t>Review Unsolicited New UES or New Protocols</t>
  </si>
  <si>
    <t>Review of Evaluation Plans as Requested</t>
  </si>
  <si>
    <t>Placeholder</t>
  </si>
  <si>
    <t>Develop New UES with RTF Resources</t>
  </si>
  <si>
    <t>Develop New Protocols with RTF Resources</t>
  </si>
  <si>
    <t>Finalize and adopt guidelines on measure cost &amp; non-energy-benefits</t>
  </si>
  <si>
    <t>Finalize and adopt guidelines on measure life</t>
  </si>
  <si>
    <t>Develop  template, standards &amp; guidelines for RTF calculators</t>
  </si>
  <si>
    <t>Complete Appendix D of Guidelines for RTF Savings Estimation Methods</t>
  </si>
  <si>
    <t xml:space="preserve">Optional pending desirability by funders </t>
  </si>
  <si>
    <t>Other Updates to Guidelines for RTF Savings Estimation Methods as needed</t>
  </si>
  <si>
    <t>Develop guidelines &amp; methods for conservation load shape, CF and LF</t>
  </si>
  <si>
    <t>Develop guidelines for instrumentation including calibration</t>
  </si>
  <si>
    <t>Defer until demonstrated need.  May be able to adopt others standards.</t>
  </si>
  <si>
    <t>Develop guidelines for true power measurement</t>
  </si>
  <si>
    <t xml:space="preserve">Defer until demonstrated value to guideline.  Take on a case by case basis for now.  </t>
  </si>
  <si>
    <t>Develop guidelines for third-party software</t>
  </si>
  <si>
    <t>ProCost: Users Manual for RTF proposers</t>
  </si>
  <si>
    <t>Might be an in-house project only (no contract).</t>
  </si>
  <si>
    <t>ProCost:  Early Retrofit Mode Built</t>
  </si>
  <si>
    <t>Standardize analytical methods for early retrofit mode.</t>
  </si>
  <si>
    <t>ProCost:  Adaptation for EE Central</t>
  </si>
  <si>
    <t>Assumes no re-programming required.  Otherwise $12K.</t>
  </si>
  <si>
    <t>ProCost:  Automate Post Processing</t>
  </si>
  <si>
    <t>SEEM Training</t>
  </si>
  <si>
    <t>Training for RTF members only</t>
  </si>
  <si>
    <t>SEEM Development</t>
  </si>
  <si>
    <t xml:space="preserve">Simplifying user-input for heat pump HSPF and control strategy.  </t>
  </si>
  <si>
    <r>
      <rPr>
        <sz val="12"/>
        <rFont val="Arial"/>
        <family val="2"/>
      </rPr>
      <t>Update</t>
    </r>
    <r>
      <rPr>
        <sz val="12"/>
        <color indexed="8"/>
        <rFont val="Arial"/>
        <family val="2"/>
      </rPr>
      <t xml:space="preserve"> Ventilation Calc Tool for Residential</t>
    </r>
  </si>
  <si>
    <t xml:space="preserve">Residential weatherization/ventilation subcommittee to help guide this.  Assumes updates to the calculator as changes are made to the ASHRAE 62.2 standard.  </t>
  </si>
  <si>
    <t>Develop/Revise Heat Pump Sizing Tool</t>
  </si>
  <si>
    <t>PTCS Subcommittee</t>
  </si>
  <si>
    <t>Develop Conservation Load Shape Calculator Tool</t>
  </si>
  <si>
    <t>ProCost:  Marginal Line Loss Calculations Added and tested</t>
  </si>
  <si>
    <t>Shift to Council budget</t>
  </si>
  <si>
    <t>ProCost:  Recode to handle 8760 load shapes</t>
  </si>
  <si>
    <t>End Use Load Data (Convert raw ELCAP Data to modern database)</t>
  </si>
  <si>
    <t>End Use Load Data Library Development</t>
  </si>
  <si>
    <t>Convert Load Shapes to 8760</t>
  </si>
  <si>
    <t>Collect and Summarize Evaluation activity and spending by Utilities, BPA, ETO</t>
  </si>
  <si>
    <t xml:space="preserve">Purpose is to help prioritize RTF work plan </t>
  </si>
  <si>
    <t>Facilitate collaborative regional evaluation of PTCS</t>
  </si>
  <si>
    <t>Performance Tested Comfort Systems (PTCS)</t>
  </si>
  <si>
    <t>Develop and execute RTF evaluation work plan</t>
  </si>
  <si>
    <t>Coordinate annual comparison of utility/SBC administrator TRM</t>
  </si>
  <si>
    <t>TRM- Technical Resource Manuals. Comparison used as basis for determining which non-RTF measures/protocols held "in common".  Helps prioritize RTF work plan elements.</t>
  </si>
  <si>
    <t>Website development and management</t>
  </si>
  <si>
    <t>Annual Conservation Tracking Report</t>
  </si>
  <si>
    <t>Data Warehousing (Heat Pump Water Heater, Ductless HP, RTUG,?)</t>
  </si>
  <si>
    <t>RTF web site continues hosting and maintaining some data sources for public reference</t>
  </si>
  <si>
    <t>RTF Meetings , phone, web conference, meeting minutes</t>
  </si>
  <si>
    <t>Minutes $24K, phone/web conference $7K</t>
  </si>
  <si>
    <t>RTF Members and Corresponding Members meeting and project support.</t>
  </si>
  <si>
    <t xml:space="preserve"> RTF member support for meetings, travel, and specific project reviews</t>
  </si>
  <si>
    <t xml:space="preserve">Manage RTF work flow, develop agenda &amp; procedures &amp; budgets &amp; SOWs </t>
  </si>
  <si>
    <t xml:space="preserve">Manage RTF business activities, contracts, financial, bylaws, RTFPAC </t>
  </si>
  <si>
    <t>Annual Report</t>
  </si>
  <si>
    <t>Total New Work 2012</t>
  </si>
  <si>
    <t>Tech</t>
  </si>
  <si>
    <t>2012 Review Budget</t>
  </si>
  <si>
    <t>Council Staff In Kind</t>
  </si>
  <si>
    <t>Budget Level $1 Million:  Cut Existing &amp; New Measure Review in half, Minimize Research Data  &amp; Tool Development</t>
  </si>
  <si>
    <t>Tools, Research, Data &amp; Regional Coordination</t>
  </si>
  <si>
    <t>Measure Review &amp; Technical Analysis</t>
  </si>
  <si>
    <t>Option A</t>
  </si>
  <si>
    <t>Option B</t>
  </si>
  <si>
    <t>Option C</t>
  </si>
  <si>
    <t>Hold 2011 Budget Level:  Reduce Research &amp; Data Development</t>
  </si>
  <si>
    <t>Council Staff In Kind FTE</t>
  </si>
  <si>
    <t>Draft of September 21, 2011</t>
  </si>
  <si>
    <t>RTF Activity by Category</t>
  </si>
  <si>
    <t>RTF Activity by Implementing Agent</t>
  </si>
  <si>
    <t>2012 Proposed</t>
  </si>
</sst>
</file>

<file path=xl/styles.xml><?xml version="1.0" encoding="utf-8"?>
<styleSheet xmlns="http://schemas.openxmlformats.org/spreadsheetml/2006/main">
  <numFmts count="7">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
    <numFmt numFmtId="166" formatCode="_(* #,##0.0_);_(* \(#,##0.0\);_(* &quot;-&quot;??_);_(@_)"/>
    <numFmt numFmtId="167" formatCode="#,##0.0_);\(#,##0.0\)"/>
  </numFmts>
  <fonts count="28">
    <font>
      <sz val="10"/>
      <name val="Arial"/>
    </font>
    <font>
      <sz val="10"/>
      <color theme="1"/>
      <name val="Arial"/>
      <family val="2"/>
    </font>
    <font>
      <sz val="10"/>
      <name val="Arial"/>
      <family val="2"/>
    </font>
    <font>
      <b/>
      <sz val="10"/>
      <name val="Arial"/>
      <family val="2"/>
    </font>
    <font>
      <sz val="9"/>
      <color indexed="81"/>
      <name val="Tahoma"/>
      <family val="2"/>
    </font>
    <font>
      <b/>
      <sz val="9"/>
      <color indexed="81"/>
      <name val="Tahoma"/>
      <family val="2"/>
    </font>
    <font>
      <sz val="11"/>
      <color theme="1"/>
      <name val="Calibri"/>
      <family val="2"/>
      <scheme val="minor"/>
    </font>
    <font>
      <sz val="18"/>
      <color theme="1"/>
      <name val="Calibri"/>
      <family val="2"/>
      <scheme val="minor"/>
    </font>
    <font>
      <i/>
      <sz val="11"/>
      <color theme="1"/>
      <name val="Calibri"/>
      <family val="2"/>
      <scheme val="minor"/>
    </font>
    <font>
      <b/>
      <sz val="11"/>
      <color theme="1"/>
      <name val="Calibri"/>
      <family val="2"/>
      <scheme val="minor"/>
    </font>
    <font>
      <b/>
      <sz val="10"/>
      <color indexed="8"/>
      <name val="Arial"/>
      <family val="2"/>
    </font>
    <font>
      <sz val="10"/>
      <color indexed="8"/>
      <name val="Arial"/>
      <family val="2"/>
    </font>
    <font>
      <sz val="11"/>
      <color rgb="FF00B050"/>
      <name val="Calibri"/>
      <family val="2"/>
      <scheme val="minor"/>
    </font>
    <font>
      <b/>
      <sz val="12"/>
      <color indexed="8"/>
      <name val="Arial"/>
      <family val="2"/>
    </font>
    <font>
      <sz val="11"/>
      <color indexed="8"/>
      <name val="Calibri"/>
      <family val="2"/>
    </font>
    <font>
      <sz val="11"/>
      <name val="Calibri"/>
      <family val="2"/>
      <scheme val="minor"/>
    </font>
    <font>
      <sz val="12"/>
      <name val="Arial"/>
      <family val="2"/>
    </font>
    <font>
      <sz val="11"/>
      <color indexed="8"/>
      <name val="Arial"/>
      <family val="2"/>
    </font>
    <font>
      <sz val="12"/>
      <color indexed="8"/>
      <name val="Arial"/>
      <family val="2"/>
    </font>
    <font>
      <sz val="12"/>
      <color theme="0" tint="-0.499984740745262"/>
      <name val="Arial"/>
      <family val="2"/>
    </font>
    <font>
      <sz val="11"/>
      <color theme="0" tint="-0.499984740745262"/>
      <name val="Calibri"/>
      <family val="2"/>
      <scheme val="minor"/>
    </font>
    <font>
      <sz val="11"/>
      <color theme="0" tint="-0.34998626667073579"/>
      <name val="Calibri"/>
      <family val="2"/>
      <scheme val="minor"/>
    </font>
    <font>
      <sz val="11"/>
      <name val="Arial"/>
      <family val="2"/>
    </font>
    <font>
      <sz val="11"/>
      <color rgb="FF0070C0"/>
      <name val="Calibri"/>
      <family val="2"/>
      <scheme val="minor"/>
    </font>
    <font>
      <sz val="11"/>
      <color theme="1" tint="0.499984740745262"/>
      <name val="Calibri"/>
      <family val="2"/>
      <scheme val="minor"/>
    </font>
    <font>
      <sz val="11"/>
      <color rgb="FF00B050"/>
      <name val="Arial"/>
      <family val="2"/>
    </font>
    <font>
      <sz val="11"/>
      <color indexed="11"/>
      <name val="Calibri"/>
      <family val="2"/>
    </font>
    <font>
      <i/>
      <sz val="10"/>
      <name val="Arial"/>
      <family val="2"/>
    </font>
  </fonts>
  <fills count="11">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2" fillId="0" borderId="0" applyFont="0" applyFill="0" applyBorder="0" applyAlignment="0" applyProtection="0"/>
    <xf numFmtId="0" fontId="1" fillId="0" borderId="0"/>
    <xf numFmtId="0" fontId="6" fillId="0" borderId="0"/>
    <xf numFmtId="0" fontId="2" fillId="0" borderId="0"/>
    <xf numFmtId="44" fontId="14" fillId="0" borderId="0" applyFont="0" applyFill="0" applyBorder="0" applyAlignment="0" applyProtection="0"/>
    <xf numFmtId="43" fontId="6"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cellStyleXfs>
  <cellXfs count="141">
    <xf numFmtId="0" fontId="0" fillId="0" borderId="0" xfId="0"/>
    <xf numFmtId="0" fontId="7" fillId="0" borderId="0" xfId="3" applyFont="1"/>
    <xf numFmtId="0" fontId="6" fillId="0" borderId="0" xfId="3"/>
    <xf numFmtId="0" fontId="8" fillId="0" borderId="0" xfId="3" applyFont="1"/>
    <xf numFmtId="0" fontId="6" fillId="0" borderId="0" xfId="3" applyFill="1"/>
    <xf numFmtId="0" fontId="10" fillId="4" borderId="1" xfId="4" applyFont="1" applyFill="1" applyBorder="1"/>
    <xf numFmtId="0" fontId="10" fillId="4" borderId="1" xfId="4" applyFont="1" applyFill="1" applyBorder="1" applyAlignment="1">
      <alignment horizontal="center" wrapText="1"/>
    </xf>
    <xf numFmtId="0" fontId="10" fillId="4" borderId="6" xfId="4" applyFont="1" applyFill="1" applyBorder="1" applyAlignment="1">
      <alignment horizontal="center" wrapText="1"/>
    </xf>
    <xf numFmtId="0" fontId="10" fillId="4" borderId="5" xfId="4" applyFont="1" applyFill="1" applyBorder="1" applyAlignment="1">
      <alignment horizontal="center" wrapText="1"/>
    </xf>
    <xf numFmtId="0" fontId="11" fillId="5" borderId="3" xfId="4" applyFont="1" applyFill="1" applyBorder="1" applyAlignment="1">
      <alignment vertical="center" wrapText="1"/>
    </xf>
    <xf numFmtId="5" fontId="6" fillId="5" borderId="1" xfId="3" applyNumberFormat="1" applyFill="1" applyBorder="1" applyAlignment="1">
      <alignment horizontal="center" vertical="center"/>
    </xf>
    <xf numFmtId="5" fontId="6" fillId="5" borderId="6" xfId="3" applyNumberFormat="1" applyFill="1" applyBorder="1" applyAlignment="1">
      <alignment horizontal="center" vertical="center"/>
    </xf>
    <xf numFmtId="5" fontId="6" fillId="5" borderId="5" xfId="3" applyNumberFormat="1" applyFill="1" applyBorder="1" applyAlignment="1">
      <alignment horizontal="center" vertical="center"/>
    </xf>
    <xf numFmtId="0" fontId="6" fillId="5" borderId="1" xfId="3" applyFill="1" applyBorder="1" applyAlignment="1">
      <alignment vertical="center" wrapText="1"/>
    </xf>
    <xf numFmtId="0" fontId="11" fillId="6" borderId="3" xfId="4" applyFont="1" applyFill="1" applyBorder="1" applyAlignment="1">
      <alignment vertical="center" wrapText="1"/>
    </xf>
    <xf numFmtId="5" fontId="6" fillId="6" borderId="1" xfId="3" applyNumberFormat="1" applyFill="1" applyBorder="1" applyAlignment="1">
      <alignment horizontal="center" vertical="center"/>
    </xf>
    <xf numFmtId="5" fontId="6" fillId="6" borderId="6" xfId="3" applyNumberFormat="1" applyFill="1" applyBorder="1" applyAlignment="1">
      <alignment horizontal="center" vertical="center"/>
    </xf>
    <xf numFmtId="5" fontId="6" fillId="6" borderId="5" xfId="3" applyNumberFormat="1" applyFill="1" applyBorder="1" applyAlignment="1">
      <alignment horizontal="center" vertical="center"/>
    </xf>
    <xf numFmtId="0" fontId="6" fillId="6" borderId="1" xfId="3" applyFill="1" applyBorder="1" applyAlignment="1">
      <alignment vertical="center" wrapText="1"/>
    </xf>
    <xf numFmtId="0" fontId="11" fillId="3" borderId="3" xfId="4" applyFont="1" applyFill="1" applyBorder="1" applyAlignment="1">
      <alignment vertical="center" wrapText="1"/>
    </xf>
    <xf numFmtId="5" fontId="6" fillId="3" borderId="1" xfId="3" applyNumberFormat="1" applyFill="1" applyBorder="1" applyAlignment="1">
      <alignment horizontal="center" vertical="center"/>
    </xf>
    <xf numFmtId="5" fontId="6" fillId="3" borderId="6" xfId="3" applyNumberFormat="1" applyFill="1" applyBorder="1" applyAlignment="1">
      <alignment horizontal="center" vertical="center"/>
    </xf>
    <xf numFmtId="5" fontId="6" fillId="3" borderId="5" xfId="3" applyNumberFormat="1" applyFill="1" applyBorder="1" applyAlignment="1">
      <alignment horizontal="center" vertical="center"/>
    </xf>
    <xf numFmtId="0" fontId="6" fillId="3" borderId="1" xfId="3" applyFill="1" applyBorder="1" applyAlignment="1">
      <alignment vertical="center" wrapText="1"/>
    </xf>
    <xf numFmtId="0" fontId="10" fillId="0" borderId="1" xfId="4" applyFont="1" applyBorder="1" applyAlignment="1">
      <alignment vertical="center" wrapText="1"/>
    </xf>
    <xf numFmtId="5" fontId="9" fillId="0" borderId="1" xfId="3" applyNumberFormat="1" applyFont="1" applyBorder="1" applyAlignment="1">
      <alignment horizontal="center" vertical="center"/>
    </xf>
    <xf numFmtId="5" fontId="9" fillId="0" borderId="6" xfId="3" applyNumberFormat="1" applyFont="1" applyBorder="1" applyAlignment="1">
      <alignment horizontal="center" vertical="center"/>
    </xf>
    <xf numFmtId="5" fontId="9" fillId="0" borderId="5" xfId="3" applyNumberFormat="1" applyFont="1" applyBorder="1" applyAlignment="1">
      <alignment horizontal="center" vertical="center"/>
    </xf>
    <xf numFmtId="0" fontId="6" fillId="0" borderId="1" xfId="3" applyBorder="1" applyAlignment="1">
      <alignment vertical="center" wrapText="1"/>
    </xf>
    <xf numFmtId="0" fontId="12" fillId="0" borderId="0" xfId="3" applyFont="1"/>
    <xf numFmtId="0" fontId="6" fillId="0" borderId="0" xfId="3" applyAlignment="1"/>
    <xf numFmtId="0" fontId="6" fillId="6" borderId="0" xfId="3" applyFill="1" applyBorder="1" applyAlignment="1">
      <alignment horizontal="center" wrapText="1"/>
    </xf>
    <xf numFmtId="0" fontId="6" fillId="0" borderId="0" xfId="3" applyAlignment="1">
      <alignment wrapText="1"/>
    </xf>
    <xf numFmtId="0" fontId="13" fillId="0" borderId="1" xfId="3" applyFont="1" applyBorder="1" applyAlignment="1">
      <alignment wrapText="1"/>
    </xf>
    <xf numFmtId="0" fontId="6" fillId="0" borderId="1" xfId="3" applyBorder="1" applyAlignment="1">
      <alignment wrapText="1"/>
    </xf>
    <xf numFmtId="0" fontId="6" fillId="0" borderId="0" xfId="3" applyBorder="1" applyAlignment="1">
      <alignment wrapText="1"/>
    </xf>
    <xf numFmtId="0" fontId="13" fillId="0" borderId="0" xfId="3" applyFont="1" applyAlignment="1">
      <alignment wrapText="1"/>
    </xf>
    <xf numFmtId="0" fontId="12" fillId="0" borderId="0" xfId="3" applyFont="1" applyAlignment="1">
      <alignment wrapText="1"/>
    </xf>
    <xf numFmtId="0" fontId="13" fillId="0" borderId="0" xfId="3" applyFont="1"/>
    <xf numFmtId="164" fontId="15" fillId="0" borderId="0" xfId="5" applyNumberFormat="1" applyFont="1" applyAlignment="1">
      <alignment wrapText="1"/>
    </xf>
    <xf numFmtId="0" fontId="16" fillId="0" borderId="0" xfId="3" applyFont="1"/>
    <xf numFmtId="5" fontId="0" fillId="0" borderId="0" xfId="5" applyNumberFormat="1" applyFont="1" applyAlignment="1">
      <alignment horizontal="center" vertical="center"/>
    </xf>
    <xf numFmtId="164" fontId="0" fillId="0" borderId="0" xfId="5" applyNumberFormat="1" applyFont="1" applyAlignment="1">
      <alignment wrapText="1"/>
    </xf>
    <xf numFmtId="166" fontId="0" fillId="0" borderId="0" xfId="6" applyNumberFormat="1" applyFont="1" applyAlignment="1">
      <alignment wrapText="1"/>
    </xf>
    <xf numFmtId="0" fontId="17" fillId="0" borderId="0" xfId="3" applyFont="1"/>
    <xf numFmtId="0" fontId="12" fillId="0" borderId="0" xfId="3" applyFont="1" applyFill="1" applyAlignment="1">
      <alignment wrapText="1"/>
    </xf>
    <xf numFmtId="0" fontId="18" fillId="0" borderId="0" xfId="3" applyFont="1"/>
    <xf numFmtId="164" fontId="12" fillId="0" borderId="0" xfId="5" applyNumberFormat="1" applyFont="1" applyFill="1" applyAlignment="1"/>
    <xf numFmtId="0" fontId="19" fillId="0" borderId="0" xfId="3" applyFont="1"/>
    <xf numFmtId="5" fontId="20" fillId="0" borderId="0" xfId="5" applyNumberFormat="1" applyFont="1" applyAlignment="1">
      <alignment horizontal="center" vertical="center"/>
    </xf>
    <xf numFmtId="0" fontId="21" fillId="0" borderId="0" xfId="3" applyFont="1" applyAlignment="1">
      <alignment wrapText="1"/>
    </xf>
    <xf numFmtId="164" fontId="21" fillId="0" borderId="0" xfId="5" applyNumberFormat="1" applyFont="1" applyAlignment="1">
      <alignment wrapText="1"/>
    </xf>
    <xf numFmtId="5" fontId="15" fillId="0" borderId="0" xfId="5" applyNumberFormat="1" applyFont="1" applyAlignment="1">
      <alignment horizontal="center" vertical="center"/>
    </xf>
    <xf numFmtId="0" fontId="22" fillId="0" borderId="0" xfId="3" applyFont="1"/>
    <xf numFmtId="0" fontId="23" fillId="0" borderId="0" xfId="3" applyFont="1" applyAlignment="1">
      <alignment wrapText="1"/>
    </xf>
    <xf numFmtId="5" fontId="9" fillId="0" borderId="0" xfId="5" applyNumberFormat="1" applyFont="1" applyAlignment="1">
      <alignment horizontal="center" vertical="center"/>
    </xf>
    <xf numFmtId="0" fontId="6" fillId="0" borderId="0" xfId="3" applyFont="1" applyAlignment="1">
      <alignment wrapText="1"/>
    </xf>
    <xf numFmtId="164" fontId="0" fillId="0" borderId="0" xfId="5" applyNumberFormat="1" applyFont="1" applyFill="1" applyAlignment="1">
      <alignment wrapText="1"/>
    </xf>
    <xf numFmtId="0" fontId="6" fillId="0" borderId="0" xfId="3" applyFont="1" applyFill="1" applyAlignment="1">
      <alignment wrapText="1"/>
    </xf>
    <xf numFmtId="0" fontId="6" fillId="0" borderId="0" xfId="3" applyFill="1" applyAlignment="1">
      <alignment wrapText="1"/>
    </xf>
    <xf numFmtId="0" fontId="12" fillId="0" borderId="0" xfId="3" applyFont="1" applyFill="1" applyAlignment="1"/>
    <xf numFmtId="0" fontId="12" fillId="0" borderId="0" xfId="3" applyFont="1" applyFill="1"/>
    <xf numFmtId="0" fontId="24" fillId="0" borderId="0" xfId="3" applyFont="1" applyAlignment="1">
      <alignment wrapText="1"/>
    </xf>
    <xf numFmtId="164" fontId="20" fillId="0" borderId="0" xfId="5" applyNumberFormat="1" applyFont="1" applyFill="1" applyAlignment="1">
      <alignment wrapText="1"/>
    </xf>
    <xf numFmtId="0" fontId="17" fillId="0" borderId="0" xfId="3" applyFont="1" applyFill="1"/>
    <xf numFmtId="5" fontId="0" fillId="0" borderId="0" xfId="5" applyNumberFormat="1" applyFont="1" applyFill="1" applyAlignment="1">
      <alignment horizontal="center" vertical="center"/>
    </xf>
    <xf numFmtId="5" fontId="15" fillId="0" borderId="0" xfId="5" applyNumberFormat="1" applyFont="1" applyFill="1" applyAlignment="1">
      <alignment horizontal="center" vertical="center"/>
    </xf>
    <xf numFmtId="5" fontId="15" fillId="0" borderId="0" xfId="3" applyNumberFormat="1" applyFont="1" applyFill="1" applyAlignment="1">
      <alignment horizontal="center"/>
    </xf>
    <xf numFmtId="5" fontId="6" fillId="0" borderId="0" xfId="3" applyNumberFormat="1" applyFill="1" applyAlignment="1">
      <alignment horizontal="center"/>
    </xf>
    <xf numFmtId="5" fontId="6" fillId="0" borderId="0" xfId="3" applyNumberFormat="1" applyAlignment="1">
      <alignment horizontal="center"/>
    </xf>
    <xf numFmtId="5" fontId="20" fillId="0" borderId="0" xfId="5" applyNumberFormat="1" applyFont="1" applyFill="1" applyAlignment="1">
      <alignment horizontal="center" vertical="center"/>
    </xf>
    <xf numFmtId="5" fontId="20" fillId="0" borderId="0" xfId="3" applyNumberFormat="1" applyFont="1" applyFill="1" applyAlignment="1">
      <alignment horizontal="center"/>
    </xf>
    <xf numFmtId="0" fontId="21" fillId="0" borderId="0" xfId="3" applyFont="1"/>
    <xf numFmtId="0" fontId="25" fillId="0" borderId="0" xfId="3" applyFont="1" applyFill="1"/>
    <xf numFmtId="0" fontId="26" fillId="0" borderId="0" xfId="3" applyFont="1" applyFill="1"/>
    <xf numFmtId="0" fontId="23" fillId="0" borderId="0" xfId="3" applyFont="1" applyFill="1"/>
    <xf numFmtId="0" fontId="6" fillId="0" borderId="0" xfId="3" applyFont="1"/>
    <xf numFmtId="0" fontId="6" fillId="0" borderId="0" xfId="3" quotePrefix="1"/>
    <xf numFmtId="5" fontId="9" fillId="0" borderId="0" xfId="3" applyNumberFormat="1" applyFont="1" applyAlignment="1">
      <alignment horizontal="center"/>
    </xf>
    <xf numFmtId="5" fontId="6" fillId="0" borderId="0" xfId="3" applyNumberFormat="1"/>
    <xf numFmtId="167" fontId="0" fillId="0" borderId="0" xfId="6" applyNumberFormat="1" applyFont="1" applyAlignment="1">
      <alignment horizontal="center"/>
    </xf>
    <xf numFmtId="0" fontId="10" fillId="2" borderId="1" xfId="4" applyFont="1" applyFill="1" applyBorder="1"/>
    <xf numFmtId="0" fontId="10" fillId="2" borderId="6" xfId="4" applyFont="1" applyFill="1" applyBorder="1" applyAlignment="1">
      <alignment horizontal="center" wrapText="1"/>
    </xf>
    <xf numFmtId="0" fontId="10" fillId="2" borderId="1" xfId="4" applyFont="1" applyFill="1" applyBorder="1" applyAlignment="1">
      <alignment horizontal="center" wrapText="1"/>
    </xf>
    <xf numFmtId="0" fontId="10" fillId="2" borderId="5" xfId="4" applyFont="1" applyFill="1" applyBorder="1" applyAlignment="1">
      <alignment horizontal="center" wrapText="1"/>
    </xf>
    <xf numFmtId="0" fontId="11" fillId="3" borderId="0" xfId="4" applyFont="1" applyFill="1" applyBorder="1" applyAlignment="1">
      <alignment horizontal="right" vertical="center" wrapText="1"/>
    </xf>
    <xf numFmtId="5" fontId="9" fillId="0" borderId="0" xfId="3" applyNumberFormat="1" applyFont="1" applyBorder="1" applyAlignment="1">
      <alignment horizontal="center" vertical="center"/>
    </xf>
    <xf numFmtId="0" fontId="3" fillId="0" borderId="0" xfId="0" applyFont="1" applyFill="1" applyBorder="1" applyAlignment="1">
      <alignment vertical="center"/>
    </xf>
    <xf numFmtId="0" fontId="10" fillId="0" borderId="0" xfId="4" applyFont="1" applyFill="1" applyBorder="1" applyAlignment="1">
      <alignment horizontal="center" wrapText="1"/>
    </xf>
    <xf numFmtId="5" fontId="6" fillId="0" borderId="0" xfId="3" applyNumberFormat="1" applyFill="1" applyBorder="1" applyAlignment="1">
      <alignment horizontal="center" vertical="center"/>
    </xf>
    <xf numFmtId="5" fontId="3" fillId="0" borderId="1" xfId="0" applyNumberFormat="1" applyFont="1" applyBorder="1"/>
    <xf numFmtId="5" fontId="0" fillId="0" borderId="0" xfId="0" applyNumberFormat="1" applyBorder="1"/>
    <xf numFmtId="5" fontId="0" fillId="0" borderId="0" xfId="0" applyNumberFormat="1" applyAlignment="1">
      <alignment horizontal="center"/>
    </xf>
    <xf numFmtId="5" fontId="0" fillId="0" borderId="0" xfId="0" applyNumberFormat="1" applyFill="1" applyAlignment="1">
      <alignment horizontal="center"/>
    </xf>
    <xf numFmtId="0" fontId="0" fillId="0" borderId="0" xfId="0" applyAlignment="1">
      <alignment wrapText="1"/>
    </xf>
    <xf numFmtId="0" fontId="21" fillId="0" borderId="0" xfId="0" applyFont="1" applyAlignment="1">
      <alignment wrapText="1"/>
    </xf>
    <xf numFmtId="0" fontId="0" fillId="0" borderId="0" xfId="0" applyFill="1" applyAlignment="1">
      <alignment wrapText="1"/>
    </xf>
    <xf numFmtId="0" fontId="20" fillId="0" borderId="0" xfId="0" applyFont="1" applyFill="1" applyAlignment="1">
      <alignment wrapText="1"/>
    </xf>
    <xf numFmtId="166" fontId="0" fillId="0" borderId="0" xfId="1" applyNumberFormat="1" applyFont="1" applyAlignment="1"/>
    <xf numFmtId="0" fontId="0" fillId="0" borderId="0" xfId="0" applyAlignment="1"/>
    <xf numFmtId="0" fontId="27" fillId="0" borderId="0" xfId="0" applyFont="1"/>
    <xf numFmtId="0" fontId="2" fillId="0" borderId="0" xfId="0" applyFont="1" applyFill="1" applyBorder="1" applyAlignment="1">
      <alignment horizontal="left"/>
    </xf>
    <xf numFmtId="0" fontId="10" fillId="0" borderId="10" xfId="4" applyFont="1" applyFill="1" applyBorder="1" applyAlignment="1">
      <alignment horizontal="left" wrapText="1"/>
    </xf>
    <xf numFmtId="5" fontId="3" fillId="0" borderId="11" xfId="0" applyNumberFormat="1" applyFont="1" applyBorder="1"/>
    <xf numFmtId="0" fontId="11" fillId="0" borderId="12" xfId="4" applyFont="1" applyFill="1" applyBorder="1" applyAlignment="1">
      <alignment horizontal="left" wrapText="1"/>
    </xf>
    <xf numFmtId="165" fontId="0" fillId="0" borderId="13" xfId="0" applyNumberFormat="1" applyBorder="1" applyAlignment="1">
      <alignment horizontal="center"/>
    </xf>
    <xf numFmtId="165" fontId="0" fillId="0" borderId="14" xfId="0" applyNumberFormat="1" applyBorder="1" applyAlignment="1">
      <alignment horizontal="center"/>
    </xf>
    <xf numFmtId="0" fontId="3" fillId="0" borderId="12" xfId="0" applyFont="1" applyBorder="1" applyAlignment="1">
      <alignment horizontal="left"/>
    </xf>
    <xf numFmtId="5" fontId="3" fillId="0" borderId="13" xfId="0" applyNumberFormat="1" applyFont="1" applyBorder="1"/>
    <xf numFmtId="5" fontId="3" fillId="0" borderId="14" xfId="0" applyNumberFormat="1" applyFont="1" applyBorder="1"/>
    <xf numFmtId="0" fontId="2" fillId="5" borderId="10" xfId="0" applyFont="1" applyFill="1" applyBorder="1" applyAlignment="1">
      <alignment horizontal="left"/>
    </xf>
    <xf numFmtId="5" fontId="0" fillId="5" borderId="1" xfId="0" applyNumberFormat="1" applyFill="1" applyBorder="1"/>
    <xf numFmtId="5" fontId="0" fillId="5" borderId="11" xfId="0" applyNumberFormat="1" applyFill="1" applyBorder="1"/>
    <xf numFmtId="0" fontId="2" fillId="6" borderId="10" xfId="0" applyFont="1" applyFill="1" applyBorder="1" applyAlignment="1">
      <alignment horizontal="left"/>
    </xf>
    <xf numFmtId="5" fontId="0" fillId="6" borderId="1" xfId="0" applyNumberFormat="1" applyFill="1" applyBorder="1"/>
    <xf numFmtId="5" fontId="0" fillId="6" borderId="11" xfId="0" applyNumberFormat="1" applyFill="1" applyBorder="1"/>
    <xf numFmtId="0" fontId="2" fillId="3" borderId="10" xfId="0" applyFont="1" applyFill="1" applyBorder="1" applyAlignment="1">
      <alignment horizontal="left"/>
    </xf>
    <xf numFmtId="5" fontId="0" fillId="3" borderId="1" xfId="0" applyNumberFormat="1" applyFill="1" applyBorder="1"/>
    <xf numFmtId="5" fontId="0" fillId="3" borderId="11" xfId="0" applyNumberFormat="1" applyFill="1" applyBorder="1"/>
    <xf numFmtId="0" fontId="3" fillId="7" borderId="7" xfId="0" applyFont="1" applyFill="1" applyBorder="1" applyAlignment="1">
      <alignment horizontal="left"/>
    </xf>
    <xf numFmtId="0" fontId="3" fillId="7" borderId="8" xfId="0" applyFont="1" applyFill="1" applyBorder="1" applyAlignment="1">
      <alignment horizontal="center"/>
    </xf>
    <xf numFmtId="0" fontId="3" fillId="7" borderId="9" xfId="0" applyFont="1" applyFill="1" applyBorder="1" applyAlignment="1">
      <alignment horizontal="center"/>
    </xf>
    <xf numFmtId="0" fontId="11" fillId="9" borderId="10" xfId="4" applyFont="1" applyFill="1" applyBorder="1" applyAlignment="1">
      <alignment horizontal="left" wrapText="1"/>
    </xf>
    <xf numFmtId="5" fontId="0" fillId="9" borderId="1" xfId="0" applyNumberFormat="1" applyFill="1" applyBorder="1"/>
    <xf numFmtId="5" fontId="0" fillId="9" borderId="11" xfId="0" applyNumberFormat="1" applyFill="1" applyBorder="1"/>
    <xf numFmtId="0" fontId="11" fillId="10" borderId="10" xfId="4" applyFont="1" applyFill="1" applyBorder="1" applyAlignment="1">
      <alignment horizontal="left" wrapText="1"/>
    </xf>
    <xf numFmtId="5" fontId="0" fillId="10" borderId="1" xfId="0" applyNumberFormat="1" applyFill="1" applyBorder="1"/>
    <xf numFmtId="5" fontId="0" fillId="10" borderId="11" xfId="0" applyNumberFormat="1" applyFill="1" applyBorder="1"/>
    <xf numFmtId="0" fontId="11" fillId="8" borderId="10" xfId="4" applyFont="1" applyFill="1" applyBorder="1" applyAlignment="1">
      <alignment horizontal="left" wrapText="1"/>
    </xf>
    <xf numFmtId="5" fontId="0" fillId="8" borderId="1" xfId="0" applyNumberFormat="1" applyFill="1" applyBorder="1"/>
    <xf numFmtId="5" fontId="0" fillId="8" borderId="11" xfId="0" applyNumberFormat="1" applyFill="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5" fontId="6" fillId="3" borderId="1" xfId="3" applyNumberFormat="1" applyFill="1" applyBorder="1" applyAlignment="1">
      <alignment horizontal="center" vertical="center"/>
    </xf>
    <xf numFmtId="5" fontId="6" fillId="6" borderId="1" xfId="3" applyNumberFormat="1" applyFill="1" applyBorder="1" applyAlignment="1">
      <alignment horizontal="center" vertical="center"/>
    </xf>
    <xf numFmtId="5" fontId="6" fillId="5" borderId="1" xfId="3" applyNumberFormat="1" applyFill="1" applyBorder="1" applyAlignment="1">
      <alignment horizontal="center" vertical="center"/>
    </xf>
    <xf numFmtId="0" fontId="9" fillId="4" borderId="2" xfId="3" applyFont="1" applyFill="1" applyBorder="1" applyAlignment="1">
      <alignment horizontal="center"/>
    </xf>
    <xf numFmtId="0" fontId="9" fillId="4" borderId="0" xfId="3" applyFont="1" applyFill="1" applyBorder="1" applyAlignment="1">
      <alignment horizontal="center"/>
    </xf>
    <xf numFmtId="0" fontId="6" fillId="6" borderId="3" xfId="3" applyFill="1" applyBorder="1" applyAlignment="1">
      <alignment horizontal="center" wrapText="1"/>
    </xf>
    <xf numFmtId="0" fontId="6" fillId="6" borderId="4" xfId="3" applyFill="1" applyBorder="1" applyAlignment="1">
      <alignment horizontal="center" wrapText="1"/>
    </xf>
    <xf numFmtId="0" fontId="6" fillId="6" borderId="5" xfId="3" applyFill="1" applyBorder="1" applyAlignment="1">
      <alignment horizontal="center" wrapText="1"/>
    </xf>
  </cellXfs>
  <cellStyles count="9">
    <cellStyle name="Comma" xfId="1" builtinId="3"/>
    <cellStyle name="Comma 2" xfId="6"/>
    <cellStyle name="Currency 2" xfId="5"/>
    <cellStyle name="Normal" xfId="0" builtinId="0"/>
    <cellStyle name="Normal 2" xfId="2"/>
    <cellStyle name="Normal 2 2" xfId="4"/>
    <cellStyle name="Normal 3" xfId="3"/>
    <cellStyle name="Percent 2" xfId="7"/>
    <cellStyle name="Percent 3" xfId="8"/>
  </cellStyles>
  <dxfs count="0"/>
  <tableStyles count="0" defaultTableStyle="TableStyleMedium9" defaultPivotStyle="PivotStyleLight16"/>
  <colors>
    <mruColors>
      <color rgb="FFAA4812"/>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2012 Budget Alternatives by Category</a:t>
            </a:r>
          </a:p>
        </c:rich>
      </c:tx>
      <c:layout>
        <c:manualLayout>
          <c:xMode val="edge"/>
          <c:yMode val="edge"/>
          <c:x val="0.2349828752370863"/>
          <c:y val="3.5714285714285712E-2"/>
        </c:manualLayout>
      </c:layout>
    </c:title>
    <c:plotArea>
      <c:layout>
        <c:manualLayout>
          <c:layoutTarget val="inner"/>
          <c:xMode val="edge"/>
          <c:yMode val="edge"/>
          <c:x val="0.14809315230375975"/>
          <c:y val="0.19480351414406533"/>
          <c:w val="0.41877997713581094"/>
          <c:h val="0.64484142607174144"/>
        </c:manualLayout>
      </c:layout>
      <c:barChart>
        <c:barDir val="col"/>
        <c:grouping val="stacked"/>
        <c:ser>
          <c:idx val="0"/>
          <c:order val="0"/>
          <c:tx>
            <c:strRef>
              <c:f>'Budget Alternatives'!$B$26</c:f>
              <c:strCache>
                <c:ptCount val="1"/>
                <c:pt idx="0">
                  <c:v>Measure Review &amp; Technical Analysis</c:v>
                </c:pt>
              </c:strCache>
            </c:strRef>
          </c:tx>
          <c:spPr>
            <a:solidFill>
              <a:schemeClr val="accent6">
                <a:lumMod val="40000"/>
                <a:lumOff val="60000"/>
              </a:schemeClr>
            </a:solidFill>
          </c:spPr>
          <c:cat>
            <c:strRef>
              <c:f>'Budget Alternatives'!$C$25:$E$25</c:f>
              <c:strCache>
                <c:ptCount val="3"/>
                <c:pt idx="0">
                  <c:v>2012 Proposed</c:v>
                </c:pt>
                <c:pt idx="1">
                  <c:v>Option B</c:v>
                </c:pt>
                <c:pt idx="2">
                  <c:v>Option C</c:v>
                </c:pt>
              </c:strCache>
            </c:strRef>
          </c:cat>
          <c:val>
            <c:numRef>
              <c:f>'Budget Alternatives'!$C$26:$E$26</c:f>
              <c:numCache>
                <c:formatCode>"$"#,##0_);\("$"#,##0\)</c:formatCode>
                <c:ptCount val="3"/>
                <c:pt idx="0">
                  <c:v>853000</c:v>
                </c:pt>
                <c:pt idx="1">
                  <c:v>853000</c:v>
                </c:pt>
                <c:pt idx="2">
                  <c:v>594000</c:v>
                </c:pt>
              </c:numCache>
            </c:numRef>
          </c:val>
        </c:ser>
        <c:ser>
          <c:idx val="1"/>
          <c:order val="1"/>
          <c:tx>
            <c:strRef>
              <c:f>'Budget Alternatives'!$B$27</c:f>
              <c:strCache>
                <c:ptCount val="1"/>
                <c:pt idx="0">
                  <c:v>Tools, Research, Data &amp; Regional Coordination</c:v>
                </c:pt>
              </c:strCache>
            </c:strRef>
          </c:tx>
          <c:spPr>
            <a:solidFill>
              <a:schemeClr val="accent3">
                <a:lumMod val="60000"/>
                <a:lumOff val="40000"/>
              </a:schemeClr>
            </a:solidFill>
          </c:spPr>
          <c:cat>
            <c:strRef>
              <c:f>'Budget Alternatives'!$C$25:$E$25</c:f>
              <c:strCache>
                <c:ptCount val="3"/>
                <c:pt idx="0">
                  <c:v>2012 Proposed</c:v>
                </c:pt>
                <c:pt idx="1">
                  <c:v>Option B</c:v>
                </c:pt>
                <c:pt idx="2">
                  <c:v>Option C</c:v>
                </c:pt>
              </c:strCache>
            </c:strRef>
          </c:cat>
          <c:val>
            <c:numRef>
              <c:f>'Budget Alternatives'!$C$27:$E$27</c:f>
              <c:numCache>
                <c:formatCode>"$"#,##0_);\("$"#,##0\)</c:formatCode>
                <c:ptCount val="3"/>
                <c:pt idx="0">
                  <c:v>518000</c:v>
                </c:pt>
                <c:pt idx="1">
                  <c:v>418000</c:v>
                </c:pt>
                <c:pt idx="2">
                  <c:v>224000</c:v>
                </c:pt>
              </c:numCache>
            </c:numRef>
          </c:val>
        </c:ser>
        <c:ser>
          <c:idx val="2"/>
          <c:order val="2"/>
          <c:tx>
            <c:strRef>
              <c:f>'Budget Alternatives'!$B$28</c:f>
              <c:strCache>
                <c:ptCount val="1"/>
                <c:pt idx="0">
                  <c:v>RTF Management</c:v>
                </c:pt>
              </c:strCache>
            </c:strRef>
          </c:tx>
          <c:spPr>
            <a:solidFill>
              <a:schemeClr val="accent1">
                <a:lumMod val="20000"/>
                <a:lumOff val="80000"/>
              </a:schemeClr>
            </a:solidFill>
          </c:spPr>
          <c:cat>
            <c:strRef>
              <c:f>'Budget Alternatives'!$C$25:$E$25</c:f>
              <c:strCache>
                <c:ptCount val="3"/>
                <c:pt idx="0">
                  <c:v>2012 Proposed</c:v>
                </c:pt>
                <c:pt idx="1">
                  <c:v>Option B</c:v>
                </c:pt>
                <c:pt idx="2">
                  <c:v>Option C</c:v>
                </c:pt>
              </c:strCache>
            </c:strRef>
          </c:cat>
          <c:val>
            <c:numRef>
              <c:f>'Budget Alternatives'!$C$28:$E$28</c:f>
              <c:numCache>
                <c:formatCode>"$"#,##0_);\("$"#,##0\)</c:formatCode>
                <c:ptCount val="3"/>
                <c:pt idx="0">
                  <c:v>516000</c:v>
                </c:pt>
                <c:pt idx="1">
                  <c:v>516000</c:v>
                </c:pt>
                <c:pt idx="2">
                  <c:v>516000</c:v>
                </c:pt>
              </c:numCache>
            </c:numRef>
          </c:val>
        </c:ser>
        <c:overlap val="100"/>
        <c:axId val="74142080"/>
        <c:axId val="74143616"/>
      </c:barChart>
      <c:catAx>
        <c:axId val="74142080"/>
        <c:scaling>
          <c:orientation val="minMax"/>
        </c:scaling>
        <c:axPos val="b"/>
        <c:tickLblPos val="nextTo"/>
        <c:crossAx val="74143616"/>
        <c:crosses val="autoZero"/>
        <c:auto val="1"/>
        <c:lblAlgn val="ctr"/>
        <c:lblOffset val="100"/>
      </c:catAx>
      <c:valAx>
        <c:axId val="74143616"/>
        <c:scaling>
          <c:orientation val="minMax"/>
        </c:scaling>
        <c:axPos val="l"/>
        <c:majorGridlines/>
        <c:numFmt formatCode="&quot;$&quot;#,##0_);\(&quot;$&quot;#,##0\)" sourceLinked="1"/>
        <c:tickLblPos val="nextTo"/>
        <c:crossAx val="74142080"/>
        <c:crosses val="autoZero"/>
        <c:crossBetween val="between"/>
      </c:valAx>
    </c:plotArea>
    <c:legend>
      <c:legendPos val="r"/>
      <c:layout>
        <c:manualLayout>
          <c:xMode val="edge"/>
          <c:yMode val="edge"/>
          <c:x val="0.65297580366895525"/>
          <c:y val="0.2500856142982128"/>
          <c:w val="0.32503107394408126"/>
          <c:h val="0.597348768903887"/>
        </c:manualLayout>
      </c:layout>
    </c:legend>
    <c:plotVisOnly val="1"/>
  </c:chart>
  <c:txPr>
    <a:bodyPr/>
    <a:lstStyle/>
    <a:p>
      <a:pPr>
        <a:defRPr sz="1200"/>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nchor="t" anchorCtr="0"/>
          <a:lstStyle/>
          <a:p>
            <a:pPr>
              <a:defRPr/>
            </a:pPr>
            <a:r>
              <a:rPr lang="en-US"/>
              <a:t>2012 Budget Alternatives by Agent</a:t>
            </a:r>
          </a:p>
        </c:rich>
      </c:tx>
      <c:layout>
        <c:manualLayout>
          <c:xMode val="edge"/>
          <c:yMode val="edge"/>
          <c:x val="0.20170144356955383"/>
          <c:y val="2.1299254526091594E-2"/>
        </c:manualLayout>
      </c:layout>
    </c:title>
    <c:plotArea>
      <c:layout/>
      <c:barChart>
        <c:barDir val="col"/>
        <c:grouping val="stacked"/>
        <c:ser>
          <c:idx val="0"/>
          <c:order val="0"/>
          <c:tx>
            <c:strRef>
              <c:f>'Budget Alternatives'!$B$32</c:f>
              <c:strCache>
                <c:ptCount val="1"/>
                <c:pt idx="0">
                  <c:v>Contract</c:v>
                </c:pt>
              </c:strCache>
            </c:strRef>
          </c:tx>
          <c:cat>
            <c:strRef>
              <c:f>'Budget Alternatives'!$C$31:$E$31</c:f>
              <c:strCache>
                <c:ptCount val="3"/>
                <c:pt idx="0">
                  <c:v>2012 Proposed</c:v>
                </c:pt>
                <c:pt idx="1">
                  <c:v>Option B</c:v>
                </c:pt>
                <c:pt idx="2">
                  <c:v>Option C</c:v>
                </c:pt>
              </c:strCache>
            </c:strRef>
          </c:cat>
          <c:val>
            <c:numRef>
              <c:f>'Budget Alternatives'!$C$32:$E$32</c:f>
              <c:numCache>
                <c:formatCode>"$"#,##0_);\("$"#,##0\)</c:formatCode>
                <c:ptCount val="3"/>
                <c:pt idx="0">
                  <c:v>1017000</c:v>
                </c:pt>
                <c:pt idx="1">
                  <c:v>932000</c:v>
                </c:pt>
                <c:pt idx="2">
                  <c:v>643000</c:v>
                </c:pt>
              </c:numCache>
            </c:numRef>
          </c:val>
        </c:ser>
        <c:ser>
          <c:idx val="1"/>
          <c:order val="1"/>
          <c:tx>
            <c:strRef>
              <c:f>'Budget Alternatives'!$B$33</c:f>
              <c:strCache>
                <c:ptCount val="1"/>
                <c:pt idx="0">
                  <c:v>RTF Staff</c:v>
                </c:pt>
              </c:strCache>
            </c:strRef>
          </c:tx>
          <c:cat>
            <c:strRef>
              <c:f>'Budget Alternatives'!$C$31:$E$31</c:f>
              <c:strCache>
                <c:ptCount val="3"/>
                <c:pt idx="0">
                  <c:v>2012 Proposed</c:v>
                </c:pt>
                <c:pt idx="1">
                  <c:v>Option B</c:v>
                </c:pt>
                <c:pt idx="2">
                  <c:v>Option C</c:v>
                </c:pt>
              </c:strCache>
            </c:strRef>
          </c:cat>
          <c:val>
            <c:numRef>
              <c:f>'Budget Alternatives'!$C$33:$E$33</c:f>
              <c:numCache>
                <c:formatCode>"$"#,##0_);\("$"#,##0\)</c:formatCode>
                <c:ptCount val="3"/>
                <c:pt idx="0">
                  <c:v>483000</c:v>
                </c:pt>
                <c:pt idx="1">
                  <c:v>473000</c:v>
                </c:pt>
                <c:pt idx="2">
                  <c:v>357000</c:v>
                </c:pt>
              </c:numCache>
            </c:numRef>
          </c:val>
        </c:ser>
        <c:ser>
          <c:idx val="3"/>
          <c:order val="2"/>
          <c:tx>
            <c:strRef>
              <c:f>'Budget Alternatives'!$B$35</c:f>
              <c:strCache>
                <c:ptCount val="1"/>
                <c:pt idx="0">
                  <c:v>Council Staff In Kind</c:v>
                </c:pt>
              </c:strCache>
            </c:strRef>
          </c:tx>
          <c:spPr>
            <a:solidFill>
              <a:schemeClr val="accent4">
                <a:lumMod val="60000"/>
                <a:lumOff val="40000"/>
              </a:schemeClr>
            </a:solidFill>
          </c:spPr>
          <c:cat>
            <c:strRef>
              <c:f>'Budget Alternatives'!$C$31:$E$31</c:f>
              <c:strCache>
                <c:ptCount val="3"/>
                <c:pt idx="0">
                  <c:v>2012 Proposed</c:v>
                </c:pt>
                <c:pt idx="1">
                  <c:v>Option B</c:v>
                </c:pt>
                <c:pt idx="2">
                  <c:v>Option C</c:v>
                </c:pt>
              </c:strCache>
            </c:strRef>
          </c:cat>
          <c:val>
            <c:numRef>
              <c:f>'Budget Alternatives'!$C$35:$E$35</c:f>
              <c:numCache>
                <c:formatCode>"$"#,##0_);\("$"#,##0\)</c:formatCode>
                <c:ptCount val="3"/>
                <c:pt idx="0">
                  <c:v>387000</c:v>
                </c:pt>
                <c:pt idx="1">
                  <c:v>382000</c:v>
                </c:pt>
                <c:pt idx="2">
                  <c:v>334000</c:v>
                </c:pt>
              </c:numCache>
            </c:numRef>
          </c:val>
        </c:ser>
        <c:overlap val="100"/>
        <c:axId val="74169728"/>
        <c:axId val="74175616"/>
      </c:barChart>
      <c:catAx>
        <c:axId val="74169728"/>
        <c:scaling>
          <c:orientation val="minMax"/>
        </c:scaling>
        <c:axPos val="b"/>
        <c:tickLblPos val="nextTo"/>
        <c:crossAx val="74175616"/>
        <c:crosses val="autoZero"/>
        <c:auto val="1"/>
        <c:lblAlgn val="ctr"/>
        <c:lblOffset val="100"/>
      </c:catAx>
      <c:valAx>
        <c:axId val="74175616"/>
        <c:scaling>
          <c:orientation val="minMax"/>
        </c:scaling>
        <c:axPos val="l"/>
        <c:majorGridlines/>
        <c:numFmt formatCode="&quot;$&quot;#,##0_);\(&quot;$&quot;#,##0\)" sourceLinked="1"/>
        <c:tickLblPos val="nextTo"/>
        <c:crossAx val="74169728"/>
        <c:crosses val="autoZero"/>
        <c:crossBetween val="between"/>
      </c:valAx>
    </c:plotArea>
    <c:legend>
      <c:legendPos val="r"/>
      <c:layout/>
    </c:legend>
    <c:plotVisOnly val="1"/>
  </c:chart>
  <c:txPr>
    <a:bodyPr/>
    <a:lstStyle/>
    <a:p>
      <a:pPr>
        <a:defRPr sz="1200"/>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247650</xdr:colOff>
      <xdr:row>21</xdr:row>
      <xdr:rowOff>114300</xdr:rowOff>
    </xdr:from>
    <xdr:to>
      <xdr:col>12</xdr:col>
      <xdr:colOff>581026</xdr:colOff>
      <xdr:row>40</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228600</xdr:colOff>
      <xdr:row>40</xdr:row>
      <xdr:rowOff>161924</xdr:rowOff>
    </xdr:from>
    <xdr:to>
      <xdr:col>12</xdr:col>
      <xdr:colOff>514350</xdr:colOff>
      <xdr:row>59</xdr:row>
      <xdr:rowOff>66674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G\Main\RTF\AdminStuff\Work%20Plan%202012\Draft2012RTFWorkPlan(v3%2020121%2008%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 of Contents"/>
      <sheetName val="Category (2012)"/>
      <sheetName val="Category Detail (2012)"/>
      <sheetName val="Category (2012-2014)"/>
      <sheetName val="NPCC In Kind"/>
      <sheetName val="Typical Rates"/>
      <sheetName val="Funding Shares"/>
    </sheetNames>
    <sheetDataSet>
      <sheetData sheetId="0">
        <row r="2">
          <cell r="B2" t="str">
            <v>Draft of September 21, 2011</v>
          </cell>
        </row>
      </sheetData>
      <sheetData sheetId="1"/>
      <sheetData sheetId="2"/>
      <sheetData sheetId="3"/>
      <sheetData sheetId="4">
        <row r="4">
          <cell r="E4">
            <v>160000</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2:T37"/>
  <sheetViews>
    <sheetView tabSelected="1" topLeftCell="A7" workbookViewId="0">
      <selection activeCell="R34" sqref="R34"/>
    </sheetView>
  </sheetViews>
  <sheetFormatPr defaultRowHeight="12.75"/>
  <cols>
    <col min="2" max="2" width="43.28515625" customWidth="1"/>
    <col min="3" max="3" width="17.5703125" customWidth="1"/>
    <col min="4" max="4" width="11.42578125" customWidth="1"/>
    <col min="5" max="6" width="11.140625" customWidth="1"/>
    <col min="7" max="7" width="12.42578125" customWidth="1"/>
    <col min="8" max="8" width="9.42578125" customWidth="1"/>
    <col min="9" max="9" width="11.7109375" customWidth="1"/>
    <col min="12" max="12" width="12.42578125" customWidth="1"/>
    <col min="13" max="13" width="9.85546875" customWidth="1"/>
    <col min="14" max="14" width="11.140625" customWidth="1"/>
    <col min="17" max="17" width="12.42578125" customWidth="1"/>
    <col min="18" max="18" width="9.85546875" customWidth="1"/>
    <col min="19" max="19" width="11.5703125" customWidth="1"/>
  </cols>
  <sheetData>
    <row r="2" spans="2:20">
      <c r="B2" s="100" t="s">
        <v>111</v>
      </c>
    </row>
    <row r="6" spans="2:20">
      <c r="G6" s="132" t="s">
        <v>106</v>
      </c>
      <c r="H6" s="132"/>
      <c r="I6" s="132"/>
      <c r="J6" s="132"/>
      <c r="L6" s="132" t="s">
        <v>107</v>
      </c>
      <c r="M6" s="132"/>
      <c r="N6" s="132"/>
      <c r="O6" s="132"/>
      <c r="Q6" s="132" t="s">
        <v>108</v>
      </c>
      <c r="R6" s="132"/>
      <c r="S6" s="132"/>
      <c r="T6" s="132"/>
    </row>
    <row r="7" spans="2:20" ht="46.5" customHeight="1">
      <c r="C7" s="132" t="s">
        <v>4</v>
      </c>
      <c r="D7" s="132"/>
      <c r="E7" s="87"/>
      <c r="G7" s="132" t="s">
        <v>101</v>
      </c>
      <c r="H7" s="132"/>
      <c r="I7" s="132"/>
      <c r="J7" s="132"/>
      <c r="L7" s="131" t="s">
        <v>109</v>
      </c>
      <c r="M7" s="131"/>
      <c r="N7" s="131"/>
      <c r="O7" s="131"/>
      <c r="Q7" s="131" t="s">
        <v>103</v>
      </c>
      <c r="R7" s="131"/>
      <c r="S7" s="131"/>
      <c r="T7" s="131"/>
    </row>
    <row r="8" spans="2:20" ht="38.25">
      <c r="B8" s="81" t="s">
        <v>5</v>
      </c>
      <c r="C8" s="82" t="s">
        <v>10</v>
      </c>
      <c r="D8" s="84" t="s">
        <v>102</v>
      </c>
      <c r="E8" s="88"/>
      <c r="G8" s="83" t="s">
        <v>8</v>
      </c>
      <c r="H8" s="83" t="s">
        <v>9</v>
      </c>
      <c r="I8" s="82" t="s">
        <v>10</v>
      </c>
      <c r="J8" s="84" t="s">
        <v>102</v>
      </c>
      <c r="L8" s="83" t="s">
        <v>8</v>
      </c>
      <c r="M8" s="83" t="s">
        <v>9</v>
      </c>
      <c r="N8" s="82" t="s">
        <v>10</v>
      </c>
      <c r="O8" s="84" t="s">
        <v>102</v>
      </c>
      <c r="Q8" s="83" t="s">
        <v>8</v>
      </c>
      <c r="R8" s="83" t="s">
        <v>9</v>
      </c>
      <c r="S8" s="82" t="s">
        <v>10</v>
      </c>
      <c r="T8" s="84" t="s">
        <v>102</v>
      </c>
    </row>
    <row r="9" spans="2:20" ht="15">
      <c r="B9" s="9" t="s">
        <v>13</v>
      </c>
      <c r="C9" s="11">
        <v>500000</v>
      </c>
      <c r="D9" s="135">
        <v>120000</v>
      </c>
      <c r="E9" s="89"/>
      <c r="G9" s="10">
        <v>175000</v>
      </c>
      <c r="H9" s="10">
        <v>50000</v>
      </c>
      <c r="I9" s="11">
        <v>225000</v>
      </c>
      <c r="J9" s="12">
        <v>40000</v>
      </c>
      <c r="L9" s="10">
        <v>175000</v>
      </c>
      <c r="M9" s="10">
        <v>50000</v>
      </c>
      <c r="N9" s="11">
        <v>225000</v>
      </c>
      <c r="O9" s="12">
        <v>40000</v>
      </c>
      <c r="Q9" s="10">
        <v>125000</v>
      </c>
      <c r="R9" s="10">
        <v>35000</v>
      </c>
      <c r="S9" s="11">
        <v>160000</v>
      </c>
      <c r="T9" s="12">
        <v>25000</v>
      </c>
    </row>
    <row r="10" spans="2:20" ht="15" customHeight="1">
      <c r="B10" s="9" t="s">
        <v>14</v>
      </c>
      <c r="C10" s="11">
        <v>300000</v>
      </c>
      <c r="D10" s="135"/>
      <c r="E10" s="89"/>
      <c r="G10" s="10">
        <v>207000</v>
      </c>
      <c r="H10" s="10">
        <v>137000</v>
      </c>
      <c r="I10" s="11">
        <v>344000</v>
      </c>
      <c r="J10" s="12">
        <v>35000</v>
      </c>
      <c r="L10" s="10">
        <v>207000</v>
      </c>
      <c r="M10" s="10">
        <v>137000</v>
      </c>
      <c r="N10" s="11">
        <v>344000</v>
      </c>
      <c r="O10" s="12">
        <v>35000</v>
      </c>
      <c r="Q10" s="10">
        <v>108000</v>
      </c>
      <c r="R10" s="10">
        <v>74000</v>
      </c>
      <c r="S10" s="11">
        <v>182000</v>
      </c>
      <c r="T10" s="12">
        <v>18000</v>
      </c>
    </row>
    <row r="11" spans="2:20" ht="15">
      <c r="B11" s="9" t="s">
        <v>15</v>
      </c>
      <c r="C11" s="11">
        <v>160000</v>
      </c>
      <c r="D11" s="135"/>
      <c r="E11" s="89"/>
      <c r="G11" s="10">
        <v>140000</v>
      </c>
      <c r="H11" s="10">
        <v>42000</v>
      </c>
      <c r="I11" s="11">
        <v>182000</v>
      </c>
      <c r="J11" s="12">
        <v>27000</v>
      </c>
      <c r="L11" s="10">
        <v>140000</v>
      </c>
      <c r="M11" s="10">
        <v>42000</v>
      </c>
      <c r="N11" s="11">
        <v>182000</v>
      </c>
      <c r="O11" s="12">
        <v>27000</v>
      </c>
      <c r="Q11" s="10">
        <v>140000</v>
      </c>
      <c r="R11" s="10">
        <v>42000</v>
      </c>
      <c r="S11" s="11">
        <v>182000</v>
      </c>
      <c r="T11" s="12">
        <v>27000</v>
      </c>
    </row>
    <row r="12" spans="2:20" ht="15">
      <c r="B12" s="14" t="s">
        <v>17</v>
      </c>
      <c r="C12" s="16">
        <v>0</v>
      </c>
      <c r="D12" s="134">
        <v>35000</v>
      </c>
      <c r="E12" s="89"/>
      <c r="G12" s="15">
        <v>86000</v>
      </c>
      <c r="H12" s="15">
        <v>48000</v>
      </c>
      <c r="I12" s="16">
        <v>134000</v>
      </c>
      <c r="J12" s="17">
        <v>12000</v>
      </c>
      <c r="L12" s="15">
        <v>86000</v>
      </c>
      <c r="M12" s="15">
        <v>48000</v>
      </c>
      <c r="N12" s="16">
        <v>134000</v>
      </c>
      <c r="O12" s="17">
        <v>12000</v>
      </c>
      <c r="Q12" s="15">
        <v>26000</v>
      </c>
      <c r="R12" s="15">
        <v>36000</v>
      </c>
      <c r="S12" s="16">
        <v>62000</v>
      </c>
      <c r="T12" s="17">
        <v>9000</v>
      </c>
    </row>
    <row r="13" spans="2:20" ht="15">
      <c r="B13" s="14" t="s">
        <v>19</v>
      </c>
      <c r="C13" s="16">
        <v>100000</v>
      </c>
      <c r="D13" s="134"/>
      <c r="E13" s="89"/>
      <c r="G13" s="15">
        <v>230000</v>
      </c>
      <c r="H13" s="15">
        <v>48000</v>
      </c>
      <c r="I13" s="16">
        <v>278000</v>
      </c>
      <c r="J13" s="17">
        <v>24000</v>
      </c>
      <c r="L13" s="15">
        <v>145000</v>
      </c>
      <c r="M13" s="15">
        <v>38000</v>
      </c>
      <c r="N13" s="16">
        <v>183000</v>
      </c>
      <c r="O13" s="17">
        <v>19000</v>
      </c>
      <c r="Q13" s="15">
        <v>65000</v>
      </c>
      <c r="R13" s="15">
        <v>12000</v>
      </c>
      <c r="S13" s="16">
        <v>77000</v>
      </c>
      <c r="T13" s="17">
        <v>6000</v>
      </c>
    </row>
    <row r="14" spans="2:20" ht="15">
      <c r="B14" s="14" t="s">
        <v>20</v>
      </c>
      <c r="C14" s="16">
        <v>0</v>
      </c>
      <c r="D14" s="134"/>
      <c r="E14" s="89"/>
      <c r="G14" s="15">
        <v>0</v>
      </c>
      <c r="H14" s="15">
        <v>58000</v>
      </c>
      <c r="I14" s="16">
        <v>58000</v>
      </c>
      <c r="J14" s="17">
        <v>12000</v>
      </c>
      <c r="L14" s="15">
        <v>0</v>
      </c>
      <c r="M14" s="15">
        <v>58000</v>
      </c>
      <c r="N14" s="16">
        <v>58000</v>
      </c>
      <c r="O14" s="17">
        <v>12000</v>
      </c>
      <c r="Q14" s="15">
        <v>0</v>
      </c>
      <c r="R14" s="15">
        <v>58000</v>
      </c>
      <c r="S14" s="16">
        <v>58000</v>
      </c>
      <c r="T14" s="17">
        <v>12000</v>
      </c>
    </row>
    <row r="15" spans="2:20" ht="25.5">
      <c r="B15" s="19" t="s">
        <v>3</v>
      </c>
      <c r="C15" s="21">
        <v>30000</v>
      </c>
      <c r="D15" s="133">
        <v>242000</v>
      </c>
      <c r="E15" s="89"/>
      <c r="G15" s="20">
        <v>0</v>
      </c>
      <c r="H15" s="20">
        <v>0</v>
      </c>
      <c r="I15" s="21">
        <v>0</v>
      </c>
      <c r="J15" s="22">
        <v>50000</v>
      </c>
      <c r="L15" s="20">
        <v>0</v>
      </c>
      <c r="M15" s="20">
        <v>0</v>
      </c>
      <c r="N15" s="21">
        <v>0</v>
      </c>
      <c r="O15" s="22">
        <v>50000</v>
      </c>
      <c r="Q15" s="20">
        <v>0</v>
      </c>
      <c r="R15" s="20">
        <v>0</v>
      </c>
      <c r="S15" s="21">
        <v>0</v>
      </c>
      <c r="T15" s="22">
        <v>50000</v>
      </c>
    </row>
    <row r="16" spans="2:20" ht="15">
      <c r="B16" s="19" t="s">
        <v>22</v>
      </c>
      <c r="C16" s="21">
        <v>170000</v>
      </c>
      <c r="D16" s="133"/>
      <c r="E16" s="89"/>
      <c r="G16" s="20">
        <v>174000</v>
      </c>
      <c r="H16" s="20">
        <v>0</v>
      </c>
      <c r="I16" s="21">
        <v>174000</v>
      </c>
      <c r="J16" s="22">
        <v>7000</v>
      </c>
      <c r="L16" s="20">
        <v>174000</v>
      </c>
      <c r="M16" s="20">
        <v>0</v>
      </c>
      <c r="N16" s="21">
        <v>174000</v>
      </c>
      <c r="O16" s="22">
        <v>7000</v>
      </c>
      <c r="Q16" s="20">
        <v>174000</v>
      </c>
      <c r="R16" s="20">
        <v>0</v>
      </c>
      <c r="S16" s="21">
        <v>174000</v>
      </c>
      <c r="T16" s="22">
        <v>7000</v>
      </c>
    </row>
    <row r="17" spans="2:20" ht="15">
      <c r="B17" s="19" t="s">
        <v>23</v>
      </c>
      <c r="C17" s="21">
        <v>140000</v>
      </c>
      <c r="D17" s="133"/>
      <c r="E17" s="89"/>
      <c r="G17" s="20">
        <v>5000</v>
      </c>
      <c r="H17" s="20">
        <v>100000</v>
      </c>
      <c r="I17" s="21">
        <v>105000</v>
      </c>
      <c r="J17" s="22">
        <v>180000</v>
      </c>
      <c r="L17" s="20">
        <v>5000</v>
      </c>
      <c r="M17" s="20">
        <v>100000</v>
      </c>
      <c r="N17" s="21">
        <v>105000</v>
      </c>
      <c r="O17" s="22">
        <v>180000</v>
      </c>
      <c r="Q17" s="20">
        <v>5000</v>
      </c>
      <c r="R17" s="20">
        <v>100000</v>
      </c>
      <c r="S17" s="21">
        <v>105000</v>
      </c>
      <c r="T17" s="22">
        <v>180000</v>
      </c>
    </row>
    <row r="18" spans="2:20" ht="15">
      <c r="B18" s="24" t="s">
        <v>24</v>
      </c>
      <c r="C18" s="26">
        <f>SUM(C9:C17)</f>
        <v>1400000</v>
      </c>
      <c r="D18" s="25">
        <f>SUM(D9:D17)</f>
        <v>397000</v>
      </c>
      <c r="E18" s="86"/>
      <c r="G18" s="25">
        <v>1017000</v>
      </c>
      <c r="H18" s="25">
        <v>483000</v>
      </c>
      <c r="I18" s="26">
        <v>1500000</v>
      </c>
      <c r="J18" s="27">
        <v>387000</v>
      </c>
      <c r="L18" s="25">
        <v>932000</v>
      </c>
      <c r="M18" s="25">
        <v>473000</v>
      </c>
      <c r="N18" s="26">
        <v>1405000</v>
      </c>
      <c r="O18" s="27">
        <v>382000</v>
      </c>
      <c r="Q18" s="25">
        <v>643000</v>
      </c>
      <c r="R18" s="25">
        <v>357000</v>
      </c>
      <c r="S18" s="26">
        <v>1000000</v>
      </c>
      <c r="T18" s="27">
        <v>334000</v>
      </c>
    </row>
    <row r="20" spans="2:20">
      <c r="B20" s="85" t="s">
        <v>0</v>
      </c>
      <c r="D20" s="98">
        <f>D18/160000</f>
        <v>2.4812500000000002</v>
      </c>
      <c r="H20" s="98">
        <f>H18/240000</f>
        <v>2.0125000000000002</v>
      </c>
      <c r="I20" s="99"/>
      <c r="J20" s="98">
        <f>J18/160000</f>
        <v>2.4187500000000002</v>
      </c>
      <c r="K20" s="99"/>
      <c r="L20" s="99"/>
      <c r="M20" s="98">
        <f>M18/240000</f>
        <v>1.9708333333333334</v>
      </c>
      <c r="N20" s="99"/>
      <c r="O20" s="98">
        <f>O18/160000</f>
        <v>2.3875000000000002</v>
      </c>
      <c r="P20" s="99"/>
      <c r="Q20" s="99"/>
      <c r="R20" s="98">
        <f>R18/240000</f>
        <v>1.4875</v>
      </c>
      <c r="S20" s="99"/>
      <c r="T20" s="98">
        <f>T18/160000</f>
        <v>2.0874999999999999</v>
      </c>
    </row>
    <row r="24" spans="2:20" ht="13.5" thickBot="1"/>
    <row r="25" spans="2:20" ht="19.5" customHeight="1">
      <c r="B25" s="119" t="s">
        <v>112</v>
      </c>
      <c r="C25" s="120" t="s">
        <v>114</v>
      </c>
      <c r="D25" s="120" t="s">
        <v>107</v>
      </c>
      <c r="E25" s="121" t="s">
        <v>108</v>
      </c>
    </row>
    <row r="26" spans="2:20">
      <c r="B26" s="110" t="s">
        <v>105</v>
      </c>
      <c r="C26" s="111">
        <f>SUM(I9:J11)</f>
        <v>853000</v>
      </c>
      <c r="D26" s="111">
        <f>SUM(N9:O11)</f>
        <v>853000</v>
      </c>
      <c r="E26" s="112">
        <f>SUM(S9:T11)</f>
        <v>594000</v>
      </c>
    </row>
    <row r="27" spans="2:20">
      <c r="B27" s="113" t="s">
        <v>104</v>
      </c>
      <c r="C27" s="114">
        <f>SUM(I12:J14)</f>
        <v>518000</v>
      </c>
      <c r="D27" s="114">
        <f>SUM(N12:O14)</f>
        <v>418000</v>
      </c>
      <c r="E27" s="115">
        <f>SUM(S12:T14)</f>
        <v>224000</v>
      </c>
    </row>
    <row r="28" spans="2:20">
      <c r="B28" s="116" t="s">
        <v>23</v>
      </c>
      <c r="C28" s="117">
        <f>SUM(I15:J17)</f>
        <v>516000</v>
      </c>
      <c r="D28" s="117">
        <f>SUM(N15:O17)</f>
        <v>516000</v>
      </c>
      <c r="E28" s="118">
        <f>SUM(S15:T17)</f>
        <v>516000</v>
      </c>
    </row>
    <row r="29" spans="2:20" ht="13.5" thickBot="1">
      <c r="B29" s="107" t="s">
        <v>2</v>
      </c>
      <c r="C29" s="108">
        <f>SUM(C26:C28)</f>
        <v>1887000</v>
      </c>
      <c r="D29" s="108">
        <f>SUM(D26:D28)</f>
        <v>1787000</v>
      </c>
      <c r="E29" s="109">
        <f>SUM(E26:E28)</f>
        <v>1334000</v>
      </c>
    </row>
    <row r="30" spans="2:20" ht="13.5" thickBot="1">
      <c r="B30" s="101"/>
      <c r="C30" s="91"/>
      <c r="D30" s="91"/>
      <c r="E30" s="91"/>
    </row>
    <row r="31" spans="2:20" ht="19.5" customHeight="1">
      <c r="B31" s="119" t="s">
        <v>113</v>
      </c>
      <c r="C31" s="120" t="s">
        <v>114</v>
      </c>
      <c r="D31" s="120" t="s">
        <v>107</v>
      </c>
      <c r="E31" s="121" t="s">
        <v>108</v>
      </c>
    </row>
    <row r="32" spans="2:20">
      <c r="B32" s="122" t="s">
        <v>8</v>
      </c>
      <c r="C32" s="123">
        <f>G18</f>
        <v>1017000</v>
      </c>
      <c r="D32" s="123">
        <f>L18</f>
        <v>932000</v>
      </c>
      <c r="E32" s="124">
        <f>Q18</f>
        <v>643000</v>
      </c>
    </row>
    <row r="33" spans="2:5">
      <c r="B33" s="125" t="s">
        <v>9</v>
      </c>
      <c r="C33" s="126">
        <f>H18</f>
        <v>483000</v>
      </c>
      <c r="D33" s="126">
        <f>M18</f>
        <v>473000</v>
      </c>
      <c r="E33" s="127">
        <f>R18</f>
        <v>357000</v>
      </c>
    </row>
    <row r="34" spans="2:5">
      <c r="B34" s="102" t="s">
        <v>10</v>
      </c>
      <c r="C34" s="90">
        <f>I18</f>
        <v>1500000</v>
      </c>
      <c r="D34" s="90">
        <f>N18</f>
        <v>1405000</v>
      </c>
      <c r="E34" s="103">
        <f>S18</f>
        <v>1000000</v>
      </c>
    </row>
    <row r="35" spans="2:5">
      <c r="B35" s="128" t="s">
        <v>102</v>
      </c>
      <c r="C35" s="129">
        <f>J18</f>
        <v>387000</v>
      </c>
      <c r="D35" s="129">
        <f>O18</f>
        <v>382000</v>
      </c>
      <c r="E35" s="130">
        <f>T18</f>
        <v>334000</v>
      </c>
    </row>
    <row r="36" spans="2:5">
      <c r="B36" s="102" t="s">
        <v>2</v>
      </c>
      <c r="C36" s="90">
        <f t="shared" ref="C36:E36" si="0">SUM(C34,C35)</f>
        <v>1887000</v>
      </c>
      <c r="D36" s="90">
        <f t="shared" si="0"/>
        <v>1787000</v>
      </c>
      <c r="E36" s="103">
        <f t="shared" si="0"/>
        <v>1334000</v>
      </c>
    </row>
    <row r="37" spans="2:5" ht="13.5" thickBot="1">
      <c r="B37" s="104" t="s">
        <v>110</v>
      </c>
      <c r="C37" s="105">
        <f>J20</f>
        <v>2.4187500000000002</v>
      </c>
      <c r="D37" s="105">
        <f>O20</f>
        <v>2.3875000000000002</v>
      </c>
      <c r="E37" s="106">
        <f>T20</f>
        <v>2.0874999999999999</v>
      </c>
    </row>
  </sheetData>
  <mergeCells count="10">
    <mergeCell ref="Q7:T7"/>
    <mergeCell ref="G6:J6"/>
    <mergeCell ref="L6:O6"/>
    <mergeCell ref="Q6:T6"/>
    <mergeCell ref="D15:D17"/>
    <mergeCell ref="D12:D14"/>
    <mergeCell ref="D9:D11"/>
    <mergeCell ref="C7:D7"/>
    <mergeCell ref="G7:J7"/>
    <mergeCell ref="L7:O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G18"/>
  <sheetViews>
    <sheetView topLeftCell="A9" workbookViewId="0">
      <selection activeCell="C9" sqref="C9:F18"/>
    </sheetView>
  </sheetViews>
  <sheetFormatPr defaultColWidth="8.85546875" defaultRowHeight="15"/>
  <cols>
    <col min="1" max="1" width="8.85546875" style="2"/>
    <col min="2" max="2" width="52.7109375" style="2" customWidth="1"/>
    <col min="3" max="3" width="13.7109375" style="2" customWidth="1"/>
    <col min="4" max="4" width="11" style="2" customWidth="1"/>
    <col min="5" max="5" width="12.140625" style="2" customWidth="1"/>
    <col min="6" max="6" width="13.7109375" style="2" customWidth="1"/>
    <col min="7" max="7" width="72.7109375" style="2" customWidth="1"/>
    <col min="8" max="16384" width="8.85546875" style="2"/>
  </cols>
  <sheetData>
    <row r="1" spans="2:7" ht="23.25">
      <c r="B1" s="1" t="s">
        <v>6</v>
      </c>
    </row>
    <row r="2" spans="2:7">
      <c r="B2" s="3" t="str">
        <f>'[1]Table of Contents'!B2</f>
        <v>Draft of September 21, 2011</v>
      </c>
    </row>
    <row r="3" spans="2:7">
      <c r="B3" s="4"/>
    </row>
    <row r="7" spans="2:7">
      <c r="C7" s="136" t="s">
        <v>7</v>
      </c>
      <c r="D7" s="137"/>
      <c r="E7" s="137"/>
      <c r="F7" s="137"/>
      <c r="G7" s="137"/>
    </row>
    <row r="8" spans="2:7" ht="39">
      <c r="B8" s="5" t="s">
        <v>5</v>
      </c>
      <c r="C8" s="6" t="s">
        <v>8</v>
      </c>
      <c r="D8" s="6" t="s">
        <v>9</v>
      </c>
      <c r="E8" s="7" t="s">
        <v>10</v>
      </c>
      <c r="F8" s="8" t="s">
        <v>11</v>
      </c>
      <c r="G8" s="6" t="s">
        <v>12</v>
      </c>
    </row>
    <row r="9" spans="2:7" ht="38.25" customHeight="1">
      <c r="B9" s="9" t="s">
        <v>13</v>
      </c>
      <c r="C9" s="10">
        <f>'Category Detail (2012)'!C14</f>
        <v>175000</v>
      </c>
      <c r="D9" s="10">
        <f>'Category Detail (2012)'!D14</f>
        <v>50000</v>
      </c>
      <c r="E9" s="11">
        <f>'Category Detail (2012)'!E14</f>
        <v>225000</v>
      </c>
      <c r="F9" s="12">
        <f>'Category Detail (2012)'!F14</f>
        <v>40000</v>
      </c>
      <c r="G9" s="13" t="str">
        <f>CONCATENATE("Scalable.  Limit to ",'Category Detail (2012)'!H10," Active UES, ",'Category Detail (2012)'!H11," Provisional UES, ",'Category Detail (2012)'!H12," Protocol per year.  Eliminate 20 UES.  Three-year review cycle.")</f>
        <v>Scalable.  Limit to 10 Active UES, 10 Provisional UES, 0 Protocol per year.  Eliminate 20 UES.  Three-year review cycle.</v>
      </c>
    </row>
    <row r="10" spans="2:7" ht="38.25" customHeight="1">
      <c r="B10" s="9" t="s">
        <v>14</v>
      </c>
      <c r="C10" s="10">
        <f>'Category Detail (2012)'!C25</f>
        <v>207000</v>
      </c>
      <c r="D10" s="10">
        <f>'Category Detail (2012)'!D25</f>
        <v>137000</v>
      </c>
      <c r="E10" s="11">
        <f>'Category Detail (2012)'!E25</f>
        <v>344000</v>
      </c>
      <c r="F10" s="12">
        <f>'Category Detail (2012)'!F25</f>
        <v>35000</v>
      </c>
      <c r="G10" s="13" t="str">
        <f>CONCATENATE("Scalable.  Limit to ",'Category Detail (2012)'!H18," new UES, ",'Category Detail (2012)'!H19," new Protocols, ",'Category Detail (2012)'!H20," new small/rural UES/Protocol.  Placeholders for unsolicitied &amp; review of impact evaluation plans.")</f>
        <v>Scalable.  Limit to 4 new UES, 4 new Protocols, 3 new small/rural UES/Protocol.  Placeholders for unsolicitied &amp; review of impact evaluation plans.</v>
      </c>
    </row>
    <row r="11" spans="2:7" ht="38.25" customHeight="1">
      <c r="B11" s="9" t="s">
        <v>15</v>
      </c>
      <c r="C11" s="10">
        <f>'Category Detail (2012)'!C38</f>
        <v>140000</v>
      </c>
      <c r="D11" s="10">
        <f>'Category Detail (2012)'!D38</f>
        <v>42000</v>
      </c>
      <c r="E11" s="11">
        <f>'Category Detail (2012)'!E38</f>
        <v>182000</v>
      </c>
      <c r="F11" s="12">
        <f>'Category Detail (2012)'!F38</f>
        <v>27000</v>
      </c>
      <c r="G11" s="13" t="s">
        <v>16</v>
      </c>
    </row>
    <row r="12" spans="2:7" ht="38.25" customHeight="1">
      <c r="B12" s="14" t="s">
        <v>17</v>
      </c>
      <c r="C12" s="15">
        <f>'Category Detail (2012)'!C53</f>
        <v>86000</v>
      </c>
      <c r="D12" s="15">
        <f>'Category Detail (2012)'!D53</f>
        <v>48000</v>
      </c>
      <c r="E12" s="16">
        <f>'Category Detail (2012)'!E53</f>
        <v>134000</v>
      </c>
      <c r="F12" s="17">
        <f>'Category Detail (2012)'!F53</f>
        <v>12000</v>
      </c>
      <c r="G12" s="18" t="s">
        <v>18</v>
      </c>
    </row>
    <row r="13" spans="2:7" ht="38.25" customHeight="1">
      <c r="B13" s="14" t="s">
        <v>19</v>
      </c>
      <c r="C13" s="15">
        <f>'Category Detail (2012)'!C61</f>
        <v>145000</v>
      </c>
      <c r="D13" s="15">
        <f>'Category Detail (2012)'!D61</f>
        <v>38000</v>
      </c>
      <c r="E13" s="16">
        <f>'Category Detail (2012)'!E61</f>
        <v>183000</v>
      </c>
      <c r="F13" s="17">
        <f>'Category Detail (2012)'!F61</f>
        <v>19000</v>
      </c>
      <c r="G13" s="18" t="s">
        <v>18</v>
      </c>
    </row>
    <row r="14" spans="2:7" ht="38.25" customHeight="1">
      <c r="B14" s="14" t="s">
        <v>20</v>
      </c>
      <c r="C14" s="15">
        <f>'Category Detail (2012)'!C70</f>
        <v>0</v>
      </c>
      <c r="D14" s="15">
        <f>'Category Detail (2012)'!D70</f>
        <v>58000</v>
      </c>
      <c r="E14" s="16">
        <f>'Category Detail (2012)'!E70</f>
        <v>58000</v>
      </c>
      <c r="F14" s="17">
        <f>'Category Detail (2012)'!F70</f>
        <v>12000</v>
      </c>
      <c r="G14" s="18" t="s">
        <v>18</v>
      </c>
    </row>
    <row r="15" spans="2:7" ht="38.25" customHeight="1">
      <c r="B15" s="19" t="s">
        <v>3</v>
      </c>
      <c r="C15" s="20">
        <f>'Category Detail (2012)'!C77</f>
        <v>0</v>
      </c>
      <c r="D15" s="20">
        <f>'Category Detail (2012)'!D77</f>
        <v>0</v>
      </c>
      <c r="E15" s="21">
        <f>'Category Detail (2012)'!E77</f>
        <v>0</v>
      </c>
      <c r="F15" s="22">
        <f>'Category Detail (2012)'!F77</f>
        <v>50000</v>
      </c>
      <c r="G15" s="23" t="s">
        <v>21</v>
      </c>
    </row>
    <row r="16" spans="2:7" ht="38.25" customHeight="1">
      <c r="B16" s="19" t="s">
        <v>22</v>
      </c>
      <c r="C16" s="20">
        <f>'Category Detail (2012)'!C83</f>
        <v>174000</v>
      </c>
      <c r="D16" s="20">
        <f>'Category Detail (2012)'!D83</f>
        <v>0</v>
      </c>
      <c r="E16" s="21">
        <f>'Category Detail (2012)'!E83</f>
        <v>174000</v>
      </c>
      <c r="F16" s="22">
        <f>'Category Detail (2012)'!F83</f>
        <v>7000</v>
      </c>
      <c r="G16" s="23" t="s">
        <v>21</v>
      </c>
    </row>
    <row r="17" spans="2:7" ht="38.25" customHeight="1">
      <c r="B17" s="19" t="s">
        <v>23</v>
      </c>
      <c r="C17" s="20">
        <f>'Category Detail (2012)'!C90</f>
        <v>5000</v>
      </c>
      <c r="D17" s="20">
        <f>'Category Detail (2012)'!D90</f>
        <v>100000</v>
      </c>
      <c r="E17" s="21">
        <f>'Category Detail (2012)'!E90</f>
        <v>105000</v>
      </c>
      <c r="F17" s="22">
        <f>'Category Detail (2012)'!F90</f>
        <v>180000</v>
      </c>
      <c r="G17" s="23" t="s">
        <v>21</v>
      </c>
    </row>
    <row r="18" spans="2:7" ht="38.25" customHeight="1">
      <c r="B18" s="24" t="s">
        <v>24</v>
      </c>
      <c r="C18" s="25">
        <f>SUM(C9:C17)</f>
        <v>932000</v>
      </c>
      <c r="D18" s="25">
        <f t="shared" ref="D18:F18" si="0">SUM(D9:D17)</f>
        <v>473000</v>
      </c>
      <c r="E18" s="26">
        <f t="shared" si="0"/>
        <v>1405000</v>
      </c>
      <c r="F18" s="27">
        <f t="shared" si="0"/>
        <v>382000</v>
      </c>
      <c r="G18" s="28"/>
    </row>
  </sheetData>
  <mergeCells count="1">
    <mergeCell ref="C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B1:T102"/>
  <sheetViews>
    <sheetView zoomScaleNormal="100" zoomScalePageLayoutView="78" workbookViewId="0">
      <pane xSplit="2" ySplit="8" topLeftCell="C54" activePane="bottomRight" state="frozen"/>
      <selection activeCell="B5" sqref="B5"/>
      <selection pane="topRight" activeCell="B5" sqref="B5"/>
      <selection pane="bottomLeft" activeCell="B5" sqref="B5"/>
      <selection pane="bottomRight" activeCell="F58" sqref="F58"/>
    </sheetView>
  </sheetViews>
  <sheetFormatPr defaultColWidth="8.85546875" defaultRowHeight="15"/>
  <cols>
    <col min="1" max="1" width="8.85546875" style="2"/>
    <col min="2" max="2" width="72.42578125" style="2" customWidth="1"/>
    <col min="3" max="4" width="14.42578125" style="2" customWidth="1"/>
    <col min="5" max="6" width="11.28515625" style="2" customWidth="1"/>
    <col min="7" max="7" width="6.7109375" style="2" customWidth="1"/>
    <col min="8" max="8" width="7" style="2" customWidth="1"/>
    <col min="9" max="9" width="10.42578125" style="2" customWidth="1"/>
    <col min="10" max="10" width="11" style="2" bestFit="1" customWidth="1"/>
    <col min="11" max="11" width="10" style="2" bestFit="1" customWidth="1"/>
    <col min="12" max="12" width="10" style="2" customWidth="1"/>
    <col min="13" max="13" width="81.140625" style="2" customWidth="1"/>
    <col min="14" max="14" width="8.85546875" style="29"/>
    <col min="15" max="16384" width="8.85546875" style="2"/>
  </cols>
  <sheetData>
    <row r="1" spans="2:14" ht="23.25">
      <c r="B1" s="1" t="s">
        <v>25</v>
      </c>
    </row>
    <row r="2" spans="2:14">
      <c r="B2" s="2" t="str">
        <f>'[1]Table of Contents'!B2</f>
        <v>Draft of September 21, 2011</v>
      </c>
    </row>
    <row r="3" spans="2:14">
      <c r="B3" s="4"/>
    </row>
    <row r="4" spans="2:14">
      <c r="B4" s="2" t="s">
        <v>26</v>
      </c>
    </row>
    <row r="5" spans="2:14">
      <c r="B5" s="2" t="s">
        <v>27</v>
      </c>
    </row>
    <row r="7" spans="2:14" ht="27" customHeight="1">
      <c r="G7" s="30"/>
      <c r="H7" s="138" t="s">
        <v>28</v>
      </c>
      <c r="I7" s="139"/>
      <c r="J7" s="139"/>
      <c r="K7" s="140"/>
      <c r="L7" s="31">
        <v>120000</v>
      </c>
    </row>
    <row r="8" spans="2:14" s="32" customFormat="1" ht="61.5" customHeight="1">
      <c r="C8" s="33" t="s">
        <v>8</v>
      </c>
      <c r="D8" s="33" t="s">
        <v>9</v>
      </c>
      <c r="E8" s="33" t="s">
        <v>10</v>
      </c>
      <c r="F8" s="33" t="s">
        <v>11</v>
      </c>
      <c r="H8" s="34" t="s">
        <v>29</v>
      </c>
      <c r="I8" s="34" t="s">
        <v>30</v>
      </c>
      <c r="J8" s="34" t="s">
        <v>31</v>
      </c>
      <c r="K8" s="34" t="s">
        <v>32</v>
      </c>
      <c r="L8" s="35" t="s">
        <v>33</v>
      </c>
      <c r="M8" s="36" t="s">
        <v>12</v>
      </c>
      <c r="N8" s="37"/>
    </row>
    <row r="9" spans="2:14" s="32" customFormat="1" ht="15.75" customHeight="1">
      <c r="B9" s="38" t="str">
        <f>'Category (2012)'!B9</f>
        <v>Existing Measure Review &amp; Updates</v>
      </c>
      <c r="C9" s="36"/>
      <c r="D9" s="36"/>
      <c r="E9" s="36"/>
      <c r="F9" s="36"/>
      <c r="I9" s="39"/>
      <c r="N9" s="37"/>
    </row>
    <row r="10" spans="2:14" s="32" customFormat="1" ht="15.75" customHeight="1">
      <c r="B10" s="40" t="s">
        <v>34</v>
      </c>
      <c r="C10" s="41">
        <f>H10*I10</f>
        <v>60000</v>
      </c>
      <c r="D10" s="41">
        <f>H10*J10</f>
        <v>10000</v>
      </c>
      <c r="E10" s="41">
        <f>SUM(C10:D10)</f>
        <v>70000</v>
      </c>
      <c r="F10" s="41">
        <f>H10*K10</f>
        <v>10000</v>
      </c>
      <c r="H10" s="94">
        <v>10</v>
      </c>
      <c r="I10" s="39">
        <v>6000</v>
      </c>
      <c r="J10" s="42">
        <v>1000</v>
      </c>
      <c r="K10" s="42">
        <v>1000</v>
      </c>
      <c r="L10" s="43">
        <f>$L$7/SUM(I10:K10)</f>
        <v>15</v>
      </c>
      <c r="M10" s="44" t="str">
        <f>CONCATENATE("Library of approx 30 Active UES on average 3-year review cycle or n=",H10," per year @ $",I10/1000,"K each")</f>
        <v>Library of approx 30 Active UES on average 3-year review cycle or n=10 per year @ $6K each</v>
      </c>
      <c r="N10" s="45"/>
    </row>
    <row r="11" spans="2:14" s="32" customFormat="1" ht="15.75" customHeight="1">
      <c r="B11" s="46" t="s">
        <v>35</v>
      </c>
      <c r="C11" s="41">
        <f t="shared" ref="C11:C13" si="0">H11*I11</f>
        <v>40000</v>
      </c>
      <c r="D11" s="41">
        <f t="shared" ref="D11:D13" si="1">H11*J11</f>
        <v>20000</v>
      </c>
      <c r="E11" s="41">
        <f>SUM(C11:D11)</f>
        <v>60000</v>
      </c>
      <c r="F11" s="41">
        <f t="shared" ref="F11:F13" si="2">H11*K11</f>
        <v>20000</v>
      </c>
      <c r="H11" s="94">
        <v>10</v>
      </c>
      <c r="I11" s="39">
        <v>4000</v>
      </c>
      <c r="J11" s="42">
        <v>2000</v>
      </c>
      <c r="K11" s="42">
        <v>2000</v>
      </c>
      <c r="L11" s="43">
        <f t="shared" ref="L11:L13" si="3">$L$7/SUM(I11:K11)</f>
        <v>15</v>
      </c>
      <c r="M11" s="44" t="str">
        <f>CONCATENATE("Library of approx 30 Prov UES on average 3-year review cycle or n=",H11," per year @ $",I11/1000,"K each")</f>
        <v>Library of approx 30 Prov UES on average 3-year review cycle or n=10 per year @ $4K each</v>
      </c>
      <c r="N11" s="47"/>
    </row>
    <row r="12" spans="2:14" s="32" customFormat="1" ht="15.75" customHeight="1">
      <c r="B12" s="48" t="s">
        <v>36</v>
      </c>
      <c r="C12" s="49">
        <f t="shared" si="0"/>
        <v>0</v>
      </c>
      <c r="D12" s="49">
        <f t="shared" si="1"/>
        <v>0</v>
      </c>
      <c r="E12" s="49">
        <f>SUM(C12:D12)</f>
        <v>0</v>
      </c>
      <c r="F12" s="49">
        <f t="shared" si="2"/>
        <v>0</v>
      </c>
      <c r="G12" s="50"/>
      <c r="H12" s="95">
        <v>0</v>
      </c>
      <c r="I12" s="51">
        <v>15000</v>
      </c>
      <c r="J12" s="51">
        <v>3000</v>
      </c>
      <c r="K12" s="51">
        <v>3000</v>
      </c>
      <c r="L12" s="43">
        <f t="shared" si="3"/>
        <v>5.7142857142857144</v>
      </c>
      <c r="M12" s="44" t="str">
        <f>CONCATENATE("Eventual library of 6 Protocols on 3-year review cycle for n=",H12," per year @ $",I12/1000,"K each.  For 2012 no existing reviews.")</f>
        <v>Eventual library of 6 Protocols on 3-year review cycle for n=0 per year @ $15K each.  For 2012 no existing reviews.</v>
      </c>
      <c r="N12" s="47"/>
    </row>
    <row r="13" spans="2:14" s="54" customFormat="1" ht="15.75" customHeight="1">
      <c r="B13" s="40" t="s">
        <v>37</v>
      </c>
      <c r="C13" s="52">
        <f t="shared" si="0"/>
        <v>75000</v>
      </c>
      <c r="D13" s="52">
        <f t="shared" si="1"/>
        <v>20000</v>
      </c>
      <c r="E13" s="52">
        <f>SUM(C13:D13)</f>
        <v>95000</v>
      </c>
      <c r="F13" s="52">
        <f t="shared" si="2"/>
        <v>10000</v>
      </c>
      <c r="G13" s="32"/>
      <c r="H13" s="94">
        <v>5</v>
      </c>
      <c r="I13" s="39">
        <v>15000</v>
      </c>
      <c r="J13" s="39">
        <v>4000</v>
      </c>
      <c r="K13" s="39">
        <v>2000</v>
      </c>
      <c r="L13" s="43">
        <f t="shared" si="3"/>
        <v>5.7142857142857144</v>
      </c>
      <c r="M13" s="53" t="s">
        <v>38</v>
      </c>
      <c r="N13" s="45"/>
    </row>
    <row r="14" spans="2:14" s="32" customFormat="1" ht="15.75" customHeight="1">
      <c r="B14" s="38" t="str">
        <f>CONCATENATE("Subtotal ",B9)</f>
        <v>Subtotal Existing Measure Review &amp; Updates</v>
      </c>
      <c r="C14" s="55">
        <f>SUM(C10:C13)</f>
        <v>175000</v>
      </c>
      <c r="D14" s="55">
        <f>SUM(D10:D13)</f>
        <v>50000</v>
      </c>
      <c r="E14" s="55">
        <f>SUM(E10:E13)</f>
        <v>225000</v>
      </c>
      <c r="F14" s="55">
        <f>SUM(F10:F13)</f>
        <v>40000</v>
      </c>
      <c r="H14" s="94"/>
      <c r="I14" s="42"/>
      <c r="J14" s="42"/>
      <c r="K14" s="42"/>
      <c r="L14" s="42"/>
      <c r="M14" s="56"/>
      <c r="N14" s="37"/>
    </row>
    <row r="15" spans="2:14" s="32" customFormat="1" ht="15.75" customHeight="1">
      <c r="C15" s="41"/>
      <c r="D15" s="41"/>
      <c r="E15" s="41"/>
      <c r="F15" s="36"/>
      <c r="H15" s="94"/>
      <c r="J15" s="57"/>
      <c r="K15" s="57"/>
      <c r="L15" s="57"/>
      <c r="M15" s="58"/>
      <c r="N15" s="37"/>
    </row>
    <row r="16" spans="2:14" s="32" customFormat="1" ht="15.75" customHeight="1">
      <c r="C16" s="41"/>
      <c r="D16" s="41"/>
      <c r="E16" s="41"/>
      <c r="F16" s="36"/>
      <c r="H16" s="96"/>
      <c r="I16" s="59"/>
      <c r="J16" s="57"/>
      <c r="K16" s="57"/>
      <c r="L16" s="57"/>
      <c r="M16" s="58"/>
      <c r="N16" s="37"/>
    </row>
    <row r="17" spans="2:20" s="32" customFormat="1" ht="15.75" customHeight="1">
      <c r="B17" s="38" t="str">
        <f>'Category (2012)'!B10</f>
        <v>New Measure Development &amp; Review of Unsolicited Proposals</v>
      </c>
      <c r="C17" s="41"/>
      <c r="D17" s="41"/>
      <c r="E17" s="41"/>
      <c r="F17" s="36"/>
      <c r="H17" s="96"/>
      <c r="I17" s="57"/>
      <c r="J17" s="57"/>
      <c r="K17" s="57"/>
      <c r="L17" s="57"/>
      <c r="M17" s="56"/>
      <c r="N17" s="37"/>
    </row>
    <row r="18" spans="2:20" s="32" customFormat="1" ht="15.75" customHeight="1">
      <c r="B18" s="46" t="s">
        <v>39</v>
      </c>
      <c r="C18" s="41">
        <f>H18*I18</f>
        <v>48000</v>
      </c>
      <c r="D18" s="41">
        <f>H18*J18</f>
        <v>24000</v>
      </c>
      <c r="E18" s="41">
        <f>SUM(C18:D18)</f>
        <v>72000</v>
      </c>
      <c r="F18" s="41">
        <f>H18*K18</f>
        <v>8000</v>
      </c>
      <c r="H18" s="96">
        <v>4</v>
      </c>
      <c r="I18" s="57">
        <v>12000</v>
      </c>
      <c r="J18" s="57">
        <v>6000</v>
      </c>
      <c r="K18" s="57">
        <v>2000</v>
      </c>
      <c r="L18" s="43">
        <f t="shared" ref="L18:L24" si="4">$L$7/SUM(I18:K18)</f>
        <v>6</v>
      </c>
      <c r="M18" s="44" t="str">
        <f>CONCATENATE("Review New UES (n=",H18," per year @ $",I18/1000,"K each).  Assumes proposers do most development work.  Proposals come to RTF well-crafted.")</f>
        <v>Review New UES (n=4 per year @ $12K each).  Assumes proposers do most development work.  Proposals come to RTF well-crafted.</v>
      </c>
      <c r="N18" s="60"/>
    </row>
    <row r="19" spans="2:20" s="32" customFormat="1" ht="15.75" customHeight="1">
      <c r="B19" s="46" t="s">
        <v>40</v>
      </c>
      <c r="C19" s="41">
        <f t="shared" ref="C19:C20" si="5">H19*I19</f>
        <v>60000</v>
      </c>
      <c r="D19" s="41">
        <f t="shared" ref="D19:D20" si="6">H19*J19</f>
        <v>24000</v>
      </c>
      <c r="E19" s="41">
        <f t="shared" ref="E19:E20" si="7">SUM(C19:D19)</f>
        <v>84000</v>
      </c>
      <c r="F19" s="41">
        <f t="shared" ref="F19:F20" si="8">H19*K19</f>
        <v>8000</v>
      </c>
      <c r="H19" s="96">
        <v>4</v>
      </c>
      <c r="I19" s="57">
        <v>15000</v>
      </c>
      <c r="J19" s="57">
        <v>6000</v>
      </c>
      <c r="K19" s="57">
        <v>2000</v>
      </c>
      <c r="L19" s="43">
        <f t="shared" si="4"/>
        <v>5.2173913043478262</v>
      </c>
      <c r="M19" s="44" t="str">
        <f>CONCATENATE("Review New Standard Protocols with Calculators (",H19," per year @ $",I19/1000,"K each).  Assumes proposers do most development work.  Proposals come to RTF well-crafted.")</f>
        <v>Review New Standard Protocols with Calculators (4 per year @ $15K each).  Assumes proposers do most development work.  Proposals come to RTF well-crafted.</v>
      </c>
      <c r="N19" s="61"/>
    </row>
    <row r="20" spans="2:20" s="32" customFormat="1" ht="15.75" customHeight="1">
      <c r="B20" s="46" t="s">
        <v>41</v>
      </c>
      <c r="C20" s="41">
        <f t="shared" si="5"/>
        <v>36000</v>
      </c>
      <c r="D20" s="41">
        <f t="shared" si="6"/>
        <v>36000</v>
      </c>
      <c r="E20" s="41">
        <f t="shared" si="7"/>
        <v>72000</v>
      </c>
      <c r="F20" s="41">
        <f t="shared" si="8"/>
        <v>6000</v>
      </c>
      <c r="H20" s="96">
        <v>3</v>
      </c>
      <c r="I20" s="57">
        <v>12000</v>
      </c>
      <c r="J20" s="57">
        <v>12000</v>
      </c>
      <c r="K20" s="57">
        <v>2000</v>
      </c>
      <c r="L20" s="43">
        <f t="shared" si="4"/>
        <v>4.615384615384615</v>
      </c>
      <c r="M20" s="44" t="str">
        <f>CONCATENATE("Develop Small &amp; Rural Measures (",H20," @ $",I20/1000,"K each).  Includes analysis to better understand needs around packaging irrigation measures, or training or specification simplification.")</f>
        <v>Develop Small &amp; Rural Measures (3 @ $12K each).  Includes analysis to better understand needs around packaging irrigation measures, or training or specification simplification.</v>
      </c>
      <c r="N20" s="61"/>
    </row>
    <row r="21" spans="2:20" s="32" customFormat="1" ht="15.75" customHeight="1">
      <c r="B21" s="46" t="s">
        <v>42</v>
      </c>
      <c r="C21" s="41">
        <f>H21*I21</f>
        <v>48000</v>
      </c>
      <c r="D21" s="41">
        <f>H21*J21</f>
        <v>48000</v>
      </c>
      <c r="E21" s="41">
        <f>SUM(C21:D21)</f>
        <v>96000</v>
      </c>
      <c r="F21" s="41">
        <f>H21*K21</f>
        <v>8000</v>
      </c>
      <c r="H21" s="96">
        <v>4</v>
      </c>
      <c r="I21" s="57">
        <v>12000</v>
      </c>
      <c r="J21" s="57">
        <v>12000</v>
      </c>
      <c r="K21" s="57">
        <v>2000</v>
      </c>
      <c r="L21" s="43">
        <f t="shared" si="4"/>
        <v>4.615384615384615</v>
      </c>
      <c r="M21" s="44" t="str">
        <f>CONCATENATE("Review New UES/Protocol (n=",H21," per year @ $",I21/1000,"K each).  Assumes proposers do most development work.  Proposals come to RTF well-crafted.")</f>
        <v>Review New UES/Protocol (n=4 per year @ $12K each).  Assumes proposers do most development work.  Proposals come to RTF well-crafted.</v>
      </c>
      <c r="N21" s="37"/>
    </row>
    <row r="22" spans="2:20" s="32" customFormat="1" ht="15.75" customHeight="1">
      <c r="B22" s="46" t="s">
        <v>43</v>
      </c>
      <c r="C22" s="41">
        <f>H22*I22</f>
        <v>15000</v>
      </c>
      <c r="D22" s="41">
        <f>H22*J22</f>
        <v>5000</v>
      </c>
      <c r="E22" s="41">
        <f>SUM(C22:D22)</f>
        <v>20000</v>
      </c>
      <c r="F22" s="41">
        <f>H22*K22</f>
        <v>5000</v>
      </c>
      <c r="H22" s="96">
        <v>5</v>
      </c>
      <c r="I22" s="57">
        <v>3000</v>
      </c>
      <c r="J22" s="42">
        <v>1000</v>
      </c>
      <c r="K22" s="42">
        <v>1000</v>
      </c>
      <c r="L22" s="43">
        <f t="shared" si="4"/>
        <v>24</v>
      </c>
      <c r="M22" s="44" t="s">
        <v>44</v>
      </c>
      <c r="N22" s="37"/>
    </row>
    <row r="23" spans="2:20" s="32" customFormat="1" ht="15.75" customHeight="1">
      <c r="B23" s="48" t="s">
        <v>45</v>
      </c>
      <c r="C23" s="49">
        <f>H23*I23</f>
        <v>0</v>
      </c>
      <c r="D23" s="49">
        <f>H23*J23</f>
        <v>0</v>
      </c>
      <c r="E23" s="49">
        <f>SUM(C23:D23)</f>
        <v>0</v>
      </c>
      <c r="F23" s="49">
        <f>H23*K23</f>
        <v>0</v>
      </c>
      <c r="G23" s="62"/>
      <c r="H23" s="97">
        <v>0</v>
      </c>
      <c r="I23" s="63">
        <v>40000</v>
      </c>
      <c r="J23" s="63">
        <v>6000</v>
      </c>
      <c r="K23" s="63">
        <v>3000</v>
      </c>
      <c r="L23" s="43">
        <f t="shared" si="4"/>
        <v>2.4489795918367347</v>
      </c>
      <c r="M23" s="44" t="str">
        <f>CONCATENATE("Develop New UES (n=",H23," per year @ $",I23/1000,"K each).  Assumes RTF contract for most development work.")</f>
        <v>Develop New UES (n=0 per year @ $40K each).  Assumes RTF contract for most development work.</v>
      </c>
      <c r="N23" s="62"/>
      <c r="O23" s="62"/>
      <c r="P23" s="62"/>
      <c r="Q23" s="62"/>
      <c r="R23" s="62"/>
      <c r="S23" s="62"/>
      <c r="T23" s="62"/>
    </row>
    <row r="24" spans="2:20" s="32" customFormat="1" ht="15.75" customHeight="1">
      <c r="B24" s="48" t="s">
        <v>46</v>
      </c>
      <c r="C24" s="49">
        <f>H24*I24</f>
        <v>0</v>
      </c>
      <c r="D24" s="49">
        <f>H24*J24</f>
        <v>0</v>
      </c>
      <c r="E24" s="49">
        <f>SUM(C24:D24)</f>
        <v>0</v>
      </c>
      <c r="F24" s="49">
        <f>H24*K24</f>
        <v>0</v>
      </c>
      <c r="G24" s="62"/>
      <c r="H24" s="97">
        <v>0</v>
      </c>
      <c r="I24" s="63">
        <v>45000</v>
      </c>
      <c r="J24" s="63">
        <v>6000</v>
      </c>
      <c r="K24" s="63">
        <v>3000</v>
      </c>
      <c r="L24" s="43">
        <f t="shared" si="4"/>
        <v>2.2222222222222223</v>
      </c>
      <c r="M24" s="44" t="str">
        <f>CONCATENATE("Develop New Standarad Protocol (n=",H24," per year @ $",I24/1000,"K each).  Assumes RTF contract for most development work.")</f>
        <v>Develop New Standarad Protocol (n=0 per year @ $45K each).  Assumes RTF contract for most development work.</v>
      </c>
      <c r="N24" s="62"/>
      <c r="O24" s="62"/>
      <c r="P24" s="62"/>
      <c r="Q24" s="62"/>
      <c r="R24" s="62"/>
      <c r="S24" s="62"/>
      <c r="T24" s="62"/>
    </row>
    <row r="25" spans="2:20" s="32" customFormat="1" ht="15.75" customHeight="1">
      <c r="B25" s="38" t="str">
        <f>CONCATENATE("Subtotal ",B17)</f>
        <v>Subtotal New Measure Development &amp; Review of Unsolicited Proposals</v>
      </c>
      <c r="C25" s="55">
        <f>SUM(C18:C22)</f>
        <v>207000</v>
      </c>
      <c r="D25" s="55">
        <f t="shared" ref="D25:F25" si="9">SUM(D18:D22)</f>
        <v>137000</v>
      </c>
      <c r="E25" s="55">
        <f t="shared" si="9"/>
        <v>344000</v>
      </c>
      <c r="F25" s="55">
        <f t="shared" si="9"/>
        <v>35000</v>
      </c>
      <c r="M25" s="44"/>
      <c r="N25" s="37"/>
    </row>
    <row r="26" spans="2:20" s="32" customFormat="1" ht="15.75" customHeight="1">
      <c r="B26" s="46"/>
      <c r="C26" s="41"/>
      <c r="D26" s="41"/>
      <c r="E26" s="41"/>
      <c r="F26" s="36"/>
      <c r="J26" s="59"/>
      <c r="K26" s="59"/>
      <c r="L26" s="59"/>
      <c r="M26" s="64"/>
      <c r="N26" s="37"/>
    </row>
    <row r="27" spans="2:20" s="32" customFormat="1" ht="15.75" customHeight="1">
      <c r="C27" s="41"/>
      <c r="D27" s="41"/>
      <c r="E27" s="41"/>
      <c r="F27" s="36"/>
      <c r="J27" s="4"/>
      <c r="K27" s="4"/>
      <c r="L27" s="4"/>
      <c r="M27" s="64"/>
      <c r="N27" s="37"/>
    </row>
    <row r="28" spans="2:20" ht="15.75">
      <c r="B28" s="38" t="str">
        <f>'Category (2012)'!B11</f>
        <v>Standardization of Technical Analysis</v>
      </c>
      <c r="C28" s="4"/>
      <c r="D28" s="4"/>
      <c r="E28" s="4"/>
      <c r="F28" s="4"/>
      <c r="J28" s="4"/>
      <c r="K28" s="4"/>
      <c r="L28" s="4"/>
      <c r="M28" s="64"/>
    </row>
    <row r="29" spans="2:20" ht="15.75">
      <c r="B29" s="46" t="s">
        <v>47</v>
      </c>
      <c r="C29" s="65">
        <v>0</v>
      </c>
      <c r="D29" s="66">
        <v>7000</v>
      </c>
      <c r="E29" s="66">
        <f t="shared" ref="E29:E34" si="10">SUM(C29:D29)</f>
        <v>7000</v>
      </c>
      <c r="F29" s="67">
        <v>7000</v>
      </c>
      <c r="G29" s="4"/>
      <c r="H29" s="4"/>
      <c r="I29" s="61"/>
      <c r="J29" s="4"/>
      <c r="K29" s="4"/>
      <c r="L29" s="4"/>
      <c r="M29" s="4"/>
      <c r="N29" s="61"/>
      <c r="O29" s="4"/>
    </row>
    <row r="30" spans="2:20" ht="15.75">
      <c r="B30" s="46" t="s">
        <v>48</v>
      </c>
      <c r="C30" s="65">
        <v>0</v>
      </c>
      <c r="D30" s="65">
        <v>5000</v>
      </c>
      <c r="E30" s="65">
        <f t="shared" si="10"/>
        <v>5000</v>
      </c>
      <c r="F30" s="68">
        <v>5000</v>
      </c>
      <c r="I30" s="61"/>
      <c r="J30" s="4"/>
      <c r="K30" s="4"/>
      <c r="L30" s="4"/>
      <c r="M30" s="4"/>
    </row>
    <row r="31" spans="2:20" ht="15.75">
      <c r="B31" s="46" t="s">
        <v>49</v>
      </c>
      <c r="C31" s="65">
        <v>20000</v>
      </c>
      <c r="D31" s="65">
        <v>5000</v>
      </c>
      <c r="E31" s="65">
        <f t="shared" si="10"/>
        <v>25000</v>
      </c>
      <c r="F31" s="68">
        <f t="shared" ref="F31:F34" si="11">1/2*D31</f>
        <v>2500</v>
      </c>
      <c r="I31" s="61"/>
      <c r="J31" s="4"/>
      <c r="K31" s="4"/>
      <c r="L31" s="4"/>
      <c r="M31" s="64"/>
    </row>
    <row r="32" spans="2:20" ht="15.75">
      <c r="B32" s="46" t="s">
        <v>50</v>
      </c>
      <c r="C32" s="41">
        <v>70000</v>
      </c>
      <c r="D32" s="41">
        <v>10000</v>
      </c>
      <c r="E32" s="41">
        <f t="shared" si="10"/>
        <v>80000</v>
      </c>
      <c r="F32" s="69">
        <f t="shared" si="11"/>
        <v>5000</v>
      </c>
      <c r="I32" s="61"/>
      <c r="J32" s="4"/>
      <c r="K32" s="4"/>
      <c r="L32" s="4"/>
      <c r="M32" s="44" t="s">
        <v>51</v>
      </c>
    </row>
    <row r="33" spans="2:13" ht="15.75">
      <c r="B33" s="46" t="s">
        <v>52</v>
      </c>
      <c r="C33" s="41">
        <v>40000</v>
      </c>
      <c r="D33" s="41">
        <v>10000</v>
      </c>
      <c r="E33" s="41">
        <f t="shared" si="10"/>
        <v>50000</v>
      </c>
      <c r="F33" s="69">
        <f t="shared" si="11"/>
        <v>5000</v>
      </c>
      <c r="M33" s="44"/>
    </row>
    <row r="34" spans="2:13" ht="15.75">
      <c r="B34" s="46" t="s">
        <v>53</v>
      </c>
      <c r="C34" s="41">
        <v>10000</v>
      </c>
      <c r="D34" s="41">
        <v>5000</v>
      </c>
      <c r="E34" s="41">
        <f t="shared" si="10"/>
        <v>15000</v>
      </c>
      <c r="F34" s="69">
        <f t="shared" si="11"/>
        <v>2500</v>
      </c>
      <c r="M34" s="44"/>
    </row>
    <row r="35" spans="2:13" ht="15.75">
      <c r="B35" s="48" t="s">
        <v>54</v>
      </c>
      <c r="C35" s="70">
        <v>0</v>
      </c>
      <c r="D35" s="70">
        <v>0</v>
      </c>
      <c r="E35" s="70">
        <v>0</v>
      </c>
      <c r="F35" s="71">
        <v>0</v>
      </c>
      <c r="G35" s="4"/>
      <c r="H35" s="4"/>
      <c r="I35" s="61"/>
      <c r="J35" s="4"/>
      <c r="K35" s="4"/>
      <c r="L35" s="4"/>
      <c r="M35" s="44" t="s">
        <v>55</v>
      </c>
    </row>
    <row r="36" spans="2:13" ht="15.75">
      <c r="B36" s="48" t="s">
        <v>56</v>
      </c>
      <c r="C36" s="70">
        <v>0</v>
      </c>
      <c r="D36" s="70">
        <v>0</v>
      </c>
      <c r="E36" s="70">
        <v>0</v>
      </c>
      <c r="F36" s="71">
        <v>0</v>
      </c>
      <c r="G36" s="4"/>
      <c r="H36" s="4"/>
      <c r="I36" s="61"/>
      <c r="J36" s="4"/>
      <c r="K36" s="4"/>
      <c r="L36" s="4"/>
      <c r="M36" s="44" t="s">
        <v>57</v>
      </c>
    </row>
    <row r="37" spans="2:13" ht="15.75">
      <c r="B37" s="48" t="s">
        <v>58</v>
      </c>
      <c r="C37" s="70">
        <v>0</v>
      </c>
      <c r="D37" s="70">
        <v>0</v>
      </c>
      <c r="E37" s="70">
        <v>0</v>
      </c>
      <c r="F37" s="71">
        <v>0</v>
      </c>
      <c r="G37" s="4"/>
      <c r="H37" s="4"/>
      <c r="I37" s="61"/>
      <c r="J37" s="4"/>
      <c r="K37" s="4"/>
      <c r="L37" s="4"/>
      <c r="M37" s="44" t="s">
        <v>57</v>
      </c>
    </row>
    <row r="38" spans="2:13" ht="15.75">
      <c r="B38" s="38" t="str">
        <f>CONCATENATE("Subtotal ",B28)</f>
        <v>Subtotal Standardization of Technical Analysis</v>
      </c>
      <c r="C38" s="55">
        <f>SUM(C29:C37)</f>
        <v>140000</v>
      </c>
      <c r="D38" s="55">
        <f t="shared" ref="D38:F38" si="12">SUM(D29:D37)</f>
        <v>42000</v>
      </c>
      <c r="E38" s="55">
        <f t="shared" si="12"/>
        <v>182000</v>
      </c>
      <c r="F38" s="55">
        <f t="shared" si="12"/>
        <v>27000</v>
      </c>
      <c r="M38" s="44"/>
    </row>
    <row r="39" spans="2:13">
      <c r="M39" s="44"/>
    </row>
    <row r="40" spans="2:13">
      <c r="C40" s="41"/>
      <c r="D40" s="41"/>
      <c r="E40" s="41"/>
      <c r="M40" s="44"/>
    </row>
    <row r="41" spans="2:13" ht="15.75">
      <c r="B41" s="38" t="str">
        <f>'Category (2012)'!B12</f>
        <v>Tool Development</v>
      </c>
      <c r="C41" s="41"/>
      <c r="D41" s="41"/>
      <c r="E41" s="41"/>
      <c r="M41" s="44"/>
    </row>
    <row r="42" spans="2:13" ht="15.75">
      <c r="B42" s="46" t="s">
        <v>59</v>
      </c>
      <c r="C42" s="41">
        <v>6000</v>
      </c>
      <c r="D42" s="41">
        <v>6000</v>
      </c>
      <c r="E42" s="41">
        <f>SUM(C42:D42)</f>
        <v>12000</v>
      </c>
      <c r="F42" s="41">
        <v>1000</v>
      </c>
      <c r="I42" s="61"/>
      <c r="J42" s="61"/>
      <c r="K42" s="61"/>
      <c r="L42" s="61"/>
      <c r="M42" s="44" t="s">
        <v>60</v>
      </c>
    </row>
    <row r="43" spans="2:13" ht="15.75">
      <c r="B43" s="46" t="s">
        <v>61</v>
      </c>
      <c r="C43" s="41">
        <v>30000</v>
      </c>
      <c r="D43" s="41">
        <v>6000</v>
      </c>
      <c r="E43" s="41">
        <f t="shared" ref="E43:E50" si="13">SUM(C43:D43)</f>
        <v>36000</v>
      </c>
      <c r="F43" s="41">
        <v>3000</v>
      </c>
      <c r="M43" s="44" t="s">
        <v>62</v>
      </c>
    </row>
    <row r="44" spans="2:13" ht="15.75">
      <c r="B44" s="46" t="s">
        <v>63</v>
      </c>
      <c r="C44" s="41">
        <v>0</v>
      </c>
      <c r="D44" s="65">
        <v>6000</v>
      </c>
      <c r="E44" s="41">
        <f t="shared" si="13"/>
        <v>6000</v>
      </c>
      <c r="F44" s="41">
        <v>3000</v>
      </c>
      <c r="I44" s="60"/>
      <c r="J44" s="60"/>
      <c r="K44" s="60"/>
      <c r="L44" s="60"/>
      <c r="M44" s="44" t="s">
        <v>64</v>
      </c>
    </row>
    <row r="45" spans="2:13" ht="15.75">
      <c r="B45" s="46" t="s">
        <v>65</v>
      </c>
      <c r="C45" s="65">
        <v>0</v>
      </c>
      <c r="D45" s="65">
        <v>6000</v>
      </c>
      <c r="E45" s="41">
        <f t="shared" si="13"/>
        <v>6000</v>
      </c>
      <c r="F45" s="41">
        <v>3000</v>
      </c>
      <c r="I45" s="60"/>
      <c r="J45" s="60"/>
      <c r="K45" s="60"/>
      <c r="L45" s="60"/>
      <c r="M45" s="44" t="s">
        <v>64</v>
      </c>
    </row>
    <row r="46" spans="2:13" ht="15.75">
      <c r="B46" s="46" t="s">
        <v>66</v>
      </c>
      <c r="C46" s="65">
        <v>0</v>
      </c>
      <c r="D46" s="65">
        <v>6000</v>
      </c>
      <c r="E46" s="41">
        <f t="shared" si="13"/>
        <v>6000</v>
      </c>
      <c r="F46" s="41">
        <v>0</v>
      </c>
      <c r="I46" s="60"/>
      <c r="J46" s="4"/>
      <c r="K46" s="4"/>
      <c r="L46" s="4"/>
      <c r="M46" s="44" t="s">
        <v>67</v>
      </c>
    </row>
    <row r="47" spans="2:13" ht="15.75">
      <c r="B47" s="46" t="s">
        <v>68</v>
      </c>
      <c r="C47" s="41">
        <v>30000</v>
      </c>
      <c r="D47" s="41">
        <v>6000</v>
      </c>
      <c r="E47" s="41">
        <f t="shared" si="13"/>
        <v>36000</v>
      </c>
      <c r="F47" s="41">
        <v>0</v>
      </c>
      <c r="J47" s="4"/>
      <c r="K47" s="4"/>
      <c r="L47" s="4"/>
      <c r="M47" s="44" t="s">
        <v>69</v>
      </c>
    </row>
    <row r="48" spans="2:13" ht="15.75">
      <c r="B48" s="46" t="s">
        <v>70</v>
      </c>
      <c r="C48" s="65">
        <v>5000</v>
      </c>
      <c r="D48" s="65">
        <v>5000</v>
      </c>
      <c r="E48" s="65">
        <f t="shared" si="13"/>
        <v>10000</v>
      </c>
      <c r="F48" s="65">
        <v>0</v>
      </c>
      <c r="G48" s="4"/>
      <c r="H48" s="4"/>
      <c r="I48" s="61"/>
      <c r="J48" s="4"/>
      <c r="K48" s="4"/>
      <c r="L48" s="4"/>
      <c r="M48" s="64" t="s">
        <v>71</v>
      </c>
    </row>
    <row r="49" spans="2:14" ht="15.75">
      <c r="B49" s="46" t="s">
        <v>72</v>
      </c>
      <c r="C49" s="65">
        <v>5000</v>
      </c>
      <c r="D49" s="65">
        <v>5000</v>
      </c>
      <c r="E49" s="65">
        <f t="shared" si="13"/>
        <v>10000</v>
      </c>
      <c r="F49" s="65">
        <v>0</v>
      </c>
      <c r="G49" s="4"/>
      <c r="H49" s="4"/>
      <c r="I49" s="61"/>
      <c r="J49" s="4"/>
      <c r="K49" s="4"/>
      <c r="L49" s="4"/>
      <c r="M49" s="64" t="s">
        <v>73</v>
      </c>
    </row>
    <row r="50" spans="2:14" ht="15.75">
      <c r="B50" s="46" t="s">
        <v>74</v>
      </c>
      <c r="C50" s="65">
        <v>10000</v>
      </c>
      <c r="D50" s="65">
        <v>2000</v>
      </c>
      <c r="E50" s="65">
        <f t="shared" si="13"/>
        <v>12000</v>
      </c>
      <c r="F50" s="65">
        <v>2000</v>
      </c>
      <c r="G50" s="4"/>
      <c r="H50" s="4"/>
      <c r="I50" s="61"/>
      <c r="J50" s="4"/>
      <c r="K50" s="4"/>
      <c r="L50" s="4"/>
      <c r="M50" s="64"/>
    </row>
    <row r="51" spans="2:14" s="4" customFormat="1" ht="15.75">
      <c r="B51" s="48" t="s">
        <v>75</v>
      </c>
      <c r="C51" s="49">
        <v>0</v>
      </c>
      <c r="D51" s="49">
        <v>0</v>
      </c>
      <c r="E51" s="49">
        <v>0</v>
      </c>
      <c r="F51" s="49">
        <v>0</v>
      </c>
      <c r="G51" s="2"/>
      <c r="H51" s="2"/>
      <c r="I51" s="61"/>
      <c r="J51" s="61"/>
      <c r="K51" s="61"/>
      <c r="L51" s="61"/>
      <c r="M51" s="44" t="s">
        <v>76</v>
      </c>
      <c r="N51" s="61"/>
    </row>
    <row r="52" spans="2:14" s="4" customFormat="1" ht="15.75">
      <c r="B52" s="48" t="s">
        <v>77</v>
      </c>
      <c r="C52" s="49">
        <v>0</v>
      </c>
      <c r="D52" s="49">
        <v>0</v>
      </c>
      <c r="E52" s="49">
        <v>0</v>
      </c>
      <c r="F52" s="49">
        <v>0</v>
      </c>
      <c r="G52" s="72"/>
      <c r="H52" s="72"/>
      <c r="I52" s="72"/>
      <c r="J52" s="72"/>
      <c r="K52" s="72"/>
      <c r="L52" s="72"/>
      <c r="M52" s="44" t="s">
        <v>76</v>
      </c>
      <c r="N52" s="61"/>
    </row>
    <row r="53" spans="2:14" ht="15.75">
      <c r="B53" s="38" t="str">
        <f>CONCATENATE("Subtotal ",B41)</f>
        <v>Subtotal Tool Development</v>
      </c>
      <c r="C53" s="55">
        <f>SUM(C42:C52)</f>
        <v>86000</v>
      </c>
      <c r="D53" s="55">
        <f t="shared" ref="D53:F53" si="14">SUM(D42:D52)</f>
        <v>48000</v>
      </c>
      <c r="E53" s="55">
        <f t="shared" si="14"/>
        <v>134000</v>
      </c>
      <c r="F53" s="55">
        <f t="shared" si="14"/>
        <v>12000</v>
      </c>
      <c r="M53" s="44"/>
    </row>
    <row r="54" spans="2:14" ht="15.75">
      <c r="B54" s="46"/>
      <c r="C54" s="41"/>
      <c r="D54" s="41"/>
      <c r="E54" s="41"/>
      <c r="M54" s="44"/>
    </row>
    <row r="55" spans="2:14" ht="15.75">
      <c r="B55" s="46"/>
      <c r="C55" s="41"/>
      <c r="D55" s="41"/>
      <c r="E55" s="41"/>
      <c r="M55" s="44"/>
    </row>
    <row r="56" spans="2:14" ht="15.75">
      <c r="B56" s="38" t="str">
        <f>'Category (2012)'!B13</f>
        <v>Research Projects &amp; Data Development</v>
      </c>
      <c r="C56" s="41"/>
      <c r="D56" s="41"/>
      <c r="E56" s="41"/>
      <c r="M56" s="44"/>
    </row>
    <row r="57" spans="2:14" ht="15.75">
      <c r="B57" s="46" t="s">
        <v>78</v>
      </c>
      <c r="C57" s="41">
        <v>50000</v>
      </c>
      <c r="D57" s="41">
        <v>12000</v>
      </c>
      <c r="E57" s="41">
        <f>SUM(C57:D57)</f>
        <v>62000</v>
      </c>
      <c r="F57" s="92">
        <f>1/2*D57</f>
        <v>6000</v>
      </c>
      <c r="M57" s="44"/>
    </row>
    <row r="58" spans="2:14" ht="15.75">
      <c r="B58" s="46" t="s">
        <v>79</v>
      </c>
      <c r="C58" s="65">
        <v>15000</v>
      </c>
      <c r="D58" s="65">
        <v>2000</v>
      </c>
      <c r="E58" s="65">
        <f t="shared" ref="E58:E60" si="15">SUM(C58:D58)</f>
        <v>17000</v>
      </c>
      <c r="F58" s="93">
        <f t="shared" ref="F58:F60" si="16">1/2*D58</f>
        <v>1000</v>
      </c>
      <c r="G58" s="4"/>
      <c r="H58" s="4"/>
      <c r="I58" s="61"/>
      <c r="J58" s="4"/>
      <c r="K58" s="4"/>
      <c r="L58" s="4"/>
      <c r="M58" s="64"/>
    </row>
    <row r="59" spans="2:14" ht="15.75">
      <c r="B59" s="46" t="s">
        <v>80</v>
      </c>
      <c r="C59" s="65">
        <v>30000</v>
      </c>
      <c r="D59" s="65">
        <v>12000</v>
      </c>
      <c r="E59" s="65">
        <f t="shared" si="15"/>
        <v>42000</v>
      </c>
      <c r="F59" s="93">
        <f t="shared" si="16"/>
        <v>6000</v>
      </c>
      <c r="G59" s="4"/>
      <c r="H59" s="4"/>
      <c r="I59" s="61"/>
      <c r="J59" s="61"/>
      <c r="K59" s="61"/>
      <c r="L59" s="61"/>
      <c r="M59" s="73"/>
    </row>
    <row r="60" spans="2:14" ht="15.75">
      <c r="B60" s="46" t="s">
        <v>44</v>
      </c>
      <c r="C60" s="41">
        <v>50000</v>
      </c>
      <c r="D60" s="41">
        <v>12000</v>
      </c>
      <c r="E60" s="41">
        <f t="shared" si="15"/>
        <v>62000</v>
      </c>
      <c r="F60" s="92">
        <f t="shared" si="16"/>
        <v>6000</v>
      </c>
      <c r="M60" s="44"/>
    </row>
    <row r="61" spans="2:14" ht="15.75">
      <c r="B61" s="38" t="str">
        <f>CONCATENATE("Subtotal ",B56)</f>
        <v>Subtotal Research Projects &amp; Data Development</v>
      </c>
      <c r="C61" s="55">
        <f>SUM(C57:C60)</f>
        <v>145000</v>
      </c>
      <c r="D61" s="55">
        <f>SUM(D57:D60)</f>
        <v>38000</v>
      </c>
      <c r="E61" s="55">
        <f>SUM(E57:E60)</f>
        <v>183000</v>
      </c>
      <c r="F61" s="55">
        <f>SUM(F57:F60)</f>
        <v>19000</v>
      </c>
      <c r="M61" s="44"/>
    </row>
    <row r="62" spans="2:14">
      <c r="C62" s="41"/>
      <c r="D62" s="41"/>
      <c r="E62" s="41"/>
      <c r="M62" s="44"/>
    </row>
    <row r="63" spans="2:14" ht="15.75">
      <c r="B63" s="46"/>
      <c r="C63" s="41"/>
      <c r="D63" s="41"/>
      <c r="E63" s="41"/>
      <c r="M63" s="44"/>
    </row>
    <row r="64" spans="2:14" ht="15.75">
      <c r="B64" s="38" t="str">
        <f>'Category (2012)'!B14</f>
        <v>Regional Coordination</v>
      </c>
      <c r="C64" s="41"/>
      <c r="D64" s="41"/>
      <c r="E64" s="41"/>
      <c r="M64" s="44"/>
    </row>
    <row r="65" spans="2:13" ht="15.75">
      <c r="B65" s="46" t="s">
        <v>81</v>
      </c>
      <c r="C65" s="41">
        <v>0</v>
      </c>
      <c r="D65" s="41">
        <v>6000</v>
      </c>
      <c r="E65" s="41">
        <f>SUM(C65:D65)</f>
        <v>6000</v>
      </c>
      <c r="F65" s="41">
        <v>2000</v>
      </c>
      <c r="I65" s="74"/>
      <c r="J65" s="74"/>
      <c r="K65" s="74"/>
      <c r="L65" s="74"/>
      <c r="M65" s="44" t="s">
        <v>82</v>
      </c>
    </row>
    <row r="66" spans="2:13" ht="15.75">
      <c r="B66" s="46" t="s">
        <v>83</v>
      </c>
      <c r="C66" s="41">
        <v>0</v>
      </c>
      <c r="D66" s="41">
        <v>12000</v>
      </c>
      <c r="E66" s="41">
        <f t="shared" ref="E66:E69" si="17">SUM(C66:D66)</f>
        <v>12000</v>
      </c>
      <c r="F66" s="41">
        <v>2000</v>
      </c>
      <c r="M66" s="44" t="s">
        <v>84</v>
      </c>
    </row>
    <row r="67" spans="2:13" ht="15.75">
      <c r="B67" s="46" t="s">
        <v>85</v>
      </c>
      <c r="C67" s="41">
        <v>0</v>
      </c>
      <c r="D67" s="41">
        <v>24000</v>
      </c>
      <c r="E67" s="41">
        <f t="shared" si="17"/>
        <v>24000</v>
      </c>
      <c r="F67" s="41">
        <v>2000</v>
      </c>
      <c r="M67" s="44"/>
    </row>
    <row r="68" spans="2:13" ht="15.75">
      <c r="B68" s="46" t="s">
        <v>86</v>
      </c>
      <c r="C68" s="65">
        <v>0</v>
      </c>
      <c r="D68" s="65">
        <f>40*150</f>
        <v>6000</v>
      </c>
      <c r="E68" s="65">
        <f t="shared" si="17"/>
        <v>6000</v>
      </c>
      <c r="F68" s="65">
        <v>4000</v>
      </c>
      <c r="M68" s="64" t="s">
        <v>87</v>
      </c>
    </row>
    <row r="69" spans="2:13" ht="15.75">
      <c r="B69" s="46" t="s">
        <v>44</v>
      </c>
      <c r="C69" s="65">
        <v>0</v>
      </c>
      <c r="D69" s="65">
        <v>10000</v>
      </c>
      <c r="E69" s="65">
        <f t="shared" si="17"/>
        <v>10000</v>
      </c>
      <c r="F69" s="65">
        <v>2000</v>
      </c>
      <c r="M69" s="44"/>
    </row>
    <row r="70" spans="2:13" ht="15.75">
      <c r="B70" s="38" t="str">
        <f>CONCATENATE("Subtotal ",B64)</f>
        <v>Subtotal Regional Coordination</v>
      </c>
      <c r="C70" s="55">
        <f>SUM(C65:C69)</f>
        <v>0</v>
      </c>
      <c r="D70" s="55">
        <f>SUM(D65:D69)</f>
        <v>58000</v>
      </c>
      <c r="E70" s="55">
        <f>SUM(E65:E69)</f>
        <v>58000</v>
      </c>
      <c r="F70" s="55">
        <f>SUM(F65:F69)</f>
        <v>12000</v>
      </c>
      <c r="M70" s="44"/>
    </row>
    <row r="71" spans="2:13">
      <c r="C71" s="41"/>
      <c r="D71" s="41"/>
      <c r="E71" s="41"/>
      <c r="M71" s="44"/>
    </row>
    <row r="72" spans="2:13" ht="15.75">
      <c r="B72" s="46"/>
      <c r="C72" s="41"/>
      <c r="D72" s="41"/>
      <c r="E72" s="41"/>
      <c r="M72" s="44"/>
    </row>
    <row r="73" spans="2:13" ht="15.75">
      <c r="B73" s="38" t="str">
        <f>'Category (2012)'!B15</f>
        <v xml:space="preserve">Website, Database support, Conservation Tracking </v>
      </c>
      <c r="C73" s="41"/>
      <c r="D73" s="41"/>
      <c r="E73" s="41"/>
      <c r="M73" s="44"/>
    </row>
    <row r="74" spans="2:13" ht="15.75">
      <c r="B74" s="46" t="s">
        <v>88</v>
      </c>
      <c r="C74" s="41">
        <v>0</v>
      </c>
      <c r="D74" s="41">
        <v>0</v>
      </c>
      <c r="E74" s="41">
        <f>SUM(C74:D74)</f>
        <v>0</v>
      </c>
      <c r="F74" s="41">
        <v>30000</v>
      </c>
      <c r="M74" s="44"/>
    </row>
    <row r="75" spans="2:13" ht="15.75">
      <c r="B75" s="46" t="s">
        <v>89</v>
      </c>
      <c r="C75" s="41">
        <v>0</v>
      </c>
      <c r="D75" s="41">
        <v>0</v>
      </c>
      <c r="E75" s="41">
        <f t="shared" ref="E75:E76" si="18">SUM(C75:D75)</f>
        <v>0</v>
      </c>
      <c r="F75" s="41">
        <v>12000</v>
      </c>
      <c r="M75" s="44"/>
    </row>
    <row r="76" spans="2:13" ht="15.75">
      <c r="B76" s="46" t="s">
        <v>90</v>
      </c>
      <c r="C76" s="41">
        <v>0</v>
      </c>
      <c r="D76" s="41">
        <v>0</v>
      </c>
      <c r="E76" s="41">
        <f t="shared" si="18"/>
        <v>0</v>
      </c>
      <c r="F76" s="41">
        <v>8000</v>
      </c>
      <c r="I76" s="75"/>
      <c r="J76" s="75"/>
      <c r="K76" s="75"/>
      <c r="L76" s="75"/>
      <c r="M76" s="44" t="s">
        <v>91</v>
      </c>
    </row>
    <row r="77" spans="2:13" ht="15.75">
      <c r="B77" s="38" t="str">
        <f>CONCATENATE("Subtotal ",B73)</f>
        <v xml:space="preserve">Subtotal Website, Database support, Conservation Tracking </v>
      </c>
      <c r="C77" s="55">
        <f>SUM(C74:C76)</f>
        <v>0</v>
      </c>
      <c r="D77" s="55">
        <f t="shared" ref="D77:F77" si="19">SUM(D74:D76)</f>
        <v>0</v>
      </c>
      <c r="E77" s="55">
        <f t="shared" si="19"/>
        <v>0</v>
      </c>
      <c r="F77" s="55">
        <f t="shared" si="19"/>
        <v>50000</v>
      </c>
      <c r="M77" s="44"/>
    </row>
    <row r="78" spans="2:13" ht="15.75">
      <c r="B78" s="38"/>
      <c r="C78" s="41"/>
      <c r="D78" s="41"/>
      <c r="E78" s="41"/>
      <c r="F78" s="41"/>
      <c r="M78" s="44"/>
    </row>
    <row r="79" spans="2:13" ht="15.75">
      <c r="B79" s="46"/>
      <c r="C79" s="41"/>
      <c r="D79" s="41"/>
      <c r="E79" s="41"/>
      <c r="F79" s="41"/>
      <c r="M79" s="44"/>
    </row>
    <row r="80" spans="2:13" ht="15.75">
      <c r="B80" s="38" t="str">
        <f>'Category (2012)'!B16</f>
        <v>RTF Member Support &amp; Administration</v>
      </c>
      <c r="C80" s="41"/>
      <c r="D80" s="41"/>
      <c r="E80" s="41"/>
      <c r="F80" s="41"/>
      <c r="M80" s="44"/>
    </row>
    <row r="81" spans="2:13" ht="15.75">
      <c r="B81" s="46" t="s">
        <v>92</v>
      </c>
      <c r="C81" s="41">
        <v>24000</v>
      </c>
      <c r="D81" s="41">
        <v>0</v>
      </c>
      <c r="E81" s="41">
        <f>SUM(C81:D81)</f>
        <v>24000</v>
      </c>
      <c r="F81" s="41">
        <v>7000</v>
      </c>
      <c r="M81" s="2" t="s">
        <v>93</v>
      </c>
    </row>
    <row r="82" spans="2:13" ht="15.75">
      <c r="B82" s="46" t="s">
        <v>94</v>
      </c>
      <c r="C82" s="41">
        <v>150000</v>
      </c>
      <c r="D82" s="41">
        <v>0</v>
      </c>
      <c r="E82" s="41">
        <f>SUM(C82:D82)</f>
        <v>150000</v>
      </c>
      <c r="F82" s="41">
        <v>0</v>
      </c>
      <c r="M82" s="44" t="s">
        <v>95</v>
      </c>
    </row>
    <row r="83" spans="2:13" ht="15.75">
      <c r="B83" s="38" t="str">
        <f>CONCATENATE("Subtotal ",B80)</f>
        <v>Subtotal RTF Member Support &amp; Administration</v>
      </c>
      <c r="C83" s="55">
        <f>SUM(C81:C82)</f>
        <v>174000</v>
      </c>
      <c r="D83" s="55">
        <f t="shared" ref="D83:F83" si="20">SUM(D81:D82)</f>
        <v>0</v>
      </c>
      <c r="E83" s="55">
        <f t="shared" si="20"/>
        <v>174000</v>
      </c>
      <c r="F83" s="55">
        <f t="shared" si="20"/>
        <v>7000</v>
      </c>
      <c r="M83" s="76"/>
    </row>
    <row r="84" spans="2:13">
      <c r="C84" s="41"/>
      <c r="D84" s="41"/>
      <c r="E84" s="41"/>
      <c r="F84" s="41"/>
      <c r="M84" s="76"/>
    </row>
    <row r="85" spans="2:13">
      <c r="C85" s="41"/>
      <c r="D85" s="41"/>
      <c r="E85" s="41"/>
      <c r="F85" s="41"/>
      <c r="M85" s="76"/>
    </row>
    <row r="86" spans="2:13" ht="15.75">
      <c r="B86" s="38" t="s">
        <v>23</v>
      </c>
      <c r="C86" s="41"/>
      <c r="D86" s="41"/>
      <c r="E86" s="41"/>
      <c r="F86" s="41"/>
      <c r="M86" s="76"/>
    </row>
    <row r="87" spans="2:13" ht="15.75">
      <c r="B87" s="46" t="s">
        <v>96</v>
      </c>
      <c r="C87" s="41">
        <v>0</v>
      </c>
      <c r="D87" s="41">
        <v>100000</v>
      </c>
      <c r="E87" s="41">
        <f>SUM(C87:D87)</f>
        <v>100000</v>
      </c>
      <c r="F87" s="41">
        <v>0</v>
      </c>
      <c r="M87" s="76"/>
    </row>
    <row r="88" spans="2:13" ht="15.75">
      <c r="B88" s="46" t="s">
        <v>97</v>
      </c>
      <c r="C88" s="41">
        <v>0</v>
      </c>
      <c r="D88" s="41">
        <v>0</v>
      </c>
      <c r="E88" s="41">
        <f t="shared" ref="E88:E89" si="21">SUM(C88:D88)</f>
        <v>0</v>
      </c>
      <c r="F88" s="41">
        <v>180000</v>
      </c>
      <c r="M88" s="77"/>
    </row>
    <row r="89" spans="2:13" ht="15.75">
      <c r="B89" s="46" t="s">
        <v>98</v>
      </c>
      <c r="C89" s="41">
        <v>5000</v>
      </c>
      <c r="D89" s="41">
        <v>0</v>
      </c>
      <c r="E89" s="41">
        <f t="shared" si="21"/>
        <v>5000</v>
      </c>
      <c r="F89" s="41">
        <v>0</v>
      </c>
      <c r="M89" s="76"/>
    </row>
    <row r="90" spans="2:13" ht="15.75">
      <c r="B90" s="38" t="str">
        <f>CONCATENATE("Subtotal ",B86)</f>
        <v>Subtotal RTF Management</v>
      </c>
      <c r="C90" s="55">
        <f t="shared" ref="C90:D90" si="22">SUM(C87:C89)</f>
        <v>5000</v>
      </c>
      <c r="D90" s="55">
        <f t="shared" si="22"/>
        <v>100000</v>
      </c>
      <c r="E90" s="55">
        <f>SUM(E87:E89)</f>
        <v>105000</v>
      </c>
      <c r="F90" s="55">
        <f>SUM(F87:F89)</f>
        <v>180000</v>
      </c>
      <c r="M90" s="76"/>
    </row>
    <row r="91" spans="2:13">
      <c r="M91" s="76"/>
    </row>
    <row r="92" spans="2:13">
      <c r="M92" s="76"/>
    </row>
    <row r="93" spans="2:13" ht="15.75">
      <c r="B93" s="38" t="s">
        <v>99</v>
      </c>
      <c r="C93" s="78">
        <f>SUM(C14,C25,C38,C53,C61,C70,C77,C83,C90)</f>
        <v>932000</v>
      </c>
      <c r="D93" s="78">
        <f>SUM(D14,D25,D38,D53,D61,D70,D77,D83,D90)</f>
        <v>473000</v>
      </c>
      <c r="E93" s="78">
        <f>SUM(E14,E25,E38,E53,E61,E70,E77,E83,E90)</f>
        <v>1405000</v>
      </c>
      <c r="F93" s="78">
        <f>SUM(F14,F25,F38,F53,F61,F70,F77,F83,F90)</f>
        <v>382000</v>
      </c>
      <c r="M93" s="76"/>
    </row>
    <row r="95" spans="2:13">
      <c r="F95" s="79">
        <f>SUM(F14,F25,F38,F53,F61,)</f>
        <v>133000</v>
      </c>
      <c r="G95" s="2" t="s">
        <v>100</v>
      </c>
    </row>
    <row r="96" spans="2:13">
      <c r="F96" s="79">
        <f>SUM(F70,F77,F83,F90)</f>
        <v>249000</v>
      </c>
      <c r="G96" s="2" t="s">
        <v>1</v>
      </c>
    </row>
    <row r="98" spans="4:6">
      <c r="D98" s="80">
        <f>D93/240000</f>
        <v>1.9708333333333334</v>
      </c>
      <c r="F98" s="80">
        <f>F93/'[1]NPCC In Kind'!E4</f>
        <v>2.3875000000000002</v>
      </c>
    </row>
    <row r="99" spans="4:6">
      <c r="D99" s="80" t="s">
        <v>0</v>
      </c>
      <c r="F99" s="80" t="s">
        <v>0</v>
      </c>
    </row>
    <row r="101" spans="4:6">
      <c r="D101" s="2">
        <f>2.5*240000</f>
        <v>600000</v>
      </c>
    </row>
    <row r="102" spans="4:6">
      <c r="D102" s="79">
        <f>D101-D93</f>
        <v>127000</v>
      </c>
    </row>
  </sheetData>
  <mergeCells count="1">
    <mergeCell ref="H7:K7"/>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Alternatives</vt:lpstr>
      <vt:lpstr>Category (2012)</vt:lpstr>
      <vt:lpstr>Category Detail (2012)</vt:lpstr>
    </vt:vector>
  </TitlesOfParts>
  <Company>Northwest Power and Conservation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Charlie Grist</dc:creator>
  <cp:lastModifiedBy>Terry Morlan</cp:lastModifiedBy>
  <dcterms:created xsi:type="dcterms:W3CDTF">2011-07-18T17:23:25Z</dcterms:created>
  <dcterms:modified xsi:type="dcterms:W3CDTF">2011-09-22T20:44:10Z</dcterms:modified>
</cp:coreProperties>
</file>