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9155" windowHeight="8535"/>
  </bookViews>
  <sheets>
    <sheet name="Budget Alternatives" sheetId="4" r:id="rId1"/>
    <sheet name="Category (2012)" sheetId="5" r:id="rId2"/>
    <sheet name="Category Detail (2012)" sheetId="6" r:id="rId3"/>
  </sheets>
  <externalReferences>
    <externalReference r:id="rId4"/>
  </externalReferences>
  <calcPr calcId="125725"/>
</workbook>
</file>

<file path=xl/calcChain.xml><?xml version="1.0" encoding="utf-8"?>
<calcChain xmlns="http://schemas.openxmlformats.org/spreadsheetml/2006/main">
  <c r="C28" i="4"/>
  <c r="E50" i="6"/>
  <c r="E49"/>
  <c r="E48"/>
  <c r="E47"/>
  <c r="E46"/>
  <c r="E45"/>
  <c r="E44"/>
  <c r="E43"/>
  <c r="E42"/>
  <c r="F60"/>
  <c r="E60"/>
  <c r="F59"/>
  <c r="E59"/>
  <c r="F58"/>
  <c r="E58"/>
  <c r="F57"/>
  <c r="E57"/>
  <c r="E28" i="4"/>
  <c r="E27"/>
  <c r="E26"/>
  <c r="D28"/>
  <c r="D27"/>
  <c r="D26"/>
  <c r="C27"/>
  <c r="C26"/>
  <c r="D18"/>
  <c r="D20" s="1"/>
  <c r="E32"/>
  <c r="E33"/>
  <c r="E34"/>
  <c r="E36" s="1"/>
  <c r="E35"/>
  <c r="D32"/>
  <c r="D33"/>
  <c r="D34"/>
  <c r="D36" s="1"/>
  <c r="D35"/>
  <c r="C32"/>
  <c r="C33"/>
  <c r="C34"/>
  <c r="C36" s="1"/>
  <c r="C35"/>
  <c r="T20"/>
  <c r="E37" s="1"/>
  <c r="O20"/>
  <c r="D37" s="1"/>
  <c r="J20"/>
  <c r="C37" s="1"/>
  <c r="R20"/>
  <c r="M20"/>
  <c r="H20"/>
  <c r="D29" l="1"/>
  <c r="E29"/>
  <c r="C29"/>
  <c r="C18" l="1"/>
  <c r="D101" i="6"/>
  <c r="F90"/>
  <c r="F17" i="5" s="1"/>
  <c r="D90" i="6"/>
  <c r="C90"/>
  <c r="B90"/>
  <c r="E89"/>
  <c r="E90" s="1"/>
  <c r="E17" i="5" s="1"/>
  <c r="E88" i="6"/>
  <c r="E87"/>
  <c r="F83"/>
  <c r="F16" i="5" s="1"/>
  <c r="D83" i="6"/>
  <c r="C83"/>
  <c r="E82"/>
  <c r="E83" s="1"/>
  <c r="E16" i="5" s="1"/>
  <c r="E81" i="6"/>
  <c r="B80"/>
  <c r="B83" s="1"/>
  <c r="F77"/>
  <c r="F15" i="5" s="1"/>
  <c r="D77" i="6"/>
  <c r="C77"/>
  <c r="E76"/>
  <c r="E77" s="1"/>
  <c r="E15" i="5" s="1"/>
  <c r="E75" i="6"/>
  <c r="E74"/>
  <c r="B73"/>
  <c r="B77" s="1"/>
  <c r="F70"/>
  <c r="F14" i="5" s="1"/>
  <c r="C70" i="6"/>
  <c r="C14" i="5" s="1"/>
  <c r="E69" i="6"/>
  <c r="D68"/>
  <c r="D70" s="1"/>
  <c r="D14" i="5" s="1"/>
  <c r="E67" i="6"/>
  <c r="E66"/>
  <c r="E65"/>
  <c r="B64"/>
  <c r="B70" s="1"/>
  <c r="D61"/>
  <c r="C61"/>
  <c r="C13" i="5" s="1"/>
  <c r="F61" i="6"/>
  <c r="F13" i="5" s="1"/>
  <c r="E61" i="6"/>
  <c r="E13" i="5" s="1"/>
  <c r="B56" i="6"/>
  <c r="B61" s="1"/>
  <c r="F53"/>
  <c r="D53"/>
  <c r="D12" i="5" s="1"/>
  <c r="C53" i="6"/>
  <c r="C12" i="5" s="1"/>
  <c r="B41" i="6"/>
  <c r="B53" s="1"/>
  <c r="D38"/>
  <c r="D11" i="5" s="1"/>
  <c r="C38" i="6"/>
  <c r="C11" i="5" s="1"/>
  <c r="F34" i="6"/>
  <c r="E34"/>
  <c r="F33"/>
  <c r="E33"/>
  <c r="F32"/>
  <c r="E32"/>
  <c r="F31"/>
  <c r="F38" s="1"/>
  <c r="F11" i="5" s="1"/>
  <c r="E31" i="6"/>
  <c r="E30"/>
  <c r="E29"/>
  <c r="E38" s="1"/>
  <c r="E11" i="5" s="1"/>
  <c r="B28" i="6"/>
  <c r="B38" s="1"/>
  <c r="M24"/>
  <c r="L24"/>
  <c r="F24"/>
  <c r="D24"/>
  <c r="C24"/>
  <c r="M23"/>
  <c r="L23"/>
  <c r="F23"/>
  <c r="D23"/>
  <c r="C23"/>
  <c r="E23" s="1"/>
  <c r="L22"/>
  <c r="F22"/>
  <c r="D22"/>
  <c r="C22"/>
  <c r="E22" s="1"/>
  <c r="M21"/>
  <c r="L21"/>
  <c r="F21"/>
  <c r="D21"/>
  <c r="C21"/>
  <c r="M20"/>
  <c r="L20"/>
  <c r="F20"/>
  <c r="E20"/>
  <c r="D20"/>
  <c r="C20"/>
  <c r="M19"/>
  <c r="L19"/>
  <c r="F19"/>
  <c r="D19"/>
  <c r="C19"/>
  <c r="E19" s="1"/>
  <c r="M18"/>
  <c r="L18"/>
  <c r="F18"/>
  <c r="D18"/>
  <c r="C18"/>
  <c r="B17"/>
  <c r="B25" s="1"/>
  <c r="L13"/>
  <c r="F13"/>
  <c r="D13"/>
  <c r="C13"/>
  <c r="M12"/>
  <c r="L12"/>
  <c r="F12"/>
  <c r="D12"/>
  <c r="C12"/>
  <c r="M11"/>
  <c r="L11"/>
  <c r="F11"/>
  <c r="D11"/>
  <c r="C11"/>
  <c r="E11" s="1"/>
  <c r="M10"/>
  <c r="L10"/>
  <c r="F10"/>
  <c r="D10"/>
  <c r="C10"/>
  <c r="B9"/>
  <c r="B14" s="1"/>
  <c r="B2"/>
  <c r="D17" i="5"/>
  <c r="C17"/>
  <c r="D16"/>
  <c r="C16"/>
  <c r="D15"/>
  <c r="C15"/>
  <c r="D13"/>
  <c r="F12"/>
  <c r="G10"/>
  <c r="G9"/>
  <c r="B2"/>
  <c r="E24" i="6" l="1"/>
  <c r="E12"/>
  <c r="E13"/>
  <c r="E53"/>
  <c r="E12" i="5" s="1"/>
  <c r="E10" i="6"/>
  <c r="E21"/>
  <c r="E18"/>
  <c r="F14"/>
  <c r="F9" i="5" s="1"/>
  <c r="D14" i="6"/>
  <c r="D9" i="5" s="1"/>
  <c r="E25" i="6"/>
  <c r="E10" i="5" s="1"/>
  <c r="F25" i="6"/>
  <c r="F10" i="5" s="1"/>
  <c r="D25" i="6"/>
  <c r="D10" i="5" s="1"/>
  <c r="C14" i="6"/>
  <c r="C25"/>
  <c r="C10" i="5" s="1"/>
  <c r="F96" i="6"/>
  <c r="E68"/>
  <c r="E70" s="1"/>
  <c r="E14" l="1"/>
  <c r="E9" i="5" s="1"/>
  <c r="F18"/>
  <c r="F95" i="6"/>
  <c r="F93"/>
  <c r="F98" s="1"/>
  <c r="D18" i="5"/>
  <c r="D93" i="6"/>
  <c r="D98" s="1"/>
  <c r="E14" i="5"/>
  <c r="C93" i="6"/>
  <c r="C9" i="5"/>
  <c r="C18" s="1"/>
  <c r="E18" l="1"/>
  <c r="E93" i="6"/>
  <c r="D102"/>
</calcChain>
</file>

<file path=xl/comments1.xml><?xml version="1.0" encoding="utf-8"?>
<comments xmlns="http://schemas.openxmlformats.org/spreadsheetml/2006/main">
  <authors>
    <author>Charlie Grist</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List>
</comments>
</file>

<file path=xl/sharedStrings.xml><?xml version="1.0" encoding="utf-8"?>
<sst xmlns="http://schemas.openxmlformats.org/spreadsheetml/2006/main" count="167" uniqueCount="115">
  <si>
    <t>FTE</t>
  </si>
  <si>
    <t>Admin</t>
  </si>
  <si>
    <t>Total</t>
  </si>
  <si>
    <t xml:space="preserve">Website, Database support, Conservation Tracking </t>
  </si>
  <si>
    <t>2011 Budget</t>
  </si>
  <si>
    <t>Category</t>
  </si>
  <si>
    <t>Category Level Budget for 2012</t>
  </si>
  <si>
    <t>Calendar 2012</t>
  </si>
  <si>
    <t>Contract</t>
  </si>
  <si>
    <t>RTF Staff</t>
  </si>
  <si>
    <t>Subtotal Funders</t>
  </si>
  <si>
    <t>Council Staff In Kind Contribution</t>
  </si>
  <si>
    <t>Note</t>
  </si>
  <si>
    <t>Existing Measure Review &amp; Updates</t>
  </si>
  <si>
    <t>New Measure Development &amp; Review of Unsolicited Proposals</t>
  </si>
  <si>
    <t>Standardization of Technical Analysis</t>
  </si>
  <si>
    <t>Scalable.  See Category Detail.</t>
  </si>
  <si>
    <t>Tool Development</t>
  </si>
  <si>
    <t>Options in Category Detail</t>
  </si>
  <si>
    <t>Research Projects &amp; Data Development</t>
  </si>
  <si>
    <t>Regional Coordination</t>
  </si>
  <si>
    <t>Fixed</t>
  </si>
  <si>
    <t>RTF Member Support &amp; Administration</t>
  </si>
  <si>
    <t>RTF Management</t>
  </si>
  <si>
    <t>Subtotal New Work</t>
  </si>
  <si>
    <t>Budget Category Detail Worksheet for 2012</t>
  </si>
  <si>
    <t>Cells are linked to worksheet  "Category"</t>
  </si>
  <si>
    <t>Grayed out text for deferred or eliminated work</t>
  </si>
  <si>
    <t>Enter Values in these columns for UES/Protocol</t>
  </si>
  <si>
    <t>n units</t>
  </si>
  <si>
    <t>Contract cost per unit</t>
  </si>
  <si>
    <t>RTF Staff cost per unit</t>
  </si>
  <si>
    <t>Council Staff cost per unit</t>
  </si>
  <si>
    <t>n per $120K</t>
  </si>
  <si>
    <t>Update Active UES Measures &amp; Measure Specifications</t>
  </si>
  <si>
    <t>Provisional to Active UES Measures</t>
  </si>
  <si>
    <t>Standard &amp; Provisional Protocols</t>
  </si>
  <si>
    <t>Convert existing "deemed calculators" to Standard/Provisional protocols</t>
  </si>
  <si>
    <t>Assume 5 for now.  Need to get RTF to prioritize.</t>
  </si>
  <si>
    <t>Review High-Priority New UES</t>
  </si>
  <si>
    <t>Review High-Priority New Standard Protocols with Calculators</t>
  </si>
  <si>
    <t xml:space="preserve">Develop New Measures for Small &amp; Rural </t>
  </si>
  <si>
    <t>Review Unsolicited New UES or New Protocols</t>
  </si>
  <si>
    <t>Review of Evaluation Plans as Requested</t>
  </si>
  <si>
    <t>Placeholder</t>
  </si>
  <si>
    <t>Develop New UES with RTF Resources</t>
  </si>
  <si>
    <t>Develop New Protocols with RTF Resources</t>
  </si>
  <si>
    <t>Finalize and adopt guidelines on measure cost &amp; non-energy-benefits</t>
  </si>
  <si>
    <t>Finalize and adopt guidelines on measure life</t>
  </si>
  <si>
    <t>Develop  template, standards &amp; guidelines for RTF calculators</t>
  </si>
  <si>
    <t>Complete Appendix D of Guidelines for RTF Savings Estimation Methods</t>
  </si>
  <si>
    <t xml:space="preserve">Optional pending desirability by funders </t>
  </si>
  <si>
    <t>Other Updates to Guidelines for RTF Savings Estimation Methods as needed</t>
  </si>
  <si>
    <t>Develop guidelines &amp; methods for conservation load shape, CF and LF</t>
  </si>
  <si>
    <t>Develop guidelines for instrumentation including calibration</t>
  </si>
  <si>
    <t>Defer until demonstrated need.  May be able to adopt others standards.</t>
  </si>
  <si>
    <t>Develop guidelines for true power measurement</t>
  </si>
  <si>
    <t xml:space="preserve">Defer until demonstrated value to guideline.  Take on a case by case basis for now.  </t>
  </si>
  <si>
    <t>Develop guidelines for third-party software</t>
  </si>
  <si>
    <t>ProCost: Users Manual for RTF proposers</t>
  </si>
  <si>
    <t>Might be an in-house project only (no contract).</t>
  </si>
  <si>
    <t>ProCost:  Early Retrofit Mode Built</t>
  </si>
  <si>
    <t>Standardize analytical methods for early retrofit mode.</t>
  </si>
  <si>
    <t>ProCost:  Adaptation for EE Central</t>
  </si>
  <si>
    <t>Assumes no re-programming required.  Otherwise $12K.</t>
  </si>
  <si>
    <t>ProCost:  Automate Post Processing</t>
  </si>
  <si>
    <t>SEEM Training</t>
  </si>
  <si>
    <t>Training for RTF members only</t>
  </si>
  <si>
    <t>SEEM Development</t>
  </si>
  <si>
    <t xml:space="preserve">Simplifying user-input for heat pump HSPF and control strategy.  </t>
  </si>
  <si>
    <r>
      <rPr>
        <sz val="12"/>
        <rFont val="Arial"/>
        <family val="2"/>
      </rPr>
      <t>Update</t>
    </r>
    <r>
      <rPr>
        <sz val="12"/>
        <color indexed="8"/>
        <rFont val="Arial"/>
        <family val="2"/>
      </rPr>
      <t xml:space="preserve"> Ventilation Calc Tool for Residential</t>
    </r>
  </si>
  <si>
    <t xml:space="preserve">Residential weatherization/ventilation subcommittee to help guide this.  Assumes updates to the calculator as changes are made to the ASHRAE 62.2 standard.  </t>
  </si>
  <si>
    <t>Develop/Revise Heat Pump Sizing Tool</t>
  </si>
  <si>
    <t>PTCS Subcommittee</t>
  </si>
  <si>
    <t>Develop Conservation Load Shape Calculator Tool</t>
  </si>
  <si>
    <t>ProCost:  Marginal Line Loss Calculations Added and tested</t>
  </si>
  <si>
    <t>Shift to Council budget</t>
  </si>
  <si>
    <t>ProCost:  Recode to handle 8760 load shapes</t>
  </si>
  <si>
    <t>End Use Load Data (Convert raw ELCAP Data to modern database)</t>
  </si>
  <si>
    <t>End Use Load Data Library Development</t>
  </si>
  <si>
    <t>Convert Load Shapes to 8760</t>
  </si>
  <si>
    <t>Collect and Summarize Evaluation activity and spending by Utilities, BPA, ETO</t>
  </si>
  <si>
    <t xml:space="preserve">Purpose is to help prioritize RTF work plan </t>
  </si>
  <si>
    <t>Facilitate collaborative regional evaluation of PTCS</t>
  </si>
  <si>
    <t>Performance Tested Comfort Systems (PTCS)</t>
  </si>
  <si>
    <t>Develop and execute RTF evaluation work plan</t>
  </si>
  <si>
    <t>Coordinate annual comparison of utility/SBC administrator TRM</t>
  </si>
  <si>
    <t>TRM- Technical Resource Manuals. Comparison used as basis for determining which non-RTF measures/protocols held "in common".  Helps prioritize RTF work plan elements.</t>
  </si>
  <si>
    <t>Website development and management</t>
  </si>
  <si>
    <t>Annual Conservation Tracking Report</t>
  </si>
  <si>
    <t>Data Warehousing (Heat Pump Water Heater, Ductless HP, RTUG,?)</t>
  </si>
  <si>
    <t>RTF web site continues hosting and maintaining some data sources for public reference</t>
  </si>
  <si>
    <t>RTF Meetings , phone, web conference, meeting minutes</t>
  </si>
  <si>
    <t>Minutes $24K, phone/web conference $7K</t>
  </si>
  <si>
    <t>RTF Members and Corresponding Members meeting and project support.</t>
  </si>
  <si>
    <t xml:space="preserve"> RTF member support for meetings, travel, and specific project reviews</t>
  </si>
  <si>
    <t xml:space="preserve">Manage RTF work flow, develop agenda &amp; procedures &amp; budgets &amp; SOWs </t>
  </si>
  <si>
    <t xml:space="preserve">Manage RTF business activities, contracts, financial, bylaws, RTFPAC </t>
  </si>
  <si>
    <t>Annual Report</t>
  </si>
  <si>
    <t>Total New Work 2012</t>
  </si>
  <si>
    <t>Tech</t>
  </si>
  <si>
    <t>2012 Review Budget</t>
  </si>
  <si>
    <t>Council Staff In Kind</t>
  </si>
  <si>
    <t>Budget Level $1 Million:  Cut Existing &amp; New Measure Review in half, Minimize Research Data  &amp; Tool Development</t>
  </si>
  <si>
    <t>Tools, Research, Data &amp; Regional Coordination</t>
  </si>
  <si>
    <t>Measure Review &amp; Technical Analysis</t>
  </si>
  <si>
    <t>Option A</t>
  </si>
  <si>
    <t>Option B</t>
  </si>
  <si>
    <t>Option C</t>
  </si>
  <si>
    <t>Hold 2011 Budget Level:  Reduce Research &amp; Data Development</t>
  </si>
  <si>
    <t>Council Staff In Kind FTE</t>
  </si>
  <si>
    <t>Draft of September 21, 2011</t>
  </si>
  <si>
    <t>RTF Activity by Category</t>
  </si>
  <si>
    <t>RTF Activity by Implementing Agent</t>
  </si>
  <si>
    <t>2012 Proposed</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</si>
</sst>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 numFmtId="167" formatCode="#,##0.0_);\(#,##0.0\)"/>
  </numFmts>
  <fonts count="28">
    <font>
      <sz val="10"/>
      <name val="Arial"/>
    </font>
    <font>
      <sz val="10"/>
      <color theme="1"/>
      <name val="Arial"/>
      <family val="2"/>
    </font>
    <font>
      <sz val="10"/>
      <name val="Arial"/>
      <family val="2"/>
    </font>
    <font>
      <b/>
      <sz val="10"/>
      <name val="Arial"/>
      <family val="2"/>
    </font>
    <font>
      <sz val="9"/>
      <color indexed="81"/>
      <name val="Tahoma"/>
      <family val="2"/>
    </font>
    <font>
      <b/>
      <sz val="9"/>
      <color indexed="81"/>
      <name val="Tahoma"/>
      <family val="2"/>
    </font>
    <font>
      <sz val="11"/>
      <color theme="1"/>
      <name val="Calibri"/>
      <family val="2"/>
      <scheme val="minor"/>
    </font>
    <font>
      <sz val="18"/>
      <color theme="1"/>
      <name val="Calibri"/>
      <family val="2"/>
      <scheme val="minor"/>
    </font>
    <font>
      <i/>
      <sz val="11"/>
      <color theme="1"/>
      <name val="Calibri"/>
      <family val="2"/>
      <scheme val="minor"/>
    </font>
    <font>
      <b/>
      <sz val="11"/>
      <color theme="1"/>
      <name val="Calibri"/>
      <family val="2"/>
      <scheme val="minor"/>
    </font>
    <font>
      <b/>
      <sz val="10"/>
      <color indexed="8"/>
      <name val="Arial"/>
      <family val="2"/>
    </font>
    <font>
      <sz val="10"/>
      <color indexed="8"/>
      <name val="Arial"/>
      <family val="2"/>
    </font>
    <font>
      <sz val="11"/>
      <color rgb="FF00B050"/>
      <name val="Calibri"/>
      <family val="2"/>
      <scheme val="minor"/>
    </font>
    <font>
      <b/>
      <sz val="12"/>
      <color indexed="8"/>
      <name val="Arial"/>
      <family val="2"/>
    </font>
    <font>
      <sz val="11"/>
      <color indexed="8"/>
      <name val="Calibri"/>
      <family val="2"/>
    </font>
    <font>
      <sz val="11"/>
      <name val="Calibri"/>
      <family val="2"/>
      <scheme val="minor"/>
    </font>
    <font>
      <sz val="12"/>
      <name val="Arial"/>
      <family val="2"/>
    </font>
    <font>
      <sz val="11"/>
      <color indexed="8"/>
      <name val="Arial"/>
      <family val="2"/>
    </font>
    <font>
      <sz val="12"/>
      <color indexed="8"/>
      <name val="Arial"/>
      <family val="2"/>
    </font>
    <font>
      <sz val="12"/>
      <color theme="0" tint="-0.499984740745262"/>
      <name val="Arial"/>
      <family val="2"/>
    </font>
    <font>
      <sz val="11"/>
      <color theme="0" tint="-0.499984740745262"/>
      <name val="Calibri"/>
      <family val="2"/>
      <scheme val="minor"/>
    </font>
    <font>
      <sz val="11"/>
      <color theme="0" tint="-0.34998626667073579"/>
      <name val="Calibri"/>
      <family val="2"/>
      <scheme val="minor"/>
    </font>
    <font>
      <sz val="11"/>
      <name val="Arial"/>
      <family val="2"/>
    </font>
    <font>
      <sz val="11"/>
      <color rgb="FF0070C0"/>
      <name val="Calibri"/>
      <family val="2"/>
      <scheme val="minor"/>
    </font>
    <font>
      <sz val="11"/>
      <color theme="1" tint="0.499984740745262"/>
      <name val="Calibri"/>
      <family val="2"/>
      <scheme val="minor"/>
    </font>
    <font>
      <sz val="11"/>
      <color rgb="FF00B050"/>
      <name val="Arial"/>
      <family val="2"/>
    </font>
    <font>
      <sz val="11"/>
      <color indexed="11"/>
      <name val="Calibri"/>
      <family val="2"/>
    </font>
    <font>
      <i/>
      <sz val="10"/>
      <name val="Arial"/>
      <family val="2"/>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0" fontId="1" fillId="0" borderId="0"/>
    <xf numFmtId="0" fontId="6" fillId="0" borderId="0"/>
    <xf numFmtId="0" fontId="2" fillId="0" borderId="0"/>
    <xf numFmtId="44" fontId="14"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cellStyleXfs>
  <cellXfs count="141">
    <xf numFmtId="0" fontId="0" fillId="0" borderId="0" xfId="0"/>
    <xf numFmtId="0" fontId="7" fillId="0" borderId="0" xfId="3" applyFont="1"/>
    <xf numFmtId="0" fontId="6" fillId="0" borderId="0" xfId="3"/>
    <xf numFmtId="0" fontId="8" fillId="0" borderId="0" xfId="3" applyFont="1"/>
    <xf numFmtId="0" fontId="6" fillId="0" borderId="0" xfId="3" applyFill="1"/>
    <xf numFmtId="0" fontId="10" fillId="4" borderId="1" xfId="4" applyFont="1" applyFill="1" applyBorder="1"/>
    <xf numFmtId="0" fontId="10" fillId="4" borderId="1" xfId="4" applyFont="1" applyFill="1" applyBorder="1" applyAlignment="1">
      <alignment horizontal="center" wrapText="1"/>
    </xf>
    <xf numFmtId="0" fontId="10" fillId="4" borderId="6" xfId="4" applyFont="1" applyFill="1" applyBorder="1" applyAlignment="1">
      <alignment horizontal="center" wrapText="1"/>
    </xf>
    <xf numFmtId="0" fontId="10" fillId="4" borderId="5" xfId="4" applyFont="1" applyFill="1" applyBorder="1" applyAlignment="1">
      <alignment horizontal="center" wrapText="1"/>
    </xf>
    <xf numFmtId="0" fontId="11" fillId="5" borderId="3" xfId="4" applyFont="1" applyFill="1" applyBorder="1" applyAlignment="1">
      <alignment vertical="center" wrapText="1"/>
    </xf>
    <xf numFmtId="5" fontId="6" fillId="5" borderId="1" xfId="3" applyNumberFormat="1" applyFill="1" applyBorder="1" applyAlignment="1">
      <alignment horizontal="center" vertical="center"/>
    </xf>
    <xf numFmtId="5" fontId="6" fillId="5" borderId="6" xfId="3" applyNumberFormat="1" applyFill="1" applyBorder="1" applyAlignment="1">
      <alignment horizontal="center" vertical="center"/>
    </xf>
    <xf numFmtId="5" fontId="6" fillId="5" borderId="5" xfId="3" applyNumberFormat="1" applyFill="1" applyBorder="1" applyAlignment="1">
      <alignment horizontal="center" vertical="center"/>
    </xf>
    <xf numFmtId="0" fontId="6" fillId="5" borderId="1" xfId="3" applyFill="1" applyBorder="1" applyAlignment="1">
      <alignment vertical="center" wrapText="1"/>
    </xf>
    <xf numFmtId="0" fontId="11" fillId="6" borderId="3" xfId="4" applyFont="1" applyFill="1" applyBorder="1" applyAlignment="1">
      <alignment vertical="center" wrapText="1"/>
    </xf>
    <xf numFmtId="5" fontId="6" fillId="6" borderId="1" xfId="3" applyNumberFormat="1" applyFill="1" applyBorder="1" applyAlignment="1">
      <alignment horizontal="center" vertical="center"/>
    </xf>
    <xf numFmtId="5" fontId="6" fillId="6" borderId="6" xfId="3" applyNumberFormat="1" applyFill="1" applyBorder="1" applyAlignment="1">
      <alignment horizontal="center" vertical="center"/>
    </xf>
    <xf numFmtId="5" fontId="6" fillId="6" borderId="5" xfId="3" applyNumberFormat="1" applyFill="1" applyBorder="1" applyAlignment="1">
      <alignment horizontal="center" vertical="center"/>
    </xf>
    <xf numFmtId="0" fontId="6" fillId="6" borderId="1" xfId="3" applyFill="1" applyBorder="1" applyAlignment="1">
      <alignment vertical="center" wrapText="1"/>
    </xf>
    <xf numFmtId="0" fontId="11" fillId="3" borderId="3" xfId="4" applyFont="1" applyFill="1" applyBorder="1" applyAlignment="1">
      <alignment vertical="center" wrapText="1"/>
    </xf>
    <xf numFmtId="5" fontId="6" fillId="3" borderId="1" xfId="3" applyNumberFormat="1" applyFill="1" applyBorder="1" applyAlignment="1">
      <alignment horizontal="center" vertical="center"/>
    </xf>
    <xf numFmtId="5" fontId="6" fillId="3" borderId="6" xfId="3" applyNumberFormat="1" applyFill="1" applyBorder="1" applyAlignment="1">
      <alignment horizontal="center" vertical="center"/>
    </xf>
    <xf numFmtId="5" fontId="6" fillId="3" borderId="5" xfId="3" applyNumberFormat="1" applyFill="1" applyBorder="1" applyAlignment="1">
      <alignment horizontal="center" vertical="center"/>
    </xf>
    <xf numFmtId="0" fontId="6" fillId="3" borderId="1" xfId="3" applyFill="1" applyBorder="1" applyAlignment="1">
      <alignment vertical="center" wrapText="1"/>
    </xf>
    <xf numFmtId="0" fontId="10" fillId="0" borderId="1" xfId="4" applyFont="1" applyBorder="1" applyAlignment="1">
      <alignment vertical="center" wrapText="1"/>
    </xf>
    <xf numFmtId="5" fontId="9" fillId="0" borderId="1" xfId="3" applyNumberFormat="1" applyFont="1" applyBorder="1" applyAlignment="1">
      <alignment horizontal="center" vertical="center"/>
    </xf>
    <xf numFmtId="5" fontId="9" fillId="0" borderId="6" xfId="3" applyNumberFormat="1" applyFont="1" applyBorder="1" applyAlignment="1">
      <alignment horizontal="center" vertical="center"/>
    </xf>
    <xf numFmtId="5" fontId="9" fillId="0" borderId="5" xfId="3" applyNumberFormat="1" applyFont="1" applyBorder="1" applyAlignment="1">
      <alignment horizontal="center" vertical="center"/>
    </xf>
    <xf numFmtId="0" fontId="6" fillId="0" borderId="1" xfId="3" applyBorder="1" applyAlignment="1">
      <alignment vertical="center" wrapText="1"/>
    </xf>
    <xf numFmtId="0" fontId="12" fillId="0" borderId="0" xfId="3" applyFont="1"/>
    <xf numFmtId="0" fontId="6" fillId="0" borderId="0" xfId="3" applyAlignment="1"/>
    <xf numFmtId="0" fontId="6" fillId="6" borderId="0" xfId="3" applyFill="1" applyBorder="1" applyAlignment="1">
      <alignment horizontal="center" wrapText="1"/>
    </xf>
    <xf numFmtId="0" fontId="6" fillId="0" borderId="0" xfId="3" applyAlignment="1">
      <alignment wrapText="1"/>
    </xf>
    <xf numFmtId="0" fontId="13" fillId="0" borderId="1" xfId="3" applyFont="1" applyBorder="1" applyAlignment="1">
      <alignment wrapText="1"/>
    </xf>
    <xf numFmtId="0" fontId="6" fillId="0" borderId="1" xfId="3" applyBorder="1" applyAlignment="1">
      <alignment wrapText="1"/>
    </xf>
    <xf numFmtId="0" fontId="6" fillId="0" borderId="0" xfId="3" applyBorder="1" applyAlignment="1">
      <alignment wrapText="1"/>
    </xf>
    <xf numFmtId="0" fontId="13" fillId="0" borderId="0" xfId="3" applyFont="1" applyAlignment="1">
      <alignment wrapText="1"/>
    </xf>
    <xf numFmtId="0" fontId="12" fillId="0" borderId="0" xfId="3" applyFont="1" applyAlignment="1">
      <alignment wrapText="1"/>
    </xf>
    <xf numFmtId="0" fontId="13" fillId="0" borderId="0" xfId="3" applyFont="1"/>
    <xf numFmtId="164" fontId="15" fillId="0" borderId="0" xfId="5" applyNumberFormat="1" applyFont="1" applyAlignment="1">
      <alignment wrapText="1"/>
    </xf>
    <xf numFmtId="0" fontId="16" fillId="0" borderId="0" xfId="3" applyFont="1"/>
    <xf numFmtId="5" fontId="0" fillId="0" borderId="0" xfId="5" applyNumberFormat="1" applyFont="1" applyAlignment="1">
      <alignment horizontal="center" vertical="center"/>
    </xf>
    <xf numFmtId="164" fontId="0" fillId="0" borderId="0" xfId="5" applyNumberFormat="1" applyFont="1" applyAlignment="1">
      <alignment wrapText="1"/>
    </xf>
    <xf numFmtId="166" fontId="0" fillId="0" borderId="0" xfId="6" applyNumberFormat="1" applyFont="1" applyAlignment="1">
      <alignment wrapText="1"/>
    </xf>
    <xf numFmtId="0" fontId="17" fillId="0" borderId="0" xfId="3" applyFont="1"/>
    <xf numFmtId="0" fontId="12" fillId="0" borderId="0" xfId="3" applyFont="1" applyFill="1" applyAlignment="1">
      <alignment wrapText="1"/>
    </xf>
    <xf numFmtId="0" fontId="18" fillId="0" borderId="0" xfId="3" applyFont="1"/>
    <xf numFmtId="164" fontId="12" fillId="0" borderId="0" xfId="5" applyNumberFormat="1" applyFont="1" applyFill="1" applyAlignment="1"/>
    <xf numFmtId="0" fontId="19" fillId="0" borderId="0" xfId="3" applyFont="1"/>
    <xf numFmtId="5" fontId="20" fillId="0" borderId="0" xfId="5" applyNumberFormat="1" applyFont="1" applyAlignment="1">
      <alignment horizontal="center" vertical="center"/>
    </xf>
    <xf numFmtId="0" fontId="21" fillId="0" borderId="0" xfId="3" applyFont="1" applyAlignment="1">
      <alignment wrapText="1"/>
    </xf>
    <xf numFmtId="164" fontId="21" fillId="0" borderId="0" xfId="5" applyNumberFormat="1" applyFont="1" applyAlignment="1">
      <alignment wrapText="1"/>
    </xf>
    <xf numFmtId="5" fontId="15" fillId="0" borderId="0" xfId="5" applyNumberFormat="1" applyFont="1" applyAlignment="1">
      <alignment horizontal="center" vertical="center"/>
    </xf>
    <xf numFmtId="0" fontId="22" fillId="0" borderId="0" xfId="3" applyFont="1"/>
    <xf numFmtId="0" fontId="23" fillId="0" borderId="0" xfId="3" applyFont="1" applyAlignment="1">
      <alignment wrapText="1"/>
    </xf>
    <xf numFmtId="5" fontId="9" fillId="0" borderId="0" xfId="5" applyNumberFormat="1" applyFont="1" applyAlignment="1">
      <alignment horizontal="center" vertical="center"/>
    </xf>
    <xf numFmtId="0" fontId="6" fillId="0" borderId="0" xfId="3" applyFont="1" applyAlignment="1">
      <alignment wrapText="1"/>
    </xf>
    <xf numFmtId="164" fontId="0" fillId="0" borderId="0" xfId="5" applyNumberFormat="1" applyFont="1" applyFill="1" applyAlignment="1">
      <alignment wrapText="1"/>
    </xf>
    <xf numFmtId="0" fontId="6" fillId="0" borderId="0" xfId="3" applyFont="1" applyFill="1" applyAlignment="1">
      <alignment wrapText="1"/>
    </xf>
    <xf numFmtId="0" fontId="6" fillId="0" borderId="0" xfId="3" applyFill="1" applyAlignment="1">
      <alignment wrapText="1"/>
    </xf>
    <xf numFmtId="0" fontId="12" fillId="0" borderId="0" xfId="3" applyFont="1" applyFill="1" applyAlignment="1"/>
    <xf numFmtId="0" fontId="12" fillId="0" borderId="0" xfId="3" applyFont="1" applyFill="1"/>
    <xf numFmtId="0" fontId="24" fillId="0" borderId="0" xfId="3" applyFont="1" applyAlignment="1">
      <alignment wrapText="1"/>
    </xf>
    <xf numFmtId="164" fontId="20" fillId="0" borderId="0" xfId="5" applyNumberFormat="1" applyFont="1" applyFill="1" applyAlignment="1">
      <alignment wrapText="1"/>
    </xf>
    <xf numFmtId="0" fontId="17" fillId="0" borderId="0" xfId="3" applyFont="1" applyFill="1"/>
    <xf numFmtId="5" fontId="0" fillId="0" borderId="0" xfId="5" applyNumberFormat="1" applyFont="1" applyFill="1" applyAlignment="1">
      <alignment horizontal="center" vertical="center"/>
    </xf>
    <xf numFmtId="5" fontId="15" fillId="0" borderId="0" xfId="5" applyNumberFormat="1" applyFont="1" applyFill="1" applyAlignment="1">
      <alignment horizontal="center" vertical="center"/>
    </xf>
    <xf numFmtId="5" fontId="15" fillId="0" borderId="0" xfId="3" applyNumberFormat="1" applyFont="1" applyFill="1" applyAlignment="1">
      <alignment horizontal="center"/>
    </xf>
    <xf numFmtId="5" fontId="6" fillId="0" borderId="0" xfId="3" applyNumberFormat="1" applyFill="1" applyAlignment="1">
      <alignment horizontal="center"/>
    </xf>
    <xf numFmtId="5" fontId="6" fillId="0" borderId="0" xfId="3" applyNumberFormat="1" applyAlignment="1">
      <alignment horizontal="center"/>
    </xf>
    <xf numFmtId="5" fontId="20" fillId="0" borderId="0" xfId="5" applyNumberFormat="1" applyFont="1" applyFill="1" applyAlignment="1">
      <alignment horizontal="center" vertical="center"/>
    </xf>
    <xf numFmtId="5" fontId="20" fillId="0" borderId="0" xfId="3" applyNumberFormat="1" applyFont="1" applyFill="1" applyAlignment="1">
      <alignment horizontal="center"/>
    </xf>
    <xf numFmtId="0" fontId="21" fillId="0" borderId="0" xfId="3" applyFont="1"/>
    <xf numFmtId="0" fontId="25" fillId="0" borderId="0" xfId="3" applyFont="1" applyFill="1"/>
    <xf numFmtId="0" fontId="26" fillId="0" borderId="0" xfId="3" applyFont="1" applyFill="1"/>
    <xf numFmtId="0" fontId="23" fillId="0" borderId="0" xfId="3" applyFont="1" applyFill="1"/>
    <xf numFmtId="0" fontId="6" fillId="0" borderId="0" xfId="3" applyFont="1"/>
    <xf numFmtId="0" fontId="6" fillId="0" borderId="0" xfId="3" quotePrefix="1"/>
    <xf numFmtId="5" fontId="9" fillId="0" borderId="0" xfId="3" applyNumberFormat="1" applyFont="1" applyAlignment="1">
      <alignment horizontal="center"/>
    </xf>
    <xf numFmtId="5" fontId="6" fillId="0" borderId="0" xfId="3" applyNumberFormat="1"/>
    <xf numFmtId="167" fontId="0" fillId="0" borderId="0" xfId="6" applyNumberFormat="1" applyFont="1" applyAlignment="1">
      <alignment horizontal="center"/>
    </xf>
    <xf numFmtId="0" fontId="10" fillId="2" borderId="1" xfId="4" applyFont="1" applyFill="1" applyBorder="1"/>
    <xf numFmtId="0" fontId="10" fillId="2" borderId="6" xfId="4" applyFont="1" applyFill="1" applyBorder="1" applyAlignment="1">
      <alignment horizontal="center" wrapText="1"/>
    </xf>
    <xf numFmtId="0" fontId="10" fillId="2" borderId="1" xfId="4" applyFont="1" applyFill="1" applyBorder="1" applyAlignment="1">
      <alignment horizontal="center" wrapText="1"/>
    </xf>
    <xf numFmtId="0" fontId="10" fillId="2" borderId="5" xfId="4" applyFont="1" applyFill="1" applyBorder="1" applyAlignment="1">
      <alignment horizontal="center" wrapText="1"/>
    </xf>
    <xf numFmtId="0" fontId="11" fillId="3" borderId="0" xfId="4" applyFont="1" applyFill="1" applyBorder="1" applyAlignment="1">
      <alignment horizontal="right" vertical="center" wrapText="1"/>
    </xf>
    <xf numFmtId="5" fontId="9" fillId="0" borderId="0" xfId="3" applyNumberFormat="1" applyFont="1" applyBorder="1" applyAlignment="1">
      <alignment horizontal="center" vertical="center"/>
    </xf>
    <xf numFmtId="0" fontId="3" fillId="0" borderId="0" xfId="0" applyFont="1" applyFill="1" applyBorder="1" applyAlignment="1">
      <alignment vertical="center"/>
    </xf>
    <xf numFmtId="0" fontId="10" fillId="0" borderId="0" xfId="4" applyFont="1" applyFill="1" applyBorder="1" applyAlignment="1">
      <alignment horizontal="center" wrapText="1"/>
    </xf>
    <xf numFmtId="5" fontId="6" fillId="0" borderId="0" xfId="3" applyNumberFormat="1" applyFill="1" applyBorder="1" applyAlignment="1">
      <alignment horizontal="center" vertical="center"/>
    </xf>
    <xf numFmtId="5" fontId="3" fillId="0" borderId="1" xfId="0" applyNumberFormat="1" applyFont="1" applyBorder="1"/>
    <xf numFmtId="5" fontId="0" fillId="0" borderId="0" xfId="0" applyNumberFormat="1" applyBorder="1"/>
    <xf numFmtId="5" fontId="0" fillId="0" borderId="0" xfId="0" applyNumberFormat="1" applyAlignment="1">
      <alignment horizontal="center"/>
    </xf>
    <xf numFmtId="5" fontId="0" fillId="0" borderId="0" xfId="0" applyNumberFormat="1" applyFill="1" applyAlignment="1">
      <alignment horizontal="center"/>
    </xf>
    <xf numFmtId="0" fontId="0" fillId="0" borderId="0" xfId="0" applyAlignment="1">
      <alignment wrapText="1"/>
    </xf>
    <xf numFmtId="0" fontId="21" fillId="0" borderId="0" xfId="0" applyFont="1" applyAlignment="1">
      <alignment wrapText="1"/>
    </xf>
    <xf numFmtId="0" fontId="0" fillId="0" borderId="0" xfId="0" applyFill="1" applyAlignment="1">
      <alignment wrapText="1"/>
    </xf>
    <xf numFmtId="0" fontId="20" fillId="0" borderId="0" xfId="0" applyFont="1" applyFill="1" applyAlignment="1">
      <alignment wrapText="1"/>
    </xf>
    <xf numFmtId="166" fontId="0" fillId="0" borderId="0" xfId="1" applyNumberFormat="1" applyFont="1" applyAlignment="1"/>
    <xf numFmtId="0" fontId="0" fillId="0" borderId="0" xfId="0" applyAlignment="1"/>
    <xf numFmtId="0" fontId="27" fillId="0" borderId="0" xfId="0" applyFont="1"/>
    <xf numFmtId="0" fontId="2" fillId="0" borderId="0" xfId="0" applyFont="1" applyFill="1" applyBorder="1" applyAlignment="1">
      <alignment horizontal="left"/>
    </xf>
    <xf numFmtId="0" fontId="10" fillId="0" borderId="10" xfId="4" applyFont="1" applyFill="1" applyBorder="1" applyAlignment="1">
      <alignment horizontal="left" wrapText="1"/>
    </xf>
    <xf numFmtId="5" fontId="3" fillId="0" borderId="11" xfId="0" applyNumberFormat="1" applyFont="1" applyBorder="1"/>
    <xf numFmtId="0" fontId="11" fillId="0" borderId="12" xfId="4" applyFont="1" applyFill="1" applyBorder="1" applyAlignment="1">
      <alignment horizontal="left" wrapText="1"/>
    </xf>
    <xf numFmtId="165" fontId="0" fillId="0" borderId="13" xfId="0" applyNumberFormat="1" applyBorder="1" applyAlignment="1">
      <alignment horizontal="center"/>
    </xf>
    <xf numFmtId="165" fontId="0" fillId="0" borderId="14" xfId="0" applyNumberFormat="1" applyBorder="1" applyAlignment="1">
      <alignment horizontal="center"/>
    </xf>
    <xf numFmtId="0" fontId="3" fillId="0" borderId="12" xfId="0" applyFont="1" applyBorder="1" applyAlignment="1">
      <alignment horizontal="left"/>
    </xf>
    <xf numFmtId="5" fontId="3" fillId="0" borderId="13" xfId="0" applyNumberFormat="1" applyFont="1" applyBorder="1"/>
    <xf numFmtId="5" fontId="3" fillId="0" borderId="14" xfId="0" applyNumberFormat="1" applyFont="1" applyBorder="1"/>
    <xf numFmtId="0" fontId="2" fillId="5" borderId="10" xfId="0" applyFont="1" applyFill="1" applyBorder="1" applyAlignment="1">
      <alignment horizontal="left"/>
    </xf>
    <xf numFmtId="5" fontId="0" fillId="5" borderId="1" xfId="0" applyNumberFormat="1" applyFill="1" applyBorder="1"/>
    <xf numFmtId="5" fontId="0" fillId="5" borderId="11" xfId="0" applyNumberFormat="1" applyFill="1" applyBorder="1"/>
    <xf numFmtId="0" fontId="2" fillId="6" borderId="10" xfId="0" applyFont="1" applyFill="1" applyBorder="1" applyAlignment="1">
      <alignment horizontal="left"/>
    </xf>
    <xf numFmtId="5" fontId="0" fillId="6" borderId="1" xfId="0" applyNumberFormat="1" applyFill="1" applyBorder="1"/>
    <xf numFmtId="5" fontId="0" fillId="6" borderId="11" xfId="0" applyNumberFormat="1" applyFill="1" applyBorder="1"/>
    <xf numFmtId="0" fontId="2" fillId="3" borderId="10" xfId="0" applyFont="1" applyFill="1" applyBorder="1" applyAlignment="1">
      <alignment horizontal="left"/>
    </xf>
    <xf numFmtId="5" fontId="0" fillId="3" borderId="1" xfId="0" applyNumberFormat="1" applyFill="1" applyBorder="1"/>
    <xf numFmtId="5" fontId="0" fillId="3" borderId="11" xfId="0" applyNumberFormat="1" applyFill="1" applyBorder="1"/>
    <xf numFmtId="0" fontId="3" fillId="7" borderId="7" xfId="0" applyFont="1" applyFill="1" applyBorder="1" applyAlignment="1">
      <alignment horizontal="left"/>
    </xf>
    <xf numFmtId="0" fontId="3" fillId="7" borderId="8" xfId="0" applyFont="1" applyFill="1" applyBorder="1" applyAlignment="1">
      <alignment horizontal="center"/>
    </xf>
    <xf numFmtId="0" fontId="3" fillId="7" borderId="9" xfId="0" applyFont="1" applyFill="1" applyBorder="1" applyAlignment="1">
      <alignment horizontal="center"/>
    </xf>
    <xf numFmtId="0" fontId="11" fillId="9" borderId="10" xfId="4" applyFont="1" applyFill="1" applyBorder="1" applyAlignment="1">
      <alignment horizontal="left" wrapText="1"/>
    </xf>
    <xf numFmtId="5" fontId="0" fillId="9" borderId="1" xfId="0" applyNumberFormat="1" applyFill="1" applyBorder="1"/>
    <xf numFmtId="5" fontId="0" fillId="9" borderId="11" xfId="0" applyNumberFormat="1" applyFill="1" applyBorder="1"/>
    <xf numFmtId="0" fontId="11" fillId="10" borderId="10" xfId="4" applyFont="1" applyFill="1" applyBorder="1" applyAlignment="1">
      <alignment horizontal="left" wrapText="1"/>
    </xf>
    <xf numFmtId="5" fontId="0" fillId="10" borderId="1" xfId="0" applyNumberFormat="1" applyFill="1" applyBorder="1"/>
    <xf numFmtId="5" fontId="0" fillId="10" borderId="11" xfId="0" applyNumberFormat="1" applyFill="1" applyBorder="1"/>
    <xf numFmtId="0" fontId="11" fillId="8" borderId="10" xfId="4" applyFont="1" applyFill="1" applyBorder="1" applyAlignment="1">
      <alignment horizontal="left" wrapText="1"/>
    </xf>
    <xf numFmtId="5" fontId="0" fillId="8" borderId="1" xfId="0" applyNumberFormat="1" applyFill="1" applyBorder="1"/>
    <xf numFmtId="5" fontId="0" fillId="8" borderId="11" xfId="0" applyNumberForma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5" fontId="6" fillId="3" borderId="1" xfId="3" applyNumberFormat="1" applyFill="1" applyBorder="1" applyAlignment="1">
      <alignment horizontal="center" vertical="center"/>
    </xf>
    <xf numFmtId="5" fontId="6" fillId="6" borderId="1" xfId="3" applyNumberFormat="1" applyFill="1" applyBorder="1" applyAlignment="1">
      <alignment horizontal="center" vertical="center"/>
    </xf>
    <xf numFmtId="5" fontId="6" fillId="5" borderId="1" xfId="3" applyNumberFormat="1" applyFill="1" applyBorder="1" applyAlignment="1">
      <alignment horizontal="center" vertical="center"/>
    </xf>
    <xf numFmtId="0" fontId="9" fillId="4" borderId="2" xfId="3" applyFont="1" applyFill="1" applyBorder="1" applyAlignment="1">
      <alignment horizontal="center"/>
    </xf>
    <xf numFmtId="0" fontId="9" fillId="4" borderId="0" xfId="3" applyFont="1" applyFill="1" applyBorder="1" applyAlignment="1">
      <alignment horizontal="center"/>
    </xf>
    <xf numFmtId="0" fontId="6" fillId="6" borderId="3" xfId="3" applyFill="1" applyBorder="1" applyAlignment="1">
      <alignment horizontal="center" wrapText="1"/>
    </xf>
    <xf numFmtId="0" fontId="6" fillId="6" borderId="4" xfId="3" applyFill="1" applyBorder="1" applyAlignment="1">
      <alignment horizontal="center" wrapText="1"/>
    </xf>
    <xf numFmtId="0" fontId="6" fillId="6" borderId="5" xfId="3" applyFill="1" applyBorder="1" applyAlignment="1">
      <alignment horizontal="center" wrapText="1"/>
    </xf>
  </cellXfs>
  <cellStyles count="9">
    <cellStyle name="Comma" xfId="1" builtinId="3"/>
    <cellStyle name="Comma 2" xfId="6"/>
    <cellStyle name="Currency 2" xfId="5"/>
    <cellStyle name="Normal" xfId="0" builtinId="0"/>
    <cellStyle name="Normal 2" xfId="2"/>
    <cellStyle name="Normal 2 2" xfId="4"/>
    <cellStyle name="Normal 3" xfId="3"/>
    <cellStyle name="Percent 2" xfId="7"/>
    <cellStyle name="Percent 3" xfId="8"/>
  </cellStyles>
  <dxfs count="0"/>
  <tableStyles count="0" defaultTableStyle="TableStyleMedium9" defaultPivotStyle="PivotStyleLight16"/>
  <colors>
    <mruColors>
      <color rgb="FFAA4812"/>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2012 Budget Alternatives by Category</a:t>
            </a:r>
          </a:p>
        </c:rich>
      </c:tx>
      <c:layout>
        <c:manualLayout>
          <c:xMode val="edge"/>
          <c:yMode val="edge"/>
          <c:x val="0.2349828752370863"/>
          <c:y val="3.5714285714285712E-2"/>
        </c:manualLayout>
      </c:layout>
    </c:title>
    <c:plotArea>
      <c:layout>
        <c:manualLayout>
          <c:layoutTarget val="inner"/>
          <c:xMode val="edge"/>
          <c:yMode val="edge"/>
          <c:x val="0.14809315230375975"/>
          <c:y val="0.19480351414406533"/>
          <c:w val="0.41877997713581094"/>
          <c:h val="0.64484142607174144"/>
        </c:manualLayout>
      </c:layout>
      <c:barChart>
        <c:barDir val="col"/>
        <c:grouping val="stacked"/>
        <c:ser>
          <c:idx val="0"/>
          <c:order val="0"/>
          <c:tx>
            <c:strRef>
              <c:f>'Budget Alternatives'!$B$26</c:f>
              <c:strCache>
                <c:ptCount val="1"/>
                <c:pt idx="0">
                  <c:v>Measure Review &amp; Technical Analysis</c:v>
                </c:pt>
              </c:strCache>
            </c:strRef>
          </c:tx>
          <c:spPr>
            <a:solidFill>
              <a:schemeClr val="accent6">
                <a:lumMod val="40000"/>
                <a:lumOff val="60000"/>
              </a:schemeClr>
            </a:solidFill>
          </c:spPr>
          <c:cat>
            <c:strRef>
              <c:f>'Budget Alternatives'!$C$25:$E$25</c:f>
              <c:strCache>
                <c:ptCount val="3"/>
                <c:pt idx="0">
                  <c:v>2012 Proposed</c:v>
                </c:pt>
                <c:pt idx="1">
                  <c:v>Option B</c:v>
                </c:pt>
                <c:pt idx="2">
                  <c:v>Option C</c:v>
                </c:pt>
              </c:strCache>
            </c:strRef>
          </c:cat>
          <c:val>
            <c:numRef>
              <c:f>'Budget Alternatives'!$C$26:$E$26</c:f>
              <c:numCache>
                <c:formatCode>"$"#,##0_);\("$"#,##0\)</c:formatCode>
                <c:ptCount val="3"/>
                <c:pt idx="0">
                  <c:v>853000</c:v>
                </c:pt>
                <c:pt idx="1">
                  <c:v>853000</c:v>
                </c:pt>
                <c:pt idx="2">
                  <c:v>594000</c:v>
                </c:pt>
              </c:numCache>
            </c:numRef>
          </c:val>
        </c:ser>
        <c:ser>
          <c:idx val="1"/>
          <c:order val="1"/>
          <c:tx>
            <c:strRef>
              <c:f>'Budget Alternatives'!$B$27</c:f>
              <c:strCache>
                <c:ptCount val="1"/>
                <c:pt idx="0">
                  <c:v>Tools, Research, Data &amp; Regional Coordination</c:v>
                </c:pt>
              </c:strCache>
            </c:strRef>
          </c:tx>
          <c:spPr>
            <a:solidFill>
              <a:schemeClr val="accent3">
                <a:lumMod val="60000"/>
                <a:lumOff val="40000"/>
              </a:schemeClr>
            </a:solidFill>
          </c:spPr>
          <c:cat>
            <c:strRef>
              <c:f>'Budget Alternatives'!$C$25:$E$25</c:f>
              <c:strCache>
                <c:ptCount val="3"/>
                <c:pt idx="0">
                  <c:v>2012 Proposed</c:v>
                </c:pt>
                <c:pt idx="1">
                  <c:v>Option B</c:v>
                </c:pt>
                <c:pt idx="2">
                  <c:v>Option C</c:v>
                </c:pt>
              </c:strCache>
            </c:strRef>
          </c:cat>
          <c:val>
            <c:numRef>
              <c:f>'Budget Alternatives'!$C$27:$E$27</c:f>
              <c:numCache>
                <c:formatCode>"$"#,##0_);\("$"#,##0\)</c:formatCode>
                <c:ptCount val="3"/>
                <c:pt idx="0">
                  <c:v>518000</c:v>
                </c:pt>
                <c:pt idx="1">
                  <c:v>418000</c:v>
                </c:pt>
                <c:pt idx="2">
                  <c:v>224000</c:v>
                </c:pt>
              </c:numCache>
            </c:numRef>
          </c:val>
        </c:ser>
        <c:ser>
          <c:idx val="2"/>
          <c:order val="2"/>
          <c:tx>
            <c:strRef>
              <c:f>'Budget Alternatives'!$B$28</c:f>
              <c:strCache>
                <c:ptCount val="1"/>
                <c:pt idx="0">
                  <c:v>RTF Management</c:v>
                </c:pt>
              </c:strCache>
            </c:strRef>
          </c:tx>
          <c:spPr>
            <a:solidFill>
              <a:schemeClr val="accent1">
                <a:lumMod val="20000"/>
                <a:lumOff val="80000"/>
              </a:schemeClr>
            </a:solidFill>
          </c:spPr>
          <c:cat>
            <c:strRef>
              <c:f>'Budget Alternatives'!$C$25:$E$25</c:f>
              <c:strCache>
                <c:ptCount val="3"/>
                <c:pt idx="0">
                  <c:v>2012 Proposed</c:v>
                </c:pt>
                <c:pt idx="1">
                  <c:v>Option B</c:v>
                </c:pt>
                <c:pt idx="2">
                  <c:v>Option C</c:v>
                </c:pt>
              </c:strCache>
            </c:strRef>
          </c:cat>
          <c:val>
            <c:numRef>
              <c:f>'Budget Alternatives'!$C$28:$E$28</c:f>
              <c:numCache>
                <c:formatCode>"$"#,##0_);\("$"#,##0\)</c:formatCode>
                <c:ptCount val="3"/>
                <c:pt idx="0">
                  <c:v>516000</c:v>
                </c:pt>
                <c:pt idx="1">
                  <c:v>516000</c:v>
                </c:pt>
                <c:pt idx="2">
                  <c:v>516000</c:v>
                </c:pt>
              </c:numCache>
            </c:numRef>
          </c:val>
        </c:ser>
        <c:overlap val="100"/>
        <c:axId val="74142080"/>
        <c:axId val="74143616"/>
      </c:barChart>
      <c:catAx>
        <c:axId val="74142080"/>
        <c:scaling>
          <c:orientation val="minMax"/>
        </c:scaling>
        <c:axPos val="b"/>
        <c:tickLblPos val="nextTo"/>
        <c:crossAx val="74143616"/>
        <c:crosses val="autoZero"/>
        <c:auto val="1"/>
        <c:lblAlgn val="ctr"/>
        <c:lblOffset val="100"/>
      </c:catAx>
      <c:valAx>
        <c:axId val="74143616"/>
        <c:scaling>
          <c:orientation val="minMax"/>
        </c:scaling>
        <c:axPos val="l"/>
        <c:majorGridlines/>
        <c:numFmt formatCode="&quot;$&quot;#,##0_);\(&quot;$&quot;#,##0\)" sourceLinked="1"/>
        <c:tickLblPos val="nextTo"/>
        <c:crossAx val="74142080"/>
        <c:crosses val="autoZero"/>
        <c:crossBetween val="between"/>
      </c:valAx>
    </c:plotArea>
    <c:legend>
      <c:legendPos val="r"/>
      <c:layout>
        <c:manualLayout>
          <c:xMode val="edge"/>
          <c:yMode val="edge"/>
          <c:x val="0.65297580366895525"/>
          <c:y val="0.2500856142982128"/>
          <c:w val="0.32503107394408126"/>
          <c:h val="0.597348768903887"/>
        </c:manualLayout>
      </c:layout>
    </c:legend>
    <c:plotVisOnly val="1"/>
  </c:chart>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nchor="t" anchorCtr="0"/>
          <a:lstStyle/>
          <a:p>
            <a:pPr>
              <a:defRPr/>
            </a:pPr>
            <a:r>
              <a:rPr lang="en-US"/>
              <a:t>2012 Budget Alternatives by Agent</a:t>
            </a:r>
          </a:p>
        </c:rich>
      </c:tx>
      <c:layout>
        <c:manualLayout>
          <c:xMode val="edge"/>
          <c:yMode val="edge"/>
          <c:x val="0.20170144356955383"/>
          <c:y val="2.1299254526091594E-2"/>
        </c:manualLayout>
      </c:layout>
    </c:title>
    <c:plotArea>
      <c:layout/>
      <c:barChart>
        <c:barDir val="col"/>
        <c:grouping val="stacked"/>
        <c:ser>
          <c:idx val="0"/>
          <c:order val="0"/>
          <c:tx>
            <c:strRef>
              <c:f>'Budget Alternatives'!$B$32</c:f>
              <c:strCache>
                <c:ptCount val="1"/>
                <c:pt idx="0">
                  <c:v>Contract</c:v>
                </c:pt>
              </c:strCache>
            </c:strRef>
          </c:tx>
          <c:cat>
            <c:strRef>
              <c:f>'Budget Alternatives'!$C$31:$E$31</c:f>
              <c:strCache>
                <c:ptCount val="3"/>
                <c:pt idx="0">
                  <c:v>2012 Proposed</c:v>
                </c:pt>
                <c:pt idx="1">
                  <c:v>Option B</c:v>
                </c:pt>
                <c:pt idx="2">
                  <c:v>Option C</c:v>
                </c:pt>
              </c:strCache>
            </c:strRef>
          </c:cat>
          <c:val>
            <c:numRef>
              <c:f>'Budget Alternatives'!$C$32:$E$32</c:f>
              <c:numCache>
                <c:formatCode>"$"#,##0_);\("$"#,##0\)</c:formatCode>
                <c:ptCount val="3"/>
                <c:pt idx="0">
                  <c:v>1017000</c:v>
                </c:pt>
                <c:pt idx="1">
                  <c:v>932000</c:v>
                </c:pt>
                <c:pt idx="2">
                  <c:v>643000</c:v>
                </c:pt>
              </c:numCache>
            </c:numRef>
          </c:val>
        </c:ser>
        <c:ser>
          <c:idx val="1"/>
          <c:order val="1"/>
          <c:tx>
            <c:strRef>
              <c:f>'Budget Alternatives'!$B$33</c:f>
              <c:strCache>
                <c:ptCount val="1"/>
                <c:pt idx="0">
                  <c:v>RTF Staff</c:v>
                </c:pt>
              </c:strCache>
            </c:strRef>
          </c:tx>
          <c:cat>
            <c:strRef>
              <c:f>'Budget Alternatives'!$C$31:$E$31</c:f>
              <c:strCache>
                <c:ptCount val="3"/>
                <c:pt idx="0">
                  <c:v>2012 Proposed</c:v>
                </c:pt>
                <c:pt idx="1">
                  <c:v>Option B</c:v>
                </c:pt>
                <c:pt idx="2">
                  <c:v>Option C</c:v>
                </c:pt>
              </c:strCache>
            </c:strRef>
          </c:cat>
          <c:val>
            <c:numRef>
              <c:f>'Budget Alternatives'!$C$33:$E$33</c:f>
              <c:numCache>
                <c:formatCode>"$"#,##0_);\("$"#,##0\)</c:formatCode>
                <c:ptCount val="3"/>
                <c:pt idx="0">
                  <c:v>483000</c:v>
                </c:pt>
                <c:pt idx="1">
                  <c:v>473000</c:v>
                </c:pt>
                <c:pt idx="2">
                  <c:v>357000</c:v>
                </c:pt>
              </c:numCache>
            </c:numRef>
          </c:val>
        </c:ser>
        <c:ser>
          <c:idx val="3"/>
          <c:order val="2"/>
          <c:tx>
            <c:strRef>
              <c:f>'Budget Alternatives'!$B$35</c:f>
              <c:strCache>
                <c:ptCount val="1"/>
                <c:pt idx="0">
                  <c:v>Council Staff In Kind</c:v>
                </c:pt>
              </c:strCache>
            </c:strRef>
          </c:tx>
          <c:spPr>
            <a:solidFill>
              <a:schemeClr val="accent4">
                <a:lumMod val="60000"/>
                <a:lumOff val="40000"/>
              </a:schemeClr>
            </a:solidFill>
          </c:spPr>
          <c:cat>
            <c:strRef>
              <c:f>'Budget Alternatives'!$C$31:$E$31</c:f>
              <c:strCache>
                <c:ptCount val="3"/>
                <c:pt idx="0">
                  <c:v>2012 Proposed</c:v>
                </c:pt>
                <c:pt idx="1">
                  <c:v>Option B</c:v>
                </c:pt>
                <c:pt idx="2">
                  <c:v>Option C</c:v>
                </c:pt>
              </c:strCache>
            </c:strRef>
          </c:cat>
          <c:val>
            <c:numRef>
              <c:f>'Budget Alternatives'!$C$35:$E$35</c:f>
              <c:numCache>
                <c:formatCode>"$"#,##0_);\("$"#,##0\)</c:formatCode>
                <c:ptCount val="3"/>
                <c:pt idx="0">
                  <c:v>387000</c:v>
                </c:pt>
                <c:pt idx="1">
                  <c:v>382000</c:v>
                </c:pt>
                <c:pt idx="2">
                  <c:v>334000</c:v>
                </c:pt>
              </c:numCache>
            </c:numRef>
          </c:val>
        </c:ser>
        <c:overlap val="100"/>
        <c:axId val="74169728"/>
        <c:axId val="74175616"/>
      </c:barChart>
      <c:catAx>
        <c:axId val="74169728"/>
        <c:scaling>
          <c:orientation val="minMax"/>
        </c:scaling>
        <c:axPos val="b"/>
        <c:tickLblPos val="nextTo"/>
        <c:crossAx val="74175616"/>
        <c:crosses val="autoZero"/>
        <c:auto val="1"/>
        <c:lblAlgn val="ctr"/>
        <c:lblOffset val="100"/>
      </c:catAx>
      <c:valAx>
        <c:axId val="74175616"/>
        <c:scaling>
          <c:orientation val="minMax"/>
        </c:scaling>
        <c:axPos val="l"/>
        <c:majorGridlines/>
        <c:numFmt formatCode="&quot;$&quot;#,##0_);\(&quot;$&quot;#,##0\)" sourceLinked="1"/>
        <c:tickLblPos val="nextTo"/>
        <c:crossAx val="74169728"/>
        <c:crosses val="autoZero"/>
        <c:crossBetween val="between"/>
      </c:valAx>
    </c:plotArea>
    <c:legend>
      <c:legendPos val="r"/>
      <c:layout/>
    </c:legend>
    <c:plotVisOnly val="1"/>
  </c:chart>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247650</xdr:colOff>
      <xdr:row>21</xdr:row>
      <xdr:rowOff>114300</xdr:rowOff>
    </xdr:from>
    <xdr:to>
      <xdr:col>12</xdr:col>
      <xdr:colOff>581026</xdr:colOff>
      <xdr:row>40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40</xdr:row>
      <xdr:rowOff>161924</xdr:rowOff>
    </xdr:from>
    <xdr:to>
      <xdr:col>12</xdr:col>
      <xdr:colOff>514350</xdr:colOff>
      <xdr:row>59</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G\Main\RTF\AdminStuff\Work%20Plan%202012\Draft2012RTFWorkPlan(v3%2020121%2008%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s"/>
      <sheetName val="Category (2012)"/>
      <sheetName val="Category Detail (2012)"/>
      <sheetName val="Category (2012-2014)"/>
      <sheetName val="NPCC In Kind"/>
      <sheetName val="Typical Rates"/>
      <sheetName val="Funding Shares"/>
    </sheetNames>
    <sheetDataSet>
      <sheetData sheetId="0">
        <row r="2">
          <cell r="B2" t="str">
            <v>Draft of September 21, 2011</v>
          </cell>
        </row>
      </sheetData>
      <sheetData sheetId="1"/>
      <sheetData sheetId="2"/>
      <sheetData sheetId="3"/>
      <sheetData sheetId="4">
        <row r="4">
          <cell r="E4">
            <v>160000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T37"/>
  <sheetViews>
    <sheetView tabSelected="1" topLeftCell="A7" workbookViewId="0">
      <selection activeCell="R34" sqref="R34"/>
    </sheetView>
  </sheetViews>
  <sheetFormatPr defaultRowHeight="12.75"/>
  <cols>
    <col min="2" max="2" width="43.28515625" customWidth="1"/>
    <col min="3" max="3" width="17.5703125" customWidth="1"/>
    <col min="4" max="4" width="11.42578125" customWidth="1"/>
    <col min="5" max="6" width="11.140625" customWidth="1"/>
    <col min="7" max="7" width="12.42578125" customWidth="1"/>
    <col min="8" max="8" width="9.42578125" customWidth="1"/>
    <col min="9" max="9" width="11.7109375" customWidth="1"/>
    <col min="12" max="12" width="12.42578125" customWidth="1"/>
    <col min="13" max="13" width="9.85546875" customWidth="1"/>
    <col min="14" max="14" width="11.140625" customWidth="1"/>
    <col min="17" max="17" width="12.42578125" customWidth="1"/>
    <col min="18" max="18" width="9.85546875" customWidth="1"/>
    <col min="19" max="19" width="11.5703125" customWidth="1"/>
  </cols>
  <sheetData>
    <row r="2" spans="2:20">
      <c r="B2" s="100" t="s">
        <v>111</v>
      </c>
    </row>
    <row r="6" spans="2:20">
      <c r="G6" s="132" t="s">
        <v>106</v>
      </c>
      <c r="H6" s="132"/>
      <c r="I6" s="132"/>
      <c r="J6" s="132"/>
      <c r="L6" s="132" t="s">
        <v>107</v>
      </c>
      <c r="M6" s="132"/>
      <c r="N6" s="132"/>
      <c r="O6" s="132"/>
      <c r="Q6" s="132" t="s">
        <v>108</v>
      </c>
      <c r="R6" s="132"/>
      <c r="S6" s="132"/>
      <c r="T6" s="132"/>
    </row>
    <row r="7" spans="2:20" ht="46.5" customHeight="1">
      <c r="C7" s="132" t="s">
        <v>4</v>
      </c>
      <c r="D7" s="132"/>
      <c r="E7" s="87"/>
      <c r="G7" s="132" t="s">
        <v>101</v>
      </c>
      <c r="H7" s="132"/>
      <c r="I7" s="132"/>
      <c r="J7" s="132"/>
      <c r="L7" s="131" t="s">
        <v>109</v>
      </c>
      <c r="M7" s="131"/>
      <c r="N7" s="131"/>
      <c r="O7" s="131"/>
      <c r="Q7" s="131" t="s">
        <v>103</v>
      </c>
      <c r="R7" s="131"/>
      <c r="S7" s="131"/>
      <c r="T7" s="131"/>
    </row>
    <row r="8" spans="2:20" ht="38.25">
      <c r="B8" s="81" t="s">
        <v>5</v>
      </c>
      <c r="C8" s="82" t="s">
        <v>10</v>
      </c>
      <c r="D8" s="84" t="s">
        <v>102</v>
      </c>
      <c r="E8" s="88"/>
      <c r="G8" s="83" t="s">
        <v>8</v>
      </c>
      <c r="H8" s="83" t="s">
        <v>9</v>
      </c>
      <c r="I8" s="82" t="s">
        <v>10</v>
      </c>
      <c r="J8" s="84" t="s">
        <v>102</v>
      </c>
      <c r="L8" s="83" t="s">
        <v>8</v>
      </c>
      <c r="M8" s="83" t="s">
        <v>9</v>
      </c>
      <c r="N8" s="82" t="s">
        <v>10</v>
      </c>
      <c r="O8" s="84" t="s">
        <v>102</v>
      </c>
      <c r="Q8" s="83" t="s">
        <v>8</v>
      </c>
      <c r="R8" s="83" t="s">
        <v>9</v>
      </c>
      <c r="S8" s="82" t="s">
        <v>10</v>
      </c>
      <c r="T8" s="84" t="s">
        <v>102</v>
      </c>
    </row>
    <row r="9" spans="2:20" ht="15">
      <c r="B9" s="9" t="s">
        <v>13</v>
      </c>
      <c r="C9" s="11">
        <v>500000</v>
      </c>
      <c r="D9" s="135">
        <v>120000</v>
      </c>
      <c r="E9" s="89"/>
      <c r="G9" s="10">
        <v>175000</v>
      </c>
      <c r="H9" s="10">
        <v>50000</v>
      </c>
      <c r="I9" s="11">
        <v>225000</v>
      </c>
      <c r="J9" s="12">
        <v>40000</v>
      </c>
      <c r="L9" s="10">
        <v>175000</v>
      </c>
      <c r="M9" s="10">
        <v>50000</v>
      </c>
      <c r="N9" s="11">
        <v>225000</v>
      </c>
      <c r="O9" s="12">
        <v>40000</v>
      </c>
      <c r="Q9" s="10">
        <v>125000</v>
      </c>
      <c r="R9" s="10">
        <v>35000</v>
      </c>
      <c r="S9" s="11">
        <v>160000</v>
      </c>
      <c r="T9" s="12">
        <v>25000</v>
      </c>
    </row>
    <row r="10" spans="2:20" ht="15" customHeight="1">
      <c r="B10" s="9" t="s">
        <v>14</v>
      </c>
      <c r="C10" s="11">
        <v>300000</v>
      </c>
      <c r="D10" s="135"/>
      <c r="E10" s="89"/>
      <c r="G10" s="10">
        <v>207000</v>
      </c>
      <c r="H10" s="10">
        <v>137000</v>
      </c>
      <c r="I10" s="11">
        <v>344000</v>
      </c>
      <c r="J10" s="12">
        <v>35000</v>
      </c>
      <c r="L10" s="10">
        <v>207000</v>
      </c>
      <c r="M10" s="10">
        <v>137000</v>
      </c>
      <c r="N10" s="11">
        <v>344000</v>
      </c>
      <c r="O10" s="12">
        <v>35000</v>
      </c>
      <c r="Q10" s="10">
        <v>108000</v>
      </c>
      <c r="R10" s="10">
        <v>74000</v>
      </c>
      <c r="S10" s="11">
        <v>182000</v>
      </c>
      <c r="T10" s="12">
        <v>18000</v>
      </c>
    </row>
    <row r="11" spans="2:20" ht="15">
      <c r="B11" s="9" t="s">
        <v>15</v>
      </c>
      <c r="C11" s="11">
        <v>160000</v>
      </c>
      <c r="D11" s="135"/>
      <c r="E11" s="89"/>
      <c r="G11" s="10">
        <v>140000</v>
      </c>
      <c r="H11" s="10">
        <v>42000</v>
      </c>
      <c r="I11" s="11">
        <v>182000</v>
      </c>
      <c r="J11" s="12">
        <v>27000</v>
      </c>
      <c r="L11" s="10">
        <v>140000</v>
      </c>
      <c r="M11" s="10">
        <v>42000</v>
      </c>
      <c r="N11" s="11">
        <v>182000</v>
      </c>
      <c r="O11" s="12">
        <v>27000</v>
      </c>
      <c r="Q11" s="10">
        <v>140000</v>
      </c>
      <c r="R11" s="10">
        <v>42000</v>
      </c>
      <c r="S11" s="11">
        <v>182000</v>
      </c>
      <c r="T11" s="12">
        <v>27000</v>
      </c>
    </row>
    <row r="12" spans="2:20" ht="15">
      <c r="B12" s="14" t="s">
        <v>17</v>
      </c>
      <c r="C12" s="16">
        <v>0</v>
      </c>
      <c r="D12" s="134">
        <v>35000</v>
      </c>
      <c r="E12" s="89"/>
      <c r="G12" s="15">
        <v>86000</v>
      </c>
      <c r="H12" s="15">
        <v>48000</v>
      </c>
      <c r="I12" s="16">
        <v>134000</v>
      </c>
      <c r="J12" s="17">
        <v>12000</v>
      </c>
      <c r="L12" s="15">
        <v>86000</v>
      </c>
      <c r="M12" s="15">
        <v>48000</v>
      </c>
      <c r="N12" s="16">
        <v>134000</v>
      </c>
      <c r="O12" s="17">
        <v>12000</v>
      </c>
      <c r="Q12" s="15">
        <v>26000</v>
      </c>
      <c r="R12" s="15">
        <v>36000</v>
      </c>
      <c r="S12" s="16">
        <v>62000</v>
      </c>
      <c r="T12" s="17">
        <v>9000</v>
      </c>
    </row>
    <row r="13" spans="2:20" ht="15">
      <c r="B13" s="14" t="s">
        <v>19</v>
      </c>
      <c r="C13" s="16">
        <v>100000</v>
      </c>
      <c r="D13" s="134"/>
      <c r="E13" s="89"/>
      <c r="G13" s="15">
        <v>230000</v>
      </c>
      <c r="H13" s="15">
        <v>48000</v>
      </c>
      <c r="I13" s="16">
        <v>278000</v>
      </c>
      <c r="J13" s="17">
        <v>24000</v>
      </c>
      <c r="L13" s="15">
        <v>145000</v>
      </c>
      <c r="M13" s="15">
        <v>38000</v>
      </c>
      <c r="N13" s="16">
        <v>183000</v>
      </c>
      <c r="O13" s="17">
        <v>19000</v>
      </c>
      <c r="Q13" s="15">
        <v>65000</v>
      </c>
      <c r="R13" s="15">
        <v>12000</v>
      </c>
      <c r="S13" s="16">
        <v>77000</v>
      </c>
      <c r="T13" s="17">
        <v>6000</v>
      </c>
    </row>
    <row r="14" spans="2:20" ht="15">
      <c r="B14" s="14" t="s">
        <v>20</v>
      </c>
      <c r="C14" s="16">
        <v>0</v>
      </c>
      <c r="D14" s="134"/>
      <c r="E14" s="89"/>
      <c r="G14" s="15">
        <v>0</v>
      </c>
      <c r="H14" s="15">
        <v>58000</v>
      </c>
      <c r="I14" s="16">
        <v>58000</v>
      </c>
      <c r="J14" s="17">
        <v>12000</v>
      </c>
      <c r="L14" s="15">
        <v>0</v>
      </c>
      <c r="M14" s="15">
        <v>58000</v>
      </c>
      <c r="N14" s="16">
        <v>58000</v>
      </c>
      <c r="O14" s="17">
        <v>12000</v>
      </c>
      <c r="Q14" s="15">
        <v>0</v>
      </c>
      <c r="R14" s="15">
        <v>58000</v>
      </c>
      <c r="S14" s="16">
        <v>58000</v>
      </c>
      <c r="T14" s="17">
        <v>12000</v>
      </c>
    </row>
    <row r="15" spans="2:20" ht="25.5">
      <c r="B15" s="19" t="s">
        <v>3</v>
      </c>
      <c r="C15" s="21">
        <v>30000</v>
      </c>
      <c r="D15" s="133">
        <v>242000</v>
      </c>
      <c r="E15" s="89"/>
      <c r="G15" s="20">
        <v>0</v>
      </c>
      <c r="H15" s="20">
        <v>0</v>
      </c>
      <c r="I15" s="21">
        <v>0</v>
      </c>
      <c r="J15" s="22">
        <v>50000</v>
      </c>
      <c r="L15" s="20">
        <v>0</v>
      </c>
      <c r="M15" s="20">
        <v>0</v>
      </c>
      <c r="N15" s="21">
        <v>0</v>
      </c>
      <c r="O15" s="22">
        <v>50000</v>
      </c>
      <c r="Q15" s="20">
        <v>0</v>
      </c>
      <c r="R15" s="20">
        <v>0</v>
      </c>
      <c r="S15" s="21">
        <v>0</v>
      </c>
      <c r="T15" s="22">
        <v>50000</v>
      </c>
    </row>
    <row r="16" spans="2:20" ht="15">
      <c r="B16" s="19" t="s">
        <v>22</v>
      </c>
      <c r="C16" s="21">
        <v>170000</v>
      </c>
      <c r="D16" s="133"/>
      <c r="E16" s="89"/>
      <c r="G16" s="20">
        <v>174000</v>
      </c>
      <c r="H16" s="20">
        <v>0</v>
      </c>
      <c r="I16" s="21">
        <v>174000</v>
      </c>
      <c r="J16" s="22">
        <v>7000</v>
      </c>
      <c r="L16" s="20">
        <v>174000</v>
      </c>
      <c r="M16" s="20">
        <v>0</v>
      </c>
      <c r="N16" s="21">
        <v>174000</v>
      </c>
      <c r="O16" s="22">
        <v>7000</v>
      </c>
      <c r="Q16" s="20">
        <v>174000</v>
      </c>
      <c r="R16" s="20">
        <v>0</v>
      </c>
      <c r="S16" s="21">
        <v>174000</v>
      </c>
      <c r="T16" s="22">
        <v>7000</v>
      </c>
    </row>
    <row r="17" spans="2:20" ht="15">
      <c r="B17" s="19" t="s">
        <v>23</v>
      </c>
      <c r="C17" s="21">
        <v>140000</v>
      </c>
      <c r="D17" s="133"/>
      <c r="E17" s="89"/>
      <c r="G17" s="20">
        <v>5000</v>
      </c>
      <c r="H17" s="20">
        <v>100000</v>
      </c>
      <c r="I17" s="21">
        <v>105000</v>
      </c>
      <c r="J17" s="22">
        <v>180000</v>
      </c>
      <c r="L17" s="20">
        <v>5000</v>
      </c>
      <c r="M17" s="20">
        <v>100000</v>
      </c>
      <c r="N17" s="21">
        <v>105000</v>
      </c>
      <c r="O17" s="22">
        <v>180000</v>
      </c>
      <c r="Q17" s="20">
        <v>5000</v>
      </c>
      <c r="R17" s="20">
        <v>100000</v>
      </c>
      <c r="S17" s="21">
        <v>105000</v>
      </c>
      <c r="T17" s="22">
        <v>180000</v>
      </c>
    </row>
    <row r="18" spans="2:20" ht="15">
      <c r="B18" s="24" t="s">
        <v>24</v>
      </c>
      <c r="C18" s="26">
        <f>SUM(C9:C17)</f>
        <v>1400000</v>
      </c>
      <c r="D18" s="25">
        <f>SUM(D9:D17)</f>
        <v>397000</v>
      </c>
      <c r="E18" s="86"/>
      <c r="G18" s="25">
        <v>1017000</v>
      </c>
      <c r="H18" s="25">
        <v>483000</v>
      </c>
      <c r="I18" s="26">
        <v>1500000</v>
      </c>
      <c r="J18" s="27">
        <v>387000</v>
      </c>
      <c r="L18" s="25">
        <v>932000</v>
      </c>
      <c r="M18" s="25">
        <v>473000</v>
      </c>
      <c r="N18" s="26">
        <v>1405000</v>
      </c>
      <c r="O18" s="27">
        <v>382000</v>
      </c>
      <c r="Q18" s="25">
        <v>643000</v>
      </c>
      <c r="R18" s="25">
        <v>357000</v>
      </c>
      <c r="S18" s="26">
        <v>1000000</v>
      </c>
      <c r="T18" s="27">
        <v>334000</v>
      </c>
    </row>
    <row r="20" spans="2:20">
      <c r="B20" s="85" t="s">
        <v>0</v>
      </c>
      <c r="D20" s="98">
        <f>D18/160000</f>
        <v>2.4812500000000002</v>
      </c>
      <c r="H20" s="98">
        <f>H18/240000</f>
        <v>2.0125000000000002</v>
      </c>
      <c r="I20" s="99"/>
      <c r="J20" s="98">
        <f>J18/160000</f>
        <v>2.4187500000000002</v>
      </c>
      <c r="K20" s="99"/>
      <c r="L20" s="99"/>
      <c r="M20" s="98">
        <f>M18/240000</f>
        <v>1.9708333333333334</v>
      </c>
      <c r="N20" s="99"/>
      <c r="O20" s="98">
        <f>O18/160000</f>
        <v>2.3875000000000002</v>
      </c>
      <c r="P20" s="99"/>
      <c r="Q20" s="99"/>
      <c r="R20" s="98">
        <f>R18/240000</f>
        <v>1.4875</v>
      </c>
      <c r="S20" s="99"/>
      <c r="T20" s="98">
        <f>T18/160000</f>
        <v>2.0874999999999999</v>
      </c>
    </row>
    <row r="24" spans="2:20" ht="13.5" thickBot="1"/>
    <row r="25" spans="2:20" ht="19.5" customHeight="1">
      <c r="B25" s="119" t="s">
        <v>112</v>
      </c>
      <c r="C25" s="120" t="s">
        <v>114</v>
      </c>
      <c r="D25" s="120" t="s">
        <v>107</v>
      </c>
      <c r="E25" s="121" t="s">
        <v>108</v>
      </c>
    </row>
    <row r="26" spans="2:20">
      <c r="B26" s="110" t="s">
        <v>105</v>
      </c>
      <c r="C26" s="111">
        <f>SUM(I9:J11)</f>
        <v>853000</v>
      </c>
      <c r="D26" s="111">
        <f>SUM(N9:O11)</f>
        <v>853000</v>
      </c>
      <c r="E26" s="112">
        <f>SUM(S9:T11)</f>
        <v>594000</v>
      </c>
    </row>
    <row r="27" spans="2:20">
      <c r="B27" s="113" t="s">
        <v>104</v>
      </c>
      <c r="C27" s="114">
        <f>SUM(I12:J14)</f>
        <v>518000</v>
      </c>
      <c r="D27" s="114">
        <f>SUM(N12:O14)</f>
        <v>418000</v>
      </c>
      <c r="E27" s="115">
        <f>SUM(S12:T14)</f>
        <v>224000</v>
      </c>
    </row>
    <row r="28" spans="2:20">
      <c r="B28" s="116" t="s">
        <v>23</v>
      </c>
      <c r="C28" s="117">
        <f>SUM(I15:J17)</f>
        <v>516000</v>
      </c>
      <c r="D28" s="117">
        <f>SUM(N15:O17)</f>
        <v>516000</v>
      </c>
      <c r="E28" s="118">
        <f>SUM(S15:T17)</f>
        <v>516000</v>
      </c>
    </row>
    <row r="29" spans="2:20" ht="13.5" thickBot="1">
      <c r="B29" s="107" t="s">
        <v>2</v>
      </c>
      <c r="C29" s="108">
        <f>SUM(C26:C28)</f>
        <v>1887000</v>
      </c>
      <c r="D29" s="108">
        <f>SUM(D26:D28)</f>
        <v>1787000</v>
      </c>
      <c r="E29" s="109">
        <f>SUM(E26:E28)</f>
        <v>1334000</v>
      </c>
    </row>
    <row r="30" spans="2:20" ht="13.5" thickBot="1">
      <c r="B30" s="101"/>
      <c r="C30" s="91"/>
      <c r="D30" s="91"/>
      <c r="E30" s="91"/>
    </row>
    <row r="31" spans="2:20" ht="19.5" customHeight="1">
      <c r="B31" s="119" t="s">
        <v>113</v>
      </c>
      <c r="C31" s="120" t="s">
        <v>114</v>
      </c>
      <c r="D31" s="120" t="s">
        <v>107</v>
      </c>
      <c r="E31" s="121" t="s">
        <v>108</v>
      </c>
    </row>
    <row r="32" spans="2:20">
      <c r="B32" s="122" t="s">
        <v>8</v>
      </c>
      <c r="C32" s="123">
        <f>G18</f>
        <v>1017000</v>
      </c>
      <c r="D32" s="123">
        <f>L18</f>
        <v>932000</v>
      </c>
      <c r="E32" s="124">
        <f>Q18</f>
        <v>643000</v>
      </c>
    </row>
    <row r="33" spans="2:5">
      <c r="B33" s="125" t="s">
        <v>9</v>
      </c>
      <c r="C33" s="126">
        <f>H18</f>
        <v>483000</v>
      </c>
      <c r="D33" s="126">
        <f>M18</f>
        <v>473000</v>
      </c>
      <c r="E33" s="127">
        <f>R18</f>
        <v>357000</v>
      </c>
    </row>
    <row r="34" spans="2:5">
      <c r="B34" s="102" t="s">
        <v>10</v>
      </c>
      <c r="C34" s="90">
        <f>I18</f>
        <v>1500000</v>
      </c>
      <c r="D34" s="90">
        <f>N18</f>
        <v>1405000</v>
      </c>
      <c r="E34" s="103">
        <f>S18</f>
        <v>1000000</v>
      </c>
    </row>
    <row r="35" spans="2:5">
      <c r="B35" s="128" t="s">
        <v>102</v>
      </c>
      <c r="C35" s="129">
        <f>J18</f>
        <v>387000</v>
      </c>
      <c r="D35" s="129">
        <f>O18</f>
        <v>382000</v>
      </c>
      <c r="E35" s="130">
        <f>T18</f>
        <v>334000</v>
      </c>
    </row>
    <row r="36" spans="2:5">
      <c r="B36" s="102" t="s">
        <v>2</v>
      </c>
      <c r="C36" s="90">
        <f t="shared" ref="C36:E36" si="0">SUM(C34,C35)</f>
        <v>1887000</v>
      </c>
      <c r="D36" s="90">
        <f t="shared" si="0"/>
        <v>1787000</v>
      </c>
      <c r="E36" s="103">
        <f t="shared" si="0"/>
        <v>1334000</v>
      </c>
    </row>
    <row r="37" spans="2:5" ht="13.5" thickBot="1">
      <c r="B37" s="104" t="s">
        <v>110</v>
      </c>
      <c r="C37" s="105">
        <f>J20</f>
        <v>2.4187500000000002</v>
      </c>
      <c r="D37" s="105">
        <f>O20</f>
        <v>2.3875000000000002</v>
      </c>
      <c r="E37" s="106">
        <f>T20</f>
        <v>2.0874999999999999</v>
      </c>
    </row>
  </sheetData>
  <mergeCells count="10">
    <mergeCell ref="Q7:T7"/>
    <mergeCell ref="G6:J6"/>
    <mergeCell ref="L6:O6"/>
    <mergeCell ref="Q6:T6"/>
    <mergeCell ref="D15:D17"/>
    <mergeCell ref="D12:D14"/>
    <mergeCell ref="D9:D11"/>
    <mergeCell ref="C7:D7"/>
    <mergeCell ref="G7:J7"/>
    <mergeCell ref="L7:O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1:G18"/>
  <sheetViews>
    <sheetView topLeftCell="A9" workbookViewId="0">
      <selection activeCell="C9" sqref="C9:F18"/>
    </sheetView>
  </sheetViews>
  <sheetFormatPr defaultColWidth="8.85546875" defaultRowHeight="15"/>
  <cols>
    <col min="1" max="1" width="8.85546875" style="2"/>
    <col min="2" max="2" width="52.7109375" style="2" customWidth="1"/>
    <col min="3" max="3" width="13.7109375" style="2" customWidth="1"/>
    <col min="4" max="4" width="11" style="2" customWidth="1"/>
    <col min="5" max="5" width="12.140625" style="2" customWidth="1"/>
    <col min="6" max="6" width="13.7109375" style="2" customWidth="1"/>
    <col min="7" max="7" width="72.7109375" style="2" customWidth="1"/>
    <col min="8" max="16384" width="8.85546875" style="2"/>
  </cols>
  <sheetData>
    <row r="1" spans="2:7" ht="23.25">
      <c r="B1" s="1" t="s">
        <v>6</v>
      </c>
    </row>
    <row r="2" spans="2:7">
      <c r="B2" s="3" t="str">
        <f>'[1]Table of Contents'!B2</f>
        <v>Draft of September 21, 2011</v>
      </c>
    </row>
    <row r="3" spans="2:7">
      <c r="B3" s="4"/>
    </row>
    <row r="7" spans="2:7">
      <c r="C7" s="136" t="s">
        <v>7</v>
      </c>
      <c r="D7" s="137"/>
      <c r="E7" s="137"/>
      <c r="F7" s="137"/>
      <c r="G7" s="137"/>
    </row>
    <row r="8" spans="2:7" ht="39">
      <c r="B8" s="5" t="s">
        <v>5</v>
      </c>
      <c r="C8" s="6" t="s">
        <v>8</v>
      </c>
      <c r="D8" s="6" t="s">
        <v>9</v>
      </c>
      <c r="E8" s="7" t="s">
        <v>10</v>
      </c>
      <c r="F8" s="8" t="s">
        <v>11</v>
      </c>
      <c r="G8" s="6" t="s">
        <v>12</v>
      </c>
    </row>
    <row r="9" spans="2:7" ht="38.25" customHeight="1">
      <c r="B9" s="9" t="s">
        <v>13</v>
      </c>
      <c r="C9" s="10">
        <f>'Category Detail (2012)'!C14</f>
        <v>175000</v>
      </c>
      <c r="D9" s="10">
        <f>'Category Detail (2012)'!D14</f>
        <v>50000</v>
      </c>
      <c r="E9" s="11">
        <f>'Category Detail (2012)'!E14</f>
        <v>225000</v>
      </c>
      <c r="F9" s="12">
        <f>'Category Detail (2012)'!F14</f>
        <v>40000</v>
      </c>
      <c r="G9" s="13" t="str">
        <f>CONCATENATE("Scalable.  Limit to ",'Category Detail (2012)'!H10," Active UES, ",'Category Detail (2012)'!H11," Provisional UES, ",'Category Detail (2012)'!H12," Protocol per year.  Eliminate 20 UES.  Three-year review cycle.")</f>
        <v>Scalable.  Limit to 10 Active UES, 10 Provisional UES, 0 Protocol per year.  Eliminate 20 UES.  Three-year review cycle.</v>
      </c>
    </row>
    <row r="10" spans="2:7" ht="38.25" customHeight="1">
      <c r="B10" s="9" t="s">
        <v>14</v>
      </c>
      <c r="C10" s="10">
        <f>'Category Detail (2012)'!C25</f>
        <v>207000</v>
      </c>
      <c r="D10" s="10">
        <f>'Category Detail (2012)'!D25</f>
        <v>137000</v>
      </c>
      <c r="E10" s="11">
        <f>'Category Detail (2012)'!E25</f>
        <v>344000</v>
      </c>
      <c r="F10" s="12">
        <f>'Category Detail (2012)'!F25</f>
        <v>35000</v>
      </c>
      <c r="G10" s="13" t="str">
        <f>CONCATENATE("Scalable.  Limit to ",'Category Detail (2012)'!H18," new UES, ",'Category Detail (2012)'!H19," new Protocols, ",'Category Detail (2012)'!H20," new small/rural UES/Protocol.  Placeholders for unsolicitied &amp; review of impact evaluation plans.")</f>
        <v>Scalable.  Limit to 4 new UES, 4 new Protocols, 3 new small/rural UES/Protocol.  Placeholders for unsolicitied &amp; review of impact evaluation plans.</v>
      </c>
    </row>
    <row r="11" spans="2:7" ht="38.25" customHeight="1">
      <c r="B11" s="9" t="s">
        <v>15</v>
      </c>
      <c r="C11" s="10">
        <f>'Category Detail (2012)'!C38</f>
        <v>140000</v>
      </c>
      <c r="D11" s="10">
        <f>'Category Detail (2012)'!D38</f>
        <v>42000</v>
      </c>
      <c r="E11" s="11">
        <f>'Category Detail (2012)'!E38</f>
        <v>182000</v>
      </c>
      <c r="F11" s="12">
        <f>'Category Detail (2012)'!F38</f>
        <v>27000</v>
      </c>
      <c r="G11" s="13" t="s">
        <v>16</v>
      </c>
    </row>
    <row r="12" spans="2:7" ht="38.25" customHeight="1">
      <c r="B12" s="14" t="s">
        <v>17</v>
      </c>
      <c r="C12" s="15">
        <f>'Category Detail (2012)'!C53</f>
        <v>86000</v>
      </c>
      <c r="D12" s="15">
        <f>'Category Detail (2012)'!D53</f>
        <v>48000</v>
      </c>
      <c r="E12" s="16">
        <f>'Category Detail (2012)'!E53</f>
        <v>134000</v>
      </c>
      <c r="F12" s="17">
        <f>'Category Detail (2012)'!F53</f>
        <v>12000</v>
      </c>
      <c r="G12" s="18" t="s">
        <v>18</v>
      </c>
    </row>
    <row r="13" spans="2:7" ht="38.25" customHeight="1">
      <c r="B13" s="14" t="s">
        <v>19</v>
      </c>
      <c r="C13" s="15">
        <f>'Category Detail (2012)'!C61</f>
        <v>145000</v>
      </c>
      <c r="D13" s="15">
        <f>'Category Detail (2012)'!D61</f>
        <v>38000</v>
      </c>
      <c r="E13" s="16">
        <f>'Category Detail (2012)'!E61</f>
        <v>183000</v>
      </c>
      <c r="F13" s="17">
        <f>'Category Detail (2012)'!F61</f>
        <v>19000</v>
      </c>
      <c r="G13" s="18" t="s">
        <v>18</v>
      </c>
    </row>
    <row r="14" spans="2:7" ht="38.25" customHeight="1">
      <c r="B14" s="14" t="s">
        <v>20</v>
      </c>
      <c r="C14" s="15">
        <f>'Category Detail (2012)'!C70</f>
        <v>0</v>
      </c>
      <c r="D14" s="15">
        <f>'Category Detail (2012)'!D70</f>
        <v>58000</v>
      </c>
      <c r="E14" s="16">
        <f>'Category Detail (2012)'!E70</f>
        <v>58000</v>
      </c>
      <c r="F14" s="17">
        <f>'Category Detail (2012)'!F70</f>
        <v>12000</v>
      </c>
      <c r="G14" s="18" t="s">
        <v>18</v>
      </c>
    </row>
    <row r="15" spans="2:7" ht="38.25" customHeight="1">
      <c r="B15" s="19" t="s">
        <v>3</v>
      </c>
      <c r="C15" s="20">
        <f>'Category Detail (2012)'!C77</f>
        <v>0</v>
      </c>
      <c r="D15" s="20">
        <f>'Category Detail (2012)'!D77</f>
        <v>0</v>
      </c>
      <c r="E15" s="21">
        <f>'Category Detail (2012)'!E77</f>
        <v>0</v>
      </c>
      <c r="F15" s="22">
        <f>'Category Detail (2012)'!F77</f>
        <v>50000</v>
      </c>
      <c r="G15" s="23" t="s">
        <v>21</v>
      </c>
    </row>
    <row r="16" spans="2:7" ht="38.25" customHeight="1">
      <c r="B16" s="19" t="s">
        <v>22</v>
      </c>
      <c r="C16" s="20">
        <f>'Category Detail (2012)'!C83</f>
        <v>174000</v>
      </c>
      <c r="D16" s="20">
        <f>'Category Detail (2012)'!D83</f>
        <v>0</v>
      </c>
      <c r="E16" s="21">
        <f>'Category Detail (2012)'!E83</f>
        <v>174000</v>
      </c>
      <c r="F16" s="22">
        <f>'Category Detail (2012)'!F83</f>
        <v>7000</v>
      </c>
      <c r="G16" s="23" t="s">
        <v>21</v>
      </c>
    </row>
    <row r="17" spans="2:7" ht="38.25" customHeight="1">
      <c r="B17" s="19" t="s">
        <v>23</v>
      </c>
      <c r="C17" s="20">
        <f>'Category Detail (2012)'!C90</f>
        <v>5000</v>
      </c>
      <c r="D17" s="20">
        <f>'Category Detail (2012)'!D90</f>
        <v>100000</v>
      </c>
      <c r="E17" s="21">
        <f>'Category Detail (2012)'!E90</f>
        <v>105000</v>
      </c>
      <c r="F17" s="22">
        <f>'Category Detail (2012)'!F90</f>
        <v>180000</v>
      </c>
      <c r="G17" s="23" t="s">
        <v>21</v>
      </c>
    </row>
    <row r="18" spans="2:7" ht="38.25" customHeight="1">
      <c r="B18" s="24" t="s">
        <v>24</v>
      </c>
      <c r="C18" s="25">
        <f>SUM(C9:C17)</f>
        <v>932000</v>
      </c>
      <c r="D18" s="25">
        <f t="shared" ref="D18:F18" si="0">SUM(D9:D17)</f>
        <v>473000</v>
      </c>
      <c r="E18" s="26">
        <f t="shared" si="0"/>
        <v>1405000</v>
      </c>
      <c r="F18" s="27">
        <f t="shared" si="0"/>
        <v>382000</v>
      </c>
      <c r="G18" s="28"/>
    </row>
  </sheetData>
  <mergeCells count="1">
    <mergeCell ref="C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1:T102"/>
  <sheetViews>
    <sheetView zoomScaleNormal="100" zoomScalePageLayoutView="78" workbookViewId="0">
      <pane xSplit="2" ySplit="8" topLeftCell="C54" activePane="bottomRight" state="frozen"/>
      <selection activeCell="B5" sqref="B5"/>
      <selection pane="topRight" activeCell="B5" sqref="B5"/>
      <selection pane="bottomLeft" activeCell="B5" sqref="B5"/>
      <selection pane="bottomRight" activeCell="F58" sqref="F58"/>
    </sheetView>
  </sheetViews>
  <sheetFormatPr defaultColWidth="8.85546875" defaultRowHeight="15"/>
  <cols>
    <col min="1" max="1" width="8.85546875" style="2"/>
    <col min="2" max="2" width="72.42578125" style="2" customWidth="1"/>
    <col min="3" max="4" width="14.42578125" style="2" customWidth="1"/>
    <col min="5" max="6" width="11.28515625" style="2" customWidth="1"/>
    <col min="7" max="7" width="6.7109375" style="2" customWidth="1"/>
    <col min="8" max="8" width="7" style="2" customWidth="1"/>
    <col min="9" max="9" width="10.42578125" style="2" customWidth="1"/>
    <col min="10" max="10" width="11" style="2" bestFit="1" customWidth="1"/>
    <col min="11" max="11" width="10" style="2" bestFit="1" customWidth="1"/>
    <col min="12" max="12" width="10" style="2" customWidth="1"/>
    <col min="13" max="13" width="81.140625" style="2" customWidth="1"/>
    <col min="14" max="14" width="8.85546875" style="29"/>
    <col min="15" max="16384" width="8.85546875" style="2"/>
  </cols>
  <sheetData>
    <row r="1" spans="2:14" ht="23.25">
      <c r="B1" s="1" t="s">
        <v>25</v>
      </c>
    </row>
    <row r="2" spans="2:14">
      <c r="B2" s="2" t="str">
        <f>'[1]Table of Contents'!B2</f>
        <v>Draft of September 21, 2011</v>
      </c>
    </row>
    <row r="3" spans="2:14">
      <c r="B3" s="4"/>
    </row>
    <row r="4" spans="2:14">
      <c r="B4" s="2" t="s">
        <v>26</v>
      </c>
    </row>
    <row r="5" spans="2:14">
      <c r="B5" s="2" t="s">
        <v>27</v>
      </c>
    </row>
    <row r="7" spans="2:14" ht="27" customHeight="1">
      <c r="G7" s="30"/>
      <c r="H7" s="138" t="s">
        <v>28</v>
      </c>
      <c r="I7" s="139"/>
      <c r="J7" s="139"/>
      <c r="K7" s="140"/>
      <c r="L7" s="31">
        <v>120000</v>
      </c>
    </row>
    <row r="8" spans="2:14" s="32" customFormat="1" ht="61.5" customHeight="1">
      <c r="C8" s="33" t="s">
        <v>8</v>
      </c>
      <c r="D8" s="33" t="s">
        <v>9</v>
      </c>
      <c r="E8" s="33" t="s">
        <v>10</v>
      </c>
      <c r="F8" s="33" t="s">
        <v>11</v>
      </c>
      <c r="H8" s="34" t="s">
        <v>29</v>
      </c>
      <c r="I8" s="34" t="s">
        <v>30</v>
      </c>
      <c r="J8" s="34" t="s">
        <v>31</v>
      </c>
      <c r="K8" s="34" t="s">
        <v>32</v>
      </c>
      <c r="L8" s="35" t="s">
        <v>33</v>
      </c>
      <c r="M8" s="36" t="s">
        <v>12</v>
      </c>
      <c r="N8" s="37"/>
    </row>
    <row r="9" spans="2:14" s="32" customFormat="1" ht="15.75" customHeight="1">
      <c r="B9" s="38" t="str">
        <f>'Category (2012)'!B9</f>
        <v>Existing Measure Review &amp; Updates</v>
      </c>
      <c r="C9" s="36"/>
      <c r="D9" s="36"/>
      <c r="E9" s="36"/>
      <c r="F9" s="36"/>
      <c r="I9" s="39"/>
      <c r="N9" s="37"/>
    </row>
    <row r="10" spans="2:14" s="32" customFormat="1" ht="15.75" customHeight="1">
      <c r="B10" s="40" t="s">
        <v>34</v>
      </c>
      <c r="C10" s="41">
        <f>H10*I10</f>
        <v>60000</v>
      </c>
      <c r="D10" s="41">
        <f>H10*J10</f>
        <v>10000</v>
      </c>
      <c r="E10" s="41">
        <f>SUM(C10:D10)</f>
        <v>70000</v>
      </c>
      <c r="F10" s="41">
        <f>H10*K10</f>
        <v>10000</v>
      </c>
      <c r="H10" s="94">
        <v>10</v>
      </c>
      <c r="I10" s="39">
        <v>6000</v>
      </c>
      <c r="J10" s="42">
        <v>1000</v>
      </c>
      <c r="K10" s="42">
        <v>1000</v>
      </c>
      <c r="L10" s="43">
        <f>$L$7/SUM(I10:K10)</f>
        <v>15</v>
      </c>
      <c r="M10" s="44" t="str">
        <f>CONCATENATE("Library of approx 30 Active UES on average 3-year review cycle or n=",H10," per year @ $",I10/1000,"K each")</f>
        <v>Library of approx 30 Active UES on average 3-year review cycle or n=10 per year @ $6K each</v>
      </c>
      <c r="N10" s="45"/>
    </row>
    <row r="11" spans="2:14" s="32" customFormat="1" ht="15.75" customHeight="1">
      <c r="B11" s="46" t="s">
        <v>35</v>
      </c>
      <c r="C11" s="41">
        <f t="shared" ref="C11:C13" si="0">H11*I11</f>
        <v>40000</v>
      </c>
      <c r="D11" s="41">
        <f t="shared" ref="D11:D13" si="1">H11*J11</f>
        <v>20000</v>
      </c>
      <c r="E11" s="41">
        <f>SUM(C11:D11)</f>
        <v>60000</v>
      </c>
      <c r="F11" s="41">
        <f t="shared" ref="F11:F13" si="2">H11*K11</f>
        <v>20000</v>
      </c>
      <c r="H11" s="94">
        <v>10</v>
      </c>
      <c r="I11" s="39">
        <v>4000</v>
      </c>
      <c r="J11" s="42">
        <v>2000</v>
      </c>
      <c r="K11" s="42">
        <v>2000</v>
      </c>
      <c r="L11" s="43">
        <f t="shared" ref="L11:L13" si="3">$L$7/SUM(I11:K11)</f>
        <v>15</v>
      </c>
      <c r="M11" s="44" t="str">
        <f>CONCATENATE("Library of approx 30 Prov UES on average 3-year review cycle or n=",H11," per year @ $",I11/1000,"K each")</f>
        <v>Library of approx 30 Prov UES on average 3-year review cycle or n=10 per year @ $4K each</v>
      </c>
      <c r="N11" s="47"/>
    </row>
    <row r="12" spans="2:14" s="32" customFormat="1" ht="15.75" customHeight="1">
      <c r="B12" s="48" t="s">
        <v>36</v>
      </c>
      <c r="C12" s="49">
        <f t="shared" si="0"/>
        <v>0</v>
      </c>
      <c r="D12" s="49">
        <f t="shared" si="1"/>
        <v>0</v>
      </c>
      <c r="E12" s="49">
        <f>SUM(C12:D12)</f>
        <v>0</v>
      </c>
      <c r="F12" s="49">
        <f t="shared" si="2"/>
        <v>0</v>
      </c>
      <c r="G12" s="50"/>
      <c r="H12" s="95">
        <v>0</v>
      </c>
      <c r="I12" s="51">
        <v>15000</v>
      </c>
      <c r="J12" s="51">
        <v>3000</v>
      </c>
      <c r="K12" s="51">
        <v>3000</v>
      </c>
      <c r="L12" s="43">
        <f t="shared" si="3"/>
        <v>5.7142857142857144</v>
      </c>
      <c r="M12" s="44" t="str">
        <f>CONCATENATE("Eventual library of 6 Protocols on 3-year review cycle for n=",H12," per year @ $",I12/1000,"K each.  For 2012 no existing reviews.")</f>
        <v>Eventual library of 6 Protocols on 3-year review cycle for n=0 per year @ $15K each.  For 2012 no existing reviews.</v>
      </c>
      <c r="N12" s="47"/>
    </row>
    <row r="13" spans="2:14" s="54" customFormat="1" ht="15.75" customHeight="1">
      <c r="B13" s="40" t="s">
        <v>37</v>
      </c>
      <c r="C13" s="52">
        <f t="shared" si="0"/>
        <v>75000</v>
      </c>
      <c r="D13" s="52">
        <f t="shared" si="1"/>
        <v>20000</v>
      </c>
      <c r="E13" s="52">
        <f>SUM(C13:D13)</f>
        <v>95000</v>
      </c>
      <c r="F13" s="52">
        <f t="shared" si="2"/>
        <v>10000</v>
      </c>
      <c r="G13" s="32"/>
      <c r="H13" s="94">
        <v>5</v>
      </c>
      <c r="I13" s="39">
        <v>15000</v>
      </c>
      <c r="J13" s="39">
        <v>4000</v>
      </c>
      <c r="K13" s="39">
        <v>2000</v>
      </c>
      <c r="L13" s="43">
        <f t="shared" si="3"/>
        <v>5.7142857142857144</v>
      </c>
      <c r="M13" s="53" t="s">
        <v>38</v>
      </c>
      <c r="N13" s="45"/>
    </row>
    <row r="14" spans="2:14" s="32" customFormat="1" ht="15.75" customHeight="1">
      <c r="B14" s="38" t="str">
        <f>CONCATENATE("Subtotal ",B9)</f>
        <v>Subtotal Existing Measure Review &amp; Updates</v>
      </c>
      <c r="C14" s="55">
        <f>SUM(C10:C13)</f>
        <v>175000</v>
      </c>
      <c r="D14" s="55">
        <f>SUM(D10:D13)</f>
        <v>50000</v>
      </c>
      <c r="E14" s="55">
        <f>SUM(E10:E13)</f>
        <v>225000</v>
      </c>
      <c r="F14" s="55">
        <f>SUM(F10:F13)</f>
        <v>40000</v>
      </c>
      <c r="H14" s="94"/>
      <c r="I14" s="42"/>
      <c r="J14" s="42"/>
      <c r="K14" s="42"/>
      <c r="L14" s="42"/>
      <c r="M14" s="56"/>
      <c r="N14" s="37"/>
    </row>
    <row r="15" spans="2:14" s="32" customFormat="1" ht="15.75" customHeight="1">
      <c r="C15" s="41"/>
      <c r="D15" s="41"/>
      <c r="E15" s="41"/>
      <c r="F15" s="36"/>
      <c r="H15" s="94"/>
      <c r="J15" s="57"/>
      <c r="K15" s="57"/>
      <c r="L15" s="57"/>
      <c r="M15" s="58"/>
      <c r="N15" s="37"/>
    </row>
    <row r="16" spans="2:14" s="32" customFormat="1" ht="15.75" customHeight="1">
      <c r="C16" s="41"/>
      <c r="D16" s="41"/>
      <c r="E16" s="41"/>
      <c r="F16" s="36"/>
      <c r="H16" s="96"/>
      <c r="I16" s="59"/>
      <c r="J16" s="57"/>
      <c r="K16" s="57"/>
      <c r="L16" s="57"/>
      <c r="M16" s="58"/>
      <c r="N16" s="37"/>
    </row>
    <row r="17" spans="2:20" s="32" customFormat="1" ht="15.75" customHeight="1">
      <c r="B17" s="38" t="str">
        <f>'Category (2012)'!B10</f>
        <v>New Measure Development &amp; Review of Unsolicited Proposals</v>
      </c>
      <c r="C17" s="41"/>
      <c r="D17" s="41"/>
      <c r="E17" s="41"/>
      <c r="F17" s="36"/>
      <c r="H17" s="96"/>
      <c r="I17" s="57"/>
      <c r="J17" s="57"/>
      <c r="K17" s="57"/>
      <c r="L17" s="57"/>
      <c r="M17" s="56"/>
      <c r="N17" s="37"/>
    </row>
    <row r="18" spans="2:20" s="32" customFormat="1" ht="15.75" customHeight="1">
      <c r="B18" s="46" t="s">
        <v>39</v>
      </c>
      <c r="C18" s="41">
        <f>H18*I18</f>
        <v>48000</v>
      </c>
      <c r="D18" s="41">
        <f>H18*J18</f>
        <v>24000</v>
      </c>
      <c r="E18" s="41">
        <f>SUM(C18:D18)</f>
        <v>72000</v>
      </c>
      <c r="F18" s="41">
        <f>H18*K18</f>
        <v>8000</v>
      </c>
      <c r="H18" s="96">
        <v>4</v>
      </c>
      <c r="I18" s="57">
        <v>12000</v>
      </c>
      <c r="J18" s="57">
        <v>6000</v>
      </c>
      <c r="K18" s="57">
        <v>2000</v>
      </c>
      <c r="L18" s="43">
        <f t="shared" ref="L18:L24" si="4">$L$7/SUM(I18:K18)</f>
        <v>6</v>
      </c>
      <c r="M18" s="44" t="str">
        <f>CONCATENATE("Review New UES (n=",H18," per year @ $",I18/1000,"K each).  Assumes proposers do most development work.  Proposals come to RTF well-crafted.")</f>
        <v>Review New UES (n=4 per year @ $12K each).  Assumes proposers do most development work.  Proposals come to RTF well-crafted.</v>
      </c>
      <c r="N18" s="60"/>
    </row>
    <row r="19" spans="2:20" s="32" customFormat="1" ht="15.75" customHeight="1">
      <c r="B19" s="46" t="s">
        <v>40</v>
      </c>
      <c r="C19" s="41">
        <f t="shared" ref="C19:C20" si="5">H19*I19</f>
        <v>60000</v>
      </c>
      <c r="D19" s="41">
        <f t="shared" ref="D19:D20" si="6">H19*J19</f>
        <v>24000</v>
      </c>
      <c r="E19" s="41">
        <f t="shared" ref="E19:E20" si="7">SUM(C19:D19)</f>
        <v>84000</v>
      </c>
      <c r="F19" s="41">
        <f t="shared" ref="F19:F20" si="8">H19*K19</f>
        <v>8000</v>
      </c>
      <c r="H19" s="96">
        <v>4</v>
      </c>
      <c r="I19" s="57">
        <v>15000</v>
      </c>
      <c r="J19" s="57">
        <v>6000</v>
      </c>
      <c r="K19" s="57">
        <v>2000</v>
      </c>
      <c r="L19" s="43">
        <f t="shared" si="4"/>
        <v>5.2173913043478262</v>
      </c>
      <c r="M19" s="44" t="str">
        <f>CONCATENATE("Review New Standard Protocols with Calculators (",H19," per year @ $",I19/1000,"K each).  Assumes proposers do most development work.  Proposals come to RTF well-crafted.")</f>
        <v>Review New Standard Protocols with Calculators (4 per year @ $15K each).  Assumes proposers do most development work.  Proposals come to RTF well-crafted.</v>
      </c>
      <c r="N19" s="61"/>
    </row>
    <row r="20" spans="2:20" s="32" customFormat="1" ht="15.75" customHeight="1">
      <c r="B20" s="46" t="s">
        <v>41</v>
      </c>
      <c r="C20" s="41">
        <f t="shared" si="5"/>
        <v>36000</v>
      </c>
      <c r="D20" s="41">
        <f t="shared" si="6"/>
        <v>36000</v>
      </c>
      <c r="E20" s="41">
        <f t="shared" si="7"/>
        <v>72000</v>
      </c>
      <c r="F20" s="41">
        <f t="shared" si="8"/>
        <v>6000</v>
      </c>
      <c r="H20" s="96">
        <v>3</v>
      </c>
      <c r="I20" s="57">
        <v>12000</v>
      </c>
      <c r="J20" s="57">
        <v>12000</v>
      </c>
      <c r="K20" s="57">
        <v>2000</v>
      </c>
      <c r="L20" s="43">
        <f t="shared" si="4"/>
        <v>4.615384615384615</v>
      </c>
      <c r="M20" s="44" t="str">
        <f>CONCATENATE("Develop Small &amp; Rural Measures (",H20," @ $",I20/1000,"K each).  Includes analysis to better understand needs around packaging irrigation measures, or training or specification simplification.")</f>
        <v>Develop Small &amp; Rural Measures (3 @ $12K each).  Includes analysis to better understand needs around packaging irrigation measures, or training or specification simplification.</v>
      </c>
      <c r="N20" s="61"/>
    </row>
    <row r="21" spans="2:20" s="32" customFormat="1" ht="15.75" customHeight="1">
      <c r="B21" s="46" t="s">
        <v>42</v>
      </c>
      <c r="C21" s="41">
        <f>H21*I21</f>
        <v>48000</v>
      </c>
      <c r="D21" s="41">
        <f>H21*J21</f>
        <v>48000</v>
      </c>
      <c r="E21" s="41">
        <f>SUM(C21:D21)</f>
        <v>96000</v>
      </c>
      <c r="F21" s="41">
        <f>H21*K21</f>
        <v>8000</v>
      </c>
      <c r="H21" s="96">
        <v>4</v>
      </c>
      <c r="I21" s="57">
        <v>12000</v>
      </c>
      <c r="J21" s="57">
        <v>12000</v>
      </c>
      <c r="K21" s="57">
        <v>2000</v>
      </c>
      <c r="L21" s="43">
        <f t="shared" si="4"/>
        <v>4.615384615384615</v>
      </c>
      <c r="M21" s="44" t="str">
        <f>CONCATENATE("Review New UES/Protocol (n=",H21," per year @ $",I21/1000,"K each).  Assumes proposers do most development work.  Proposals come to RTF well-crafted.")</f>
        <v>Review New UES/Protocol (n=4 per year @ $12K each).  Assumes proposers do most development work.  Proposals come to RTF well-crafted.</v>
      </c>
      <c r="N21" s="37"/>
    </row>
    <row r="22" spans="2:20" s="32" customFormat="1" ht="15.75" customHeight="1">
      <c r="B22" s="46" t="s">
        <v>43</v>
      </c>
      <c r="C22" s="41">
        <f>H22*I22</f>
        <v>15000</v>
      </c>
      <c r="D22" s="41">
        <f>H22*J22</f>
        <v>5000</v>
      </c>
      <c r="E22" s="41">
        <f>SUM(C22:D22)</f>
        <v>20000</v>
      </c>
      <c r="F22" s="41">
        <f>H22*K22</f>
        <v>5000</v>
      </c>
      <c r="H22" s="96">
        <v>5</v>
      </c>
      <c r="I22" s="57">
        <v>3000</v>
      </c>
      <c r="J22" s="42">
        <v>1000</v>
      </c>
      <c r="K22" s="42">
        <v>1000</v>
      </c>
      <c r="L22" s="43">
        <f t="shared" si="4"/>
        <v>24</v>
      </c>
      <c r="M22" s="44" t="s">
        <v>44</v>
      </c>
      <c r="N22" s="37"/>
    </row>
    <row r="23" spans="2:20" s="32" customFormat="1" ht="15.75" customHeight="1">
      <c r="B23" s="48" t="s">
        <v>45</v>
      </c>
      <c r="C23" s="49">
        <f>H23*I23</f>
        <v>0</v>
      </c>
      <c r="D23" s="49">
        <f>H23*J23</f>
        <v>0</v>
      </c>
      <c r="E23" s="49">
        <f>SUM(C23:D23)</f>
        <v>0</v>
      </c>
      <c r="F23" s="49">
        <f>H23*K23</f>
        <v>0</v>
      </c>
      <c r="G23" s="62"/>
      <c r="H23" s="97">
        <v>0</v>
      </c>
      <c r="I23" s="63">
        <v>40000</v>
      </c>
      <c r="J23" s="63">
        <v>6000</v>
      </c>
      <c r="K23" s="63">
        <v>3000</v>
      </c>
      <c r="L23" s="43">
        <f t="shared" si="4"/>
        <v>2.4489795918367347</v>
      </c>
      <c r="M23" s="44" t="str">
        <f>CONCATENATE("Develop New UES (n=",H23," per year @ $",I23/1000,"K each).  Assumes RTF contract for most development work.")</f>
        <v>Develop New UES (n=0 per year @ $40K each).  Assumes RTF contract for most development work.</v>
      </c>
      <c r="N23" s="62"/>
      <c r="O23" s="62"/>
      <c r="P23" s="62"/>
      <c r="Q23" s="62"/>
      <c r="R23" s="62"/>
      <c r="S23" s="62"/>
      <c r="T23" s="62"/>
    </row>
    <row r="24" spans="2:20" s="32" customFormat="1" ht="15.75" customHeight="1">
      <c r="B24" s="48" t="s">
        <v>46</v>
      </c>
      <c r="C24" s="49">
        <f>H24*I24</f>
        <v>0</v>
      </c>
      <c r="D24" s="49">
        <f>H24*J24</f>
        <v>0</v>
      </c>
      <c r="E24" s="49">
        <f>SUM(C24:D24)</f>
        <v>0</v>
      </c>
      <c r="F24" s="49">
        <f>H24*K24</f>
        <v>0</v>
      </c>
      <c r="G24" s="62"/>
      <c r="H24" s="97">
        <v>0</v>
      </c>
      <c r="I24" s="63">
        <v>45000</v>
      </c>
      <c r="J24" s="63">
        <v>6000</v>
      </c>
      <c r="K24" s="63">
        <v>3000</v>
      </c>
      <c r="L24" s="43">
        <f t="shared" si="4"/>
        <v>2.2222222222222223</v>
      </c>
      <c r="M24" s="44" t="str">
        <f>CONCATENATE("Develop New Standarad Protocol (n=",H24," per year @ $",I24/1000,"K each).  Assumes RTF contract for most development work.")</f>
        <v>Develop New Standarad Protocol (n=0 per year @ $45K each).  Assumes RTF contract for most development work.</v>
      </c>
      <c r="N24" s="62"/>
      <c r="O24" s="62"/>
      <c r="P24" s="62"/>
      <c r="Q24" s="62"/>
      <c r="R24" s="62"/>
      <c r="S24" s="62"/>
      <c r="T24" s="62"/>
    </row>
    <row r="25" spans="2:20" s="32" customFormat="1" ht="15.75" customHeight="1">
      <c r="B25" s="38" t="str">
        <f>CONCATENATE("Subtotal ",B17)</f>
        <v>Subtotal New Measure Development &amp; Review of Unsolicited Proposals</v>
      </c>
      <c r="C25" s="55">
        <f>SUM(C18:C22)</f>
        <v>207000</v>
      </c>
      <c r="D25" s="55">
        <f t="shared" ref="D25:F25" si="9">SUM(D18:D22)</f>
        <v>137000</v>
      </c>
      <c r="E25" s="55">
        <f t="shared" si="9"/>
        <v>344000</v>
      </c>
      <c r="F25" s="55">
        <f t="shared" si="9"/>
        <v>35000</v>
      </c>
      <c r="M25" s="44"/>
      <c r="N25" s="37"/>
    </row>
    <row r="26" spans="2:20" s="32" customFormat="1" ht="15.75" customHeight="1">
      <c r="B26" s="46"/>
      <c r="C26" s="41"/>
      <c r="D26" s="41"/>
      <c r="E26" s="41"/>
      <c r="F26" s="36"/>
      <c r="J26" s="59"/>
      <c r="K26" s="59"/>
      <c r="L26" s="59"/>
      <c r="M26" s="64"/>
      <c r="N26" s="37"/>
    </row>
    <row r="27" spans="2:20" s="32" customFormat="1" ht="15.75" customHeight="1">
      <c r="C27" s="41"/>
      <c r="D27" s="41"/>
      <c r="E27" s="41"/>
      <c r="F27" s="36"/>
      <c r="J27" s="4"/>
      <c r="K27" s="4"/>
      <c r="L27" s="4"/>
      <c r="M27" s="64"/>
      <c r="N27" s="37"/>
    </row>
    <row r="28" spans="2:20" ht="15.75">
      <c r="B28" s="38" t="str">
        <f>'Category (2012)'!B11</f>
        <v>Standardization of Technical Analysis</v>
      </c>
      <c r="C28" s="4"/>
      <c r="D28" s="4"/>
      <c r="E28" s="4"/>
      <c r="F28" s="4"/>
      <c r="J28" s="4"/>
      <c r="K28" s="4"/>
      <c r="L28" s="4"/>
      <c r="M28" s="64"/>
    </row>
    <row r="29" spans="2:20" ht="15.75">
      <c r="B29" s="46" t="s">
        <v>47</v>
      </c>
      <c r="C29" s="65">
        <v>0</v>
      </c>
      <c r="D29" s="66">
        <v>7000</v>
      </c>
      <c r="E29" s="66">
        <f t="shared" ref="E29:E34" si="10">SUM(C29:D29)</f>
        <v>7000</v>
      </c>
      <c r="F29" s="67">
        <v>7000</v>
      </c>
      <c r="G29" s="4"/>
      <c r="H29" s="4"/>
      <c r="I29" s="61"/>
      <c r="J29" s="4"/>
      <c r="K29" s="4"/>
      <c r="L29" s="4"/>
      <c r="M29" s="4"/>
      <c r="N29" s="61"/>
      <c r="O29" s="4"/>
    </row>
    <row r="30" spans="2:20" ht="15.75">
      <c r="B30" s="46" t="s">
        <v>48</v>
      </c>
      <c r="C30" s="65">
        <v>0</v>
      </c>
      <c r="D30" s="65">
        <v>5000</v>
      </c>
      <c r="E30" s="65">
        <f t="shared" si="10"/>
        <v>5000</v>
      </c>
      <c r="F30" s="68">
        <v>5000</v>
      </c>
      <c r="I30" s="61"/>
      <c r="J30" s="4"/>
      <c r="K30" s="4"/>
      <c r="L30" s="4"/>
      <c r="M30" s="4"/>
    </row>
    <row r="31" spans="2:20" ht="15.75">
      <c r="B31" s="46" t="s">
        <v>49</v>
      </c>
      <c r="C31" s="65">
        <v>20000</v>
      </c>
      <c r="D31" s="65">
        <v>5000</v>
      </c>
      <c r="E31" s="65">
        <f t="shared" si="10"/>
        <v>25000</v>
      </c>
      <c r="F31" s="68">
        <f t="shared" ref="F31:F34" si="11">1/2*D31</f>
        <v>2500</v>
      </c>
      <c r="I31" s="61"/>
      <c r="J31" s="4"/>
      <c r="K31" s="4"/>
      <c r="L31" s="4"/>
      <c r="M31" s="64"/>
    </row>
    <row r="32" spans="2:20" ht="15.75">
      <c r="B32" s="46" t="s">
        <v>50</v>
      </c>
      <c r="C32" s="41">
        <v>70000</v>
      </c>
      <c r="D32" s="41">
        <v>10000</v>
      </c>
      <c r="E32" s="41">
        <f t="shared" si="10"/>
        <v>80000</v>
      </c>
      <c r="F32" s="69">
        <f t="shared" si="11"/>
        <v>5000</v>
      </c>
      <c r="I32" s="61"/>
      <c r="J32" s="4"/>
      <c r="K32" s="4"/>
      <c r="L32" s="4"/>
      <c r="M32" s="44" t="s">
        <v>51</v>
      </c>
    </row>
    <row r="33" spans="2:13" ht="15.75">
      <c r="B33" s="46" t="s">
        <v>52</v>
      </c>
      <c r="C33" s="41">
        <v>40000</v>
      </c>
      <c r="D33" s="41">
        <v>10000</v>
      </c>
      <c r="E33" s="41">
        <f t="shared" si="10"/>
        <v>50000</v>
      </c>
      <c r="F33" s="69">
        <f t="shared" si="11"/>
        <v>5000</v>
      </c>
      <c r="M33" s="44"/>
    </row>
    <row r="34" spans="2:13" ht="15.75">
      <c r="B34" s="46" t="s">
        <v>53</v>
      </c>
      <c r="C34" s="41">
        <v>10000</v>
      </c>
      <c r="D34" s="41">
        <v>5000</v>
      </c>
      <c r="E34" s="41">
        <f t="shared" si="10"/>
        <v>15000</v>
      </c>
      <c r="F34" s="69">
        <f t="shared" si="11"/>
        <v>2500</v>
      </c>
      <c r="M34" s="44"/>
    </row>
    <row r="35" spans="2:13" ht="15.75">
      <c r="B35" s="48" t="s">
        <v>54</v>
      </c>
      <c r="C35" s="70">
        <v>0</v>
      </c>
      <c r="D35" s="70">
        <v>0</v>
      </c>
      <c r="E35" s="70">
        <v>0</v>
      </c>
      <c r="F35" s="71">
        <v>0</v>
      </c>
      <c r="G35" s="4"/>
      <c r="H35" s="4"/>
      <c r="I35" s="61"/>
      <c r="J35" s="4"/>
      <c r="K35" s="4"/>
      <c r="L35" s="4"/>
      <c r="M35" s="44" t="s">
        <v>55</v>
      </c>
    </row>
    <row r="36" spans="2:13" ht="15.75">
      <c r="B36" s="48" t="s">
        <v>56</v>
      </c>
      <c r="C36" s="70">
        <v>0</v>
      </c>
      <c r="D36" s="70">
        <v>0</v>
      </c>
      <c r="E36" s="70">
        <v>0</v>
      </c>
      <c r="F36" s="71">
        <v>0</v>
      </c>
      <c r="G36" s="4"/>
      <c r="H36" s="4"/>
      <c r="I36" s="61"/>
      <c r="J36" s="4"/>
      <c r="K36" s="4"/>
      <c r="L36" s="4"/>
      <c r="M36" s="44" t="s">
        <v>57</v>
      </c>
    </row>
    <row r="37" spans="2:13" ht="15.75">
      <c r="B37" s="48" t="s">
        <v>58</v>
      </c>
      <c r="C37" s="70">
        <v>0</v>
      </c>
      <c r="D37" s="70">
        <v>0</v>
      </c>
      <c r="E37" s="70">
        <v>0</v>
      </c>
      <c r="F37" s="71">
        <v>0</v>
      </c>
      <c r="G37" s="4"/>
      <c r="H37" s="4"/>
      <c r="I37" s="61"/>
      <c r="J37" s="4"/>
      <c r="K37" s="4"/>
      <c r="L37" s="4"/>
      <c r="M37" s="44" t="s">
        <v>57</v>
      </c>
    </row>
    <row r="38" spans="2:13" ht="15.75">
      <c r="B38" s="38" t="str">
        <f>CONCATENATE("Subtotal ",B28)</f>
        <v>Subtotal Standardization of Technical Analysis</v>
      </c>
      <c r="C38" s="55">
        <f>SUM(C29:C37)</f>
        <v>140000</v>
      </c>
      <c r="D38" s="55">
        <f t="shared" ref="D38:F38" si="12">SUM(D29:D37)</f>
        <v>42000</v>
      </c>
      <c r="E38" s="55">
        <f t="shared" si="12"/>
        <v>182000</v>
      </c>
      <c r="F38" s="55">
        <f t="shared" si="12"/>
        <v>27000</v>
      </c>
      <c r="M38" s="44"/>
    </row>
    <row r="39" spans="2:13">
      <c r="M39" s="44"/>
    </row>
    <row r="40" spans="2:13">
      <c r="C40" s="41"/>
      <c r="D40" s="41"/>
      <c r="E40" s="41"/>
      <c r="M40" s="44"/>
    </row>
    <row r="41" spans="2:13" ht="15.75">
      <c r="B41" s="38" t="str">
        <f>'Category (2012)'!B12</f>
        <v>Tool Development</v>
      </c>
      <c r="C41" s="41"/>
      <c r="D41" s="41"/>
      <c r="E41" s="41"/>
      <c r="M41" s="44"/>
    </row>
    <row r="42" spans="2:13" ht="15.75">
      <c r="B42" s="46" t="s">
        <v>59</v>
      </c>
      <c r="C42" s="41">
        <v>6000</v>
      </c>
      <c r="D42" s="41">
        <v>6000</v>
      </c>
      <c r="E42" s="41">
        <f>SUM(C42:D42)</f>
        <v>12000</v>
      </c>
      <c r="F42" s="41">
        <v>1000</v>
      </c>
      <c r="I42" s="61"/>
      <c r="J42" s="61"/>
      <c r="K42" s="61"/>
      <c r="L42" s="61"/>
      <c r="M42" s="44" t="s">
        <v>60</v>
      </c>
    </row>
    <row r="43" spans="2:13" ht="15.75">
      <c r="B43" s="46" t="s">
        <v>61</v>
      </c>
      <c r="C43" s="41">
        <v>30000</v>
      </c>
      <c r="D43" s="41">
        <v>6000</v>
      </c>
      <c r="E43" s="41">
        <f t="shared" ref="E43:E50" si="13">SUM(C43:D43)</f>
        <v>36000</v>
      </c>
      <c r="F43" s="41">
        <v>3000</v>
      </c>
      <c r="M43" s="44" t="s">
        <v>62</v>
      </c>
    </row>
    <row r="44" spans="2:13" ht="15.75">
      <c r="B44" s="46" t="s">
        <v>63</v>
      </c>
      <c r="C44" s="41">
        <v>0</v>
      </c>
      <c r="D44" s="65">
        <v>6000</v>
      </c>
      <c r="E44" s="41">
        <f t="shared" si="13"/>
        <v>6000</v>
      </c>
      <c r="F44" s="41">
        <v>3000</v>
      </c>
      <c r="I44" s="60"/>
      <c r="J44" s="60"/>
      <c r="K44" s="60"/>
      <c r="L44" s="60"/>
      <c r="M44" s="44" t="s">
        <v>64</v>
      </c>
    </row>
    <row r="45" spans="2:13" ht="15.75">
      <c r="B45" s="46" t="s">
        <v>65</v>
      </c>
      <c r="C45" s="65">
        <v>0</v>
      </c>
      <c r="D45" s="65">
        <v>6000</v>
      </c>
      <c r="E45" s="41">
        <f t="shared" si="13"/>
        <v>6000</v>
      </c>
      <c r="F45" s="41">
        <v>3000</v>
      </c>
      <c r="I45" s="60"/>
      <c r="J45" s="60"/>
      <c r="K45" s="60"/>
      <c r="L45" s="60"/>
      <c r="M45" s="44" t="s">
        <v>64</v>
      </c>
    </row>
    <row r="46" spans="2:13" ht="15.75">
      <c r="B46" s="46" t="s">
        <v>66</v>
      </c>
      <c r="C46" s="65">
        <v>0</v>
      </c>
      <c r="D46" s="65">
        <v>6000</v>
      </c>
      <c r="E46" s="41">
        <f t="shared" si="13"/>
        <v>6000</v>
      </c>
      <c r="F46" s="41">
        <v>0</v>
      </c>
      <c r="I46" s="60"/>
      <c r="J46" s="4"/>
      <c r="K46" s="4"/>
      <c r="L46" s="4"/>
      <c r="M46" s="44" t="s">
        <v>67</v>
      </c>
    </row>
    <row r="47" spans="2:13" ht="15.75">
      <c r="B47" s="46" t="s">
        <v>68</v>
      </c>
      <c r="C47" s="41">
        <v>30000</v>
      </c>
      <c r="D47" s="41">
        <v>6000</v>
      </c>
      <c r="E47" s="41">
        <f t="shared" si="13"/>
        <v>36000</v>
      </c>
      <c r="F47" s="41">
        <v>0</v>
      </c>
      <c r="J47" s="4"/>
      <c r="K47" s="4"/>
      <c r="L47" s="4"/>
      <c r="M47" s="44" t="s">
        <v>69</v>
      </c>
    </row>
    <row r="48" spans="2:13" ht="15.75">
      <c r="B48" s="46" t="s">
        <v>70</v>
      </c>
      <c r="C48" s="65">
        <v>5000</v>
      </c>
      <c r="D48" s="65">
        <v>5000</v>
      </c>
      <c r="E48" s="65">
        <f t="shared" si="13"/>
        <v>10000</v>
      </c>
      <c r="F48" s="65">
        <v>0</v>
      </c>
      <c r="G48" s="4"/>
      <c r="H48" s="4"/>
      <c r="I48" s="61"/>
      <c r="J48" s="4"/>
      <c r="K48" s="4"/>
      <c r="L48" s="4"/>
      <c r="M48" s="64" t="s">
        <v>71</v>
      </c>
    </row>
    <row r="49" spans="2:14" ht="15.75">
      <c r="B49" s="46" t="s">
        <v>72</v>
      </c>
      <c r="C49" s="65">
        <v>5000</v>
      </c>
      <c r="D49" s="65">
        <v>5000</v>
      </c>
      <c r="E49" s="65">
        <f t="shared" si="13"/>
        <v>10000</v>
      </c>
      <c r="F49" s="65">
        <v>0</v>
      </c>
      <c r="G49" s="4"/>
      <c r="H49" s="4"/>
      <c r="I49" s="61"/>
      <c r="J49" s="4"/>
      <c r="K49" s="4"/>
      <c r="L49" s="4"/>
      <c r="M49" s="64" t="s">
        <v>73</v>
      </c>
    </row>
    <row r="50" spans="2:14" ht="15.75">
      <c r="B50" s="46" t="s">
        <v>74</v>
      </c>
      <c r="C50" s="65">
        <v>10000</v>
      </c>
      <c r="D50" s="65">
        <v>2000</v>
      </c>
      <c r="E50" s="65">
        <f t="shared" si="13"/>
        <v>12000</v>
      </c>
      <c r="F50" s="65">
        <v>2000</v>
      </c>
      <c r="G50" s="4"/>
      <c r="H50" s="4"/>
      <c r="I50" s="61"/>
      <c r="J50" s="4"/>
      <c r="K50" s="4"/>
      <c r="L50" s="4"/>
      <c r="M50" s="64"/>
    </row>
    <row r="51" spans="2:14" s="4" customFormat="1" ht="15.75">
      <c r="B51" s="48" t="s">
        <v>75</v>
      </c>
      <c r="C51" s="49">
        <v>0</v>
      </c>
      <c r="D51" s="49">
        <v>0</v>
      </c>
      <c r="E51" s="49">
        <v>0</v>
      </c>
      <c r="F51" s="49">
        <v>0</v>
      </c>
      <c r="G51" s="2"/>
      <c r="H51" s="2"/>
      <c r="I51" s="61"/>
      <c r="J51" s="61"/>
      <c r="K51" s="61"/>
      <c r="L51" s="61"/>
      <c r="M51" s="44" t="s">
        <v>76</v>
      </c>
      <c r="N51" s="61"/>
    </row>
    <row r="52" spans="2:14" s="4" customFormat="1" ht="15.75">
      <c r="B52" s="48" t="s">
        <v>77</v>
      </c>
      <c r="C52" s="49">
        <v>0</v>
      </c>
      <c r="D52" s="49">
        <v>0</v>
      </c>
      <c r="E52" s="49">
        <v>0</v>
      </c>
      <c r="F52" s="49">
        <v>0</v>
      </c>
      <c r="G52" s="72"/>
      <c r="H52" s="72"/>
      <c r="I52" s="72"/>
      <c r="J52" s="72"/>
      <c r="K52" s="72"/>
      <c r="L52" s="72"/>
      <c r="M52" s="44" t="s">
        <v>76</v>
      </c>
      <c r="N52" s="61"/>
    </row>
    <row r="53" spans="2:14" ht="15.75">
      <c r="B53" s="38" t="str">
        <f>CONCATENATE("Subtotal ",B41)</f>
        <v>Subtotal Tool Development</v>
      </c>
      <c r="C53" s="55">
        <f>SUM(C42:C52)</f>
        <v>86000</v>
      </c>
      <c r="D53" s="55">
        <f t="shared" ref="D53:F53" si="14">SUM(D42:D52)</f>
        <v>48000</v>
      </c>
      <c r="E53" s="55">
        <f t="shared" si="14"/>
        <v>134000</v>
      </c>
      <c r="F53" s="55">
        <f t="shared" si="14"/>
        <v>12000</v>
      </c>
      <c r="M53" s="44"/>
    </row>
    <row r="54" spans="2:14" ht="15.75">
      <c r="B54" s="46"/>
      <c r="C54" s="41"/>
      <c r="D54" s="41"/>
      <c r="E54" s="41"/>
      <c r="M54" s="44"/>
    </row>
    <row r="55" spans="2:14" ht="15.75">
      <c r="B55" s="46"/>
      <c r="C55" s="41"/>
      <c r="D55" s="41"/>
      <c r="E55" s="41"/>
      <c r="M55" s="44"/>
    </row>
    <row r="56" spans="2:14" ht="15.75">
      <c r="B56" s="38" t="str">
        <f>'Category (2012)'!B13</f>
        <v>Research Projects &amp; Data Development</v>
      </c>
      <c r="C56" s="41"/>
      <c r="D56" s="41"/>
      <c r="E56" s="41"/>
      <c r="M56" s="44"/>
    </row>
    <row r="57" spans="2:14" ht="15.75">
      <c r="B57" s="46" t="s">
        <v>78</v>
      </c>
      <c r="C57" s="41">
        <v>50000</v>
      </c>
      <c r="D57" s="41">
        <v>12000</v>
      </c>
      <c r="E57" s="41">
        <f>SUM(C57:D57)</f>
        <v>62000</v>
      </c>
      <c r="F57" s="92">
        <f>1/2*D57</f>
        <v>6000</v>
      </c>
      <c r="M57" s="44"/>
    </row>
    <row r="58" spans="2:14" ht="15.75">
      <c r="B58" s="46" t="s">
        <v>79</v>
      </c>
      <c r="C58" s="65">
        <v>15000</v>
      </c>
      <c r="D58" s="65">
        <v>2000</v>
      </c>
      <c r="E58" s="65">
        <f t="shared" ref="E58:E60" si="15">SUM(C58:D58)</f>
        <v>17000</v>
      </c>
      <c r="F58" s="93">
        <f t="shared" ref="F58:F60" si="16">1/2*D58</f>
        <v>1000</v>
      </c>
      <c r="G58" s="4"/>
      <c r="H58" s="4"/>
      <c r="I58" s="61"/>
      <c r="J58" s="4"/>
      <c r="K58" s="4"/>
      <c r="L58" s="4"/>
      <c r="M58" s="64"/>
    </row>
    <row r="59" spans="2:14" ht="15.75">
      <c r="B59" s="46" t="s">
        <v>80</v>
      </c>
      <c r="C59" s="65">
        <v>30000</v>
      </c>
      <c r="D59" s="65">
        <v>12000</v>
      </c>
      <c r="E59" s="65">
        <f t="shared" si="15"/>
        <v>42000</v>
      </c>
      <c r="F59" s="93">
        <f t="shared" si="16"/>
        <v>6000</v>
      </c>
      <c r="G59" s="4"/>
      <c r="H59" s="4"/>
      <c r="I59" s="61"/>
      <c r="J59" s="61"/>
      <c r="K59" s="61"/>
      <c r="L59" s="61"/>
      <c r="M59" s="73"/>
    </row>
    <row r="60" spans="2:14" ht="15.75">
      <c r="B60" s="46" t="s">
        <v>44</v>
      </c>
      <c r="C60" s="41">
        <v>50000</v>
      </c>
      <c r="D60" s="41">
        <v>12000</v>
      </c>
      <c r="E60" s="41">
        <f t="shared" si="15"/>
        <v>62000</v>
      </c>
      <c r="F60" s="92">
        <f t="shared" si="16"/>
        <v>6000</v>
      </c>
      <c r="M60" s="44"/>
    </row>
    <row r="61" spans="2:14" ht="15.75">
      <c r="B61" s="38" t="str">
        <f>CONCATENATE("Subtotal ",B56)</f>
        <v>Subtotal Research Projects &amp; Data Development</v>
      </c>
      <c r="C61" s="55">
        <f>SUM(C57:C60)</f>
        <v>145000</v>
      </c>
      <c r="D61" s="55">
        <f>SUM(D57:D60)</f>
        <v>38000</v>
      </c>
      <c r="E61" s="55">
        <f>SUM(E57:E60)</f>
        <v>183000</v>
      </c>
      <c r="F61" s="55">
        <f>SUM(F57:F60)</f>
        <v>19000</v>
      </c>
      <c r="M61" s="44"/>
    </row>
    <row r="62" spans="2:14">
      <c r="C62" s="41"/>
      <c r="D62" s="41"/>
      <c r="E62" s="41"/>
      <c r="M62" s="44"/>
    </row>
    <row r="63" spans="2:14" ht="15.75">
      <c r="B63" s="46"/>
      <c r="C63" s="41"/>
      <c r="D63" s="41"/>
      <c r="E63" s="41"/>
      <c r="M63" s="44"/>
    </row>
    <row r="64" spans="2:14" ht="15.75">
      <c r="B64" s="38" t="str">
        <f>'Category (2012)'!B14</f>
        <v>Regional Coordination</v>
      </c>
      <c r="C64" s="41"/>
      <c r="D64" s="41"/>
      <c r="E64" s="41"/>
      <c r="M64" s="44"/>
    </row>
    <row r="65" spans="2:13" ht="15.75">
      <c r="B65" s="46" t="s">
        <v>81</v>
      </c>
      <c r="C65" s="41">
        <v>0</v>
      </c>
      <c r="D65" s="41">
        <v>6000</v>
      </c>
      <c r="E65" s="41">
        <f>SUM(C65:D65)</f>
        <v>6000</v>
      </c>
      <c r="F65" s="41">
        <v>2000</v>
      </c>
      <c r="I65" s="74"/>
      <c r="J65" s="74"/>
      <c r="K65" s="74"/>
      <c r="L65" s="74"/>
      <c r="M65" s="44" t="s">
        <v>82</v>
      </c>
    </row>
    <row r="66" spans="2:13" ht="15.75">
      <c r="B66" s="46" t="s">
        <v>83</v>
      </c>
      <c r="C66" s="41">
        <v>0</v>
      </c>
      <c r="D66" s="41">
        <v>12000</v>
      </c>
      <c r="E66" s="41">
        <f t="shared" ref="E66:E69" si="17">SUM(C66:D66)</f>
        <v>12000</v>
      </c>
      <c r="F66" s="41">
        <v>2000</v>
      </c>
      <c r="M66" s="44" t="s">
        <v>84</v>
      </c>
    </row>
    <row r="67" spans="2:13" ht="15.75">
      <c r="B67" s="46" t="s">
        <v>85</v>
      </c>
      <c r="C67" s="41">
        <v>0</v>
      </c>
      <c r="D67" s="41">
        <v>24000</v>
      </c>
      <c r="E67" s="41">
        <f t="shared" si="17"/>
        <v>24000</v>
      </c>
      <c r="F67" s="41">
        <v>2000</v>
      </c>
      <c r="M67" s="44"/>
    </row>
    <row r="68" spans="2:13" ht="15.75">
      <c r="B68" s="46" t="s">
        <v>86</v>
      </c>
      <c r="C68" s="65">
        <v>0</v>
      </c>
      <c r="D68" s="65">
        <f>40*150</f>
        <v>6000</v>
      </c>
      <c r="E68" s="65">
        <f t="shared" si="17"/>
        <v>6000</v>
      </c>
      <c r="F68" s="65">
        <v>4000</v>
      </c>
      <c r="M68" s="64" t="s">
        <v>87</v>
      </c>
    </row>
    <row r="69" spans="2:13" ht="15.75">
      <c r="B69" s="46" t="s">
        <v>44</v>
      </c>
      <c r="C69" s="65">
        <v>0</v>
      </c>
      <c r="D69" s="65">
        <v>10000</v>
      </c>
      <c r="E69" s="65">
        <f t="shared" si="17"/>
        <v>10000</v>
      </c>
      <c r="F69" s="65">
        <v>2000</v>
      </c>
      <c r="M69" s="44"/>
    </row>
    <row r="70" spans="2:13" ht="15.75">
      <c r="B70" s="38" t="str">
        <f>CONCATENATE("Subtotal ",B64)</f>
        <v>Subtotal Regional Coordination</v>
      </c>
      <c r="C70" s="55">
        <f>SUM(C65:C69)</f>
        <v>0</v>
      </c>
      <c r="D70" s="55">
        <f>SUM(D65:D69)</f>
        <v>58000</v>
      </c>
      <c r="E70" s="55">
        <f>SUM(E65:E69)</f>
        <v>58000</v>
      </c>
      <c r="F70" s="55">
        <f>SUM(F65:F69)</f>
        <v>12000</v>
      </c>
      <c r="M70" s="44"/>
    </row>
    <row r="71" spans="2:13">
      <c r="C71" s="41"/>
      <c r="D71" s="41"/>
      <c r="E71" s="41"/>
      <c r="M71" s="44"/>
    </row>
    <row r="72" spans="2:13" ht="15.75">
      <c r="B72" s="46"/>
      <c r="C72" s="41"/>
      <c r="D72" s="41"/>
      <c r="E72" s="41"/>
      <c r="M72" s="44"/>
    </row>
    <row r="73" spans="2:13" ht="15.75">
      <c r="B73" s="38" t="str">
        <f>'Category (2012)'!B15</f>
        <v xml:space="preserve">Website, Database support, Conservation Tracking </v>
      </c>
      <c r="C73" s="41"/>
      <c r="D73" s="41"/>
      <c r="E73" s="41"/>
      <c r="M73" s="44"/>
    </row>
    <row r="74" spans="2:13" ht="15.75">
      <c r="B74" s="46" t="s">
        <v>88</v>
      </c>
      <c r="C74" s="41">
        <v>0</v>
      </c>
      <c r="D74" s="41">
        <v>0</v>
      </c>
      <c r="E74" s="41">
        <f>SUM(C74:D74)</f>
        <v>0</v>
      </c>
      <c r="F74" s="41">
        <v>30000</v>
      </c>
      <c r="M74" s="44"/>
    </row>
    <row r="75" spans="2:13" ht="15.75">
      <c r="B75" s="46" t="s">
        <v>89</v>
      </c>
      <c r="C75" s="41">
        <v>0</v>
      </c>
      <c r="D75" s="41">
        <v>0</v>
      </c>
      <c r="E75" s="41">
        <f t="shared" ref="E75:E76" si="18">SUM(C75:D75)</f>
        <v>0</v>
      </c>
      <c r="F75" s="41">
        <v>12000</v>
      </c>
      <c r="M75" s="44"/>
    </row>
    <row r="76" spans="2:13" ht="15.75">
      <c r="B76" s="46" t="s">
        <v>90</v>
      </c>
      <c r="C76" s="41">
        <v>0</v>
      </c>
      <c r="D76" s="41">
        <v>0</v>
      </c>
      <c r="E76" s="41">
        <f t="shared" si="18"/>
        <v>0</v>
      </c>
      <c r="F76" s="41">
        <v>8000</v>
      </c>
      <c r="I76" s="75"/>
      <c r="J76" s="75"/>
      <c r="K76" s="75"/>
      <c r="L76" s="75"/>
      <c r="M76" s="44" t="s">
        <v>91</v>
      </c>
    </row>
    <row r="77" spans="2:13" ht="15.75">
      <c r="B77" s="38" t="str">
        <f>CONCATENATE("Subtotal ",B73)</f>
        <v xml:space="preserve">Subtotal Website, Database support, Conservation Tracking </v>
      </c>
      <c r="C77" s="55">
        <f>SUM(C74:C76)</f>
        <v>0</v>
      </c>
      <c r="D77" s="55">
        <f t="shared" ref="D77:F77" si="19">SUM(D74:D76)</f>
        <v>0</v>
      </c>
      <c r="E77" s="55">
        <f t="shared" si="19"/>
        <v>0</v>
      </c>
      <c r="F77" s="55">
        <f t="shared" si="19"/>
        <v>50000</v>
      </c>
      <c r="M77" s="44"/>
    </row>
    <row r="78" spans="2:13" ht="15.75">
      <c r="B78" s="38"/>
      <c r="C78" s="41"/>
      <c r="D78" s="41"/>
      <c r="E78" s="41"/>
      <c r="F78" s="41"/>
      <c r="M78" s="44"/>
    </row>
    <row r="79" spans="2:13" ht="15.75">
      <c r="B79" s="46"/>
      <c r="C79" s="41"/>
      <c r="D79" s="41"/>
      <c r="E79" s="41"/>
      <c r="F79" s="41"/>
      <c r="M79" s="44"/>
    </row>
    <row r="80" spans="2:13" ht="15.75">
      <c r="B80" s="38" t="str">
        <f>'Category (2012)'!B16</f>
        <v>RTF Member Support &amp; Administration</v>
      </c>
      <c r="C80" s="41"/>
      <c r="D80" s="41"/>
      <c r="E80" s="41"/>
      <c r="F80" s="41"/>
      <c r="M80" s="44"/>
    </row>
    <row r="81" spans="2:13" ht="15.75">
      <c r="B81" s="46" t="s">
        <v>92</v>
      </c>
      <c r="C81" s="41">
        <v>24000</v>
      </c>
      <c r="D81" s="41">
        <v>0</v>
      </c>
      <c r="E81" s="41">
        <f>SUM(C81:D81)</f>
        <v>24000</v>
      </c>
      <c r="F81" s="41">
        <v>7000</v>
      </c>
      <c r="M81" s="2" t="s">
        <v>93</v>
      </c>
    </row>
    <row r="82" spans="2:13" ht="15.75">
      <c r="B82" s="46" t="s">
        <v>94</v>
      </c>
      <c r="C82" s="41">
        <v>150000</v>
      </c>
      <c r="D82" s="41">
        <v>0</v>
      </c>
      <c r="E82" s="41">
        <f>SUM(C82:D82)</f>
        <v>150000</v>
      </c>
      <c r="F82" s="41">
        <v>0</v>
      </c>
      <c r="M82" s="44" t="s">
        <v>95</v>
      </c>
    </row>
    <row r="83" spans="2:13" ht="15.75">
      <c r="B83" s="38" t="str">
        <f>CONCATENATE("Subtotal ",B80)</f>
        <v>Subtotal RTF Member Support &amp; Administration</v>
      </c>
      <c r="C83" s="55">
        <f>SUM(C81:C82)</f>
        <v>174000</v>
      </c>
      <c r="D83" s="55">
        <f t="shared" ref="D83:F83" si="20">SUM(D81:D82)</f>
        <v>0</v>
      </c>
      <c r="E83" s="55">
        <f t="shared" si="20"/>
        <v>174000</v>
      </c>
      <c r="F83" s="55">
        <f t="shared" si="20"/>
        <v>7000</v>
      </c>
      <c r="M83" s="76"/>
    </row>
    <row r="84" spans="2:13">
      <c r="C84" s="41"/>
      <c r="D84" s="41"/>
      <c r="E84" s="41"/>
      <c r="F84" s="41"/>
      <c r="M84" s="76"/>
    </row>
    <row r="85" spans="2:13">
      <c r="C85" s="41"/>
      <c r="D85" s="41"/>
      <c r="E85" s="41"/>
      <c r="F85" s="41"/>
      <c r="M85" s="76"/>
    </row>
    <row r="86" spans="2:13" ht="15.75">
      <c r="B86" s="38" t="s">
        <v>23</v>
      </c>
      <c r="C86" s="41"/>
      <c r="D86" s="41"/>
      <c r="E86" s="41"/>
      <c r="F86" s="41"/>
      <c r="M86" s="76"/>
    </row>
    <row r="87" spans="2:13" ht="15.75">
      <c r="B87" s="46" t="s">
        <v>96</v>
      </c>
      <c r="C87" s="41">
        <v>0</v>
      </c>
      <c r="D87" s="41">
        <v>100000</v>
      </c>
      <c r="E87" s="41">
        <f>SUM(C87:D87)</f>
        <v>100000</v>
      </c>
      <c r="F87" s="41">
        <v>0</v>
      </c>
      <c r="M87" s="76"/>
    </row>
    <row r="88" spans="2:13" ht="15.75">
      <c r="B88" s="46" t="s">
        <v>97</v>
      </c>
      <c r="C88" s="41">
        <v>0</v>
      </c>
      <c r="D88" s="41">
        <v>0</v>
      </c>
      <c r="E88" s="41">
        <f t="shared" ref="E88:E89" si="21">SUM(C88:D88)</f>
        <v>0</v>
      </c>
      <c r="F88" s="41">
        <v>180000</v>
      </c>
      <c r="M88" s="77"/>
    </row>
    <row r="89" spans="2:13" ht="15.75">
      <c r="B89" s="46" t="s">
        <v>98</v>
      </c>
      <c r="C89" s="41">
        <v>5000</v>
      </c>
      <c r="D89" s="41">
        <v>0</v>
      </c>
      <c r="E89" s="41">
        <f t="shared" si="21"/>
        <v>5000</v>
      </c>
      <c r="F89" s="41">
        <v>0</v>
      </c>
      <c r="M89" s="76"/>
    </row>
    <row r="90" spans="2:13" ht="15.75">
      <c r="B90" s="38" t="str">
        <f>CONCATENATE("Subtotal ",B86)</f>
        <v>Subtotal RTF Management</v>
      </c>
      <c r="C90" s="55">
        <f t="shared" ref="C90:D90" si="22">SUM(C87:C89)</f>
        <v>5000</v>
      </c>
      <c r="D90" s="55">
        <f t="shared" si="22"/>
        <v>100000</v>
      </c>
      <c r="E90" s="55">
        <f>SUM(E87:E89)</f>
        <v>105000</v>
      </c>
      <c r="F90" s="55">
        <f>SUM(F87:F89)</f>
        <v>180000</v>
      </c>
      <c r="M90" s="76"/>
    </row>
    <row r="91" spans="2:13">
      <c r="M91" s="76"/>
    </row>
    <row r="92" spans="2:13">
      <c r="M92" s="76"/>
    </row>
    <row r="93" spans="2:13" ht="15.75">
      <c r="B93" s="38" t="s">
        <v>99</v>
      </c>
      <c r="C93" s="78">
        <f>SUM(C14,C25,C38,C53,C61,C70,C77,C83,C90)</f>
        <v>932000</v>
      </c>
      <c r="D93" s="78">
        <f>SUM(D14,D25,D38,D53,D61,D70,D77,D83,D90)</f>
        <v>473000</v>
      </c>
      <c r="E93" s="78">
        <f>SUM(E14,E25,E38,E53,E61,E70,E77,E83,E90)</f>
        <v>1405000</v>
      </c>
      <c r="F93" s="78">
        <f>SUM(F14,F25,F38,F53,F61,F70,F77,F83,F90)</f>
        <v>382000</v>
      </c>
      <c r="M93" s="76"/>
    </row>
    <row r="95" spans="2:13">
      <c r="F95" s="79">
        <f>SUM(F14,F25,F38,F53,F61,)</f>
        <v>133000</v>
      </c>
      <c r="G95" s="2" t="s">
        <v>100</v>
      </c>
    </row>
    <row r="96" spans="2:13">
      <c r="F96" s="79">
        <f>SUM(F70,F77,F83,F90)</f>
        <v>249000</v>
      </c>
      <c r="G96" s="2" t="s">
        <v>1</v>
      </c>
    </row>
    <row r="98" spans="4:6">
      <c r="D98" s="80">
        <f>D93/240000</f>
        <v>1.9708333333333334</v>
      </c>
      <c r="F98" s="80">
        <f>F93/'[1]NPCC In Kind'!E4</f>
        <v>2.3875000000000002</v>
      </c>
    </row>
    <row r="99" spans="4:6">
      <c r="D99" s="80" t="s">
        <v>0</v>
      </c>
      <c r="F99" s="80" t="s">
        <v>0</v>
      </c>
    </row>
    <row r="101" spans="4:6">
      <c r="D101" s="2">
        <f>2.5*240000</f>
        <v>600000</v>
      </c>
    </row>
    <row r="102" spans="4:6">
      <c r="D102" s="79">
        <f>D101-D93</f>
        <v>127000</v>
      </c>
    </row>
  </sheetData>
  <mergeCells count="1">
    <mergeCell ref="H7:K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Alternatives</vt:lpstr>
      <vt:lpstr>Category (2012)</vt:lpstr>
      <vt:lpstr>Category Detail (2012)</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Grist</dc:creator>
  <cp:lastModifiedBy>Terry Morlan</cp:lastModifiedBy>
  <dcterms:created xsi:type="dcterms:W3CDTF">2011-07-18T17:23:25Z</dcterms:created>
  <dcterms:modified xsi:type="dcterms:W3CDTF">2011-09-22T20:44:10Z</dcterms:modified>
</cp:coreProperties>
</file>