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defaultThemeVersion="124226"/>
  <bookViews>
    <workbookView xWindow="-255" yWindow="975" windowWidth="19440" windowHeight="12240" tabRatio="644"/>
  </bookViews>
  <sheets>
    <sheet name="Table of Contents" sheetId="9" r:id="rId1"/>
    <sheet name="Category (2012)" sheetId="4" r:id="rId2"/>
    <sheet name="Category Detail (2012)" sheetId="3" r:id="rId3"/>
    <sheet name="Category (2012-2014)" sheetId="8" r:id="rId4"/>
    <sheet name="NPCC In Kind" sheetId="6" r:id="rId5"/>
    <sheet name="Typical Rates" sheetId="5" r:id="rId6"/>
    <sheet name="Funding Shares" sheetId="10" r:id="rId7"/>
  </sheets>
  <definedNames>
    <definedName name="_xlnm.Print_Area" localSheetId="4">'NPCC In Kind'!$I$4:$O$57</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A2" i="10"/>
  <c r="B2" i="8"/>
  <c r="M21" i="6"/>
  <c r="L21"/>
  <c r="L19" i="3" l="1"/>
  <c r="L20"/>
  <c r="L21"/>
  <c r="L22"/>
  <c r="L23"/>
  <c r="L24"/>
  <c r="L18"/>
  <c r="L11"/>
  <c r="L12"/>
  <c r="L13"/>
  <c r="L10"/>
  <c r="D101"/>
  <c r="Q17" i="8"/>
  <c r="N10"/>
  <c r="N11"/>
  <c r="N12"/>
  <c r="N13"/>
  <c r="N14"/>
  <c r="N15"/>
  <c r="N16"/>
  <c r="N17"/>
  <c r="N9"/>
  <c r="I20" i="10"/>
  <c r="I19"/>
  <c r="I18"/>
  <c r="I17"/>
  <c r="I16"/>
  <c r="I15"/>
  <c r="I14"/>
  <c r="F8"/>
  <c r="I12"/>
  <c r="I11"/>
  <c r="I10"/>
  <c r="I22" l="1"/>
  <c r="F22"/>
  <c r="B22"/>
  <c r="B2" i="5" l="1"/>
  <c r="B2" i="6"/>
  <c r="B2" i="3"/>
  <c r="B2" i="4"/>
  <c r="B24" i="8"/>
  <c r="B23"/>
  <c r="B22"/>
  <c r="K17"/>
  <c r="F17"/>
  <c r="E17"/>
  <c r="D17"/>
  <c r="C17"/>
  <c r="F16"/>
  <c r="R16" s="1"/>
  <c r="D16"/>
  <c r="P16" s="1"/>
  <c r="F15"/>
  <c r="L15" s="1"/>
  <c r="E15"/>
  <c r="Q15" s="1"/>
  <c r="D15"/>
  <c r="P15" s="1"/>
  <c r="C15"/>
  <c r="O15" s="1"/>
  <c r="F14"/>
  <c r="R14" s="1"/>
  <c r="E14"/>
  <c r="Q14" s="1"/>
  <c r="D14"/>
  <c r="P14" s="1"/>
  <c r="C14"/>
  <c r="I14" s="1"/>
  <c r="F13"/>
  <c r="L13" s="1"/>
  <c r="E13"/>
  <c r="Q13" s="1"/>
  <c r="D13"/>
  <c r="P13" s="1"/>
  <c r="C13"/>
  <c r="O13" s="1"/>
  <c r="F11"/>
  <c r="L11" s="1"/>
  <c r="E11"/>
  <c r="Q11" s="1"/>
  <c r="D11"/>
  <c r="P11" s="1"/>
  <c r="C11"/>
  <c r="O11" s="1"/>
  <c r="F9"/>
  <c r="D9"/>
  <c r="P9" s="1"/>
  <c r="L16" l="1"/>
  <c r="R13"/>
  <c r="R15"/>
  <c r="R11"/>
  <c r="L14"/>
  <c r="J9"/>
  <c r="I15"/>
  <c r="I11"/>
  <c r="J14"/>
  <c r="K14" s="1"/>
  <c r="I13"/>
  <c r="O14"/>
  <c r="J16"/>
  <c r="J15"/>
  <c r="J11"/>
  <c r="L9"/>
  <c r="R9"/>
  <c r="J13"/>
  <c r="K15" l="1"/>
  <c r="K13"/>
  <c r="K11"/>
  <c r="M20" i="3" l="1"/>
  <c r="D53"/>
  <c r="D12" i="8" s="1"/>
  <c r="F53" i="3"/>
  <c r="F12" i="8" s="1"/>
  <c r="C53" i="3"/>
  <c r="C12" i="8" s="1"/>
  <c r="M21" i="3"/>
  <c r="C22"/>
  <c r="E22" s="1"/>
  <c r="D22"/>
  <c r="F22"/>
  <c r="C24"/>
  <c r="D24"/>
  <c r="F24"/>
  <c r="F23"/>
  <c r="D23"/>
  <c r="C23"/>
  <c r="M24"/>
  <c r="M23"/>
  <c r="M19"/>
  <c r="M18"/>
  <c r="M12"/>
  <c r="F21"/>
  <c r="D21"/>
  <c r="C21"/>
  <c r="D38"/>
  <c r="C38"/>
  <c r="F49" i="5"/>
  <c r="D49" s="1"/>
  <c r="E49" s="1"/>
  <c r="G49" s="1"/>
  <c r="F53"/>
  <c r="D53" s="1"/>
  <c r="E53" s="1"/>
  <c r="G53" s="1"/>
  <c r="F44"/>
  <c r="F59" s="1"/>
  <c r="R12" i="8" l="1"/>
  <c r="L12"/>
  <c r="P12"/>
  <c r="J12"/>
  <c r="I12"/>
  <c r="O12"/>
  <c r="E21" i="3"/>
  <c r="E23"/>
  <c r="E24"/>
  <c r="D44" i="5"/>
  <c r="E44" s="1"/>
  <c r="F45"/>
  <c r="D45" s="1"/>
  <c r="E45" s="1"/>
  <c r="G45" s="1"/>
  <c r="F50"/>
  <c r="D50" s="1"/>
  <c r="E50" s="1"/>
  <c r="G50" s="1"/>
  <c r="F46"/>
  <c r="D46" s="1"/>
  <c r="E46" s="1"/>
  <c r="G46" s="1"/>
  <c r="F57"/>
  <c r="F51"/>
  <c r="D51" s="1"/>
  <c r="E51" s="1"/>
  <c r="G51" s="1"/>
  <c r="F47"/>
  <c r="D47" s="1"/>
  <c r="E47" s="1"/>
  <c r="G47" s="1"/>
  <c r="F52"/>
  <c r="D52" s="1"/>
  <c r="E52" s="1"/>
  <c r="G52" s="1"/>
  <c r="F48"/>
  <c r="D48" s="1"/>
  <c r="E48" s="1"/>
  <c r="G48" s="1"/>
  <c r="G44"/>
  <c r="K12" i="8" l="1"/>
  <c r="F58" i="5"/>
  <c r="F40" i="6" l="1"/>
  <c r="G40"/>
  <c r="E40"/>
  <c r="E21"/>
  <c r="G10" i="4" l="1"/>
  <c r="G9"/>
  <c r="D68" i="3"/>
  <c r="E68" s="1"/>
  <c r="E65"/>
  <c r="E66"/>
  <c r="E67"/>
  <c r="E69"/>
  <c r="F70"/>
  <c r="F14" i="4" s="1"/>
  <c r="C70" i="3"/>
  <c r="C14" i="4" s="1"/>
  <c r="E31" i="3"/>
  <c r="F31"/>
  <c r="C13"/>
  <c r="D13"/>
  <c r="F13"/>
  <c r="C83"/>
  <c r="M11"/>
  <c r="M10"/>
  <c r="F58"/>
  <c r="F59"/>
  <c r="F60"/>
  <c r="F57"/>
  <c r="F32"/>
  <c r="F33"/>
  <c r="F34"/>
  <c r="C19"/>
  <c r="D19"/>
  <c r="F19"/>
  <c r="C20"/>
  <c r="D20"/>
  <c r="F20"/>
  <c r="F18"/>
  <c r="D18"/>
  <c r="C18"/>
  <c r="F11"/>
  <c r="F10"/>
  <c r="F12"/>
  <c r="D11"/>
  <c r="D12"/>
  <c r="D10"/>
  <c r="C11"/>
  <c r="C10"/>
  <c r="C12"/>
  <c r="E12" s="1"/>
  <c r="C90"/>
  <c r="C17" i="4" s="1"/>
  <c r="D90" i="3"/>
  <c r="D17" i="4" s="1"/>
  <c r="F90" i="3"/>
  <c r="E88"/>
  <c r="E89"/>
  <c r="E87"/>
  <c r="B90"/>
  <c r="E82"/>
  <c r="E81"/>
  <c r="D83"/>
  <c r="D16" i="4" s="1"/>
  <c r="F83" i="3"/>
  <c r="F16" i="4" s="1"/>
  <c r="F77" i="3"/>
  <c r="F15" i="4" s="1"/>
  <c r="D77" i="3"/>
  <c r="D15" i="4" s="1"/>
  <c r="C77" i="3"/>
  <c r="C15" i="4" s="1"/>
  <c r="E75" i="3"/>
  <c r="E76"/>
  <c r="E74"/>
  <c r="F12" i="4"/>
  <c r="B80" i="3"/>
  <c r="B83" s="1"/>
  <c r="D61"/>
  <c r="D13" i="4" s="1"/>
  <c r="C61" i="3"/>
  <c r="C13" i="4" s="1"/>
  <c r="E58" i="3"/>
  <c r="E59"/>
  <c r="E60"/>
  <c r="E57"/>
  <c r="E34"/>
  <c r="D11" i="4"/>
  <c r="C11"/>
  <c r="D12"/>
  <c r="C12"/>
  <c r="E50" i="3"/>
  <c r="E29"/>
  <c r="E30"/>
  <c r="B73"/>
  <c r="B77" s="1"/>
  <c r="B64"/>
  <c r="B70" s="1"/>
  <c r="B56"/>
  <c r="B61" s="1"/>
  <c r="B41"/>
  <c r="B53" s="1"/>
  <c r="B28"/>
  <c r="B38" s="1"/>
  <c r="B17"/>
  <c r="B25" s="1"/>
  <c r="B9"/>
  <c r="B14" s="1"/>
  <c r="E43"/>
  <c r="E44"/>
  <c r="E45"/>
  <c r="E46"/>
  <c r="E47"/>
  <c r="E48"/>
  <c r="E49"/>
  <c r="E42"/>
  <c r="E32"/>
  <c r="E33"/>
  <c r="F56" i="6"/>
  <c r="E56"/>
  <c r="G56" s="1"/>
  <c r="F55"/>
  <c r="E55"/>
  <c r="F54"/>
  <c r="E54"/>
  <c r="F53"/>
  <c r="E53"/>
  <c r="G53" s="1"/>
  <c r="E52"/>
  <c r="G52" s="1"/>
  <c r="F52"/>
  <c r="F51"/>
  <c r="E51"/>
  <c r="G51"/>
  <c r="F50"/>
  <c r="E50"/>
  <c r="G50"/>
  <c r="F49"/>
  <c r="E49"/>
  <c r="F48"/>
  <c r="E48"/>
  <c r="G48"/>
  <c r="F47"/>
  <c r="E47"/>
  <c r="G47"/>
  <c r="F46"/>
  <c r="G46" s="1"/>
  <c r="E46"/>
  <c r="F45"/>
  <c r="E45"/>
  <c r="G45"/>
  <c r="E44"/>
  <c r="G44" s="1"/>
  <c r="F44"/>
  <c r="F39"/>
  <c r="E39"/>
  <c r="G38"/>
  <c r="G37"/>
  <c r="G36"/>
  <c r="G35"/>
  <c r="G34"/>
  <c r="G33"/>
  <c r="G32"/>
  <c r="G31"/>
  <c r="G30"/>
  <c r="G29"/>
  <c r="G28"/>
  <c r="G27"/>
  <c r="G26"/>
  <c r="L20"/>
  <c r="K20"/>
  <c r="K21" s="1"/>
  <c r="F20"/>
  <c r="F21" s="1"/>
  <c r="E20"/>
  <c r="W19"/>
  <c r="U19"/>
  <c r="T19"/>
  <c r="M19"/>
  <c r="G19"/>
  <c r="M18"/>
  <c r="G18"/>
  <c r="V17"/>
  <c r="M17"/>
  <c r="G17"/>
  <c r="V16"/>
  <c r="M16"/>
  <c r="G16"/>
  <c r="V15"/>
  <c r="M15"/>
  <c r="G15"/>
  <c r="V14"/>
  <c r="M14"/>
  <c r="G14"/>
  <c r="V13"/>
  <c r="M13"/>
  <c r="G13"/>
  <c r="V12"/>
  <c r="M12"/>
  <c r="G12"/>
  <c r="V11"/>
  <c r="M11"/>
  <c r="G11"/>
  <c r="V10"/>
  <c r="V19" s="1"/>
  <c r="M10"/>
  <c r="G10"/>
  <c r="V9"/>
  <c r="M9"/>
  <c r="G9"/>
  <c r="V8"/>
  <c r="M8"/>
  <c r="G8"/>
  <c r="V7"/>
  <c r="M7"/>
  <c r="G7"/>
  <c r="G39"/>
  <c r="G49"/>
  <c r="G54"/>
  <c r="H38" i="5"/>
  <c r="I38"/>
  <c r="J38"/>
  <c r="H39"/>
  <c r="I39"/>
  <c r="J39"/>
  <c r="H40"/>
  <c r="I40"/>
  <c r="J40"/>
  <c r="J37"/>
  <c r="I37"/>
  <c r="H37"/>
  <c r="F38"/>
  <c r="F39"/>
  <c r="F40"/>
  <c r="F37"/>
  <c r="E38"/>
  <c r="E39"/>
  <c r="E40"/>
  <c r="E37"/>
  <c r="D38"/>
  <c r="D39"/>
  <c r="D40"/>
  <c r="D37"/>
  <c r="F27"/>
  <c r="E27" s="1"/>
  <c r="D27" s="1"/>
  <c r="C27" s="1"/>
  <c r="F29"/>
  <c r="I29" s="1"/>
  <c r="J29" s="1"/>
  <c r="F30"/>
  <c r="I30" s="1"/>
  <c r="J30" s="1"/>
  <c r="F31"/>
  <c r="L31" s="1"/>
  <c r="F32"/>
  <c r="I32" s="1"/>
  <c r="J32" s="1"/>
  <c r="F33"/>
  <c r="L33" s="1"/>
  <c r="F28"/>
  <c r="E28" s="1"/>
  <c r="D28" s="1"/>
  <c r="C28" s="1"/>
  <c r="M20" i="6" l="1"/>
  <c r="O20"/>
  <c r="C16" i="4"/>
  <c r="C16" i="8"/>
  <c r="F17" i="4"/>
  <c r="F96" i="3"/>
  <c r="E53"/>
  <c r="F11" i="4"/>
  <c r="F38" i="3"/>
  <c r="E38"/>
  <c r="E83"/>
  <c r="E90"/>
  <c r="E17" i="4" s="1"/>
  <c r="E77" i="3"/>
  <c r="E15" i="4" s="1"/>
  <c r="E10" i="3"/>
  <c r="E18"/>
  <c r="E19"/>
  <c r="E13"/>
  <c r="D70"/>
  <c r="D14" i="4" s="1"/>
  <c r="D25" i="3"/>
  <c r="F25"/>
  <c r="C25"/>
  <c r="F61"/>
  <c r="F13" i="4" s="1"/>
  <c r="E11"/>
  <c r="E61" i="3"/>
  <c r="E13" i="4" s="1"/>
  <c r="E70" i="3"/>
  <c r="E14" i="4" s="1"/>
  <c r="G20" i="6"/>
  <c r="G21" s="1"/>
  <c r="E57"/>
  <c r="E33" i="5"/>
  <c r="D33" s="1"/>
  <c r="C33" s="1"/>
  <c r="E29"/>
  <c r="D29" s="1"/>
  <c r="C29" s="1"/>
  <c r="I31"/>
  <c r="J31" s="1"/>
  <c r="E11" i="3"/>
  <c r="E14" s="1"/>
  <c r="F14"/>
  <c r="C14"/>
  <c r="D14"/>
  <c r="I27" i="5"/>
  <c r="J27" s="1"/>
  <c r="E32"/>
  <c r="D32" s="1"/>
  <c r="C32" s="1"/>
  <c r="L32"/>
  <c r="L27"/>
  <c r="L29"/>
  <c r="M29" s="1"/>
  <c r="E30"/>
  <c r="D30" s="1"/>
  <c r="C30" s="1"/>
  <c r="M33"/>
  <c r="N33"/>
  <c r="I33"/>
  <c r="J33" s="1"/>
  <c r="L30"/>
  <c r="I28"/>
  <c r="J28" s="1"/>
  <c r="L28"/>
  <c r="M31"/>
  <c r="N31"/>
  <c r="U20" i="6"/>
  <c r="T20"/>
  <c r="W4"/>
  <c r="X19"/>
  <c r="N4"/>
  <c r="G55"/>
  <c r="G57" s="1"/>
  <c r="G58" s="1"/>
  <c r="E20" i="3"/>
  <c r="F57" i="6"/>
  <c r="E31" i="5"/>
  <c r="D31" s="1"/>
  <c r="C31" s="1"/>
  <c r="E12" i="4" l="1"/>
  <c r="E12" i="8"/>
  <c r="Q12" s="1"/>
  <c r="E16" i="4"/>
  <c r="E16" i="8"/>
  <c r="Q16" s="1"/>
  <c r="I16"/>
  <c r="K16" s="1"/>
  <c r="O16"/>
  <c r="C10" i="4"/>
  <c r="C10" i="8"/>
  <c r="F10" i="4"/>
  <c r="F10" i="8"/>
  <c r="C9" i="4"/>
  <c r="C9" i="8"/>
  <c r="E9" i="4"/>
  <c r="E9" i="8"/>
  <c r="Q9" s="1"/>
  <c r="D10" i="4"/>
  <c r="D10" i="8"/>
  <c r="F9" i="4"/>
  <c r="F18" s="1"/>
  <c r="F95" i="3"/>
  <c r="C93"/>
  <c r="D93"/>
  <c r="E25"/>
  <c r="D9" i="4"/>
  <c r="F93" i="3"/>
  <c r="F98" s="1"/>
  <c r="M27" i="5"/>
  <c r="N27"/>
  <c r="N32"/>
  <c r="M32"/>
  <c r="N29"/>
  <c r="N28"/>
  <c r="M28"/>
  <c r="M30"/>
  <c r="N30"/>
  <c r="E93" i="3"/>
  <c r="U21" i="6"/>
  <c r="T21"/>
  <c r="D102" i="3" l="1"/>
  <c r="D98"/>
  <c r="C18" i="4"/>
  <c r="I10" i="8"/>
  <c r="O10"/>
  <c r="R10"/>
  <c r="R18" s="1"/>
  <c r="F18"/>
  <c r="L10"/>
  <c r="L18" s="1"/>
  <c r="O9"/>
  <c r="O18" s="1"/>
  <c r="C24" s="1"/>
  <c r="E45" s="1"/>
  <c r="I9"/>
  <c r="C18"/>
  <c r="C22" s="1"/>
  <c r="C45" s="1"/>
  <c r="D18" i="4"/>
  <c r="J10" i="8"/>
  <c r="P10"/>
  <c r="P18" s="1"/>
  <c r="D18"/>
  <c r="E10" i="4"/>
  <c r="E18" s="1"/>
  <c r="B5" i="10" s="1"/>
  <c r="E10" i="8"/>
  <c r="C12" i="10" l="1"/>
  <c r="D12" s="1"/>
  <c r="C8"/>
  <c r="C18"/>
  <c r="D18" s="1"/>
  <c r="C15"/>
  <c r="D15" s="1"/>
  <c r="C10"/>
  <c r="D10" s="1"/>
  <c r="C13"/>
  <c r="D13" s="1"/>
  <c r="C19"/>
  <c r="D19" s="1"/>
  <c r="C17"/>
  <c r="D17" s="1"/>
  <c r="C9"/>
  <c r="D9" s="1"/>
  <c r="C20"/>
  <c r="D20" s="1"/>
  <c r="C16"/>
  <c r="D16" s="1"/>
  <c r="C11"/>
  <c r="D11" s="1"/>
  <c r="C14"/>
  <c r="D14" s="1"/>
  <c r="F23" i="8"/>
  <c r="D48" s="1"/>
  <c r="L19"/>
  <c r="D49" s="1"/>
  <c r="D24"/>
  <c r="E46" s="1"/>
  <c r="P19"/>
  <c r="F24"/>
  <c r="E48" s="1"/>
  <c r="R19"/>
  <c r="E49" s="1"/>
  <c r="D22"/>
  <c r="C46" s="1"/>
  <c r="D19"/>
  <c r="F22"/>
  <c r="C48" s="1"/>
  <c r="F19"/>
  <c r="C49" s="1"/>
  <c r="K9"/>
  <c r="I18"/>
  <c r="C23" s="1"/>
  <c r="D45" s="1"/>
  <c r="Q10"/>
  <c r="Q18" s="1"/>
  <c r="E24" s="1"/>
  <c r="E47" s="1"/>
  <c r="E18"/>
  <c r="E22" s="1"/>
  <c r="C47" s="1"/>
  <c r="K10"/>
  <c r="K18" s="1"/>
  <c r="E23" s="1"/>
  <c r="D47" s="1"/>
  <c r="J18"/>
  <c r="D8" i="10" l="1"/>
  <c r="D22" s="1"/>
  <c r="C22"/>
  <c r="D23" i="8"/>
  <c r="D46" s="1"/>
  <c r="J19"/>
</calcChain>
</file>

<file path=xl/comments1.xml><?xml version="1.0" encoding="utf-8"?>
<comments xmlns="http://schemas.openxmlformats.org/spreadsheetml/2006/main">
  <authors>
    <author>Charlie Grist</author>
  </authors>
  <commentList>
    <comment ref="D8" authorId="0">
      <text>
        <r>
          <rPr>
            <b/>
            <sz val="9"/>
            <color indexed="81"/>
            <rFont val="Tahoma"/>
            <family val="2"/>
          </rPr>
          <t>Charlie Grist:</t>
        </r>
        <r>
          <rPr>
            <sz val="9"/>
            <color indexed="81"/>
            <rFont val="Tahoma"/>
            <family val="2"/>
          </rPr>
          <t xml:space="preserve">
RTF staff costs for measure review include crafting  the SOWs, management of contractor deliverables, subcommittee staffing, bringing proposals to RTF, and depositing results of RTF decisions into RTF library as appropriate. </t>
        </r>
      </text>
    </comment>
  </commentList>
</comments>
</file>

<file path=xl/comments2.xml><?xml version="1.0" encoding="utf-8"?>
<comments xmlns="http://schemas.openxmlformats.org/spreadsheetml/2006/main">
  <authors>
    <author>Charlie Grist</author>
  </authors>
  <commentList>
    <comment ref="E4" authorId="0">
      <text>
        <r>
          <rPr>
            <b/>
            <sz val="9"/>
            <color indexed="81"/>
            <rFont val="Tahoma"/>
            <family val="2"/>
          </rPr>
          <t>Charlie Grist:</t>
        </r>
        <r>
          <rPr>
            <sz val="9"/>
            <color indexed="81"/>
            <rFont val="Tahoma"/>
            <family val="2"/>
          </rPr>
          <t xml:space="preserve">
Updated estimate from Terry Morlan September 2011</t>
        </r>
      </text>
    </comment>
    <comment ref="N6" authorId="0">
      <text>
        <r>
          <rPr>
            <b/>
            <sz val="9"/>
            <color indexed="81"/>
            <rFont val="Tahoma"/>
            <family val="2"/>
          </rPr>
          <t>Charlie Grist:</t>
        </r>
        <r>
          <rPr>
            <sz val="9"/>
            <color indexed="81"/>
            <rFont val="Tahoma"/>
            <family val="2"/>
          </rPr>
          <t xml:space="preserve">
Use average staff rate times overhead multiplier of 1.4 from Sharon Ossmann</t>
        </r>
      </text>
    </comment>
    <comment ref="N20" authorId="0">
      <text>
        <r>
          <rPr>
            <b/>
            <sz val="9"/>
            <color indexed="81"/>
            <rFont val="Tahoma"/>
            <family val="2"/>
          </rPr>
          <t>Charlie Grist:</t>
        </r>
        <r>
          <rPr>
            <sz val="9"/>
            <color indexed="81"/>
            <rFont val="Tahoma"/>
            <family val="2"/>
          </rPr>
          <t xml:space="preserve">
Use average staff rate times overhead multiplier of 1.4.</t>
        </r>
      </text>
    </comment>
  </commentList>
</comments>
</file>

<file path=xl/comments3.xml><?xml version="1.0" encoding="utf-8"?>
<comments xmlns="http://schemas.openxmlformats.org/spreadsheetml/2006/main">
  <authors>
    <author>Charlie Grist</author>
  </authors>
  <commentList>
    <comment ref="C9" author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<sst xmlns="http://schemas.openxmlformats.org/spreadsheetml/2006/main" count="426" uniqueCount="259">
  <si>
    <t>Coordinate annual comparison of utility/SBC administrator TRM</t>
  </si>
  <si>
    <t>Might be an in-house project only (no contract).</t>
  </si>
  <si>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</si>
  <si>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</si>
  <si>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</si>
  <si>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</si>
  <si>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</si>
  <si>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</si>
  <si>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</si>
  <si>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</si>
  <si>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</si>
  <si>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</si>
  <si>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</si>
  <si>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</si>
  <si>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</si>
  <si>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</si>
  <si>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</si>
  <si>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</si>
  <si>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</si>
  <si>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</si>
  <si>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Minimum Retained as Council Function</t>
  </si>
  <si>
    <t>To Contract FTE</t>
  </si>
  <si>
    <t>Convert existing "deemed calculators" to Standard/Provisional protocols</t>
  </si>
  <si>
    <t>Placeholder</t>
  </si>
  <si>
    <t>Note</t>
  </si>
  <si>
    <t>Provisional to Active UES Measures</t>
  </si>
  <si>
    <t>Standard &amp; Provisional Protocols</t>
  </si>
  <si>
    <t>Finalize and adopt guidelines on measure cost &amp; non-energy-benefits</t>
  </si>
  <si>
    <t>Finalize and adopt guidelines on measure life</t>
  </si>
  <si>
    <t xml:space="preserve">Develop New Measures for Small &amp; Rural </t>
  </si>
  <si>
    <t>Convert Load Shapes to 8760</t>
  </si>
  <si>
    <t>Develop guidelines &amp; methods for conservation load shape, CF and LF</t>
  </si>
  <si>
    <t>Calendar 2012</t>
  </si>
  <si>
    <t>Data Warehousing (Heat Pump Water Heater, Ductless HP, RTUG,?)</t>
  </si>
  <si>
    <t>RTF Meetings , phone, web conference, meeting minutes</t>
  </si>
  <si>
    <t>RTF Members and Corresponding Members meeting and project support.</t>
  </si>
  <si>
    <t xml:space="preserve"> RTF member support for meetings, travel, and specific project reviews</t>
  </si>
  <si>
    <t>RTF Member Support &amp; Administration</t>
  </si>
  <si>
    <t>Subtotal New Work</t>
  </si>
  <si>
    <t>Develop and execute RTF evaluation work plan</t>
  </si>
  <si>
    <t>Develop/Revise Heat Pump Sizing Tool</t>
  </si>
  <si>
    <t>Develop Conservation Load Shape Calculator Tool</t>
  </si>
  <si>
    <t>1 day/wk</t>
  </si>
  <si>
    <t>2 day/wk</t>
  </si>
  <si>
    <t>1 day/mo</t>
  </si>
  <si>
    <t>2 day/mo</t>
  </si>
  <si>
    <t>3 day/mo</t>
  </si>
  <si>
    <t>RTF Staff cost per unit</t>
  </si>
  <si>
    <t>Council Staff cost per unit</t>
  </si>
  <si>
    <t>Total New Work 2012</t>
  </si>
  <si>
    <t>Research Projects &amp; Data Development</t>
  </si>
  <si>
    <t>Fixed</t>
  </si>
  <si>
    <t>Scalable.  See Category Detail.</t>
  </si>
  <si>
    <t>Options in Category Detail</t>
  </si>
  <si>
    <t>Estimate of NPCC Staff Administration Cost for RTF (2012)</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</si>
  <si>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</si>
  <si>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</si>
  <si>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</si>
  <si>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</si>
  <si>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</si>
  <si>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</si>
  <si>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</si>
  <si>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</si>
  <si>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</si>
  <si>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</si>
  <si>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</si>
  <si>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</si>
  <si>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</si>
  <si>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</si>
  <si>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</si>
  <si>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</si>
  <si>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</si>
  <si>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</si>
  <si>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</si>
  <si>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RTF Staff</t>
  </si>
  <si>
    <t xml:space="preserve">Website, Database support, Conservation Tracking </t>
  </si>
  <si>
    <t>Category</t>
  </si>
  <si>
    <t>Standardization of Technical Analysis</t>
  </si>
  <si>
    <t>Develop guidelines for instrumentation including calibration</t>
  </si>
  <si>
    <t>Develop guidelines for true power measurement</t>
  </si>
  <si>
    <t>Develop  template, standards &amp; guidelines for RTF calculators</t>
  </si>
  <si>
    <t>Other Updates to Guidelines for RTF Savings Estimation Methods as needed</t>
  </si>
  <si>
    <t>Complete Appendix D of Guidelines for RTF Savings Estimation Methods</t>
  </si>
  <si>
    <t>RTF Management</t>
  </si>
  <si>
    <t>Existing Measure Review &amp; Updates</t>
  </si>
  <si>
    <t>Contract</t>
  </si>
  <si>
    <t>Month</t>
  </si>
  <si>
    <t>Week</t>
  </si>
  <si>
    <t>Day</t>
  </si>
  <si>
    <t>Hour</t>
  </si>
  <si>
    <t>Annual</t>
  </si>
  <si>
    <t>Rate</t>
  </si>
  <si>
    <t>1 Day</t>
  </si>
  <si>
    <t>2 Day</t>
  </si>
  <si>
    <t>3 Day</t>
  </si>
  <si>
    <t>1 Week</t>
  </si>
  <si>
    <t>2 Week</t>
  </si>
  <si>
    <t>3 Week</t>
  </si>
  <si>
    <t>Contracts</t>
  </si>
  <si>
    <t>Develop Guidelines</t>
  </si>
  <si>
    <t>End Use Load Data (Convert raw ELCAP Data to modern database)</t>
  </si>
  <si>
    <t>Tool Development</t>
  </si>
  <si>
    <t>ProCost: Users Manual for RTF proposers</t>
  </si>
  <si>
    <t>ProCost:  Early Retrofit Mode Built</t>
  </si>
  <si>
    <t>ProCost:  Recode to handle 8760 load shapes</t>
  </si>
  <si>
    <t>ProCost:  Automate Post Processing</t>
  </si>
  <si>
    <t>SEEM Training</t>
  </si>
  <si>
    <t>SEEM Development</t>
  </si>
  <si>
    <t>New Measure Development &amp; Review of Unsolicited Proposals</t>
  </si>
  <si>
    <t>Develop guidelines for third-party software</t>
  </si>
  <si>
    <t>ProCost:  Marginal Line Loss Calculations Added and tested</t>
  </si>
  <si>
    <t>ProCost:  Adaptation for EE Central</t>
  </si>
  <si>
    <t>Subtotal Funders</t>
  </si>
  <si>
    <t>Council Staff</t>
  </si>
  <si>
    <t>Review of Evaluation Plans as Requested</t>
  </si>
  <si>
    <t>n units</t>
  </si>
  <si>
    <t>Contract cost per unit</t>
  </si>
  <si>
    <t>Regional Coordination</t>
  </si>
  <si>
    <t>Facilitate collaborative regional evaluation of PTCS</t>
  </si>
  <si>
    <t>Annual Conservation Tracking Report</t>
  </si>
  <si>
    <t>Website development and management</t>
  </si>
  <si>
    <t>End Use Load Data Library Development</t>
  </si>
  <si>
    <t>Review New UES developed by a proposer</t>
  </si>
  <si>
    <t xml:space="preserve">Periodic Update of Active UES </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</si>
  <si>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</si>
  <si>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</si>
  <si>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</si>
  <si>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</si>
  <si>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Update Active UES Measures &amp; Measure Specifications</t>
  </si>
  <si>
    <t>Assume 5 for now.  Need to get RTF to prioritize.</t>
  </si>
  <si>
    <t>Review New Protocol &amp; Calculator developed by a proposer</t>
  </si>
  <si>
    <t>Assume RTF contractor does much of the key development, research, data analysis, and presentation</t>
  </si>
  <si>
    <t xml:space="preserve">Convert deemed calculator to Guideline-compliant standard protocol &amp; calculator </t>
  </si>
  <si>
    <t>Develop Guideline-compliant standard protocol (no calculator)</t>
  </si>
  <si>
    <t>Develop Simple Calculator &amp; Protocol</t>
  </si>
  <si>
    <t>Develop a Protocol</t>
  </si>
  <si>
    <t>Large range depending on scope and complexity</t>
  </si>
  <si>
    <t>Estimate based on initial round of review, document and update to Guideline standards</t>
  </si>
  <si>
    <t>Typically one to two meetings per month for active committees</t>
  </si>
  <si>
    <t>Technical Work Rates</t>
  </si>
  <si>
    <t>Cost</t>
  </si>
  <si>
    <t>Once updated to Guideline standards, the cost of review declines</t>
  </si>
  <si>
    <t>Review of source data and analysis required by staff &amp; subcommittee</t>
  </si>
  <si>
    <t>Produce a Calculator for a Protocol</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</si>
  <si>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</si>
  <si>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</si>
  <si>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</si>
  <si>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</si>
  <si>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</si>
  <si>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</si>
  <si>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</si>
  <si>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</si>
  <si>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</si>
  <si>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</si>
  <si>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</si>
  <si>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</si>
  <si>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</si>
  <si>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</si>
  <si>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</si>
  <si>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Review High-Priority New Standard Protocols with Calculators</t>
  </si>
  <si>
    <t>Review High-Priority New UES</t>
  </si>
  <si>
    <t xml:space="preserve">Optional pending desirability by funders </t>
  </si>
  <si>
    <t>Defer until demonstrated need.  May be able to adopt others standards.</t>
  </si>
  <si>
    <t xml:space="preserve">Defer until demonstrated value to guideline.  Take on a case by case basis for now.  </t>
  </si>
  <si>
    <t>Develop New UES with RTF Resources</t>
  </si>
  <si>
    <t>Develop New Protocols with RTF Resources</t>
  </si>
  <si>
    <t>Develop New UES with RTF resources</t>
  </si>
  <si>
    <t>Enter Values in these columns for UES/Protocol</t>
  </si>
  <si>
    <t>Cells are linked to worksheet  "Category"</t>
  </si>
  <si>
    <t>Grayed out text for deferred or eliminated work</t>
  </si>
  <si>
    <t>Shift to Council budget</t>
  </si>
  <si>
    <t>Assumes no re-programming required.  Otherwise $12K.</t>
  </si>
  <si>
    <r>
      <rPr>
        <sz val="12"/>
        <rFont val="Arial"/>
        <family val="2"/>
      </rPr>
      <t>Update</t>
    </r>
    <r>
      <rPr>
        <sz val="12"/>
        <color indexed="8"/>
        <rFont val="Arial"/>
        <family val="2"/>
      </rPr>
      <t xml:space="preserve"> Ventilation Calc Tool for Residential</t>
    </r>
  </si>
  <si>
    <t>Training for RTF members only</t>
  </si>
  <si>
    <t xml:space="preserve">Simplifying user-input for heat pump HSPF and control strategy.  </t>
  </si>
  <si>
    <t xml:space="preserve">Residential weatherization/ventilation subcommittee to help guide this.  Assumes updates to the calculator as changes are made to the ASHRAE 62.2 standard.  </t>
  </si>
  <si>
    <t>Standardize analytical methods for early retrofit mode.</t>
  </si>
  <si>
    <t>PTCS Subcommittee</t>
  </si>
  <si>
    <t xml:space="preserve">Purpose is to help prioritize RTF work plan </t>
  </si>
  <si>
    <t>Performance Tested Comfort Systems (PTCS)</t>
  </si>
  <si>
    <t>Annual Report</t>
  </si>
  <si>
    <t>Tech</t>
  </si>
  <si>
    <t>Admin</t>
  </si>
  <si>
    <t>Calendar 2013</t>
  </si>
  <si>
    <t>Calendar 2014</t>
  </si>
  <si>
    <t>Scale Factor</t>
  </si>
  <si>
    <t>manual</t>
  </si>
  <si>
    <t>Decrease pace of tool development.</t>
  </si>
  <si>
    <t>Hold constant for 3-year review cycle for all existing measures.  Decrease in cost of updates beginning 2015 cycle.</t>
  </si>
  <si>
    <t>Decrease after initial push to document methods and standards.</t>
  </si>
  <si>
    <t>Increase rate of new measure and protocol development.</t>
  </si>
  <si>
    <t>Increase assuming regional value.</t>
  </si>
  <si>
    <t>Constant.</t>
  </si>
  <si>
    <t>Shift some Council staff duties to RTF Contract staff or new Council staff as proceedures become standardized.</t>
  </si>
  <si>
    <t>Sheet Name</t>
  </si>
  <si>
    <t>Notes</t>
  </si>
  <si>
    <t>Category Level Budget for 2012</t>
  </si>
  <si>
    <t>Category Level Budget for 2012-2014</t>
  </si>
  <si>
    <t>Estimate of NPCC In-Kind Costs</t>
  </si>
  <si>
    <t>Table of Contents</t>
  </si>
  <si>
    <t>Typical Rates for RTF Activities</t>
  </si>
  <si>
    <t>Category (2012)</t>
  </si>
  <si>
    <t>Category Detail (2012)</t>
  </si>
  <si>
    <t>Category (2012-2014)</t>
  </si>
  <si>
    <t>NPCC In Kind</t>
  </si>
  <si>
    <t>Typical Rates</t>
  </si>
  <si>
    <t>Category-level budget for 2012.  High-level division of RTF work product categories.  The pink rows are scalable – number of measure reviews or guidelines  per year for example.  The green rows are more or less optional activities that have been requested of RTF from time to time or would be useful.  The blue rows are fixed costs the RTF must bear.  All data in this sheet are linked to the sheet “Category Detail” so don’t change things here.</t>
  </si>
  <si>
    <t xml:space="preserve"> Assumptions used to estimate approximate costs of contractor, and RTF staff work.  Use as a reference.    </t>
  </si>
  <si>
    <t>Breakdown of NPCC staff cost estimates.</t>
  </si>
  <si>
    <t>Detailed budget for 2012.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</si>
  <si>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Three year work plan by category.  No detail for out years.  Uses scaling factors for category level totals.</t>
  </si>
  <si>
    <t>Budget Category Detail Worksheet for 2012</t>
  </si>
  <si>
    <t>Cells are linked to worksheet  "Category" for 2012</t>
  </si>
  <si>
    <t>Minutes $24K, phone/web conference $7K</t>
  </si>
  <si>
    <t>Organization</t>
  </si>
  <si>
    <t>Share of RTF Budget</t>
  </si>
  <si>
    <t>Proposed Contribution to RTF Budget Rounded</t>
  </si>
  <si>
    <t>Committed as of end of December 2010</t>
  </si>
  <si>
    <t>Committed as of April 2011</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</si>
  <si>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</si>
  <si>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</si>
  <si>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</si>
  <si>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</si>
  <si>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</si>
  <si>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</si>
  <si>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</si>
  <si>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</si>
  <si>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</si>
  <si>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</si>
  <si>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</si>
  <si>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</si>
  <si>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</si>
  <si>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</si>
  <si>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Note:  This is temporary pending RTF PAC Resolution</t>
  </si>
  <si>
    <t>Estimated Funding Shares</t>
  </si>
  <si>
    <t>Based on Funding Level</t>
  </si>
  <si>
    <t>Funding Shares</t>
  </si>
  <si>
    <t xml:space="preserve">Funding shares by sponsors based on  NEEA formula previously used.  This is a placeholder.  RTF Policy Advisory Committee is considering other funding share options.  </t>
  </si>
  <si>
    <t>Review Unsolicited New UES or New Protocols</t>
  </si>
  <si>
    <t>Collect and Summarize Evaluation activity and spending by Utilities, BPA, ETO</t>
  </si>
  <si>
    <t>TRM- Technical Resource Manuals. Comparison used as basis for determining which non-RTF measures/protocols held "in common".  Helps prioritize RTF work plan elements.</t>
  </si>
  <si>
    <t>RTF web site continues hosting and maintaining some data sources for public reference</t>
  </si>
  <si>
    <t xml:space="preserve">Manage RTF work flow, develop agenda &amp; procedures &amp; budgets &amp; SOWs </t>
  </si>
  <si>
    <t xml:space="preserve">Manage RTF business activities, contracts, financial, bylaws, RTFPAC </t>
  </si>
  <si>
    <t>Michael Schilmoeller</t>
  </si>
  <si>
    <t>Web Site, Databases</t>
  </si>
  <si>
    <t>Typical cost for common RTF activities</t>
  </si>
  <si>
    <t>Convert old deemed measure to Active UES</t>
  </si>
  <si>
    <t>Provisional to Active UES</t>
  </si>
  <si>
    <t>Assumes proposer delivers a well-developed proposal that meets Guideline standards</t>
  </si>
  <si>
    <t>Develop Protocol and Calculator</t>
  </si>
  <si>
    <t>Northwestern Energy</t>
  </si>
  <si>
    <t>CY 2012</t>
  </si>
  <si>
    <t>CY 2013</t>
  </si>
  <si>
    <t>CY 2014</t>
  </si>
  <si>
    <t>n per $120K</t>
  </si>
  <si>
    <t>Council Staff In Kind Contribution</t>
  </si>
  <si>
    <t>Council Staff FTE</t>
  </si>
  <si>
    <t>Draft of September 21, 2011</t>
  </si>
</sst>
</file>

<file path=xl/styles.xml><?xml version="1.0" encoding="utf-8"?>
<styleSheet xmlns="http://schemas.openxmlformats.org/spreadsheetml/2006/main">
  <numFmts count="9">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s>
  <fonts count="31">
    <font>
      <sz val="11"/>
      <color theme="1"/>
      <name val="Calibri"/>
      <family val="2"/>
      <scheme val="minor"/>
    </font>
    <font>
      <sz val="10"/>
      <color indexed="8"/>
      <name val="Arial"/>
      <family val="2"/>
    </font>
    <font>
      <sz val="10"/>
      <color indexed="8"/>
      <name val="Arial"/>
      <family val="2"/>
    </font>
    <font>
      <sz val="10"/>
      <color indexed="8"/>
      <name val="Arial"/>
      <family val="2"/>
    </font>
    <font>
      <sz val="11"/>
      <color indexed="8"/>
      <name val="Calibri"/>
      <family val="2"/>
    </font>
    <font>
      <sz val="10"/>
      <name val="Arial"/>
      <family val="2"/>
    </font>
    <font>
      <b/>
      <sz val="11"/>
      <color theme="1"/>
      <name val="Calibri"/>
      <family val="2"/>
      <scheme val="minor"/>
    </font>
    <font>
      <b/>
      <sz val="10"/>
      <color indexed="8"/>
      <name val="Arial"/>
      <family val="2"/>
    </font>
    <font>
      <b/>
      <sz val="12"/>
      <color indexed="8"/>
      <name val="Arial"/>
      <family val="2"/>
    </font>
    <font>
      <sz val="12"/>
      <color indexed="8"/>
      <name val="Arial"/>
      <family val="2"/>
    </font>
    <font>
      <sz val="8"/>
      <color theme="1"/>
      <name val="Calibri"/>
      <family val="2"/>
      <scheme val="minor"/>
    </font>
    <font>
      <sz val="11"/>
      <color indexed="8"/>
      <name val="Arial"/>
      <family val="2"/>
    </font>
    <font>
      <b/>
      <sz val="10"/>
      <name val="Arial"/>
      <family val="2"/>
    </font>
    <font>
      <b/>
      <sz val="9"/>
      <color indexed="81"/>
      <name val="Tahoma"/>
      <family val="2"/>
    </font>
    <font>
      <sz val="9"/>
      <color indexed="81"/>
      <name val="Tahoma"/>
      <family val="2"/>
    </font>
    <font>
      <i/>
      <sz val="11"/>
      <color theme="1"/>
      <name val="Calibri"/>
      <family val="2"/>
      <scheme val="minor"/>
    </font>
    <font>
      <sz val="11"/>
      <name val="Calibri"/>
      <family val="2"/>
      <scheme val="minor"/>
    </font>
    <font>
      <sz val="11"/>
      <color rgb="FF00B050"/>
      <name val="Calibri"/>
      <family val="2"/>
      <scheme val="minor"/>
    </font>
    <font>
      <sz val="11"/>
      <color rgb="FF00B050"/>
      <name val="Arial"/>
      <family val="2"/>
    </font>
    <font>
      <sz val="11"/>
      <color rgb="FF0070C0"/>
      <name val="Calibri"/>
      <family val="2"/>
      <scheme val="minor"/>
    </font>
    <font>
      <sz val="8"/>
      <name val="Verdana"/>
    </font>
    <font>
      <sz val="11"/>
      <color indexed="11"/>
      <name val="Calibri"/>
    </font>
    <font>
      <sz val="11"/>
      <name val="Calibri"/>
      <family val="2"/>
    </font>
    <font>
      <sz val="12"/>
      <name val="Arial"/>
      <family val="2"/>
    </font>
    <font>
      <sz val="11"/>
      <name val="Arial"/>
      <family val="2"/>
    </font>
    <font>
      <sz val="11"/>
      <color theme="1"/>
      <name val="Calibri"/>
      <family val="2"/>
      <scheme val="minor"/>
    </font>
    <font>
      <sz val="11"/>
      <color theme="1" tint="0.499984740745262"/>
      <name val="Calibri"/>
      <family val="2"/>
      <scheme val="minor"/>
    </font>
    <font>
      <sz val="12"/>
      <color theme="0" tint="-0.499984740745262"/>
      <name val="Arial"/>
      <family val="2"/>
    </font>
    <font>
      <sz val="11"/>
      <color theme="0" tint="-0.499984740745262"/>
      <name val="Calibri"/>
      <family val="2"/>
      <scheme val="minor"/>
    </font>
    <font>
      <sz val="11"/>
      <color theme="0" tint="-0.34998626667073579"/>
      <name val="Calibri"/>
      <family val="2"/>
      <scheme val="minor"/>
    </font>
    <font>
      <sz val="18"/>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44" fontId="4"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cellStyleXfs>
  <cellXfs count="188">
    <xf numFmtId="0" fontId="0" fillId="0" borderId="0" xfId="0"/>
    <xf numFmtId="0" fontId="8" fillId="0" borderId="0" xfId="0" applyFont="1"/>
    <xf numFmtId="0" fontId="9" fillId="0" borderId="0" xfId="0" applyFont="1"/>
    <xf numFmtId="0" fontId="0" fillId="0" borderId="0" xfId="0" applyAlignment="1">
      <alignment wrapText="1"/>
    </xf>
    <xf numFmtId="5" fontId="0" fillId="0" borderId="0" xfId="1" applyNumberFormat="1" applyFont="1" applyAlignment="1">
      <alignment horizontal="center" vertical="center"/>
    </xf>
    <xf numFmtId="5" fontId="0" fillId="0" borderId="0" xfId="0" applyNumberFormat="1"/>
    <xf numFmtId="5" fontId="6" fillId="0" borderId="0" xfId="1" applyNumberFormat="1" applyFont="1" applyAlignment="1">
      <alignment horizontal="center" vertical="center"/>
    </xf>
    <xf numFmtId="0" fontId="8" fillId="0" borderId="0" xfId="0" applyFont="1" applyAlignment="1">
      <alignment wrapText="1"/>
    </xf>
    <xf numFmtId="0" fontId="10" fillId="0" borderId="0" xfId="0" applyFont="1" applyAlignment="1">
      <alignment horizontal="right"/>
    </xf>
    <xf numFmtId="164" fontId="0" fillId="0" borderId="0" xfId="1" applyNumberFormat="1" applyFont="1" applyAlignment="1">
      <alignment wrapText="1"/>
    </xf>
    <xf numFmtId="5" fontId="0" fillId="0" borderId="0" xfId="0" applyNumberFormat="1" applyAlignment="1">
      <alignment horizontal="center"/>
    </xf>
    <xf numFmtId="0" fontId="11" fillId="0" borderId="0" xfId="0" applyFont="1"/>
    <xf numFmtId="0" fontId="0" fillId="0" borderId="0" xfId="0" applyFont="1" applyAlignment="1">
      <alignment wrapText="1"/>
    </xf>
    <xf numFmtId="0" fontId="0" fillId="0" borderId="0" xfId="0" applyFont="1"/>
    <xf numFmtId="0" fontId="3" fillId="5" borderId="3" xfId="3" applyFont="1" applyFill="1" applyBorder="1" applyAlignment="1">
      <alignment vertical="center" wrapText="1"/>
    </xf>
    <xf numFmtId="5" fontId="0" fillId="5" borderId="2" xfId="0" applyNumberFormat="1" applyFill="1" applyBorder="1" applyAlignment="1">
      <alignment horizontal="center" vertical="center"/>
    </xf>
    <xf numFmtId="0" fontId="1" fillId="5" borderId="3" xfId="3" applyFont="1" applyFill="1" applyBorder="1" applyAlignment="1">
      <alignment vertical="center" wrapText="1"/>
    </xf>
    <xf numFmtId="0" fontId="7" fillId="3" borderId="2" xfId="3" applyFont="1" applyFill="1" applyBorder="1"/>
    <xf numFmtId="0" fontId="7" fillId="3" borderId="2" xfId="3" applyFont="1" applyFill="1" applyBorder="1" applyAlignment="1">
      <alignment horizontal="center" wrapText="1"/>
    </xf>
    <xf numFmtId="0" fontId="0" fillId="0" borderId="2" xfId="0" applyBorder="1" applyAlignment="1">
      <alignment vertical="center" wrapText="1"/>
    </xf>
    <xf numFmtId="0" fontId="2" fillId="6" borderId="3" xfId="3" applyFont="1" applyFill="1" applyBorder="1" applyAlignment="1">
      <alignment vertical="center" wrapText="1"/>
    </xf>
    <xf numFmtId="5" fontId="0" fillId="6" borderId="2" xfId="0" applyNumberFormat="1" applyFill="1" applyBorder="1" applyAlignment="1">
      <alignment horizontal="center" vertical="center"/>
    </xf>
    <xf numFmtId="0" fontId="0" fillId="6" borderId="2" xfId="0" applyFill="1" applyBorder="1" applyAlignment="1">
      <alignment vertical="center" wrapText="1"/>
    </xf>
    <xf numFmtId="0" fontId="1" fillId="6" borderId="3" xfId="3" applyFont="1" applyFill="1" applyBorder="1" applyAlignment="1">
      <alignment vertical="center" wrapText="1"/>
    </xf>
    <xf numFmtId="0" fontId="0" fillId="5" borderId="2" xfId="0" applyFill="1" applyBorder="1" applyAlignment="1">
      <alignment vertical="center" wrapText="1"/>
    </xf>
    <xf numFmtId="0" fontId="3" fillId="8" borderId="3" xfId="3" applyFont="1" applyFill="1" applyBorder="1" applyAlignment="1">
      <alignment vertical="center" wrapText="1"/>
    </xf>
    <xf numFmtId="5" fontId="0" fillId="8" borderId="2" xfId="0" applyNumberFormat="1" applyFill="1" applyBorder="1" applyAlignment="1">
      <alignment horizontal="center" vertical="center"/>
    </xf>
    <xf numFmtId="0" fontId="0" fillId="8" borderId="2" xfId="0" applyFill="1" applyBorder="1" applyAlignment="1">
      <alignment vertical="center" wrapText="1"/>
    </xf>
    <xf numFmtId="0" fontId="2" fillId="8" borderId="3" xfId="3" applyFont="1" applyFill="1" applyBorder="1" applyAlignment="1">
      <alignment vertical="center" wrapText="1"/>
    </xf>
    <xf numFmtId="0" fontId="12" fillId="0" borderId="0" xfId="3" applyFont="1"/>
    <xf numFmtId="0" fontId="5" fillId="0" borderId="0" xfId="3"/>
    <xf numFmtId="165" fontId="0" fillId="7" borderId="3" xfId="6" applyNumberFormat="1" applyFont="1" applyFill="1" applyBorder="1"/>
    <xf numFmtId="0" fontId="5" fillId="7" borderId="1" xfId="3" applyFill="1" applyBorder="1"/>
    <xf numFmtId="165" fontId="0" fillId="7" borderId="0" xfId="6" applyNumberFormat="1" applyFont="1" applyFill="1"/>
    <xf numFmtId="0" fontId="5" fillId="7" borderId="0" xfId="3" applyFill="1"/>
    <xf numFmtId="0" fontId="12" fillId="9" borderId="2" xfId="3" applyFont="1" applyFill="1" applyBorder="1" applyAlignment="1">
      <alignment wrapText="1"/>
    </xf>
    <xf numFmtId="0" fontId="5" fillId="0" borderId="2" xfId="3" applyBorder="1"/>
    <xf numFmtId="9" fontId="5" fillId="0" borderId="2" xfId="3" applyNumberFormat="1" applyBorder="1"/>
    <xf numFmtId="0" fontId="5" fillId="0" borderId="2" xfId="3" applyFill="1" applyBorder="1"/>
    <xf numFmtId="9" fontId="5" fillId="0" borderId="2" xfId="4" applyBorder="1"/>
    <xf numFmtId="9" fontId="5" fillId="2" borderId="2" xfId="3" applyNumberFormat="1" applyFill="1" applyBorder="1"/>
    <xf numFmtId="9" fontId="5" fillId="0" borderId="0" xfId="3" applyNumberFormat="1"/>
    <xf numFmtId="164" fontId="5" fillId="0" borderId="0" xfId="2" applyNumberFormat="1"/>
    <xf numFmtId="0" fontId="12" fillId="4" borderId="2" xfId="3" applyFont="1" applyFill="1" applyBorder="1"/>
    <xf numFmtId="165" fontId="12" fillId="4" borderId="2" xfId="6" applyNumberFormat="1" applyFont="1" applyFill="1" applyBorder="1"/>
    <xf numFmtId="0" fontId="12" fillId="4" borderId="0" xfId="3" applyFont="1" applyFill="1" applyBorder="1"/>
    <xf numFmtId="165" fontId="12" fillId="4" borderId="0" xfId="6" applyNumberFormat="1" applyFont="1" applyFill="1" applyBorder="1"/>
    <xf numFmtId="164" fontId="12" fillId="4" borderId="0" xfId="3" applyNumberFormat="1" applyFont="1" applyFill="1"/>
    <xf numFmtId="9" fontId="5" fillId="0" borderId="0" xfId="3" applyNumberFormat="1" applyFill="1"/>
    <xf numFmtId="164" fontId="5" fillId="0" borderId="0" xfId="3" applyNumberFormat="1"/>
    <xf numFmtId="43" fontId="12" fillId="4" borderId="2" xfId="6" applyNumberFormat="1" applyFont="1" applyFill="1" applyBorder="1"/>
    <xf numFmtId="0" fontId="15" fillId="0" borderId="0" xfId="0" applyFont="1"/>
    <xf numFmtId="5" fontId="16" fillId="0" borderId="0" xfId="1" applyNumberFormat="1" applyFont="1" applyAlignment="1">
      <alignment horizontal="center" vertical="center"/>
    </xf>
    <xf numFmtId="0" fontId="17" fillId="0" borderId="0" xfId="0" applyFont="1" applyAlignment="1">
      <alignment wrapText="1"/>
    </xf>
    <xf numFmtId="0" fontId="19" fillId="0" borderId="0" xfId="0" applyFont="1" applyAlignment="1">
      <alignment wrapText="1"/>
    </xf>
    <xf numFmtId="0" fontId="0" fillId="0" borderId="0" xfId="0" applyFill="1" applyAlignment="1">
      <alignment wrapText="1"/>
    </xf>
    <xf numFmtId="0" fontId="11" fillId="0" borderId="0" xfId="0" applyFont="1" applyFill="1"/>
    <xf numFmtId="0" fontId="0" fillId="0" borderId="0" xfId="0" applyFill="1"/>
    <xf numFmtId="164" fontId="0" fillId="0" borderId="0" xfId="1" applyNumberFormat="1" applyFont="1" applyFill="1" applyAlignment="1">
      <alignment wrapText="1"/>
    </xf>
    <xf numFmtId="0" fontId="0" fillId="0" borderId="0" xfId="0" applyFont="1" applyFill="1" applyAlignment="1">
      <alignment wrapText="1"/>
    </xf>
    <xf numFmtId="0" fontId="17" fillId="0" borderId="0" xfId="0" applyFont="1"/>
    <xf numFmtId="5" fontId="0" fillId="0" borderId="0" xfId="0" applyNumberFormat="1" applyFill="1" applyAlignment="1">
      <alignment horizontal="center"/>
    </xf>
    <xf numFmtId="0" fontId="23" fillId="0" borderId="0" xfId="0" applyFont="1"/>
    <xf numFmtId="164" fontId="16" fillId="0" borderId="0" xfId="1" applyNumberFormat="1" applyFont="1" applyAlignment="1">
      <alignment wrapText="1"/>
    </xf>
    <xf numFmtId="0" fontId="24" fillId="0" borderId="0" xfId="0" applyFont="1"/>
    <xf numFmtId="0" fontId="6" fillId="10" borderId="0" xfId="0" applyFont="1" applyFill="1"/>
    <xf numFmtId="0" fontId="0" fillId="10" borderId="0" xfId="0" applyFill="1"/>
    <xf numFmtId="0" fontId="22" fillId="3" borderId="0" xfId="0" applyFont="1" applyFill="1"/>
    <xf numFmtId="0" fontId="16" fillId="3" borderId="0" xfId="0" applyFont="1" applyFill="1"/>
    <xf numFmtId="0" fontId="21" fillId="3" borderId="0" xfId="0" applyFont="1" applyFill="1"/>
    <xf numFmtId="0" fontId="0" fillId="3" borderId="0" xfId="0" applyFill="1"/>
    <xf numFmtId="0" fontId="5" fillId="6" borderId="0" xfId="3" applyFill="1"/>
    <xf numFmtId="164" fontId="0" fillId="6" borderId="0" xfId="2" applyNumberFormat="1" applyFont="1" applyFill="1"/>
    <xf numFmtId="0" fontId="5" fillId="6" borderId="0" xfId="3" applyFont="1" applyFill="1" applyAlignment="1">
      <alignment horizontal="right"/>
    </xf>
    <xf numFmtId="9" fontId="0" fillId="0" borderId="6" xfId="0" applyNumberFormat="1" applyBorder="1"/>
    <xf numFmtId="0" fontId="0" fillId="0" borderId="0" xfId="0" applyBorder="1"/>
    <xf numFmtId="1" fontId="0" fillId="0" borderId="0" xfId="0" applyNumberFormat="1" applyBorder="1"/>
    <xf numFmtId="1" fontId="0" fillId="0" borderId="9" xfId="0" applyNumberFormat="1" applyBorder="1"/>
    <xf numFmtId="166" fontId="0" fillId="0" borderId="9" xfId="0" applyNumberFormat="1" applyBorder="1"/>
    <xf numFmtId="9" fontId="0" fillId="0" borderId="10" xfId="0" applyNumberFormat="1" applyBorder="1"/>
    <xf numFmtId="166" fontId="0" fillId="0" borderId="12" xfId="0" applyNumberFormat="1" applyBorder="1"/>
    <xf numFmtId="0" fontId="0" fillId="0" borderId="2" xfId="0" applyBorder="1" applyAlignment="1">
      <alignment horizontal="center"/>
    </xf>
    <xf numFmtId="0" fontId="0" fillId="11" borderId="2" xfId="0" applyFill="1" applyBorder="1" applyAlignment="1">
      <alignment horizontal="center"/>
    </xf>
    <xf numFmtId="0" fontId="0" fillId="12" borderId="2" xfId="0" applyFill="1" applyBorder="1" applyAlignment="1">
      <alignment horizontal="center"/>
    </xf>
    <xf numFmtId="9" fontId="0" fillId="0" borderId="2" xfId="4" applyFont="1" applyBorder="1" applyAlignment="1">
      <alignment horizontal="center"/>
    </xf>
    <xf numFmtId="0" fontId="0" fillId="0" borderId="11" xfId="0" applyBorder="1"/>
    <xf numFmtId="1" fontId="0" fillId="0" borderId="11" xfId="0" applyNumberFormat="1" applyBorder="1"/>
    <xf numFmtId="0" fontId="0" fillId="0" borderId="2" xfId="0" applyBorder="1" applyAlignment="1">
      <alignment horizontal="left"/>
    </xf>
    <xf numFmtId="0" fontId="6" fillId="10" borderId="5" xfId="0" applyFont="1" applyFill="1" applyBorder="1" applyAlignment="1">
      <alignment wrapText="1"/>
    </xf>
    <xf numFmtId="0" fontId="6" fillId="10" borderId="7" xfId="0" applyFont="1" applyFill="1" applyBorder="1" applyAlignment="1">
      <alignment wrapText="1"/>
    </xf>
    <xf numFmtId="0" fontId="6" fillId="10" borderId="8" xfId="0" applyFont="1" applyFill="1" applyBorder="1" applyAlignment="1">
      <alignment wrapText="1"/>
    </xf>
    <xf numFmtId="5" fontId="16" fillId="0" borderId="0" xfId="1" applyNumberFormat="1" applyFont="1" applyFill="1" applyAlignment="1">
      <alignment horizontal="center" vertical="center"/>
    </xf>
    <xf numFmtId="5" fontId="16" fillId="0" borderId="0" xfId="0" applyNumberFormat="1"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wrapText="1"/>
    </xf>
    <xf numFmtId="164" fontId="17" fillId="0" borderId="0" xfId="1" applyNumberFormat="1" applyFont="1" applyFill="1" applyAlignment="1"/>
    <xf numFmtId="5" fontId="0" fillId="0" borderId="0" xfId="1" applyNumberFormat="1" applyFont="1" applyFill="1" applyAlignment="1">
      <alignment horizontal="center" vertical="center"/>
    </xf>
    <xf numFmtId="0" fontId="26" fillId="0" borderId="0" xfId="0" applyFont="1" applyAlignment="1">
      <alignment wrapText="1"/>
    </xf>
    <xf numFmtId="0" fontId="27" fillId="0" borderId="0" xfId="0" applyFont="1"/>
    <xf numFmtId="5" fontId="28" fillId="0" borderId="0" xfId="1" applyNumberFormat="1" applyFont="1" applyAlignment="1">
      <alignment horizontal="center" vertical="center"/>
    </xf>
    <xf numFmtId="0" fontId="29" fillId="0" borderId="0" xfId="0" applyFont="1" applyAlignment="1">
      <alignment wrapText="1"/>
    </xf>
    <xf numFmtId="164" fontId="29" fillId="0" borderId="0" xfId="1" applyNumberFormat="1" applyFont="1" applyAlignment="1">
      <alignment wrapText="1"/>
    </xf>
    <xf numFmtId="0" fontId="30" fillId="0" borderId="0" xfId="0" applyFont="1"/>
    <xf numFmtId="0" fontId="0" fillId="0" borderId="0" xfId="0" applyAlignment="1"/>
    <xf numFmtId="0" fontId="29" fillId="0" borderId="0" xfId="0" applyFont="1"/>
    <xf numFmtId="0" fontId="28" fillId="0" borderId="0" xfId="0" applyFont="1" applyFill="1" applyAlignment="1">
      <alignment wrapText="1"/>
    </xf>
    <xf numFmtId="164" fontId="28" fillId="0" borderId="0" xfId="1" applyNumberFormat="1" applyFont="1" applyFill="1" applyAlignment="1">
      <alignment wrapText="1"/>
    </xf>
    <xf numFmtId="5" fontId="28" fillId="0" borderId="0" xfId="1" applyNumberFormat="1" applyFont="1" applyFill="1" applyAlignment="1">
      <alignment horizontal="center" vertical="center"/>
    </xf>
    <xf numFmtId="5" fontId="28" fillId="0" borderId="0" xfId="0" applyNumberFormat="1" applyFont="1" applyFill="1" applyAlignment="1">
      <alignment horizontal="center"/>
    </xf>
    <xf numFmtId="0" fontId="18" fillId="0" borderId="0" xfId="0" applyFont="1" applyFill="1"/>
    <xf numFmtId="0" fontId="21" fillId="0" borderId="0" xfId="0" applyFont="1" applyFill="1"/>
    <xf numFmtId="0" fontId="19" fillId="0" borderId="0" xfId="0" applyFont="1" applyFill="1"/>
    <xf numFmtId="0" fontId="7" fillId="0" borderId="2" xfId="3" applyFont="1" applyBorder="1" applyAlignment="1">
      <alignment vertical="center" wrapText="1"/>
    </xf>
    <xf numFmtId="5" fontId="6" fillId="0" borderId="2" xfId="0" applyNumberFormat="1" applyFont="1" applyBorder="1" applyAlignment="1">
      <alignment horizontal="center" vertical="center"/>
    </xf>
    <xf numFmtId="0" fontId="0" fillId="0" borderId="0" xfId="0" quotePrefix="1"/>
    <xf numFmtId="9" fontId="0" fillId="0" borderId="2" xfId="0" applyNumberFormat="1" applyBorder="1" applyAlignment="1">
      <alignment horizontal="center" vertical="center"/>
    </xf>
    <xf numFmtId="5" fontId="0" fillId="0" borderId="2" xfId="0" applyNumberFormat="1" applyBorder="1" applyAlignment="1">
      <alignment horizontal="center"/>
    </xf>
    <xf numFmtId="0" fontId="0" fillId="0" borderId="2" xfId="0" applyBorder="1" applyAlignment="1">
      <alignment horizontal="right"/>
    </xf>
    <xf numFmtId="0" fontId="0" fillId="0" borderId="2" xfId="0" applyBorder="1" applyAlignment="1">
      <alignment horizontal="left" vertical="center"/>
    </xf>
    <xf numFmtId="0" fontId="0" fillId="0" borderId="2" xfId="0" applyBorder="1"/>
    <xf numFmtId="0" fontId="0" fillId="0" borderId="2" xfId="0" applyBorder="1" applyAlignment="1">
      <alignment horizontal="left" vertical="center" wrapText="1"/>
    </xf>
    <xf numFmtId="0" fontId="16" fillId="0" borderId="0" xfId="0" applyFont="1" applyFill="1"/>
    <xf numFmtId="0" fontId="6" fillId="10" borderId="0" xfId="0" applyFont="1" applyFill="1" applyAlignment="1">
      <alignment wrapText="1"/>
    </xf>
    <xf numFmtId="167" fontId="15" fillId="0" borderId="0" xfId="0" applyNumberFormat="1" applyFont="1" applyAlignment="1">
      <alignment horizontal="left"/>
    </xf>
    <xf numFmtId="0" fontId="0" fillId="0" borderId="2" xfId="0" applyBorder="1" applyAlignment="1">
      <alignment vertical="center"/>
    </xf>
    <xf numFmtId="0" fontId="0" fillId="0" borderId="2" xfId="0" applyBorder="1" applyAlignment="1">
      <alignment wrapText="1"/>
    </xf>
    <xf numFmtId="0" fontId="15" fillId="0" borderId="0" xfId="0" applyFont="1" applyFill="1"/>
    <xf numFmtId="0" fontId="0" fillId="10" borderId="2" xfId="0" applyFill="1" applyBorder="1"/>
    <xf numFmtId="0" fontId="1" fillId="8" borderId="3" xfId="3" applyFont="1" applyFill="1" applyBorder="1" applyAlignment="1">
      <alignment vertical="center" wrapText="1"/>
    </xf>
    <xf numFmtId="168" fontId="0" fillId="0" borderId="0" xfId="7" applyNumberFormat="1" applyFont="1" applyAlignment="1">
      <alignment horizontal="center"/>
    </xf>
    <xf numFmtId="5" fontId="6" fillId="0" borderId="0" xfId="0" applyNumberFormat="1" applyFont="1" applyAlignment="1">
      <alignment horizontal="center"/>
    </xf>
    <xf numFmtId="0" fontId="8" fillId="0" borderId="2" xfId="0" applyFont="1" applyBorder="1" applyAlignment="1">
      <alignment wrapText="1"/>
    </xf>
    <xf numFmtId="0" fontId="6" fillId="0" borderId="0" xfId="0" applyFont="1"/>
    <xf numFmtId="164" fontId="25" fillId="13" borderId="0" xfId="1" applyNumberFormat="1" applyFont="1" applyFill="1"/>
    <xf numFmtId="0" fontId="6" fillId="14" borderId="13" xfId="0" applyFont="1" applyFill="1" applyBorder="1" applyAlignment="1">
      <alignment wrapText="1"/>
    </xf>
    <xf numFmtId="0" fontId="6" fillId="14" borderId="14" xfId="0" applyFont="1" applyFill="1" applyBorder="1" applyAlignment="1">
      <alignment wrapText="1"/>
    </xf>
    <xf numFmtId="0" fontId="6" fillId="14" borderId="15" xfId="0" applyFont="1" applyFill="1" applyBorder="1" applyAlignment="1">
      <alignment wrapText="1"/>
    </xf>
    <xf numFmtId="0" fontId="6" fillId="14" borderId="16" xfId="0" applyFont="1" applyFill="1" applyBorder="1" applyAlignment="1">
      <alignment wrapText="1"/>
    </xf>
    <xf numFmtId="0" fontId="0" fillId="0" borderId="17" xfId="0" applyBorder="1"/>
    <xf numFmtId="169" fontId="25" fillId="0" borderId="0" xfId="5" applyNumberFormat="1" applyFont="1" applyBorder="1"/>
    <xf numFmtId="164" fontId="0" fillId="0" borderId="0" xfId="0" applyNumberFormat="1" applyBorder="1"/>
    <xf numFmtId="164" fontId="0" fillId="15" borderId="0" xfId="0" applyNumberFormat="1" applyFill="1" applyBorder="1"/>
    <xf numFmtId="164" fontId="0" fillId="0" borderId="18" xfId="0" applyNumberFormat="1" applyBorder="1"/>
    <xf numFmtId="164" fontId="0" fillId="2" borderId="0" xfId="0" applyNumberFormat="1" applyFill="1" applyBorder="1"/>
    <xf numFmtId="164" fontId="0" fillId="0" borderId="0" xfId="0" applyNumberFormat="1" applyFill="1" applyBorder="1"/>
    <xf numFmtId="0" fontId="0" fillId="0" borderId="18" xfId="0" applyBorder="1"/>
    <xf numFmtId="0" fontId="6" fillId="0" borderId="19" xfId="0" applyFont="1" applyBorder="1"/>
    <xf numFmtId="169" fontId="6" fillId="0" borderId="20" xfId="0" applyNumberFormat="1" applyFont="1" applyBorder="1"/>
    <xf numFmtId="164" fontId="6" fillId="0" borderId="20" xfId="0" applyNumberFormat="1" applyFont="1" applyBorder="1"/>
    <xf numFmtId="164" fontId="6" fillId="0" borderId="21" xfId="0" applyNumberFormat="1" applyFont="1" applyBorder="1"/>
    <xf numFmtId="0" fontId="6" fillId="0" borderId="22" xfId="0" applyFont="1" applyFill="1" applyBorder="1" applyAlignment="1">
      <alignment wrapText="1"/>
    </xf>
    <xf numFmtId="0" fontId="6" fillId="0" borderId="0" xfId="0" applyFont="1" applyFill="1" applyBorder="1" applyAlignment="1">
      <alignment wrapText="1"/>
    </xf>
    <xf numFmtId="5" fontId="0" fillId="0" borderId="2" xfId="0" applyNumberFormat="1" applyBorder="1"/>
    <xf numFmtId="0" fontId="1" fillId="3" borderId="2" xfId="3" applyFont="1" applyFill="1" applyBorder="1" applyAlignment="1">
      <alignment horizontal="center" wrapText="1"/>
    </xf>
    <xf numFmtId="0" fontId="0" fillId="6" borderId="0" xfId="0" applyFill="1" applyBorder="1" applyAlignment="1">
      <alignment horizontal="center" wrapText="1"/>
    </xf>
    <xf numFmtId="0" fontId="0" fillId="0" borderId="0" xfId="0" applyBorder="1" applyAlignment="1">
      <alignment wrapText="1"/>
    </xf>
    <xf numFmtId="165" fontId="0" fillId="0" borderId="0" xfId="7" applyNumberFormat="1" applyFont="1" applyAlignment="1">
      <alignment wrapText="1"/>
    </xf>
    <xf numFmtId="0" fontId="7" fillId="3" borderId="1" xfId="3" applyFont="1" applyFill="1" applyBorder="1" applyAlignment="1">
      <alignment horizontal="center" wrapText="1"/>
    </xf>
    <xf numFmtId="5" fontId="0" fillId="8" borderId="1" xfId="0" applyNumberFormat="1" applyFill="1" applyBorder="1" applyAlignment="1">
      <alignment horizontal="center" vertical="center"/>
    </xf>
    <xf numFmtId="5" fontId="0" fillId="6" borderId="1" xfId="0" applyNumberFormat="1" applyFill="1" applyBorder="1" applyAlignment="1">
      <alignment horizontal="center" vertical="center"/>
    </xf>
    <xf numFmtId="5" fontId="0" fillId="5" borderId="1" xfId="0" applyNumberFormat="1" applyFill="1" applyBorder="1" applyAlignment="1">
      <alignment horizontal="center" vertical="center"/>
    </xf>
    <xf numFmtId="5" fontId="6" fillId="0" borderId="1" xfId="0" applyNumberFormat="1" applyFont="1" applyBorder="1" applyAlignment="1">
      <alignment horizontal="center" vertical="center"/>
    </xf>
    <xf numFmtId="0" fontId="7" fillId="3" borderId="23" xfId="3" applyFont="1" applyFill="1" applyBorder="1" applyAlignment="1">
      <alignment horizontal="center" wrapText="1"/>
    </xf>
    <xf numFmtId="5" fontId="0" fillId="8" borderId="23" xfId="0" applyNumberFormat="1" applyFill="1" applyBorder="1" applyAlignment="1">
      <alignment horizontal="center" vertical="center"/>
    </xf>
    <xf numFmtId="5" fontId="0" fillId="6" borderId="23" xfId="0" applyNumberFormat="1" applyFill="1" applyBorder="1" applyAlignment="1">
      <alignment horizontal="center" vertical="center"/>
    </xf>
    <xf numFmtId="5" fontId="0" fillId="5" borderId="23" xfId="0" applyNumberFormat="1" applyFill="1" applyBorder="1" applyAlignment="1">
      <alignment horizontal="center" vertical="center"/>
    </xf>
    <xf numFmtId="5" fontId="6" fillId="0" borderId="23" xfId="0" applyNumberFormat="1" applyFont="1" applyBorder="1" applyAlignment="1">
      <alignment horizontal="center" vertical="center"/>
    </xf>
    <xf numFmtId="0" fontId="7" fillId="3" borderId="24" xfId="3" applyFont="1" applyFill="1" applyBorder="1" applyAlignment="1">
      <alignment horizontal="center" wrapText="1"/>
    </xf>
    <xf numFmtId="5" fontId="0" fillId="8" borderId="24" xfId="0" applyNumberFormat="1" applyFill="1" applyBorder="1" applyAlignment="1">
      <alignment horizontal="center" vertical="center"/>
    </xf>
    <xf numFmtId="5" fontId="0" fillId="6" borderId="24" xfId="0" applyNumberFormat="1" applyFill="1" applyBorder="1" applyAlignment="1">
      <alignment horizontal="center" vertical="center"/>
    </xf>
    <xf numFmtId="5" fontId="0" fillId="5" borderId="24" xfId="0" applyNumberFormat="1" applyFill="1" applyBorder="1" applyAlignment="1">
      <alignment horizontal="center" vertical="center"/>
    </xf>
    <xf numFmtId="5" fontId="6" fillId="0" borderId="24" xfId="0" applyNumberFormat="1" applyFont="1" applyBorder="1" applyAlignment="1">
      <alignment horizontal="center" vertical="center"/>
    </xf>
    <xf numFmtId="0" fontId="1" fillId="0" borderId="2" xfId="3" applyFont="1" applyFill="1" applyBorder="1" applyAlignment="1">
      <alignment vertical="center" wrapText="1"/>
    </xf>
    <xf numFmtId="168" fontId="0" fillId="0" borderId="2" xfId="0" applyNumberFormat="1" applyBorder="1" applyAlignment="1">
      <alignment horizontal="center" vertical="center"/>
    </xf>
    <xf numFmtId="168" fontId="0" fillId="0" borderId="1" xfId="0" applyNumberFormat="1" applyBorder="1" applyAlignment="1">
      <alignment horizontal="center" vertical="center"/>
    </xf>
    <xf numFmtId="0" fontId="0" fillId="0" borderId="24" xfId="0" applyBorder="1"/>
    <xf numFmtId="168" fontId="0" fillId="0" borderId="2" xfId="0" applyNumberFormat="1" applyBorder="1"/>
    <xf numFmtId="164" fontId="5" fillId="0" borderId="0" xfId="1" applyNumberFormat="1" applyFont="1"/>
    <xf numFmtId="0" fontId="6" fillId="3" borderId="6" xfId="0" applyFont="1" applyFill="1" applyBorder="1" applyAlignment="1">
      <alignment horizontal="center"/>
    </xf>
    <xf numFmtId="0" fontId="6" fillId="3" borderId="0" xfId="0" applyFont="1" applyFill="1" applyBorder="1" applyAlignment="1">
      <alignment horizontal="center"/>
    </xf>
    <xf numFmtId="0" fontId="0" fillId="6" borderId="3" xfId="0" applyFill="1" applyBorder="1" applyAlignment="1">
      <alignment horizontal="center" wrapText="1"/>
    </xf>
    <xf numFmtId="0" fontId="0" fillId="6" borderId="4" xfId="0" applyFill="1" applyBorder="1" applyAlignment="1">
      <alignment horizontal="center" wrapText="1"/>
    </xf>
    <xf numFmtId="0" fontId="0" fillId="6" borderId="1" xfId="0" applyFill="1" applyBorder="1" applyAlignment="1">
      <alignment horizontal="center" wrapText="1"/>
    </xf>
    <xf numFmtId="0" fontId="6" fillId="3" borderId="2" xfId="0" applyFont="1" applyFill="1" applyBorder="1" applyAlignment="1">
      <alignment horizontal="center"/>
    </xf>
    <xf numFmtId="0" fontId="0" fillId="11" borderId="3" xfId="0" applyFill="1" applyBorder="1" applyAlignment="1">
      <alignment horizontal="center"/>
    </xf>
    <xf numFmtId="0" fontId="0" fillId="11" borderId="4" xfId="0" applyFill="1" applyBorder="1" applyAlignment="1">
      <alignment horizontal="center"/>
    </xf>
    <xf numFmtId="0" fontId="0" fillId="11" borderId="1" xfId="0" applyFill="1" applyBorder="1" applyAlignment="1">
      <alignment horizontal="center"/>
    </xf>
  </cellXfs>
  <cellStyles count="8">
    <cellStyle name="Comma" xfId="7" builtinId="3"/>
    <cellStyle name="Comma 2" xfId="6"/>
    <cellStyle name="Currency" xfId="1" builtinId="4"/>
    <cellStyle name="Currency 2" xfId="2"/>
    <cellStyle name="Normal" xfId="0" builtinId="0"/>
    <cellStyle name="Normal 2" xfId="3"/>
    <cellStyle name="Percent 2" xfId="4"/>
    <cellStyle name="Percent 3"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stacked"/>
        <c:ser>
          <c:idx val="0"/>
          <c:order val="0"/>
          <c:tx>
            <c:strRef>
              <c:f>'Category (2012-2014)'!$C$21</c:f>
              <c:strCache>
                <c:ptCount val="1"/>
                <c:pt idx="0">
                  <c:v>Contract</c:v>
                </c:pt>
              </c:strCache>
            </c:strRef>
          </c:tx>
          <c:cat>
            <c:strRef>
              <c:f>'Category (2012-2014)'!$B$22:$B$24</c:f>
              <c:strCache>
                <c:ptCount val="3"/>
                <c:pt idx="0">
                  <c:v>Calendar 2012</c:v>
                </c:pt>
                <c:pt idx="1">
                  <c:v>Calendar 2013</c:v>
                </c:pt>
                <c:pt idx="2">
                  <c:v>Calendar 2014</c:v>
                </c:pt>
              </c:strCache>
            </c:strRef>
          </c:cat>
          <c:val>
            <c:numRef>
              <c:f>'Category (2012-2014)'!$C$22:$C$24</c:f>
              <c:numCache>
                <c:formatCode>"$"#,##0_);\("$"#,##0\)</c:formatCode>
                <c:ptCount val="3"/>
                <c:pt idx="0">
                  <c:v>1017000</c:v>
                </c:pt>
                <c:pt idx="1">
                  <c:v>925500</c:v>
                </c:pt>
                <c:pt idx="2">
                  <c:v>925500</c:v>
                </c:pt>
              </c:numCache>
            </c:numRef>
          </c:val>
        </c:ser>
        <c:ser>
          <c:idx val="1"/>
          <c:order val="1"/>
          <c:tx>
            <c:strRef>
              <c:f>'Category (2012-2014)'!$D$21</c:f>
              <c:strCache>
                <c:ptCount val="1"/>
                <c:pt idx="0">
                  <c:v>RTF Staff</c:v>
                </c:pt>
              </c:strCache>
            </c:strRef>
          </c:tx>
          <c:cat>
            <c:strRef>
              <c:f>'Category (2012-2014)'!$B$22:$B$24</c:f>
              <c:strCache>
                <c:ptCount val="3"/>
                <c:pt idx="0">
                  <c:v>Calendar 2012</c:v>
                </c:pt>
                <c:pt idx="1">
                  <c:v>Calendar 2013</c:v>
                </c:pt>
                <c:pt idx="2">
                  <c:v>Calendar 2014</c:v>
                </c:pt>
              </c:strCache>
            </c:strRef>
          </c:cat>
          <c:val>
            <c:numRef>
              <c:f>'Category (2012-2014)'!$D$22:$D$24</c:f>
              <c:numCache>
                <c:formatCode>"$"#,##0_);\("$"#,##0\)</c:formatCode>
                <c:ptCount val="3"/>
                <c:pt idx="0">
                  <c:v>483000</c:v>
                </c:pt>
                <c:pt idx="1">
                  <c:v>581600</c:v>
                </c:pt>
                <c:pt idx="2">
                  <c:v>581600</c:v>
                </c:pt>
              </c:numCache>
            </c:numRef>
          </c:val>
        </c:ser>
        <c:ser>
          <c:idx val="3"/>
          <c:order val="2"/>
          <c:tx>
            <c:strRef>
              <c:f>'Category (2012-2014)'!$F$21</c:f>
              <c:strCache>
                <c:ptCount val="1"/>
                <c:pt idx="0">
                  <c:v>Council Staff</c:v>
                </c:pt>
              </c:strCache>
            </c:strRef>
          </c:tx>
          <c:cat>
            <c:strRef>
              <c:f>'Category (2012-2014)'!$B$22:$B$24</c:f>
              <c:strCache>
                <c:ptCount val="3"/>
                <c:pt idx="0">
                  <c:v>Calendar 2012</c:v>
                </c:pt>
                <c:pt idx="1">
                  <c:v>Calendar 2013</c:v>
                </c:pt>
                <c:pt idx="2">
                  <c:v>Calendar 2014</c:v>
                </c:pt>
              </c:strCache>
            </c:strRef>
          </c:cat>
          <c:val>
            <c:numRef>
              <c:f>'Category (2012-2014)'!$F$22:$F$24</c:f>
              <c:numCache>
                <c:formatCode>"$"#,##0_);\("$"#,##0\)</c:formatCode>
                <c:ptCount val="3"/>
                <c:pt idx="0">
                  <c:v>387000</c:v>
                </c:pt>
                <c:pt idx="1">
                  <c:v>312900</c:v>
                </c:pt>
                <c:pt idx="2">
                  <c:v>312900</c:v>
                </c:pt>
              </c:numCache>
            </c:numRef>
          </c:val>
        </c:ser>
        <c:overlap val="100"/>
        <c:axId val="40084992"/>
        <c:axId val="40086528"/>
      </c:barChart>
      <c:catAx>
        <c:axId val="40084992"/>
        <c:scaling>
          <c:orientation val="minMax"/>
        </c:scaling>
        <c:axPos val="b"/>
        <c:tickLblPos val="nextTo"/>
        <c:crossAx val="40086528"/>
        <c:crosses val="autoZero"/>
        <c:auto val="1"/>
        <c:lblAlgn val="ctr"/>
        <c:lblOffset val="100"/>
      </c:catAx>
      <c:valAx>
        <c:axId val="40086528"/>
        <c:scaling>
          <c:orientation val="minMax"/>
        </c:scaling>
        <c:axPos val="l"/>
        <c:majorGridlines/>
        <c:numFmt formatCode="&quot;$&quot;#,##0_);\(&quot;$&quot;#,##0\)" sourceLinked="1"/>
        <c:tickLblPos val="nextTo"/>
        <c:crossAx val="40084992"/>
        <c:crosses val="autoZero"/>
        <c:crossBetween val="between"/>
      </c:valAx>
    </c:plotArea>
    <c:legend>
      <c:legendPos val="r"/>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152400</xdr:colOff>
      <xdr:row>25</xdr:row>
      <xdr:rowOff>66675</xdr:rowOff>
    </xdr:from>
    <xdr:to>
      <xdr:col>3</xdr:col>
      <xdr:colOff>295275</xdr:colOff>
      <xdr:row>39</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228599</xdr:colOff>
      <xdr:row>23</xdr:row>
      <xdr:rowOff>19050</xdr:rowOff>
    </xdr:from>
    <xdr:to>
      <xdr:col>1</xdr:col>
      <xdr:colOff>1000124</xdr:colOff>
      <xdr:row>33</xdr:row>
      <xdr:rowOff>104775</xdr:rowOff>
    </xdr:to>
    <xdr:sp macro="" textlink="">
      <xdr:nvSpPr>
        <xdr:cNvPr id="2" name="Rounded Rectangular Callout 1" descr="291fc636-9143-4bdc-90dc-ab9d0636823d"/>
        <xdr:cNvSpPr/>
      </xdr:nvSpPr>
      <xdr:spPr>
        <a:xfrm>
          <a:off x="228599" y="4514850"/>
          <a:ext cx="2047875" cy="2247900"/>
        </a:xfrm>
        <a:prstGeom prst="wedgeRoundRectCallout">
          <a:avLst>
            <a:gd name="adj1" fmla="val 62147"/>
            <a:gd name="adj2" fmla="val -376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Enter fraction of time that must be</a:t>
          </a:r>
          <a:r>
            <a:rPr lang="en-US" sz="1100" baseline="0"/>
            <a:t> retained at Council staff.   Includes contract development, financial, legal, some admin.  Plus some management and technical work  for  Tom, Charlie and Gillian.  The remainder to RTF contract staff or contract project  work.</a:t>
          </a:r>
        </a:p>
        <a:p>
          <a:pPr algn="l"/>
          <a:endParaRPr lang="en-US" sz="1100" baseline="0"/>
        </a:p>
      </xdr:txBody>
    </xdr:sp>
    <xdr:clientData/>
  </xdr:twoCellAnchor>
  <xdr:twoCellAnchor>
    <xdr:from>
      <xdr:col>0</xdr:col>
      <xdr:colOff>190499</xdr:colOff>
      <xdr:row>5</xdr:row>
      <xdr:rowOff>742950</xdr:rowOff>
    </xdr:from>
    <xdr:to>
      <xdr:col>1</xdr:col>
      <xdr:colOff>942974</xdr:colOff>
      <xdr:row>19</xdr:row>
      <xdr:rowOff>142875</xdr:rowOff>
    </xdr:to>
    <xdr:sp macro="" textlink="">
      <xdr:nvSpPr>
        <xdr:cNvPr id="3" name="Rounded Rectangular Callout 2" descr="5bb34e46-69ca-42c4-967c-2f067a52e970"/>
        <xdr:cNvSpPr/>
      </xdr:nvSpPr>
      <xdr:spPr>
        <a:xfrm>
          <a:off x="190499" y="1581150"/>
          <a:ext cx="2028825" cy="2324100"/>
        </a:xfrm>
        <a:prstGeom prst="wedgeRoundRectCallout">
          <a:avLst>
            <a:gd name="adj1" fmla="val 65009"/>
            <a:gd name="adj2" fmla="val -261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Revised from</a:t>
          </a:r>
          <a:r>
            <a:rPr lang="en-US" sz="1100" baseline="0"/>
            <a:t> 2011 to reflect less of Terry's time with RTF PAC and less of Sandra on charter and bylaws.  Also reduction in Tom and Charlie management after systems in place.  But more staff  technical review as measure throughput increases.    </a:t>
          </a:r>
        </a:p>
        <a:p>
          <a:pPr algn="l"/>
          <a:endParaRPr lang="en-US" sz="1100" baseline="0"/>
        </a:p>
      </xdr:txBody>
    </xdr:sp>
    <xdr:clientData/>
  </xdr:twoCellAnchor>
  <xdr:twoCellAnchor>
    <xdr:from>
      <xdr:col>0</xdr:col>
      <xdr:colOff>581025</xdr:colOff>
      <xdr:row>41</xdr:row>
      <xdr:rowOff>9525</xdr:rowOff>
    </xdr:from>
    <xdr:to>
      <xdr:col>2</xdr:col>
      <xdr:colOff>76200</xdr:colOff>
      <xdr:row>53</xdr:row>
      <xdr:rowOff>133350</xdr:rowOff>
    </xdr:to>
    <xdr:sp macro="" textlink="">
      <xdr:nvSpPr>
        <xdr:cNvPr id="4" name="Rounded Rectangular Callout 3" descr="f2507aa8-4808-40b0-a1e2-f4e0cad2bd45"/>
        <xdr:cNvSpPr/>
      </xdr:nvSpPr>
      <xdr:spPr>
        <a:xfrm>
          <a:off x="581025" y="7991475"/>
          <a:ext cx="2047875" cy="2590800"/>
        </a:xfrm>
        <a:prstGeom prst="wedgeRoundRectCallout">
          <a:avLst>
            <a:gd name="adj1" fmla="val 110054"/>
            <a:gd name="adj2" fmla="val -244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This table is simply the remainder from tables above.  Provides estimate of additional RTF</a:t>
          </a:r>
          <a:r>
            <a:rPr lang="en-US" sz="1100" baseline="0"/>
            <a:t> staff requirements.</a:t>
          </a:r>
        </a:p>
        <a:p>
          <a:pPr algn="l"/>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C11"/>
  <sheetViews>
    <sheetView tabSelected="1" workbookViewId="0">
      <selection activeCell="A15" sqref="A15"/>
    </sheetView>
  </sheetViews>
  <sheetFormatPr defaultRowHeight="15"/>
  <cols>
    <col min="2" max="2" width="24" customWidth="1"/>
    <col min="3" max="3" width="92" customWidth="1"/>
    <col min="4" max="4" width="9.7109375" bestFit="1" customWidth="1"/>
  </cols>
  <sheetData>
    <row r="1" spans="2:3" ht="23.25">
      <c r="B1" s="103" t="s">
        <v>199</v>
      </c>
    </row>
    <row r="2" spans="2:3">
      <c r="B2" s="51" t="s">
        <v>258</v>
      </c>
      <c r="C2" s="124"/>
    </row>
    <row r="4" spans="2:3">
      <c r="B4" s="128" t="s">
        <v>194</v>
      </c>
      <c r="C4" s="128" t="s">
        <v>195</v>
      </c>
    </row>
    <row r="5" spans="2:3">
      <c r="B5" s="125" t="s">
        <v>199</v>
      </c>
      <c r="C5" s="126"/>
    </row>
    <row r="6" spans="2:3" ht="75">
      <c r="B6" s="125" t="s">
        <v>201</v>
      </c>
      <c r="C6" s="19" t="s">
        <v>206</v>
      </c>
    </row>
    <row r="7" spans="2:3" ht="60">
      <c r="B7" s="125" t="s">
        <v>202</v>
      </c>
      <c r="C7" s="19" t="s">
        <v>209</v>
      </c>
    </row>
    <row r="8" spans="2:3" ht="30">
      <c r="B8" s="125" t="s">
        <v>203</v>
      </c>
      <c r="C8" s="19" t="s">
        <v>210</v>
      </c>
    </row>
    <row r="9" spans="2:3">
      <c r="B9" s="125" t="s">
        <v>204</v>
      </c>
      <c r="C9" s="19" t="s">
        <v>208</v>
      </c>
    </row>
    <row r="10" spans="2:3" ht="30">
      <c r="B10" s="125" t="s">
        <v>205</v>
      </c>
      <c r="C10" s="19" t="s">
        <v>207</v>
      </c>
    </row>
    <row r="11" spans="2:3" ht="30">
      <c r="B11" s="125" t="s">
        <v>236</v>
      </c>
      <c r="C11" s="19"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G18"/>
  <sheetViews>
    <sheetView topLeftCell="A4" workbookViewId="0">
      <selection activeCell="B5" sqref="B5"/>
    </sheetView>
  </sheetViews>
  <sheetFormatPr defaultColWidth="8.85546875" defaultRowHeight="15"/>
  <cols>
    <col min="2" max="2" width="52.7109375" customWidth="1"/>
    <col min="3" max="3" width="13.7109375" customWidth="1"/>
    <col min="4" max="4" width="11" customWidth="1"/>
    <col min="5" max="5" width="12.140625" customWidth="1"/>
    <col min="6" max="6" width="13.7109375" customWidth="1"/>
    <col min="7" max="7" width="72.7109375" customWidth="1"/>
  </cols>
  <sheetData>
    <row r="1" spans="2:7" ht="23.25">
      <c r="B1" s="103" t="s">
        <v>196</v>
      </c>
    </row>
    <row r="2" spans="2:7">
      <c r="B2" s="51" t="str">
        <f>'Table of Contents'!B2</f>
        <v>Draft of September 21, 2011</v>
      </c>
    </row>
    <row r="3" spans="2:7">
      <c r="B3" s="57"/>
    </row>
    <row r="7" spans="2:7">
      <c r="C7" s="179" t="s">
        <v>32</v>
      </c>
      <c r="D7" s="180"/>
      <c r="E7" s="180"/>
      <c r="F7" s="180"/>
      <c r="G7" s="180"/>
    </row>
    <row r="8" spans="2:7" ht="39">
      <c r="B8" s="17" t="s">
        <v>76</v>
      </c>
      <c r="C8" s="18" t="s">
        <v>85</v>
      </c>
      <c r="D8" s="18" t="s">
        <v>74</v>
      </c>
      <c r="E8" s="163" t="s">
        <v>112</v>
      </c>
      <c r="F8" s="158" t="s">
        <v>256</v>
      </c>
      <c r="G8" s="18" t="s">
        <v>24</v>
      </c>
    </row>
    <row r="9" spans="2:7" ht="38.25" customHeight="1">
      <c r="B9" s="25" t="s">
        <v>84</v>
      </c>
      <c r="C9" s="26">
        <f>'Category Detail (2012)'!C14</f>
        <v>175000</v>
      </c>
      <c r="D9" s="26">
        <f>'Category Detail (2012)'!D14</f>
        <v>50000</v>
      </c>
      <c r="E9" s="164">
        <f>'Category Detail (2012)'!E14</f>
        <v>225000</v>
      </c>
      <c r="F9" s="159">
        <f>'Category Detail (2012)'!F14</f>
        <v>40000</v>
      </c>
      <c r="G9" s="27" t="str">
        <f>CONCATENATE("Scalable.  Limit to ",'Category Detail (2012)'!H10," Active UES, ",'Category Detail (2012)'!H11," Provisional UES, ",'Category Detail (2012)'!H12," Protocol per year.  Eliminate 20 UES.  Three-year review cycle.")</f>
        <v>Scalable.  Limit to 10 Active UES, 10 Provisional UES, 0 Protocol per year.  Eliminate 20 UES.  Three-year review cycle.</v>
      </c>
    </row>
    <row r="10" spans="2:7" ht="38.25" customHeight="1">
      <c r="B10" s="129" t="s">
        <v>108</v>
      </c>
      <c r="C10" s="26">
        <f>'Category Detail (2012)'!C25</f>
        <v>207000</v>
      </c>
      <c r="D10" s="26">
        <f>'Category Detail (2012)'!D25</f>
        <v>137000</v>
      </c>
      <c r="E10" s="164">
        <f>'Category Detail (2012)'!E25</f>
        <v>344000</v>
      </c>
      <c r="F10" s="159">
        <f>'Category Detail (2012)'!F25</f>
        <v>35000</v>
      </c>
      <c r="G10" s="27" t="str">
        <f>CONCATENATE("Scalable.  Limit to ",'Category Detail (2012)'!H18," new UES, ",'Category Detail (2012)'!H19," new Protocols, ",'Category Detail (2012)'!H20," new small/rural UES/Protocol.  Placeholders for unsolicitied &amp; review of impact evaluation plans.")</f>
        <v>Scalable.  Limit to 4 new UES, 4 new Protocols, 3 new small/rural UES/Protocol.  Placeholders for unsolicitied &amp; review of impact evaluation plans.</v>
      </c>
    </row>
    <row r="11" spans="2:7" ht="38.25" customHeight="1">
      <c r="B11" s="25" t="s">
        <v>77</v>
      </c>
      <c r="C11" s="26">
        <f>'Category Detail (2012)'!C38</f>
        <v>140000</v>
      </c>
      <c r="D11" s="26">
        <f>'Category Detail (2012)'!D38</f>
        <v>42000</v>
      </c>
      <c r="E11" s="164">
        <f>'Category Detail (2012)'!E38</f>
        <v>182000</v>
      </c>
      <c r="F11" s="159">
        <f>'Category Detail (2012)'!F38</f>
        <v>27000</v>
      </c>
      <c r="G11" s="27" t="s">
        <v>52</v>
      </c>
    </row>
    <row r="12" spans="2:7" ht="38.25" customHeight="1">
      <c r="B12" s="20" t="s">
        <v>101</v>
      </c>
      <c r="C12" s="21">
        <f>'Category Detail (2012)'!C53</f>
        <v>86000</v>
      </c>
      <c r="D12" s="21">
        <f>'Category Detail (2012)'!D53</f>
        <v>48000</v>
      </c>
      <c r="E12" s="165">
        <f>'Category Detail (2012)'!E53</f>
        <v>134000</v>
      </c>
      <c r="F12" s="160">
        <f>'Category Detail (2012)'!F53</f>
        <v>12000</v>
      </c>
      <c r="G12" s="22" t="s">
        <v>53</v>
      </c>
    </row>
    <row r="13" spans="2:7" ht="38.25" customHeight="1">
      <c r="B13" s="23" t="s">
        <v>50</v>
      </c>
      <c r="C13" s="21">
        <f>'Category Detail (2012)'!C61</f>
        <v>230000</v>
      </c>
      <c r="D13" s="21">
        <f>'Category Detail (2012)'!D61</f>
        <v>48000</v>
      </c>
      <c r="E13" s="165">
        <f>'Category Detail (2012)'!E61</f>
        <v>278000</v>
      </c>
      <c r="F13" s="160">
        <f>'Category Detail (2012)'!F61</f>
        <v>24000</v>
      </c>
      <c r="G13" s="22" t="s">
        <v>53</v>
      </c>
    </row>
    <row r="14" spans="2:7" ht="38.25" customHeight="1">
      <c r="B14" s="23" t="s">
        <v>117</v>
      </c>
      <c r="C14" s="21">
        <f>'Category Detail (2012)'!C70</f>
        <v>0</v>
      </c>
      <c r="D14" s="21">
        <f>'Category Detail (2012)'!D70</f>
        <v>58000</v>
      </c>
      <c r="E14" s="165">
        <f>'Category Detail (2012)'!E70</f>
        <v>58000</v>
      </c>
      <c r="F14" s="160">
        <f>'Category Detail (2012)'!F70</f>
        <v>12000</v>
      </c>
      <c r="G14" s="22" t="s">
        <v>53</v>
      </c>
    </row>
    <row r="15" spans="2:7" ht="38.25" customHeight="1">
      <c r="B15" s="14" t="s">
        <v>75</v>
      </c>
      <c r="C15" s="15">
        <f>'Category Detail (2012)'!C77</f>
        <v>0</v>
      </c>
      <c r="D15" s="15">
        <f>'Category Detail (2012)'!D77</f>
        <v>0</v>
      </c>
      <c r="E15" s="166">
        <f>'Category Detail (2012)'!E77</f>
        <v>0</v>
      </c>
      <c r="F15" s="161">
        <f>'Category Detail (2012)'!F77</f>
        <v>50000</v>
      </c>
      <c r="G15" s="24" t="s">
        <v>51</v>
      </c>
    </row>
    <row r="16" spans="2:7" ht="38.25" customHeight="1">
      <c r="B16" s="16" t="s">
        <v>37</v>
      </c>
      <c r="C16" s="15">
        <f>'Category Detail (2012)'!C83</f>
        <v>174000</v>
      </c>
      <c r="D16" s="15">
        <f>'Category Detail (2012)'!D83</f>
        <v>0</v>
      </c>
      <c r="E16" s="166">
        <f>'Category Detail (2012)'!E83</f>
        <v>174000</v>
      </c>
      <c r="F16" s="161">
        <f>'Category Detail (2012)'!F83</f>
        <v>7000</v>
      </c>
      <c r="G16" s="24" t="s">
        <v>51</v>
      </c>
    </row>
    <row r="17" spans="2:7" ht="38.25" customHeight="1">
      <c r="B17" s="14" t="s">
        <v>83</v>
      </c>
      <c r="C17" s="15">
        <f>'Category Detail (2012)'!C90</f>
        <v>5000</v>
      </c>
      <c r="D17" s="15">
        <f>'Category Detail (2012)'!D90</f>
        <v>100000</v>
      </c>
      <c r="E17" s="166">
        <f>'Category Detail (2012)'!E90</f>
        <v>105000</v>
      </c>
      <c r="F17" s="161">
        <f>'Category Detail (2012)'!F90</f>
        <v>180000</v>
      </c>
      <c r="G17" s="24" t="s">
        <v>51</v>
      </c>
    </row>
    <row r="18" spans="2:7" ht="38.25" customHeight="1">
      <c r="B18" s="113" t="s">
        <v>38</v>
      </c>
      <c r="C18" s="114">
        <f>SUM(C9:C17)</f>
        <v>1017000</v>
      </c>
      <c r="D18" s="114">
        <f t="shared" ref="D18:F18" si="0">SUM(D9:D17)</f>
        <v>483000</v>
      </c>
      <c r="E18" s="167">
        <f t="shared" si="0"/>
        <v>1500000</v>
      </c>
      <c r="F18" s="162">
        <f t="shared" si="0"/>
        <v>387000</v>
      </c>
      <c r="G18" s="19"/>
    </row>
  </sheetData>
  <mergeCells count="1">
    <mergeCell ref="C7:G7"/>
  </mergeCells>
  <phoneticPr fontId="20" type="noConversion"/>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B1:T102"/>
  <sheetViews>
    <sheetView zoomScaleNormal="100" zoomScalePageLayoutView="78" workbookViewId="0">
      <pane xSplit="2" ySplit="8" topLeftCell="C15" activePane="bottomRight" state="frozen"/>
      <selection activeCell="B5" sqref="B5"/>
      <selection pane="topRight" activeCell="B5" sqref="B5"/>
      <selection pane="bottomLeft" activeCell="B5" sqref="B5"/>
      <selection pane="bottomRight" activeCell="B2" sqref="B2"/>
    </sheetView>
  </sheetViews>
  <sheetFormatPr defaultColWidth="8.85546875" defaultRowHeight="15"/>
  <cols>
    <col min="2" max="2" width="72.42578125" customWidth="1"/>
    <col min="3" max="4" width="14.42578125" customWidth="1"/>
    <col min="5" max="6" width="11.28515625" customWidth="1"/>
    <col min="7" max="7" width="6.7109375" customWidth="1"/>
    <col min="8" max="8" width="7" customWidth="1"/>
    <col min="9" max="9" width="10.42578125" customWidth="1"/>
    <col min="10" max="10" width="11" bestFit="1" customWidth="1"/>
    <col min="11" max="11" width="10" bestFit="1" customWidth="1"/>
    <col min="12" max="12" width="10" customWidth="1"/>
    <col min="13" max="13" width="81.140625" customWidth="1"/>
    <col min="14" max="14" width="8.85546875" style="60"/>
  </cols>
  <sheetData>
    <row r="1" spans="2:14" ht="23.25">
      <c r="B1" s="103" t="s">
        <v>211</v>
      </c>
    </row>
    <row r="2" spans="2:14">
      <c r="B2" t="str">
        <f>'Table of Contents'!B2</f>
        <v>Draft of September 21, 2011</v>
      </c>
    </row>
    <row r="3" spans="2:14">
      <c r="B3" s="57"/>
    </row>
    <row r="4" spans="2:14">
      <c r="B4" t="s">
        <v>168</v>
      </c>
    </row>
    <row r="5" spans="2:14">
      <c r="B5" t="s">
        <v>169</v>
      </c>
    </row>
    <row r="7" spans="2:14" ht="27" customHeight="1">
      <c r="G7" s="104"/>
      <c r="H7" s="181" t="s">
        <v>167</v>
      </c>
      <c r="I7" s="182"/>
      <c r="J7" s="182"/>
      <c r="K7" s="183"/>
      <c r="L7" s="155">
        <v>120000</v>
      </c>
    </row>
    <row r="8" spans="2:14" s="3" customFormat="1" ht="61.5" customHeight="1">
      <c r="C8" s="132" t="s">
        <v>85</v>
      </c>
      <c r="D8" s="132" t="s">
        <v>74</v>
      </c>
      <c r="E8" s="132" t="s">
        <v>112</v>
      </c>
      <c r="F8" s="132" t="s">
        <v>256</v>
      </c>
      <c r="H8" s="126" t="s">
        <v>115</v>
      </c>
      <c r="I8" s="126" t="s">
        <v>116</v>
      </c>
      <c r="J8" s="126" t="s">
        <v>47</v>
      </c>
      <c r="K8" s="126" t="s">
        <v>48</v>
      </c>
      <c r="L8" s="156" t="s">
        <v>255</v>
      </c>
      <c r="M8" s="7" t="s">
        <v>24</v>
      </c>
      <c r="N8" s="53"/>
    </row>
    <row r="9" spans="2:14" s="3" customFormat="1" ht="15.75" customHeight="1">
      <c r="B9" s="1" t="str">
        <f>'Category (2012)'!B9</f>
        <v>Existing Measure Review &amp; Updates</v>
      </c>
      <c r="C9" s="7"/>
      <c r="D9" s="7"/>
      <c r="E9" s="7"/>
      <c r="F9" s="7"/>
      <c r="I9" s="63"/>
      <c r="N9" s="53"/>
    </row>
    <row r="10" spans="2:14" s="3" customFormat="1" ht="15.75" customHeight="1">
      <c r="B10" s="62" t="s">
        <v>128</v>
      </c>
      <c r="C10" s="4">
        <f>H10*I10</f>
        <v>60000</v>
      </c>
      <c r="D10" s="4">
        <f>H10*J10</f>
        <v>10000</v>
      </c>
      <c r="E10" s="4">
        <f>SUM(C10:D10)</f>
        <v>70000</v>
      </c>
      <c r="F10" s="4">
        <f>H10*K10</f>
        <v>10000</v>
      </c>
      <c r="H10" s="3">
        <v>10</v>
      </c>
      <c r="I10" s="63">
        <v>6000</v>
      </c>
      <c r="J10" s="9">
        <v>1000</v>
      </c>
      <c r="K10" s="9">
        <v>1000</v>
      </c>
      <c r="L10" s="157">
        <f>$L$7/SUM(I10:K10)</f>
        <v>15</v>
      </c>
      <c r="M10" s="11" t="str">
        <f>CONCATENATE("Library of approx 30 Active UES on average 3-year review cycle or n=",H10," per year @ $",I10/1000,"K each")</f>
        <v>Library of approx 30 Active UES on average 3-year review cycle or n=10 per year @ $6K each</v>
      </c>
      <c r="N10" s="95"/>
    </row>
    <row r="11" spans="2:14" s="3" customFormat="1" ht="15.75" customHeight="1">
      <c r="B11" s="2" t="s">
        <v>25</v>
      </c>
      <c r="C11" s="4">
        <f t="shared" ref="C11:C12" si="0">H11*I11</f>
        <v>40000</v>
      </c>
      <c r="D11" s="4">
        <f t="shared" ref="D11:D12" si="1">H11*J11</f>
        <v>20000</v>
      </c>
      <c r="E11" s="4">
        <f>SUM(C11:D11)</f>
        <v>60000</v>
      </c>
      <c r="F11" s="4">
        <f t="shared" ref="F11:F12" si="2">H11*K11</f>
        <v>20000</v>
      </c>
      <c r="H11" s="3">
        <v>10</v>
      </c>
      <c r="I11" s="63">
        <v>4000</v>
      </c>
      <c r="J11" s="9">
        <v>2000</v>
      </c>
      <c r="K11" s="9">
        <v>2000</v>
      </c>
      <c r="L11" s="157">
        <f t="shared" ref="L11:L13" si="3">$L$7/SUM(I11:K11)</f>
        <v>15</v>
      </c>
      <c r="M11" s="11" t="str">
        <f>CONCATENATE("Library of approx 30 Prov UES on average 3-year review cycle or n=",H11," per year @ $",I11/1000,"K each")</f>
        <v>Library of approx 30 Prov UES on average 3-year review cycle or n=10 per year @ $4K each</v>
      </c>
      <c r="N11" s="96"/>
    </row>
    <row r="12" spans="2:14" s="3" customFormat="1" ht="15.75" customHeight="1">
      <c r="B12" s="99" t="s">
        <v>26</v>
      </c>
      <c r="C12" s="100">
        <f t="shared" si="0"/>
        <v>0</v>
      </c>
      <c r="D12" s="100">
        <f t="shared" si="1"/>
        <v>0</v>
      </c>
      <c r="E12" s="100">
        <f>SUM(C12:D12)</f>
        <v>0</v>
      </c>
      <c r="F12" s="100">
        <f t="shared" si="2"/>
        <v>0</v>
      </c>
      <c r="G12" s="101"/>
      <c r="H12" s="101">
        <v>0</v>
      </c>
      <c r="I12" s="102">
        <v>15000</v>
      </c>
      <c r="J12" s="102">
        <v>3000</v>
      </c>
      <c r="K12" s="102">
        <v>3000</v>
      </c>
      <c r="L12" s="157">
        <f t="shared" si="3"/>
        <v>5.7142857142857144</v>
      </c>
      <c r="M12" s="11" t="str">
        <f>CONCATENATE("Eventual library of 6 Protocols on 3-year review cycle for n=",H12," per year @ $",I12/1000,"K each.  For 2012 no existing reviews.")</f>
        <v>Eventual library of 6 Protocols on 3-year review cycle for n=0 per year @ $15K each.  For 2012 no existing reviews.</v>
      </c>
      <c r="N12" s="96"/>
    </row>
    <row r="13" spans="2:14" s="54" customFormat="1" ht="15.75" customHeight="1">
      <c r="B13" s="62" t="s">
        <v>22</v>
      </c>
      <c r="C13" s="52">
        <f t="shared" ref="C13" si="4">H13*I13</f>
        <v>75000</v>
      </c>
      <c r="D13" s="52">
        <f t="shared" ref="D13" si="5">H13*J13</f>
        <v>20000</v>
      </c>
      <c r="E13" s="52">
        <f>SUM(C13:D13)</f>
        <v>95000</v>
      </c>
      <c r="F13" s="52">
        <f t="shared" ref="F13" si="6">H13*K13</f>
        <v>10000</v>
      </c>
      <c r="G13" s="3"/>
      <c r="H13" s="3">
        <v>5</v>
      </c>
      <c r="I13" s="63">
        <v>15000</v>
      </c>
      <c r="J13" s="63">
        <v>4000</v>
      </c>
      <c r="K13" s="63">
        <v>2000</v>
      </c>
      <c r="L13" s="157">
        <f t="shared" si="3"/>
        <v>5.7142857142857144</v>
      </c>
      <c r="M13" s="64" t="s">
        <v>129</v>
      </c>
      <c r="N13" s="95"/>
    </row>
    <row r="14" spans="2:14" s="3" customFormat="1" ht="15.75" customHeight="1">
      <c r="B14" s="1" t="str">
        <f>CONCATENATE("Subtotal ",B9)</f>
        <v>Subtotal Existing Measure Review &amp; Updates</v>
      </c>
      <c r="C14" s="6">
        <f>SUM(C10:C13)</f>
        <v>175000</v>
      </c>
      <c r="D14" s="6">
        <f>SUM(D10:D13)</f>
        <v>50000</v>
      </c>
      <c r="E14" s="6">
        <f>SUM(E10:E13)</f>
        <v>225000</v>
      </c>
      <c r="F14" s="6">
        <f>SUM(F10:F13)</f>
        <v>40000</v>
      </c>
      <c r="I14" s="9"/>
      <c r="J14" s="9"/>
      <c r="K14" s="9"/>
      <c r="L14" s="9"/>
      <c r="M14" s="12"/>
      <c r="N14" s="53"/>
    </row>
    <row r="15" spans="2:14" s="3" customFormat="1" ht="15.75" customHeight="1">
      <c r="C15" s="4"/>
      <c r="D15" s="4"/>
      <c r="E15" s="4"/>
      <c r="F15" s="7"/>
      <c r="J15" s="58"/>
      <c r="K15" s="58"/>
      <c r="L15" s="58"/>
      <c r="M15" s="59"/>
      <c r="N15" s="53"/>
    </row>
    <row r="16" spans="2:14" s="3" customFormat="1" ht="15.75" customHeight="1">
      <c r="C16" s="4"/>
      <c r="D16" s="4"/>
      <c r="E16" s="4"/>
      <c r="F16" s="7"/>
      <c r="H16" s="55"/>
      <c r="I16" s="55"/>
      <c r="J16" s="58"/>
      <c r="K16" s="58"/>
      <c r="L16" s="58"/>
      <c r="M16" s="59"/>
      <c r="N16" s="53"/>
    </row>
    <row r="17" spans="2:20" s="3" customFormat="1" ht="15.75" customHeight="1">
      <c r="B17" s="1" t="str">
        <f>'Category (2012)'!B10</f>
        <v>New Measure Development &amp; Review of Unsolicited Proposals</v>
      </c>
      <c r="C17" s="4"/>
      <c r="D17" s="4"/>
      <c r="E17" s="4"/>
      <c r="F17" s="7"/>
      <c r="H17" s="55"/>
      <c r="I17" s="58"/>
      <c r="J17" s="58"/>
      <c r="K17" s="58"/>
      <c r="L17" s="58"/>
      <c r="M17" s="12"/>
      <c r="N17" s="53"/>
    </row>
    <row r="18" spans="2:20" s="3" customFormat="1" ht="15.75" customHeight="1">
      <c r="B18" s="2" t="s">
        <v>160</v>
      </c>
      <c r="C18" s="4">
        <f>H18*I18</f>
        <v>48000</v>
      </c>
      <c r="D18" s="4">
        <f>H18*J18</f>
        <v>24000</v>
      </c>
      <c r="E18" s="4">
        <f>SUM(C18:D18)</f>
        <v>72000</v>
      </c>
      <c r="F18" s="4">
        <f>H18*K18</f>
        <v>8000</v>
      </c>
      <c r="H18" s="55">
        <v>4</v>
      </c>
      <c r="I18" s="58">
        <v>12000</v>
      </c>
      <c r="J18" s="58">
        <v>6000</v>
      </c>
      <c r="K18" s="58">
        <v>2000</v>
      </c>
      <c r="L18" s="157">
        <f t="shared" ref="L18:L24" si="7">$L$7/SUM(I18:K18)</f>
        <v>6</v>
      </c>
      <c r="M18" s="11" t="str">
        <f>CONCATENATE("Review New UES (n=",H18," per year @ $",I18/1000,"K each).  Assumes proposers do most development work.  Proposals come to RTF well-crafted.")</f>
        <v>Review New UES (n=4 per year @ $12K each).  Assumes proposers do most development work.  Proposals come to RTF well-crafted.</v>
      </c>
      <c r="N18" s="94"/>
    </row>
    <row r="19" spans="2:20" s="3" customFormat="1" ht="15.75" customHeight="1">
      <c r="B19" s="2" t="s">
        <v>159</v>
      </c>
      <c r="C19" s="4">
        <f t="shared" ref="C19:C20" si="8">H19*I19</f>
        <v>60000</v>
      </c>
      <c r="D19" s="4">
        <f t="shared" ref="D19:D20" si="9">H19*J19</f>
        <v>24000</v>
      </c>
      <c r="E19" s="4">
        <f t="shared" ref="E19:E20" si="10">SUM(C19:D19)</f>
        <v>84000</v>
      </c>
      <c r="F19" s="4">
        <f t="shared" ref="F19:F20" si="11">H19*K19</f>
        <v>8000</v>
      </c>
      <c r="H19" s="55">
        <v>4</v>
      </c>
      <c r="I19" s="58">
        <v>15000</v>
      </c>
      <c r="J19" s="58">
        <v>6000</v>
      </c>
      <c r="K19" s="58">
        <v>2000</v>
      </c>
      <c r="L19" s="157">
        <f t="shared" si="7"/>
        <v>5.2173913043478262</v>
      </c>
      <c r="M19" s="11" t="str">
        <f>CONCATENATE("Review New Standard Protocols with Calculators (",H19," per year @ $",I19/1000,"K each).  Assumes proposers do most development work.  Proposals come to RTF well-crafted.")</f>
        <v>Review New Standard Protocols with Calculators (4 per year @ $15K each).  Assumes proposers do most development work.  Proposals come to RTF well-crafted.</v>
      </c>
      <c r="N19" s="93"/>
    </row>
    <row r="20" spans="2:20" s="3" customFormat="1" ht="15.75" customHeight="1">
      <c r="B20" s="2" t="s">
        <v>29</v>
      </c>
      <c r="C20" s="4">
        <f t="shared" si="8"/>
        <v>36000</v>
      </c>
      <c r="D20" s="4">
        <f t="shared" si="9"/>
        <v>36000</v>
      </c>
      <c r="E20" s="4">
        <f t="shared" si="10"/>
        <v>72000</v>
      </c>
      <c r="F20" s="4">
        <f t="shared" si="11"/>
        <v>6000</v>
      </c>
      <c r="H20" s="55">
        <v>3</v>
      </c>
      <c r="I20" s="58">
        <v>12000</v>
      </c>
      <c r="J20" s="58">
        <v>12000</v>
      </c>
      <c r="K20" s="58">
        <v>2000</v>
      </c>
      <c r="L20" s="157">
        <f t="shared" si="7"/>
        <v>4.615384615384615</v>
      </c>
      <c r="M20" s="11" t="str">
        <f>CONCATENATE("Develop Small &amp; Rural Measures (",H20," @ $",I20/1000,"K each).  Includes analysis to better understand needs around packaging irrigation measures, or training or specification simplification.")</f>
        <v>Develop Small &amp; Rural Measures (3 @ $12K each).  Includes analysis to better understand needs around packaging irrigation measures, or training or specification simplification.</v>
      </c>
      <c r="N20" s="93"/>
    </row>
    <row r="21" spans="2:20" s="3" customFormat="1" ht="15.75" customHeight="1">
      <c r="B21" s="2" t="s">
        <v>238</v>
      </c>
      <c r="C21" s="4">
        <f>H21*I21</f>
        <v>48000</v>
      </c>
      <c r="D21" s="4">
        <f>H21*J21</f>
        <v>48000</v>
      </c>
      <c r="E21" s="4">
        <f>SUM(C21:D21)</f>
        <v>96000</v>
      </c>
      <c r="F21" s="4">
        <f>H21*K21</f>
        <v>8000</v>
      </c>
      <c r="H21" s="55">
        <v>4</v>
      </c>
      <c r="I21" s="58">
        <v>12000</v>
      </c>
      <c r="J21" s="58">
        <v>12000</v>
      </c>
      <c r="K21" s="58">
        <v>2000</v>
      </c>
      <c r="L21" s="157">
        <f t="shared" si="7"/>
        <v>4.615384615384615</v>
      </c>
      <c r="M21" s="11" t="str">
        <f>CONCATENATE("Review New UES/Protocol (n=",H21," per year @ $",I21/1000,"K each).  Assumes proposers do most development work.  Proposals come to RTF well-crafted.")</f>
        <v>Review New UES/Protocol (n=4 per year @ $12K each).  Assumes proposers do most development work.  Proposals come to RTF well-crafted.</v>
      </c>
      <c r="N21" s="53"/>
    </row>
    <row r="22" spans="2:20" s="3" customFormat="1" ht="15.75" customHeight="1">
      <c r="B22" s="2" t="s">
        <v>114</v>
      </c>
      <c r="C22" s="4">
        <f>H22*I22</f>
        <v>15000</v>
      </c>
      <c r="D22" s="4">
        <f>H22*J22</f>
        <v>5000</v>
      </c>
      <c r="E22" s="4">
        <f>SUM(C22:D22)</f>
        <v>20000</v>
      </c>
      <c r="F22" s="4">
        <f>H22*K22</f>
        <v>5000</v>
      </c>
      <c r="H22" s="55">
        <v>5</v>
      </c>
      <c r="I22" s="58">
        <v>3000</v>
      </c>
      <c r="J22" s="9">
        <v>1000</v>
      </c>
      <c r="K22" s="9">
        <v>1000</v>
      </c>
      <c r="L22" s="157">
        <f t="shared" si="7"/>
        <v>24</v>
      </c>
      <c r="M22" s="11" t="s">
        <v>23</v>
      </c>
      <c r="N22" s="53"/>
    </row>
    <row r="23" spans="2:20" s="3" customFormat="1" ht="15.75" customHeight="1">
      <c r="B23" s="99" t="s">
        <v>164</v>
      </c>
      <c r="C23" s="100">
        <f>H23*I23</f>
        <v>0</v>
      </c>
      <c r="D23" s="100">
        <f>H23*J23</f>
        <v>0</v>
      </c>
      <c r="E23" s="100">
        <f>SUM(C23:D23)</f>
        <v>0</v>
      </c>
      <c r="F23" s="100">
        <f>H23*K23</f>
        <v>0</v>
      </c>
      <c r="G23" s="98"/>
      <c r="H23" s="106">
        <v>0</v>
      </c>
      <c r="I23" s="107">
        <v>40000</v>
      </c>
      <c r="J23" s="107">
        <v>6000</v>
      </c>
      <c r="K23" s="107">
        <v>3000</v>
      </c>
      <c r="L23" s="157">
        <f t="shared" si="7"/>
        <v>2.4489795918367347</v>
      </c>
      <c r="M23" s="11" t="str">
        <f>CONCATENATE("Develop New UES (n=",H23," per year @ $",I23/1000,"K each).  Assumes RTF contract for most development work.")</f>
        <v>Develop New UES (n=0 per year @ $40K each).  Assumes RTF contract for most development work.</v>
      </c>
      <c r="N23" s="98"/>
      <c r="O23" s="98"/>
      <c r="P23" s="98"/>
      <c r="Q23" s="98"/>
      <c r="R23" s="98"/>
      <c r="S23" s="98"/>
      <c r="T23" s="98"/>
    </row>
    <row r="24" spans="2:20" s="3" customFormat="1" ht="15.75" customHeight="1">
      <c r="B24" s="99" t="s">
        <v>165</v>
      </c>
      <c r="C24" s="100">
        <f>H24*I24</f>
        <v>0</v>
      </c>
      <c r="D24" s="100">
        <f>H24*J24</f>
        <v>0</v>
      </c>
      <c r="E24" s="100">
        <f>SUM(C24:D24)</f>
        <v>0</v>
      </c>
      <c r="F24" s="100">
        <f>H24*K24</f>
        <v>0</v>
      </c>
      <c r="G24" s="98"/>
      <c r="H24" s="106">
        <v>0</v>
      </c>
      <c r="I24" s="107">
        <v>45000</v>
      </c>
      <c r="J24" s="107">
        <v>6000</v>
      </c>
      <c r="K24" s="107">
        <v>3000</v>
      </c>
      <c r="L24" s="157">
        <f t="shared" si="7"/>
        <v>2.2222222222222223</v>
      </c>
      <c r="M24" s="11" t="str">
        <f>CONCATENATE("Develop New Standarad Protocol (n=",H24," per year @ $",I24/1000,"K each).  Assumes RTF contract for most development work.")</f>
        <v>Develop New Standarad Protocol (n=0 per year @ $45K each).  Assumes RTF contract for most development work.</v>
      </c>
      <c r="N24" s="98"/>
      <c r="O24" s="98"/>
      <c r="P24" s="98"/>
      <c r="Q24" s="98"/>
      <c r="R24" s="98"/>
      <c r="S24" s="98"/>
      <c r="T24" s="98"/>
    </row>
    <row r="25" spans="2:20" s="3" customFormat="1" ht="15.75" customHeight="1">
      <c r="B25" s="1" t="str">
        <f>CONCATENATE("Subtotal ",B17)</f>
        <v>Subtotal New Measure Development &amp; Review of Unsolicited Proposals</v>
      </c>
      <c r="C25" s="6">
        <f>SUM(C18:C22)</f>
        <v>207000</v>
      </c>
      <c r="D25" s="6">
        <f t="shared" ref="D25:F25" si="12">SUM(D18:D22)</f>
        <v>137000</v>
      </c>
      <c r="E25" s="6">
        <f t="shared" si="12"/>
        <v>344000</v>
      </c>
      <c r="F25" s="6">
        <f t="shared" si="12"/>
        <v>35000</v>
      </c>
      <c r="M25" s="11"/>
      <c r="N25" s="53"/>
    </row>
    <row r="26" spans="2:20" s="3" customFormat="1" ht="15.75" customHeight="1">
      <c r="B26" s="2"/>
      <c r="C26" s="4"/>
      <c r="D26" s="4"/>
      <c r="E26" s="4"/>
      <c r="F26" s="7"/>
      <c r="J26" s="55"/>
      <c r="K26" s="55"/>
      <c r="L26" s="55"/>
      <c r="M26" s="56"/>
      <c r="N26" s="53"/>
    </row>
    <row r="27" spans="2:20" s="3" customFormat="1" ht="15.75" customHeight="1">
      <c r="C27" s="4"/>
      <c r="D27" s="4"/>
      <c r="E27" s="4"/>
      <c r="F27" s="7"/>
      <c r="J27" s="57"/>
      <c r="K27" s="57"/>
      <c r="L27" s="57"/>
      <c r="M27" s="56"/>
      <c r="N27" s="53"/>
    </row>
    <row r="28" spans="2:20" ht="15.75">
      <c r="B28" s="1" t="str">
        <f>'Category (2012)'!B11</f>
        <v>Standardization of Technical Analysis</v>
      </c>
      <c r="C28" s="57"/>
      <c r="D28" s="57"/>
      <c r="E28" s="57"/>
      <c r="F28" s="57"/>
      <c r="J28" s="57"/>
      <c r="K28" s="57"/>
      <c r="L28" s="57"/>
      <c r="M28" s="56"/>
    </row>
    <row r="29" spans="2:20" ht="15.75">
      <c r="B29" s="2" t="s">
        <v>27</v>
      </c>
      <c r="C29" s="97">
        <v>0</v>
      </c>
      <c r="D29" s="91">
        <v>7000</v>
      </c>
      <c r="E29" s="91">
        <f t="shared" ref="E29:E33" si="13">SUM(C29:D29)</f>
        <v>7000</v>
      </c>
      <c r="F29" s="92">
        <v>7000</v>
      </c>
      <c r="G29" s="57"/>
      <c r="H29" s="57"/>
      <c r="I29" s="93"/>
      <c r="J29" s="57"/>
      <c r="K29" s="57"/>
      <c r="L29" s="57"/>
      <c r="M29" s="57"/>
      <c r="N29" s="93"/>
      <c r="O29" s="57"/>
    </row>
    <row r="30" spans="2:20" ht="15.75">
      <c r="B30" s="2" t="s">
        <v>28</v>
      </c>
      <c r="C30" s="97">
        <v>0</v>
      </c>
      <c r="D30" s="97">
        <v>5000</v>
      </c>
      <c r="E30" s="97">
        <f t="shared" si="13"/>
        <v>5000</v>
      </c>
      <c r="F30" s="61">
        <v>5000</v>
      </c>
      <c r="I30" s="93"/>
      <c r="J30" s="57"/>
      <c r="K30" s="57"/>
      <c r="L30" s="57"/>
      <c r="M30" s="57"/>
    </row>
    <row r="31" spans="2:20" ht="15.75">
      <c r="B31" s="2" t="s">
        <v>80</v>
      </c>
      <c r="C31" s="97">
        <v>20000</v>
      </c>
      <c r="D31" s="97">
        <v>5000</v>
      </c>
      <c r="E31" s="97">
        <f t="shared" si="13"/>
        <v>25000</v>
      </c>
      <c r="F31" s="61">
        <f t="shared" ref="F31:F34" si="14">1/2*D31</f>
        <v>2500</v>
      </c>
      <c r="I31" s="93"/>
      <c r="J31" s="57"/>
      <c r="K31" s="57"/>
      <c r="L31" s="57"/>
      <c r="M31" s="56"/>
    </row>
    <row r="32" spans="2:20" ht="15.75">
      <c r="B32" s="2" t="s">
        <v>82</v>
      </c>
      <c r="C32" s="4">
        <v>70000</v>
      </c>
      <c r="D32" s="4">
        <v>10000</v>
      </c>
      <c r="E32" s="4">
        <f t="shared" si="13"/>
        <v>80000</v>
      </c>
      <c r="F32" s="10">
        <f t="shared" si="14"/>
        <v>5000</v>
      </c>
      <c r="I32" s="93"/>
      <c r="J32" s="57"/>
      <c r="K32" s="57"/>
      <c r="L32" s="57"/>
      <c r="M32" s="11" t="s">
        <v>161</v>
      </c>
    </row>
    <row r="33" spans="2:13" ht="15.75">
      <c r="B33" s="2" t="s">
        <v>81</v>
      </c>
      <c r="C33" s="4">
        <v>40000</v>
      </c>
      <c r="D33" s="4">
        <v>10000</v>
      </c>
      <c r="E33" s="4">
        <f t="shared" si="13"/>
        <v>50000</v>
      </c>
      <c r="F33" s="10">
        <f t="shared" si="14"/>
        <v>5000</v>
      </c>
      <c r="M33" s="11"/>
    </row>
    <row r="34" spans="2:13" ht="15.75">
      <c r="B34" s="2" t="s">
        <v>31</v>
      </c>
      <c r="C34" s="4">
        <v>10000</v>
      </c>
      <c r="D34" s="4">
        <v>5000</v>
      </c>
      <c r="E34" s="4">
        <f t="shared" ref="E34" si="15">SUM(C34:D34)</f>
        <v>15000</v>
      </c>
      <c r="F34" s="10">
        <f t="shared" si="14"/>
        <v>2500</v>
      </c>
      <c r="M34" s="11"/>
    </row>
    <row r="35" spans="2:13" ht="15.75">
      <c r="B35" s="99" t="s">
        <v>78</v>
      </c>
      <c r="C35" s="108">
        <v>0</v>
      </c>
      <c r="D35" s="108">
        <v>0</v>
      </c>
      <c r="E35" s="108">
        <v>0</v>
      </c>
      <c r="F35" s="109">
        <v>0</v>
      </c>
      <c r="G35" s="57"/>
      <c r="H35" s="57"/>
      <c r="I35" s="93"/>
      <c r="J35" s="57"/>
      <c r="K35" s="57"/>
      <c r="L35" s="57"/>
      <c r="M35" s="11" t="s">
        <v>162</v>
      </c>
    </row>
    <row r="36" spans="2:13" ht="15.75">
      <c r="B36" s="99" t="s">
        <v>79</v>
      </c>
      <c r="C36" s="108">
        <v>0</v>
      </c>
      <c r="D36" s="108">
        <v>0</v>
      </c>
      <c r="E36" s="108">
        <v>0</v>
      </c>
      <c r="F36" s="109">
        <v>0</v>
      </c>
      <c r="G36" s="57"/>
      <c r="H36" s="57"/>
      <c r="I36" s="93"/>
      <c r="J36" s="57"/>
      <c r="K36" s="57"/>
      <c r="L36" s="57"/>
      <c r="M36" s="11" t="s">
        <v>163</v>
      </c>
    </row>
    <row r="37" spans="2:13" ht="15.75">
      <c r="B37" s="99" t="s">
        <v>109</v>
      </c>
      <c r="C37" s="108">
        <v>0</v>
      </c>
      <c r="D37" s="108">
        <v>0</v>
      </c>
      <c r="E37" s="108">
        <v>0</v>
      </c>
      <c r="F37" s="109">
        <v>0</v>
      </c>
      <c r="G37" s="57"/>
      <c r="H37" s="57"/>
      <c r="I37" s="93"/>
      <c r="J37" s="57"/>
      <c r="K37" s="57"/>
      <c r="L37" s="57"/>
      <c r="M37" s="11" t="s">
        <v>163</v>
      </c>
    </row>
    <row r="38" spans="2:13" ht="15.75">
      <c r="B38" s="1" t="str">
        <f>CONCATENATE("Subtotal ",B28)</f>
        <v>Subtotal Standardization of Technical Analysis</v>
      </c>
      <c r="C38" s="6">
        <f>SUM(C29:C37)</f>
        <v>140000</v>
      </c>
      <c r="D38" s="6">
        <f t="shared" ref="D38:F38" si="16">SUM(D29:D37)</f>
        <v>42000</v>
      </c>
      <c r="E38" s="6">
        <f t="shared" si="16"/>
        <v>182000</v>
      </c>
      <c r="F38" s="6">
        <f t="shared" si="16"/>
        <v>27000</v>
      </c>
      <c r="M38" s="11"/>
    </row>
    <row r="39" spans="2:13">
      <c r="M39" s="11"/>
    </row>
    <row r="40" spans="2:13">
      <c r="C40" s="4"/>
      <c r="D40" s="4"/>
      <c r="E40" s="4"/>
      <c r="M40" s="11"/>
    </row>
    <row r="41" spans="2:13" ht="15.75">
      <c r="B41" s="1" t="str">
        <f>'Category (2012)'!B12</f>
        <v>Tool Development</v>
      </c>
      <c r="C41" s="4"/>
      <c r="D41" s="4"/>
      <c r="E41" s="4"/>
      <c r="M41" s="11"/>
    </row>
    <row r="42" spans="2:13" ht="15.75">
      <c r="B42" s="2" t="s">
        <v>102</v>
      </c>
      <c r="C42" s="4">
        <v>6000</v>
      </c>
      <c r="D42" s="4">
        <v>6000</v>
      </c>
      <c r="E42" s="4">
        <f>SUM(C42:D42)</f>
        <v>12000</v>
      </c>
      <c r="F42" s="4">
        <v>1000</v>
      </c>
      <c r="I42" s="93"/>
      <c r="J42" s="93"/>
      <c r="K42" s="93"/>
      <c r="L42" s="93"/>
      <c r="M42" s="11" t="s">
        <v>1</v>
      </c>
    </row>
    <row r="43" spans="2:13" ht="15.75">
      <c r="B43" s="2" t="s">
        <v>103</v>
      </c>
      <c r="C43" s="4">
        <v>30000</v>
      </c>
      <c r="D43" s="4">
        <v>6000</v>
      </c>
      <c r="E43" s="4">
        <f t="shared" ref="E43:E49" si="17">SUM(C43:D43)</f>
        <v>36000</v>
      </c>
      <c r="F43" s="4">
        <v>3000</v>
      </c>
      <c r="M43" s="11" t="s">
        <v>176</v>
      </c>
    </row>
    <row r="44" spans="2:13" ht="15.75">
      <c r="B44" s="2" t="s">
        <v>111</v>
      </c>
      <c r="C44" s="4">
        <v>0</v>
      </c>
      <c r="D44" s="97">
        <v>6000</v>
      </c>
      <c r="E44" s="4">
        <f t="shared" si="17"/>
        <v>6000</v>
      </c>
      <c r="F44" s="4">
        <v>3000</v>
      </c>
      <c r="I44" s="94"/>
      <c r="J44" s="94"/>
      <c r="K44" s="94"/>
      <c r="L44" s="94"/>
      <c r="M44" s="11" t="s">
        <v>171</v>
      </c>
    </row>
    <row r="45" spans="2:13" ht="15.75">
      <c r="B45" s="2" t="s">
        <v>105</v>
      </c>
      <c r="C45" s="97">
        <v>0</v>
      </c>
      <c r="D45" s="97">
        <v>6000</v>
      </c>
      <c r="E45" s="4">
        <f t="shared" si="17"/>
        <v>6000</v>
      </c>
      <c r="F45" s="4">
        <v>3000</v>
      </c>
      <c r="I45" s="94"/>
      <c r="J45" s="94"/>
      <c r="K45" s="94"/>
      <c r="L45" s="94"/>
      <c r="M45" s="11" t="s">
        <v>171</v>
      </c>
    </row>
    <row r="46" spans="2:13" ht="15.75">
      <c r="B46" s="2" t="s">
        <v>106</v>
      </c>
      <c r="C46" s="97">
        <v>0</v>
      </c>
      <c r="D46" s="97">
        <v>6000</v>
      </c>
      <c r="E46" s="4">
        <f t="shared" si="17"/>
        <v>6000</v>
      </c>
      <c r="F46" s="4">
        <v>0</v>
      </c>
      <c r="I46" s="94"/>
      <c r="J46" s="57"/>
      <c r="K46" s="57"/>
      <c r="L46" s="57"/>
      <c r="M46" s="11" t="s">
        <v>173</v>
      </c>
    </row>
    <row r="47" spans="2:13" ht="15.75">
      <c r="B47" s="2" t="s">
        <v>107</v>
      </c>
      <c r="C47" s="4">
        <v>30000</v>
      </c>
      <c r="D47" s="4">
        <v>6000</v>
      </c>
      <c r="E47" s="4">
        <f t="shared" si="17"/>
        <v>36000</v>
      </c>
      <c r="F47" s="4">
        <v>0</v>
      </c>
      <c r="J47" s="57"/>
      <c r="K47" s="57"/>
      <c r="L47" s="57"/>
      <c r="M47" s="11" t="s">
        <v>174</v>
      </c>
    </row>
    <row r="48" spans="2:13" ht="15.75">
      <c r="B48" s="2" t="s">
        <v>172</v>
      </c>
      <c r="C48" s="97">
        <v>5000</v>
      </c>
      <c r="D48" s="97">
        <v>5000</v>
      </c>
      <c r="E48" s="97">
        <f t="shared" si="17"/>
        <v>10000</v>
      </c>
      <c r="F48" s="97">
        <v>0</v>
      </c>
      <c r="G48" s="57"/>
      <c r="H48" s="57"/>
      <c r="I48" s="93"/>
      <c r="J48" s="57"/>
      <c r="K48" s="57"/>
      <c r="L48" s="57"/>
      <c r="M48" s="56" t="s">
        <v>175</v>
      </c>
    </row>
    <row r="49" spans="2:14" ht="15.75">
      <c r="B49" s="2" t="s">
        <v>40</v>
      </c>
      <c r="C49" s="97">
        <v>5000</v>
      </c>
      <c r="D49" s="97">
        <v>5000</v>
      </c>
      <c r="E49" s="97">
        <f t="shared" si="17"/>
        <v>10000</v>
      </c>
      <c r="F49" s="97">
        <v>0</v>
      </c>
      <c r="G49" s="57"/>
      <c r="H49" s="57"/>
      <c r="I49" s="93"/>
      <c r="J49" s="57"/>
      <c r="K49" s="57"/>
      <c r="L49" s="57"/>
      <c r="M49" s="56" t="s">
        <v>177</v>
      </c>
    </row>
    <row r="50" spans="2:14" ht="15.75">
      <c r="B50" s="2" t="s">
        <v>41</v>
      </c>
      <c r="C50" s="97">
        <v>10000</v>
      </c>
      <c r="D50" s="97">
        <v>2000</v>
      </c>
      <c r="E50" s="97">
        <f t="shared" ref="E50" si="18">SUM(C50:D50)</f>
        <v>12000</v>
      </c>
      <c r="F50" s="97">
        <v>2000</v>
      </c>
      <c r="G50" s="57"/>
      <c r="H50" s="57"/>
      <c r="I50" s="93"/>
      <c r="J50" s="57"/>
      <c r="K50" s="57"/>
      <c r="L50" s="57"/>
      <c r="M50" s="56"/>
    </row>
    <row r="51" spans="2:14" s="57" customFormat="1" ht="15.75">
      <c r="B51" s="99" t="s">
        <v>110</v>
      </c>
      <c r="C51" s="100">
        <v>0</v>
      </c>
      <c r="D51" s="100">
        <v>0</v>
      </c>
      <c r="E51" s="100">
        <v>0</v>
      </c>
      <c r="F51" s="100">
        <v>0</v>
      </c>
      <c r="G51"/>
      <c r="H51"/>
      <c r="I51" s="93"/>
      <c r="J51" s="93"/>
      <c r="K51" s="93"/>
      <c r="L51" s="93"/>
      <c r="M51" s="11" t="s">
        <v>170</v>
      </c>
      <c r="N51" s="93"/>
    </row>
    <row r="52" spans="2:14" s="57" customFormat="1" ht="15.75">
      <c r="B52" s="99" t="s">
        <v>104</v>
      </c>
      <c r="C52" s="100">
        <v>0</v>
      </c>
      <c r="D52" s="100">
        <v>0</v>
      </c>
      <c r="E52" s="100">
        <v>0</v>
      </c>
      <c r="F52" s="100">
        <v>0</v>
      </c>
      <c r="G52" s="105"/>
      <c r="H52" s="105"/>
      <c r="I52" s="105"/>
      <c r="J52" s="105"/>
      <c r="K52" s="105"/>
      <c r="L52" s="105"/>
      <c r="M52" s="11" t="s">
        <v>170</v>
      </c>
      <c r="N52" s="93"/>
    </row>
    <row r="53" spans="2:14" ht="15.75">
      <c r="B53" s="1" t="str">
        <f>CONCATENATE("Subtotal ",B41)</f>
        <v>Subtotal Tool Development</v>
      </c>
      <c r="C53" s="6">
        <f>SUM(C42:C52)</f>
        <v>86000</v>
      </c>
      <c r="D53" s="6">
        <f t="shared" ref="D53:F53" si="19">SUM(D42:D52)</f>
        <v>48000</v>
      </c>
      <c r="E53" s="6">
        <f t="shared" si="19"/>
        <v>134000</v>
      </c>
      <c r="F53" s="6">
        <f t="shared" si="19"/>
        <v>12000</v>
      </c>
      <c r="M53" s="11"/>
    </row>
    <row r="54" spans="2:14" ht="15.75">
      <c r="B54" s="2"/>
      <c r="C54" s="4"/>
      <c r="D54" s="4"/>
      <c r="E54" s="4"/>
      <c r="M54" s="11"/>
    </row>
    <row r="55" spans="2:14" ht="15.75">
      <c r="B55" s="2"/>
      <c r="C55" s="4"/>
      <c r="D55" s="4"/>
      <c r="E55" s="4"/>
      <c r="M55" s="11"/>
    </row>
    <row r="56" spans="2:14" ht="15.75">
      <c r="B56" s="1" t="str">
        <f>'Category (2012)'!B13</f>
        <v>Research Projects &amp; Data Development</v>
      </c>
      <c r="C56" s="4"/>
      <c r="D56" s="4"/>
      <c r="E56" s="4"/>
      <c r="M56" s="11"/>
    </row>
    <row r="57" spans="2:14" ht="15.75">
      <c r="B57" s="2" t="s">
        <v>100</v>
      </c>
      <c r="C57" s="4">
        <v>50000</v>
      </c>
      <c r="D57" s="4">
        <v>12000</v>
      </c>
      <c r="E57" s="4">
        <f>SUM(C57:D57)</f>
        <v>62000</v>
      </c>
      <c r="F57" s="10">
        <f>1/2*D57</f>
        <v>6000</v>
      </c>
      <c r="M57" s="11"/>
    </row>
    <row r="58" spans="2:14" ht="15.75">
      <c r="B58" s="2" t="s">
        <v>121</v>
      </c>
      <c r="C58" s="97">
        <v>100000</v>
      </c>
      <c r="D58" s="97">
        <v>12000</v>
      </c>
      <c r="E58" s="97">
        <f t="shared" ref="E58:E60" si="20">SUM(C58:D58)</f>
        <v>112000</v>
      </c>
      <c r="F58" s="61">
        <f t="shared" ref="F58:F60" si="21">1/2*D58</f>
        <v>6000</v>
      </c>
      <c r="G58" s="57"/>
      <c r="H58" s="57"/>
      <c r="I58" s="93"/>
      <c r="J58" s="57"/>
      <c r="K58" s="57"/>
      <c r="L58" s="57"/>
      <c r="M58" s="56"/>
    </row>
    <row r="59" spans="2:14" ht="15.75">
      <c r="B59" s="2" t="s">
        <v>30</v>
      </c>
      <c r="C59" s="97">
        <v>30000</v>
      </c>
      <c r="D59" s="97">
        <v>12000</v>
      </c>
      <c r="E59" s="97">
        <f t="shared" si="20"/>
        <v>42000</v>
      </c>
      <c r="F59" s="61">
        <f t="shared" si="21"/>
        <v>6000</v>
      </c>
      <c r="G59" s="57"/>
      <c r="H59" s="57"/>
      <c r="I59" s="93"/>
      <c r="J59" s="93"/>
      <c r="K59" s="93"/>
      <c r="L59" s="93"/>
      <c r="M59" s="110"/>
    </row>
    <row r="60" spans="2:14" ht="15.75">
      <c r="B60" s="2" t="s">
        <v>23</v>
      </c>
      <c r="C60" s="4">
        <v>50000</v>
      </c>
      <c r="D60" s="4">
        <v>12000</v>
      </c>
      <c r="E60" s="4">
        <f t="shared" si="20"/>
        <v>62000</v>
      </c>
      <c r="F60" s="10">
        <f t="shared" si="21"/>
        <v>6000</v>
      </c>
      <c r="M60" s="11"/>
    </row>
    <row r="61" spans="2:14" ht="15.75">
      <c r="B61" s="1" t="str">
        <f>CONCATENATE("Subtotal ",B56)</f>
        <v>Subtotal Research Projects &amp; Data Development</v>
      </c>
      <c r="C61" s="6">
        <f>SUM(C57:C60)</f>
        <v>230000</v>
      </c>
      <c r="D61" s="6">
        <f>SUM(D57:D60)</f>
        <v>48000</v>
      </c>
      <c r="E61" s="6">
        <f>SUM(E57:E60)</f>
        <v>278000</v>
      </c>
      <c r="F61" s="6">
        <f>SUM(F57:F60)</f>
        <v>24000</v>
      </c>
      <c r="M61" s="11"/>
    </row>
    <row r="62" spans="2:14">
      <c r="C62" s="4"/>
      <c r="D62" s="4"/>
      <c r="E62" s="4"/>
      <c r="M62" s="11"/>
    </row>
    <row r="63" spans="2:14" ht="15.75">
      <c r="B63" s="2"/>
      <c r="C63" s="4"/>
      <c r="D63" s="4"/>
      <c r="E63" s="4"/>
      <c r="M63" s="11"/>
    </row>
    <row r="64" spans="2:14" ht="15.75">
      <c r="B64" s="1" t="str">
        <f>'Category (2012)'!B14</f>
        <v>Regional Coordination</v>
      </c>
      <c r="C64" s="4"/>
      <c r="D64" s="4"/>
      <c r="E64" s="4"/>
      <c r="M64" s="11"/>
    </row>
    <row r="65" spans="2:13" ht="15.75">
      <c r="B65" s="2" t="s">
        <v>239</v>
      </c>
      <c r="C65" s="4">
        <v>0</v>
      </c>
      <c r="D65" s="4">
        <v>6000</v>
      </c>
      <c r="E65" s="4">
        <f>SUM(C65:D65)</f>
        <v>6000</v>
      </c>
      <c r="F65" s="4">
        <v>2000</v>
      </c>
      <c r="I65" s="111"/>
      <c r="J65" s="111"/>
      <c r="K65" s="111"/>
      <c r="L65" s="111"/>
      <c r="M65" s="11" t="s">
        <v>178</v>
      </c>
    </row>
    <row r="66" spans="2:13" ht="15.75">
      <c r="B66" s="2" t="s">
        <v>118</v>
      </c>
      <c r="C66" s="4">
        <v>0</v>
      </c>
      <c r="D66" s="4">
        <v>12000</v>
      </c>
      <c r="E66" s="4">
        <f t="shared" ref="E66:E69" si="22">SUM(C66:D66)</f>
        <v>12000</v>
      </c>
      <c r="F66" s="4">
        <v>2000</v>
      </c>
      <c r="M66" s="11" t="s">
        <v>179</v>
      </c>
    </row>
    <row r="67" spans="2:13" ht="15.75">
      <c r="B67" s="2" t="s">
        <v>39</v>
      </c>
      <c r="C67" s="4">
        <v>0</v>
      </c>
      <c r="D67" s="4">
        <v>24000</v>
      </c>
      <c r="E67" s="4">
        <f t="shared" si="22"/>
        <v>24000</v>
      </c>
      <c r="F67" s="4">
        <v>2000</v>
      </c>
      <c r="M67" s="11"/>
    </row>
    <row r="68" spans="2:13" ht="15.75">
      <c r="B68" s="2" t="s">
        <v>0</v>
      </c>
      <c r="C68" s="97">
        <v>0</v>
      </c>
      <c r="D68" s="97">
        <f>40*150</f>
        <v>6000</v>
      </c>
      <c r="E68" s="97">
        <f t="shared" si="22"/>
        <v>6000</v>
      </c>
      <c r="F68" s="97">
        <v>4000</v>
      </c>
      <c r="M68" s="56" t="s">
        <v>240</v>
      </c>
    </row>
    <row r="69" spans="2:13" ht="15.75">
      <c r="B69" s="2" t="s">
        <v>23</v>
      </c>
      <c r="C69" s="97">
        <v>0</v>
      </c>
      <c r="D69" s="97">
        <v>10000</v>
      </c>
      <c r="E69" s="97">
        <f t="shared" si="22"/>
        <v>10000</v>
      </c>
      <c r="F69" s="97">
        <v>2000</v>
      </c>
      <c r="M69" s="11"/>
    </row>
    <row r="70" spans="2:13" ht="15.75">
      <c r="B70" s="1" t="str">
        <f>CONCATENATE("Subtotal ",B64)</f>
        <v>Subtotal Regional Coordination</v>
      </c>
      <c r="C70" s="6">
        <f>SUM(C65:C69)</f>
        <v>0</v>
      </c>
      <c r="D70" s="6">
        <f>SUM(D65:D69)</f>
        <v>58000</v>
      </c>
      <c r="E70" s="6">
        <f>SUM(E65:E69)</f>
        <v>58000</v>
      </c>
      <c r="F70" s="6">
        <f>SUM(F65:F69)</f>
        <v>12000</v>
      </c>
      <c r="M70" s="11"/>
    </row>
    <row r="71" spans="2:13">
      <c r="C71" s="4"/>
      <c r="D71" s="4"/>
      <c r="E71" s="4"/>
      <c r="M71" s="11"/>
    </row>
    <row r="72" spans="2:13" ht="15.75">
      <c r="B72" s="2"/>
      <c r="C72" s="4"/>
      <c r="D72" s="4"/>
      <c r="E72" s="4"/>
      <c r="M72" s="11"/>
    </row>
    <row r="73" spans="2:13" ht="15.75">
      <c r="B73" s="1" t="str">
        <f>'Category (2012)'!B15</f>
        <v xml:space="preserve">Website, Database support, Conservation Tracking </v>
      </c>
      <c r="C73" s="4"/>
      <c r="D73" s="4"/>
      <c r="E73" s="4"/>
      <c r="M73" s="11"/>
    </row>
    <row r="74" spans="2:13" ht="15.75">
      <c r="B74" s="2" t="s">
        <v>120</v>
      </c>
      <c r="C74" s="4">
        <v>0</v>
      </c>
      <c r="D74" s="4">
        <v>0</v>
      </c>
      <c r="E74" s="4">
        <f>SUM(C74:D74)</f>
        <v>0</v>
      </c>
      <c r="F74" s="4">
        <v>30000</v>
      </c>
      <c r="M74" s="11"/>
    </row>
    <row r="75" spans="2:13" ht="15.75">
      <c r="B75" s="2" t="s">
        <v>119</v>
      </c>
      <c r="C75" s="4">
        <v>0</v>
      </c>
      <c r="D75" s="4">
        <v>0</v>
      </c>
      <c r="E75" s="4">
        <f t="shared" ref="E75:E76" si="23">SUM(C75:D75)</f>
        <v>0</v>
      </c>
      <c r="F75" s="4">
        <v>12000</v>
      </c>
      <c r="M75" s="11"/>
    </row>
    <row r="76" spans="2:13" ht="15.75">
      <c r="B76" s="2" t="s">
        <v>33</v>
      </c>
      <c r="C76" s="4">
        <v>0</v>
      </c>
      <c r="D76" s="4">
        <v>0</v>
      </c>
      <c r="E76" s="4">
        <f t="shared" si="23"/>
        <v>0</v>
      </c>
      <c r="F76" s="4">
        <v>8000</v>
      </c>
      <c r="I76" s="112"/>
      <c r="J76" s="112"/>
      <c r="K76" s="112"/>
      <c r="L76" s="112"/>
      <c r="M76" s="11" t="s">
        <v>241</v>
      </c>
    </row>
    <row r="77" spans="2:13" ht="15.75">
      <c r="B77" s="1" t="str">
        <f>CONCATENATE("Subtotal ",B73)</f>
        <v xml:space="preserve">Subtotal Website, Database support, Conservation Tracking </v>
      </c>
      <c r="C77" s="6">
        <f>SUM(C74:C76)</f>
        <v>0</v>
      </c>
      <c r="D77" s="6">
        <f t="shared" ref="D77" si="24">SUM(D74:D76)</f>
        <v>0</v>
      </c>
      <c r="E77" s="6">
        <f t="shared" ref="E77" si="25">SUM(E74:E76)</f>
        <v>0</v>
      </c>
      <c r="F77" s="6">
        <f t="shared" ref="F77" si="26">SUM(F74:F76)</f>
        <v>50000</v>
      </c>
      <c r="M77" s="11"/>
    </row>
    <row r="78" spans="2:13" ht="15.75">
      <c r="B78" s="1"/>
      <c r="C78" s="4"/>
      <c r="D78" s="4"/>
      <c r="E78" s="4"/>
      <c r="F78" s="4"/>
      <c r="M78" s="11"/>
    </row>
    <row r="79" spans="2:13" ht="15.75">
      <c r="B79" s="2"/>
      <c r="C79" s="4"/>
      <c r="D79" s="4"/>
      <c r="E79" s="4"/>
      <c r="F79" s="4"/>
      <c r="M79" s="11"/>
    </row>
    <row r="80" spans="2:13" ht="15.75">
      <c r="B80" s="1" t="str">
        <f>'Category (2012)'!B16</f>
        <v>RTF Member Support &amp; Administration</v>
      </c>
      <c r="C80" s="4"/>
      <c r="D80" s="4"/>
      <c r="E80" s="4"/>
      <c r="F80" s="4"/>
      <c r="M80" s="11"/>
    </row>
    <row r="81" spans="2:13" ht="15.75">
      <c r="B81" s="2" t="s">
        <v>34</v>
      </c>
      <c r="C81" s="4">
        <v>24000</v>
      </c>
      <c r="D81" s="4">
        <v>0</v>
      </c>
      <c r="E81" s="4">
        <f>SUM(C81:D81)</f>
        <v>24000</v>
      </c>
      <c r="F81" s="4">
        <v>7000</v>
      </c>
      <c r="M81" t="s">
        <v>213</v>
      </c>
    </row>
    <row r="82" spans="2:13" ht="15.75">
      <c r="B82" s="2" t="s">
        <v>35</v>
      </c>
      <c r="C82" s="4">
        <v>150000</v>
      </c>
      <c r="D82" s="4">
        <v>0</v>
      </c>
      <c r="E82" s="4">
        <f>SUM(C82:D82)</f>
        <v>150000</v>
      </c>
      <c r="F82" s="4">
        <v>0</v>
      </c>
      <c r="M82" s="11" t="s">
        <v>36</v>
      </c>
    </row>
    <row r="83" spans="2:13" ht="15.75">
      <c r="B83" s="1" t="str">
        <f>CONCATENATE("Subtotal ",B80)</f>
        <v>Subtotal RTF Member Support &amp; Administration</v>
      </c>
      <c r="C83" s="6">
        <f>SUM(C81:C82)</f>
        <v>174000</v>
      </c>
      <c r="D83" s="6">
        <f t="shared" ref="D83:F83" si="27">SUM(D81:D82)</f>
        <v>0</v>
      </c>
      <c r="E83" s="6">
        <f t="shared" si="27"/>
        <v>174000</v>
      </c>
      <c r="F83" s="6">
        <f t="shared" si="27"/>
        <v>7000</v>
      </c>
      <c r="M83" s="13"/>
    </row>
    <row r="84" spans="2:13">
      <c r="C84" s="4"/>
      <c r="D84" s="4"/>
      <c r="E84" s="4"/>
      <c r="F84" s="4"/>
      <c r="M84" s="13"/>
    </row>
    <row r="85" spans="2:13">
      <c r="C85" s="4"/>
      <c r="D85" s="4"/>
      <c r="E85" s="4"/>
      <c r="F85" s="4"/>
      <c r="M85" s="13"/>
    </row>
    <row r="86" spans="2:13" ht="15.75">
      <c r="B86" s="1" t="s">
        <v>83</v>
      </c>
      <c r="C86" s="4"/>
      <c r="D86" s="4"/>
      <c r="E86" s="4"/>
      <c r="F86" s="4"/>
      <c r="M86" s="13"/>
    </row>
    <row r="87" spans="2:13" ht="15.75">
      <c r="B87" s="2" t="s">
        <v>242</v>
      </c>
      <c r="C87" s="4">
        <v>0</v>
      </c>
      <c r="D87" s="4">
        <v>100000</v>
      </c>
      <c r="E87" s="4">
        <f>SUM(C87:D87)</f>
        <v>100000</v>
      </c>
      <c r="F87" s="4">
        <v>0</v>
      </c>
      <c r="M87" s="13"/>
    </row>
    <row r="88" spans="2:13" ht="15.75">
      <c r="B88" s="2" t="s">
        <v>243</v>
      </c>
      <c r="C88" s="4">
        <v>0</v>
      </c>
      <c r="D88" s="4">
        <v>0</v>
      </c>
      <c r="E88" s="4">
        <f t="shared" ref="E88:E89" si="28">SUM(C88:D88)</f>
        <v>0</v>
      </c>
      <c r="F88" s="4">
        <v>180000</v>
      </c>
      <c r="M88" s="115"/>
    </row>
    <row r="89" spans="2:13" ht="15.75">
      <c r="B89" s="2" t="s">
        <v>180</v>
      </c>
      <c r="C89" s="4">
        <v>5000</v>
      </c>
      <c r="D89" s="4">
        <v>0</v>
      </c>
      <c r="E89" s="4">
        <f t="shared" si="28"/>
        <v>5000</v>
      </c>
      <c r="F89" s="4">
        <v>0</v>
      </c>
      <c r="M89" s="13"/>
    </row>
    <row r="90" spans="2:13" ht="15.75">
      <c r="B90" s="1" t="str">
        <f>CONCATENATE("Subtotal ",B86)</f>
        <v>Subtotal RTF Management</v>
      </c>
      <c r="C90" s="6">
        <f t="shared" ref="C90:D90" si="29">SUM(C87:C89)</f>
        <v>5000</v>
      </c>
      <c r="D90" s="6">
        <f t="shared" si="29"/>
        <v>100000</v>
      </c>
      <c r="E90" s="6">
        <f>SUM(E87:E89)</f>
        <v>105000</v>
      </c>
      <c r="F90" s="6">
        <f>SUM(F87:F89)</f>
        <v>180000</v>
      </c>
      <c r="M90" s="13"/>
    </row>
    <row r="91" spans="2:13">
      <c r="M91" s="13"/>
    </row>
    <row r="92" spans="2:13">
      <c r="M92" s="13"/>
    </row>
    <row r="93" spans="2:13" ht="15.75">
      <c r="B93" s="1" t="s">
        <v>49</v>
      </c>
      <c r="C93" s="131">
        <f>SUM(C14,C25,C38,C53,C61,C70,C77,C83,C90)</f>
        <v>1017000</v>
      </c>
      <c r="D93" s="131">
        <f>SUM(D14,D25,D38,D53,D61,D70,D77,D83,D90)</f>
        <v>483000</v>
      </c>
      <c r="E93" s="131">
        <f>SUM(E14,E25,E38,E53,E61,E70,E77,E83,E90)</f>
        <v>1500000</v>
      </c>
      <c r="F93" s="131">
        <f>SUM(F14,F25,F38,F53,F61,F70,F77,F83,F90)</f>
        <v>387000</v>
      </c>
      <c r="M93" s="13"/>
    </row>
    <row r="95" spans="2:13">
      <c r="F95" s="5">
        <f>SUM(F14,F25,F38,F53,F61,)</f>
        <v>138000</v>
      </c>
      <c r="G95" t="s">
        <v>181</v>
      </c>
    </row>
    <row r="96" spans="2:13">
      <c r="F96" s="5">
        <f>SUM(F70,F77,F83,F90)</f>
        <v>249000</v>
      </c>
      <c r="G96" t="s">
        <v>182</v>
      </c>
    </row>
    <row r="98" spans="4:6">
      <c r="D98" s="130">
        <f>D93/240000</f>
        <v>2.0125000000000002</v>
      </c>
      <c r="F98" s="130">
        <f>F93/'NPCC In Kind'!E4</f>
        <v>2.4187500000000002</v>
      </c>
    </row>
    <row r="99" spans="4:6">
      <c r="D99" s="130" t="s">
        <v>56</v>
      </c>
      <c r="F99" s="130" t="s">
        <v>56</v>
      </c>
    </row>
    <row r="101" spans="4:6">
      <c r="D101">
        <f>2.5*240000</f>
        <v>600000</v>
      </c>
    </row>
    <row r="102" spans="4:6">
      <c r="D102" s="5">
        <f>D101-D93</f>
        <v>117000</v>
      </c>
    </row>
  </sheetData>
  <mergeCells count="1">
    <mergeCell ref="H7:K7"/>
  </mergeCells>
  <phoneticPr fontId="20" type="noConversion"/>
  <pageMargins left="0.7" right="0.7" top="0.75" bottom="0.75" header="0.3" footer="0.3"/>
  <pageSetup orientation="portrait" r:id="rId1"/>
  <legacy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B1:T49"/>
  <sheetViews>
    <sheetView workbookViewId="0">
      <selection activeCell="B2" sqref="B2"/>
    </sheetView>
  </sheetViews>
  <sheetFormatPr defaultColWidth="8.85546875" defaultRowHeight="15"/>
  <cols>
    <col min="2" max="2" width="52.7109375" customWidth="1"/>
    <col min="3" max="3" width="13.7109375" customWidth="1"/>
    <col min="4" max="4" width="11" customWidth="1"/>
    <col min="5" max="5" width="12.140625" customWidth="1"/>
    <col min="6" max="6" width="11.85546875" customWidth="1"/>
    <col min="7" max="7" width="11" customWidth="1"/>
    <col min="8" max="8" width="7.5703125" customWidth="1"/>
    <col min="9" max="9" width="13.7109375" customWidth="1"/>
    <col min="10" max="10" width="11" customWidth="1"/>
    <col min="11" max="11" width="12.140625" customWidth="1"/>
    <col min="12" max="12" width="11.85546875" customWidth="1"/>
    <col min="14" max="14" width="7.42578125" customWidth="1"/>
    <col min="15" max="15" width="13.7109375" customWidth="1"/>
    <col min="16" max="16" width="11" customWidth="1"/>
    <col min="17" max="17" width="12.140625" customWidth="1"/>
    <col min="18" max="18" width="11.85546875" customWidth="1"/>
    <col min="20" max="20" width="79.7109375" customWidth="1"/>
  </cols>
  <sheetData>
    <row r="1" spans="2:20" ht="23.25">
      <c r="B1" s="103" t="s">
        <v>197</v>
      </c>
    </row>
    <row r="2" spans="2:20">
      <c r="B2" s="127" t="str">
        <f>'Table of Contents'!B2</f>
        <v>Draft of September 21, 2011</v>
      </c>
      <c r="M2" s="120"/>
      <c r="N2" s="174"/>
      <c r="O2" s="176"/>
      <c r="P2" s="175"/>
    </row>
    <row r="3" spans="2:20">
      <c r="B3" s="57"/>
    </row>
    <row r="4" spans="2:20">
      <c r="B4" t="s">
        <v>212</v>
      </c>
    </row>
    <row r="7" spans="2:20">
      <c r="C7" s="184" t="s">
        <v>32</v>
      </c>
      <c r="D7" s="184"/>
      <c r="E7" s="184"/>
      <c r="F7" s="184"/>
      <c r="I7" s="184" t="s">
        <v>183</v>
      </c>
      <c r="J7" s="184"/>
      <c r="K7" s="184"/>
      <c r="L7" s="184"/>
      <c r="O7" s="184" t="s">
        <v>184</v>
      </c>
      <c r="P7" s="184"/>
      <c r="Q7" s="184"/>
      <c r="R7" s="184"/>
    </row>
    <row r="8" spans="2:20" ht="64.5">
      <c r="B8" s="17" t="s">
        <v>76</v>
      </c>
      <c r="C8" s="18" t="s">
        <v>85</v>
      </c>
      <c r="D8" s="18" t="s">
        <v>74</v>
      </c>
      <c r="E8" s="168" t="s">
        <v>112</v>
      </c>
      <c r="F8" s="158" t="s">
        <v>256</v>
      </c>
      <c r="H8" s="18" t="s">
        <v>185</v>
      </c>
      <c r="I8" s="18" t="s">
        <v>85</v>
      </c>
      <c r="J8" s="18" t="s">
        <v>74</v>
      </c>
      <c r="K8" s="168" t="s">
        <v>112</v>
      </c>
      <c r="L8" s="158" t="s">
        <v>256</v>
      </c>
      <c r="N8" s="18" t="s">
        <v>185</v>
      </c>
      <c r="O8" s="18" t="s">
        <v>85</v>
      </c>
      <c r="P8" s="18" t="s">
        <v>74</v>
      </c>
      <c r="Q8" s="168" t="s">
        <v>112</v>
      </c>
      <c r="R8" s="158" t="s">
        <v>256</v>
      </c>
      <c r="T8" s="18" t="s">
        <v>24</v>
      </c>
    </row>
    <row r="9" spans="2:20" ht="38.25" customHeight="1">
      <c r="B9" s="25" t="s">
        <v>84</v>
      </c>
      <c r="C9" s="26">
        <f>'Category Detail (2012)'!C14</f>
        <v>175000</v>
      </c>
      <c r="D9" s="26">
        <f>'Category Detail (2012)'!D14</f>
        <v>50000</v>
      </c>
      <c r="E9" s="169">
        <f>'Category Detail (2012)'!E14</f>
        <v>225000</v>
      </c>
      <c r="F9" s="159">
        <f>'Category Detail (2012)'!F14</f>
        <v>40000</v>
      </c>
      <c r="H9" s="116">
        <v>1</v>
      </c>
      <c r="I9" s="26">
        <f>C9*$H9</f>
        <v>175000</v>
      </c>
      <c r="J9" s="26">
        <f t="shared" ref="J9:L9" si="0">D9*$H9</f>
        <v>50000</v>
      </c>
      <c r="K9" s="169">
        <f>SUM(I9:J9)</f>
        <v>225000</v>
      </c>
      <c r="L9" s="120">
        <f t="shared" si="0"/>
        <v>40000</v>
      </c>
      <c r="M9" s="174"/>
      <c r="N9" s="176">
        <f>H9</f>
        <v>1</v>
      </c>
      <c r="O9" s="175">
        <f>C9*$H9</f>
        <v>175000</v>
      </c>
      <c r="P9" s="26">
        <f t="shared" ref="P9:R9" si="1">D9*$H9</f>
        <v>50000</v>
      </c>
      <c r="Q9" s="169">
        <f t="shared" si="1"/>
        <v>225000</v>
      </c>
      <c r="R9" s="26">
        <f t="shared" si="1"/>
        <v>40000</v>
      </c>
      <c r="T9" s="121" t="s">
        <v>188</v>
      </c>
    </row>
    <row r="10" spans="2:20" ht="38.25" customHeight="1">
      <c r="B10" s="28" t="s">
        <v>108</v>
      </c>
      <c r="C10" s="26">
        <f>'Category Detail (2012)'!C25</f>
        <v>207000</v>
      </c>
      <c r="D10" s="26">
        <f>'Category Detail (2012)'!D25</f>
        <v>137000</v>
      </c>
      <c r="E10" s="169">
        <f>'Category Detail (2012)'!E25</f>
        <v>344000</v>
      </c>
      <c r="F10" s="159">
        <f>'Category Detail (2012)'!F25</f>
        <v>35000</v>
      </c>
      <c r="H10" s="116">
        <v>1</v>
      </c>
      <c r="I10" s="26">
        <f t="shared" ref="I10:I11" si="2">C10*$H10</f>
        <v>207000</v>
      </c>
      <c r="J10" s="26">
        <f t="shared" ref="J10:J11" si="3">D10*$H10</f>
        <v>137000</v>
      </c>
      <c r="K10" s="169">
        <f t="shared" ref="K10:K17" si="4">SUM(I10:J10)</f>
        <v>344000</v>
      </c>
      <c r="L10" s="26">
        <f t="shared" ref="L10:L11" si="5">F10*$H10</f>
        <v>35000</v>
      </c>
      <c r="N10" s="116">
        <f t="shared" ref="N10:N17" si="6">H10</f>
        <v>1</v>
      </c>
      <c r="O10" s="26">
        <f t="shared" ref="O10:O16" si="7">C10*$H10</f>
        <v>207000</v>
      </c>
      <c r="P10" s="26">
        <f t="shared" ref="P10:P16" si="8">D10*$H10</f>
        <v>137000</v>
      </c>
      <c r="Q10" s="169">
        <f t="shared" ref="Q10:Q16" si="9">E10*$H10</f>
        <v>344000</v>
      </c>
      <c r="R10" s="26">
        <f t="shared" ref="R10:R16" si="10">F10*$H10</f>
        <v>35000</v>
      </c>
      <c r="T10" s="121" t="s">
        <v>190</v>
      </c>
    </row>
    <row r="11" spans="2:20" ht="38.25" customHeight="1">
      <c r="B11" s="25" t="s">
        <v>77</v>
      </c>
      <c r="C11" s="26">
        <f>'Category Detail (2012)'!C38</f>
        <v>140000</v>
      </c>
      <c r="D11" s="26">
        <f>'Category Detail (2012)'!D38</f>
        <v>42000</v>
      </c>
      <c r="E11" s="169">
        <f>'Category Detail (2012)'!E38</f>
        <v>182000</v>
      </c>
      <c r="F11" s="159">
        <f>'Category Detail (2012)'!F38</f>
        <v>27000</v>
      </c>
      <c r="H11" s="116">
        <v>0.5</v>
      </c>
      <c r="I11" s="26">
        <f t="shared" si="2"/>
        <v>70000</v>
      </c>
      <c r="J11" s="26">
        <f t="shared" si="3"/>
        <v>21000</v>
      </c>
      <c r="K11" s="169">
        <f t="shared" si="4"/>
        <v>91000</v>
      </c>
      <c r="L11" s="26">
        <f t="shared" si="5"/>
        <v>13500</v>
      </c>
      <c r="N11" s="116">
        <f t="shared" si="6"/>
        <v>0.5</v>
      </c>
      <c r="O11" s="26">
        <f t="shared" si="7"/>
        <v>70000</v>
      </c>
      <c r="P11" s="26">
        <f t="shared" si="8"/>
        <v>21000</v>
      </c>
      <c r="Q11" s="169">
        <f t="shared" si="9"/>
        <v>91000</v>
      </c>
      <c r="R11" s="26">
        <f t="shared" si="10"/>
        <v>13500</v>
      </c>
      <c r="T11" s="121" t="s">
        <v>189</v>
      </c>
    </row>
    <row r="12" spans="2:20" ht="38.25" customHeight="1">
      <c r="B12" s="20" t="s">
        <v>101</v>
      </c>
      <c r="C12" s="21">
        <f>'Category Detail (2012)'!C53</f>
        <v>86000</v>
      </c>
      <c r="D12" s="21">
        <f>'Category Detail (2012)'!D53</f>
        <v>48000</v>
      </c>
      <c r="E12" s="170">
        <f>'Category Detail (2012)'!E53</f>
        <v>134000</v>
      </c>
      <c r="F12" s="160">
        <f>'Category Detail (2012)'!F53</f>
        <v>12000</v>
      </c>
      <c r="H12" s="116">
        <v>0.75</v>
      </c>
      <c r="I12" s="21">
        <f t="shared" ref="I12:I16" si="11">C12*$H12</f>
        <v>64500</v>
      </c>
      <c r="J12" s="21">
        <f t="shared" ref="J12:J16" si="12">D12*$H12</f>
        <v>36000</v>
      </c>
      <c r="K12" s="170">
        <f t="shared" si="4"/>
        <v>100500</v>
      </c>
      <c r="L12" s="21">
        <f t="shared" ref="L12:L16" si="13">F12*$H12</f>
        <v>9000</v>
      </c>
      <c r="N12" s="116">
        <f t="shared" si="6"/>
        <v>0.75</v>
      </c>
      <c r="O12" s="21">
        <f t="shared" si="7"/>
        <v>64500</v>
      </c>
      <c r="P12" s="21">
        <f t="shared" si="8"/>
        <v>36000</v>
      </c>
      <c r="Q12" s="170">
        <f t="shared" si="9"/>
        <v>100500</v>
      </c>
      <c r="R12" s="21">
        <f t="shared" si="10"/>
        <v>9000</v>
      </c>
      <c r="T12" s="121" t="s">
        <v>187</v>
      </c>
    </row>
    <row r="13" spans="2:20" ht="38.25" customHeight="1">
      <c r="B13" s="23" t="s">
        <v>50</v>
      </c>
      <c r="C13" s="21">
        <f>'Category Detail (2012)'!C61</f>
        <v>230000</v>
      </c>
      <c r="D13" s="21">
        <f>'Category Detail (2012)'!D61</f>
        <v>48000</v>
      </c>
      <c r="E13" s="170">
        <f>'Category Detail (2012)'!E61</f>
        <v>278000</v>
      </c>
      <c r="F13" s="160">
        <f>'Category Detail (2012)'!F61</f>
        <v>24000</v>
      </c>
      <c r="H13" s="116">
        <v>1</v>
      </c>
      <c r="I13" s="21">
        <f t="shared" si="11"/>
        <v>230000</v>
      </c>
      <c r="J13" s="21">
        <f t="shared" si="12"/>
        <v>48000</v>
      </c>
      <c r="K13" s="170">
        <f t="shared" si="4"/>
        <v>278000</v>
      </c>
      <c r="L13" s="21">
        <f t="shared" si="13"/>
        <v>24000</v>
      </c>
      <c r="N13" s="116">
        <f t="shared" si="6"/>
        <v>1</v>
      </c>
      <c r="O13" s="21">
        <f t="shared" si="7"/>
        <v>230000</v>
      </c>
      <c r="P13" s="21">
        <f t="shared" si="8"/>
        <v>48000</v>
      </c>
      <c r="Q13" s="170">
        <f t="shared" si="9"/>
        <v>278000</v>
      </c>
      <c r="R13" s="21">
        <f t="shared" si="10"/>
        <v>24000</v>
      </c>
      <c r="T13" s="121" t="s">
        <v>191</v>
      </c>
    </row>
    <row r="14" spans="2:20" ht="38.25" customHeight="1">
      <c r="B14" s="23" t="s">
        <v>117</v>
      </c>
      <c r="C14" s="21">
        <f>'Category Detail (2012)'!C70</f>
        <v>0</v>
      </c>
      <c r="D14" s="21">
        <f>'Category Detail (2012)'!D70</f>
        <v>58000</v>
      </c>
      <c r="E14" s="170">
        <f>'Category Detail (2012)'!E70</f>
        <v>58000</v>
      </c>
      <c r="F14" s="160">
        <f>'Category Detail (2012)'!F70</f>
        <v>12000</v>
      </c>
      <c r="H14" s="116">
        <v>1.2</v>
      </c>
      <c r="I14" s="21">
        <f t="shared" si="11"/>
        <v>0</v>
      </c>
      <c r="J14" s="21">
        <f t="shared" si="12"/>
        <v>69600</v>
      </c>
      <c r="K14" s="170">
        <f t="shared" si="4"/>
        <v>69600</v>
      </c>
      <c r="L14" s="21">
        <f t="shared" si="13"/>
        <v>14400</v>
      </c>
      <c r="N14" s="116">
        <f t="shared" si="6"/>
        <v>1.2</v>
      </c>
      <c r="O14" s="21">
        <f t="shared" si="7"/>
        <v>0</v>
      </c>
      <c r="P14" s="21">
        <f t="shared" si="8"/>
        <v>69600</v>
      </c>
      <c r="Q14" s="170">
        <f t="shared" si="9"/>
        <v>69600</v>
      </c>
      <c r="R14" s="21">
        <f t="shared" si="10"/>
        <v>14400</v>
      </c>
      <c r="T14" s="121" t="s">
        <v>191</v>
      </c>
    </row>
    <row r="15" spans="2:20" ht="38.25" customHeight="1">
      <c r="B15" s="14" t="s">
        <v>75</v>
      </c>
      <c r="C15" s="15">
        <f>'Category Detail (2012)'!C77</f>
        <v>0</v>
      </c>
      <c r="D15" s="15">
        <f>'Category Detail (2012)'!D77</f>
        <v>0</v>
      </c>
      <c r="E15" s="171">
        <f>'Category Detail (2012)'!E77</f>
        <v>0</v>
      </c>
      <c r="F15" s="161">
        <f>'Category Detail (2012)'!F77</f>
        <v>50000</v>
      </c>
      <c r="H15" s="116">
        <v>1</v>
      </c>
      <c r="I15" s="15">
        <f t="shared" si="11"/>
        <v>0</v>
      </c>
      <c r="J15" s="15">
        <f t="shared" si="12"/>
        <v>0</v>
      </c>
      <c r="K15" s="171">
        <f t="shared" si="4"/>
        <v>0</v>
      </c>
      <c r="L15" s="15">
        <f t="shared" si="13"/>
        <v>50000</v>
      </c>
      <c r="N15" s="116">
        <f t="shared" si="6"/>
        <v>1</v>
      </c>
      <c r="O15" s="15">
        <f t="shared" si="7"/>
        <v>0</v>
      </c>
      <c r="P15" s="15">
        <f t="shared" si="8"/>
        <v>0</v>
      </c>
      <c r="Q15" s="171">
        <f t="shared" si="9"/>
        <v>0</v>
      </c>
      <c r="R15" s="15">
        <f t="shared" si="10"/>
        <v>50000</v>
      </c>
      <c r="T15" s="121" t="s">
        <v>192</v>
      </c>
    </row>
    <row r="16" spans="2:20" ht="38.25" customHeight="1">
      <c r="B16" s="16" t="s">
        <v>37</v>
      </c>
      <c r="C16" s="15">
        <f>'Category Detail (2012)'!C83</f>
        <v>174000</v>
      </c>
      <c r="D16" s="15">
        <f>'Category Detail (2012)'!D83</f>
        <v>0</v>
      </c>
      <c r="E16" s="171">
        <f>'Category Detail (2012)'!E83</f>
        <v>174000</v>
      </c>
      <c r="F16" s="161">
        <f>'Category Detail (2012)'!F83</f>
        <v>7000</v>
      </c>
      <c r="H16" s="116">
        <v>1</v>
      </c>
      <c r="I16" s="15">
        <f t="shared" si="11"/>
        <v>174000</v>
      </c>
      <c r="J16" s="15">
        <f t="shared" si="12"/>
        <v>0</v>
      </c>
      <c r="K16" s="171">
        <f t="shared" si="4"/>
        <v>174000</v>
      </c>
      <c r="L16" s="15">
        <f t="shared" si="13"/>
        <v>7000</v>
      </c>
      <c r="N16" s="116">
        <f t="shared" si="6"/>
        <v>1</v>
      </c>
      <c r="O16" s="15">
        <f t="shared" si="7"/>
        <v>174000</v>
      </c>
      <c r="P16" s="15">
        <f t="shared" si="8"/>
        <v>0</v>
      </c>
      <c r="Q16" s="171">
        <f t="shared" si="9"/>
        <v>174000</v>
      </c>
      <c r="R16" s="15">
        <f t="shared" si="10"/>
        <v>7000</v>
      </c>
      <c r="T16" s="121" t="s">
        <v>192</v>
      </c>
    </row>
    <row r="17" spans="2:20" ht="38.25" customHeight="1">
      <c r="B17" s="14" t="s">
        <v>83</v>
      </c>
      <c r="C17" s="15">
        <f>'Category Detail (2012)'!C90</f>
        <v>5000</v>
      </c>
      <c r="D17" s="15">
        <f>'Category Detail (2012)'!D90</f>
        <v>100000</v>
      </c>
      <c r="E17" s="171">
        <f>'Category Detail (2012)'!E90</f>
        <v>105000</v>
      </c>
      <c r="F17" s="161">
        <f>'Category Detail (2012)'!F90</f>
        <v>180000</v>
      </c>
      <c r="H17" s="116" t="s">
        <v>186</v>
      </c>
      <c r="I17" s="15">
        <v>5000</v>
      </c>
      <c r="J17" s="15">
        <v>220000</v>
      </c>
      <c r="K17" s="171">
        <f t="shared" si="4"/>
        <v>225000</v>
      </c>
      <c r="L17" s="15">
        <v>120000</v>
      </c>
      <c r="N17" s="116" t="str">
        <f t="shared" si="6"/>
        <v>manual</v>
      </c>
      <c r="O17" s="15">
        <v>5000</v>
      </c>
      <c r="P17" s="15">
        <v>220000</v>
      </c>
      <c r="Q17" s="171">
        <f t="shared" ref="Q17" si="14">SUM(O17:P17)</f>
        <v>225000</v>
      </c>
      <c r="R17" s="15">
        <v>120000</v>
      </c>
      <c r="T17" s="121" t="s">
        <v>193</v>
      </c>
    </row>
    <row r="18" spans="2:20" ht="38.25" customHeight="1">
      <c r="B18" s="113" t="s">
        <v>38</v>
      </c>
      <c r="C18" s="114">
        <f>SUM(C9:C17)</f>
        <v>1017000</v>
      </c>
      <c r="D18" s="114">
        <f t="shared" ref="D18:F18" si="15">SUM(D9:D17)</f>
        <v>483000</v>
      </c>
      <c r="E18" s="172">
        <f t="shared" si="15"/>
        <v>1500000</v>
      </c>
      <c r="F18" s="162">
        <f t="shared" si="15"/>
        <v>387000</v>
      </c>
      <c r="I18" s="114">
        <f>SUM(I9:I17)</f>
        <v>925500</v>
      </c>
      <c r="J18" s="114">
        <f t="shared" ref="J18:L18" si="16">SUM(J9:J17)</f>
        <v>581600</v>
      </c>
      <c r="K18" s="172">
        <f t="shared" si="16"/>
        <v>1507100</v>
      </c>
      <c r="L18" s="114">
        <f t="shared" si="16"/>
        <v>312900</v>
      </c>
      <c r="O18" s="114">
        <f>SUM(O9:O17)</f>
        <v>925500</v>
      </c>
      <c r="P18" s="114">
        <f t="shared" ref="P18:R18" si="17">SUM(P9:P17)</f>
        <v>581600</v>
      </c>
      <c r="Q18" s="172">
        <f t="shared" si="17"/>
        <v>1507100</v>
      </c>
      <c r="R18" s="114">
        <f t="shared" si="17"/>
        <v>312900</v>
      </c>
      <c r="T18" s="119"/>
    </row>
    <row r="19" spans="2:20">
      <c r="B19" s="173" t="s">
        <v>56</v>
      </c>
      <c r="C19" s="120"/>
      <c r="D19" s="174">
        <f>D18/240000</f>
        <v>2.0125000000000002</v>
      </c>
      <c r="E19" s="176"/>
      <c r="F19" s="175">
        <f>F18/'NPCC In Kind'!$E$4</f>
        <v>2.4187500000000002</v>
      </c>
      <c r="I19" s="120"/>
      <c r="J19" s="174">
        <f>J18/240000</f>
        <v>2.4233333333333333</v>
      </c>
      <c r="K19" s="176"/>
      <c r="L19" s="175">
        <f>L18/'NPCC In Kind'!$E$4</f>
        <v>1.9556249999999999</v>
      </c>
      <c r="O19" s="120"/>
      <c r="P19" s="174">
        <f>P18/240000</f>
        <v>2.4233333333333333</v>
      </c>
      <c r="Q19" s="176"/>
      <c r="R19" s="175">
        <f>R18/'NPCC In Kind'!$E$4</f>
        <v>1.9556249999999999</v>
      </c>
    </row>
    <row r="21" spans="2:20" ht="26.25">
      <c r="C21" s="154" t="s">
        <v>85</v>
      </c>
      <c r="D21" s="18" t="s">
        <v>74</v>
      </c>
      <c r="E21" s="18" t="s">
        <v>112</v>
      </c>
      <c r="F21" s="18" t="s">
        <v>113</v>
      </c>
    </row>
    <row r="22" spans="2:20">
      <c r="B22" s="118" t="str">
        <f>C7</f>
        <v>Calendar 2012</v>
      </c>
      <c r="C22" s="117">
        <f>C18</f>
        <v>1017000</v>
      </c>
      <c r="D22" s="117">
        <f t="shared" ref="D22:F22" si="18">D18</f>
        <v>483000</v>
      </c>
      <c r="E22" s="117">
        <f t="shared" si="18"/>
        <v>1500000</v>
      </c>
      <c r="F22" s="117">
        <f t="shared" si="18"/>
        <v>387000</v>
      </c>
    </row>
    <row r="23" spans="2:20">
      <c r="B23" s="118" t="str">
        <f>I7</f>
        <v>Calendar 2013</v>
      </c>
      <c r="C23" s="117">
        <f>I18</f>
        <v>925500</v>
      </c>
      <c r="D23" s="117">
        <f t="shared" ref="D23:F23" si="19">J18</f>
        <v>581600</v>
      </c>
      <c r="E23" s="117">
        <f t="shared" si="19"/>
        <v>1507100</v>
      </c>
      <c r="F23" s="117">
        <f t="shared" si="19"/>
        <v>312900</v>
      </c>
    </row>
    <row r="24" spans="2:20">
      <c r="B24" s="118" t="str">
        <f>O7</f>
        <v>Calendar 2014</v>
      </c>
      <c r="C24" s="117">
        <f>O18</f>
        <v>925500</v>
      </c>
      <c r="D24" s="117">
        <f t="shared" ref="D24:F24" si="20">P18</f>
        <v>581600</v>
      </c>
      <c r="E24" s="117">
        <f t="shared" si="20"/>
        <v>1507100</v>
      </c>
      <c r="F24" s="117">
        <f t="shared" si="20"/>
        <v>312900</v>
      </c>
    </row>
    <row r="44" spans="2:5">
      <c r="B44" s="120"/>
      <c r="C44" s="154" t="s">
        <v>252</v>
      </c>
      <c r="D44" s="154" t="s">
        <v>253</v>
      </c>
      <c r="E44" s="154" t="s">
        <v>254</v>
      </c>
    </row>
    <row r="45" spans="2:5">
      <c r="B45" s="118" t="s">
        <v>85</v>
      </c>
      <c r="C45" s="153">
        <f>C22</f>
        <v>1017000</v>
      </c>
      <c r="D45" s="153">
        <f>C23</f>
        <v>925500</v>
      </c>
      <c r="E45" s="153">
        <f>C24</f>
        <v>925500</v>
      </c>
    </row>
    <row r="46" spans="2:5">
      <c r="B46" s="118" t="s">
        <v>74</v>
      </c>
      <c r="C46" s="153">
        <f>D22</f>
        <v>483000</v>
      </c>
      <c r="D46" s="153">
        <f>D23</f>
        <v>581600</v>
      </c>
      <c r="E46" s="153">
        <f>D24</f>
        <v>581600</v>
      </c>
    </row>
    <row r="47" spans="2:5">
      <c r="B47" s="118" t="s">
        <v>112</v>
      </c>
      <c r="C47" s="153">
        <f>E22</f>
        <v>1500000</v>
      </c>
      <c r="D47" s="153">
        <f>E23</f>
        <v>1507100</v>
      </c>
      <c r="E47" s="153">
        <f>E24</f>
        <v>1507100</v>
      </c>
    </row>
    <row r="48" spans="2:5">
      <c r="B48" s="118" t="s">
        <v>113</v>
      </c>
      <c r="C48" s="153">
        <f>F22</f>
        <v>387000</v>
      </c>
      <c r="D48" s="153">
        <f>F23</f>
        <v>312900</v>
      </c>
      <c r="E48" s="153">
        <f>F24</f>
        <v>312900</v>
      </c>
    </row>
    <row r="49" spans="2:5">
      <c r="B49" s="118" t="s">
        <v>257</v>
      </c>
      <c r="C49" s="177">
        <f>F19</f>
        <v>2.4187500000000002</v>
      </c>
      <c r="D49" s="177">
        <f>L19</f>
        <v>1.9556249999999999</v>
      </c>
      <c r="E49" s="177">
        <f>R19</f>
        <v>1.9556249999999999</v>
      </c>
    </row>
  </sheetData>
  <mergeCells count="3">
    <mergeCell ref="C7:F7"/>
    <mergeCell ref="I7:L7"/>
    <mergeCell ref="O7:R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B1:X58"/>
  <sheetViews>
    <sheetView workbookViewId="0">
      <selection activeCell="M24" sqref="M24"/>
    </sheetView>
  </sheetViews>
  <sheetFormatPr defaultColWidth="8.85546875" defaultRowHeight="12.75"/>
  <cols>
    <col min="1" max="2" width="19.140625" style="30" customWidth="1"/>
    <col min="3" max="3" width="25.42578125" style="30" customWidth="1"/>
    <col min="4" max="4" width="39" style="30" customWidth="1"/>
    <col min="5" max="5" width="15.28515625" style="30" customWidth="1"/>
    <col min="6" max="6" width="14" style="30" customWidth="1"/>
    <col min="7" max="7" width="11.42578125" style="30" customWidth="1"/>
    <col min="8" max="8" width="3.28515625" style="30" customWidth="1"/>
    <col min="9" max="9" width="18.42578125" style="30" customWidth="1"/>
    <col min="10" max="10" width="32.7109375" style="30" customWidth="1"/>
    <col min="11" max="11" width="15.28515625" style="30" customWidth="1"/>
    <col min="12" max="12" width="14" style="30" customWidth="1"/>
    <col min="13" max="13" width="11.42578125" style="30" customWidth="1"/>
    <col min="14" max="14" width="12.7109375" style="30" customWidth="1"/>
    <col min="15" max="15" width="11" style="30" customWidth="1"/>
    <col min="16" max="16" width="4.42578125" style="30" customWidth="1"/>
    <col min="17" max="17" width="8.85546875" style="30"/>
    <col min="18" max="18" width="18.42578125" style="30" customWidth="1"/>
    <col min="19" max="19" width="23" style="30" customWidth="1"/>
    <col min="20" max="20" width="15.28515625" style="30" customWidth="1"/>
    <col min="21" max="21" width="14" style="30" customWidth="1"/>
    <col min="22" max="22" width="11.42578125" style="30" customWidth="1"/>
    <col min="23" max="23" width="12.7109375" style="30" customWidth="1"/>
    <col min="24" max="24" width="11" style="30" customWidth="1"/>
    <col min="25" max="25" width="8.85546875" style="30"/>
    <col min="26" max="26" width="10.7109375" style="30" customWidth="1"/>
    <col min="27" max="27" width="10.85546875" style="30" customWidth="1"/>
    <col min="28" max="16384" width="8.85546875" style="30"/>
  </cols>
  <sheetData>
    <row r="1" spans="2:24" ht="23.25">
      <c r="B1" s="103" t="s">
        <v>198</v>
      </c>
    </row>
    <row r="2" spans="2:24" ht="15">
      <c r="B2" s="51" t="str">
        <f>'Table of Contents'!B2</f>
        <v>Draft of September 21, 2011</v>
      </c>
    </row>
    <row r="3" spans="2:24" ht="15">
      <c r="B3" s="57"/>
      <c r="E3" s="71" t="s">
        <v>145</v>
      </c>
    </row>
    <row r="4" spans="2:24" ht="15">
      <c r="C4" s="29" t="s">
        <v>54</v>
      </c>
      <c r="E4" s="72">
        <v>160000</v>
      </c>
      <c r="I4" s="29" t="s">
        <v>55</v>
      </c>
      <c r="N4" s="31">
        <f>M20</f>
        <v>2.4799999999999991</v>
      </c>
      <c r="O4" s="32" t="s">
        <v>56</v>
      </c>
      <c r="R4" s="29" t="s">
        <v>57</v>
      </c>
      <c r="W4" s="33">
        <f>V19</f>
        <v>1.2800000000000002</v>
      </c>
      <c r="X4" s="34" t="s">
        <v>56</v>
      </c>
    </row>
    <row r="6" spans="2:24" ht="64.5" customHeight="1">
      <c r="C6" s="35" t="s">
        <v>58</v>
      </c>
      <c r="D6" s="35" t="s">
        <v>59</v>
      </c>
      <c r="E6" s="35" t="s">
        <v>60</v>
      </c>
      <c r="F6" s="35" t="s">
        <v>61</v>
      </c>
      <c r="G6" s="35" t="s">
        <v>62</v>
      </c>
      <c r="I6" s="35" t="s">
        <v>58</v>
      </c>
      <c r="J6" s="35" t="s">
        <v>59</v>
      </c>
      <c r="K6" s="35" t="s">
        <v>60</v>
      </c>
      <c r="L6" s="35" t="s">
        <v>61</v>
      </c>
      <c r="M6" s="35" t="s">
        <v>62</v>
      </c>
      <c r="N6" s="35" t="s">
        <v>63</v>
      </c>
      <c r="O6" s="35" t="s">
        <v>64</v>
      </c>
      <c r="R6" s="35" t="s">
        <v>58</v>
      </c>
      <c r="S6" s="35" t="s">
        <v>59</v>
      </c>
      <c r="T6" s="35" t="s">
        <v>60</v>
      </c>
      <c r="U6" s="35" t="s">
        <v>61</v>
      </c>
      <c r="V6" s="35" t="s">
        <v>62</v>
      </c>
      <c r="W6" s="35" t="s">
        <v>63</v>
      </c>
      <c r="X6" s="35" t="s">
        <v>64</v>
      </c>
    </row>
    <row r="7" spans="2:24">
      <c r="C7" s="36" t="s">
        <v>65</v>
      </c>
      <c r="D7" s="36" t="s">
        <v>146</v>
      </c>
      <c r="E7" s="40">
        <v>0.6</v>
      </c>
      <c r="F7" s="40">
        <v>0.2</v>
      </c>
      <c r="G7" s="37">
        <f t="shared" ref="G7:G19" si="0">SUM(E7:F7)</f>
        <v>0.8</v>
      </c>
      <c r="I7" s="36" t="s">
        <v>65</v>
      </c>
      <c r="J7" s="36" t="s">
        <v>66</v>
      </c>
      <c r="K7" s="37">
        <v>0.4</v>
      </c>
      <c r="L7" s="37">
        <v>0.4</v>
      </c>
      <c r="M7" s="37">
        <f t="shared" ref="M7:M19" si="1">SUM(K7:L7)</f>
        <v>0.8</v>
      </c>
      <c r="N7" s="36"/>
      <c r="O7" s="36"/>
      <c r="R7" s="36" t="s">
        <v>65</v>
      </c>
      <c r="S7" s="36" t="s">
        <v>66</v>
      </c>
      <c r="T7" s="37">
        <v>0.2</v>
      </c>
      <c r="U7" s="37">
        <v>0.1</v>
      </c>
      <c r="V7" s="37">
        <f t="shared" ref="V7:V17" si="2">SUM(T7:U7)</f>
        <v>0.30000000000000004</v>
      </c>
      <c r="W7" s="36"/>
      <c r="X7" s="36"/>
    </row>
    <row r="8" spans="2:24">
      <c r="C8" s="36" t="s">
        <v>67</v>
      </c>
      <c r="D8" s="36" t="s">
        <v>68</v>
      </c>
      <c r="E8" s="40">
        <v>0.2</v>
      </c>
      <c r="F8" s="40">
        <v>0.25</v>
      </c>
      <c r="G8" s="37">
        <f t="shared" si="0"/>
        <v>0.45</v>
      </c>
      <c r="I8" s="36" t="s">
        <v>67</v>
      </c>
      <c r="J8" s="36" t="s">
        <v>68</v>
      </c>
      <c r="K8" s="37">
        <v>0.3</v>
      </c>
      <c r="L8" s="37">
        <v>0.2</v>
      </c>
      <c r="M8" s="37">
        <f t="shared" si="1"/>
        <v>0.5</v>
      </c>
      <c r="N8" s="36"/>
      <c r="O8" s="36"/>
      <c r="R8" s="36" t="s">
        <v>67</v>
      </c>
      <c r="S8" s="36" t="s">
        <v>68</v>
      </c>
      <c r="T8" s="37">
        <v>0.15</v>
      </c>
      <c r="U8" s="37">
        <v>0.25</v>
      </c>
      <c r="V8" s="37">
        <f t="shared" si="2"/>
        <v>0.4</v>
      </c>
      <c r="W8" s="36"/>
      <c r="X8" s="36"/>
    </row>
    <row r="9" spans="2:24">
      <c r="C9" s="36" t="s">
        <v>69</v>
      </c>
      <c r="D9" s="36" t="s">
        <v>70</v>
      </c>
      <c r="E9" s="40">
        <v>0.254</v>
      </c>
      <c r="F9" s="40">
        <v>0.35</v>
      </c>
      <c r="G9" s="37">
        <f t="shared" si="0"/>
        <v>0.60399999999999998</v>
      </c>
      <c r="I9" s="36" t="s">
        <v>69</v>
      </c>
      <c r="J9" s="36" t="s">
        <v>70</v>
      </c>
      <c r="K9" s="37">
        <v>0.33</v>
      </c>
      <c r="L9" s="37">
        <v>0.33</v>
      </c>
      <c r="M9" s="37">
        <f t="shared" si="1"/>
        <v>0.66</v>
      </c>
      <c r="N9" s="36"/>
      <c r="O9" s="36"/>
      <c r="R9" s="36" t="s">
        <v>69</v>
      </c>
      <c r="S9" s="36" t="s">
        <v>70</v>
      </c>
      <c r="T9" s="37">
        <v>0.15</v>
      </c>
      <c r="U9" s="37">
        <v>0.15</v>
      </c>
      <c r="V9" s="37">
        <f t="shared" si="2"/>
        <v>0.3</v>
      </c>
      <c r="W9" s="36"/>
      <c r="X9" s="36"/>
    </row>
    <row r="10" spans="2:24">
      <c r="C10" s="38" t="s">
        <v>71</v>
      </c>
      <c r="D10" s="38" t="s">
        <v>72</v>
      </c>
      <c r="E10" s="39">
        <v>0</v>
      </c>
      <c r="F10" s="37">
        <v>0.01</v>
      </c>
      <c r="G10" s="39">
        <f t="shared" si="0"/>
        <v>0.01</v>
      </c>
      <c r="I10" s="38" t="s">
        <v>71</v>
      </c>
      <c r="J10" s="38" t="s">
        <v>72</v>
      </c>
      <c r="K10" s="39">
        <v>0</v>
      </c>
      <c r="L10" s="37">
        <v>0.01</v>
      </c>
      <c r="M10" s="39">
        <f t="shared" si="1"/>
        <v>0.01</v>
      </c>
      <c r="N10" s="36"/>
      <c r="O10" s="36"/>
      <c r="R10" s="38" t="s">
        <v>71</v>
      </c>
      <c r="S10" s="38" t="s">
        <v>72</v>
      </c>
      <c r="T10" s="39">
        <v>0</v>
      </c>
      <c r="U10" s="37">
        <v>0.02</v>
      </c>
      <c r="V10" s="39">
        <f t="shared" si="2"/>
        <v>0.02</v>
      </c>
      <c r="W10" s="36"/>
      <c r="X10" s="36"/>
    </row>
    <row r="11" spans="2:24">
      <c r="C11" s="38" t="s">
        <v>73</v>
      </c>
      <c r="D11" s="36" t="s">
        <v>2</v>
      </c>
      <c r="E11" s="39">
        <v>0</v>
      </c>
      <c r="F11" s="37">
        <v>0.01</v>
      </c>
      <c r="G11" s="39">
        <f t="shared" si="0"/>
        <v>0.01</v>
      </c>
      <c r="I11" s="38" t="s">
        <v>73</v>
      </c>
      <c r="J11" s="36" t="s">
        <v>2</v>
      </c>
      <c r="K11" s="39">
        <v>0</v>
      </c>
      <c r="L11" s="37">
        <v>0.01</v>
      </c>
      <c r="M11" s="39">
        <f t="shared" si="1"/>
        <v>0.01</v>
      </c>
      <c r="N11" s="36"/>
      <c r="O11" s="36"/>
      <c r="R11" s="38" t="s">
        <v>3</v>
      </c>
      <c r="S11" s="36" t="s">
        <v>2</v>
      </c>
      <c r="T11" s="39">
        <v>0</v>
      </c>
      <c r="U11" s="37">
        <v>0.05</v>
      </c>
      <c r="V11" s="39">
        <f t="shared" si="2"/>
        <v>0.05</v>
      </c>
      <c r="W11" s="36"/>
      <c r="X11" s="36"/>
    </row>
    <row r="12" spans="2:24">
      <c r="C12" s="38" t="s">
        <v>4</v>
      </c>
      <c r="D12" s="36" t="s">
        <v>5</v>
      </c>
      <c r="E12" s="39">
        <v>0.04</v>
      </c>
      <c r="F12" s="37">
        <v>0</v>
      </c>
      <c r="G12" s="39">
        <f t="shared" si="0"/>
        <v>0.04</v>
      </c>
      <c r="I12" s="38" t="s">
        <v>4</v>
      </c>
      <c r="J12" s="36" t="s">
        <v>5</v>
      </c>
      <c r="K12" s="39">
        <v>0.04</v>
      </c>
      <c r="L12" s="37">
        <v>0</v>
      </c>
      <c r="M12" s="39">
        <f t="shared" si="1"/>
        <v>0.04</v>
      </c>
      <c r="N12" s="36"/>
      <c r="O12" s="36"/>
      <c r="R12" s="38" t="s">
        <v>244</v>
      </c>
      <c r="S12" s="36" t="s">
        <v>6</v>
      </c>
      <c r="T12" s="39">
        <v>0</v>
      </c>
      <c r="U12" s="37">
        <v>0.02</v>
      </c>
      <c r="V12" s="39">
        <f t="shared" si="2"/>
        <v>0.02</v>
      </c>
      <c r="W12" s="36"/>
      <c r="X12" s="36"/>
    </row>
    <row r="13" spans="2:24">
      <c r="C13" s="38" t="s">
        <v>244</v>
      </c>
      <c r="D13" s="36" t="s">
        <v>6</v>
      </c>
      <c r="E13" s="39">
        <v>0</v>
      </c>
      <c r="F13" s="37">
        <v>0.02</v>
      </c>
      <c r="G13" s="39">
        <f t="shared" si="0"/>
        <v>0.02</v>
      </c>
      <c r="I13" s="38" t="s">
        <v>244</v>
      </c>
      <c r="J13" s="36" t="s">
        <v>6</v>
      </c>
      <c r="K13" s="39">
        <v>0</v>
      </c>
      <c r="L13" s="37">
        <v>0.02</v>
      </c>
      <c r="M13" s="39">
        <f t="shared" si="1"/>
        <v>0.02</v>
      </c>
      <c r="N13" s="36"/>
      <c r="O13" s="36"/>
      <c r="R13" s="36" t="s">
        <v>7</v>
      </c>
      <c r="S13" s="36" t="s">
        <v>8</v>
      </c>
      <c r="T13" s="37">
        <v>0.05</v>
      </c>
      <c r="U13" s="37">
        <v>0</v>
      </c>
      <c r="V13" s="37">
        <f t="shared" si="2"/>
        <v>0.05</v>
      </c>
      <c r="W13" s="36"/>
      <c r="X13" s="36"/>
    </row>
    <row r="14" spans="2:24">
      <c r="C14" s="38" t="s">
        <v>9</v>
      </c>
      <c r="D14" s="36" t="s">
        <v>245</v>
      </c>
      <c r="E14" s="39">
        <v>0.05</v>
      </c>
      <c r="F14" s="37">
        <v>0</v>
      </c>
      <c r="G14" s="39">
        <f t="shared" si="0"/>
        <v>0.05</v>
      </c>
      <c r="I14" s="38" t="s">
        <v>9</v>
      </c>
      <c r="J14" s="36" t="s">
        <v>245</v>
      </c>
      <c r="K14" s="39">
        <v>0.05</v>
      </c>
      <c r="L14" s="37">
        <v>0</v>
      </c>
      <c r="M14" s="39">
        <f t="shared" si="1"/>
        <v>0.05</v>
      </c>
      <c r="N14" s="36"/>
      <c r="O14" s="36"/>
      <c r="R14" s="36" t="s">
        <v>10</v>
      </c>
      <c r="S14" s="36" t="s">
        <v>11</v>
      </c>
      <c r="T14" s="37">
        <v>0.1</v>
      </c>
      <c r="U14" s="37">
        <v>0</v>
      </c>
      <c r="V14" s="37">
        <f t="shared" si="2"/>
        <v>0.1</v>
      </c>
      <c r="W14" s="36"/>
      <c r="X14" s="36"/>
    </row>
    <row r="15" spans="2:24">
      <c r="C15" s="36" t="s">
        <v>7</v>
      </c>
      <c r="D15" s="36" t="s">
        <v>8</v>
      </c>
      <c r="E15" s="37">
        <v>0.1</v>
      </c>
      <c r="F15" s="37">
        <v>0</v>
      </c>
      <c r="G15" s="37">
        <f t="shared" si="0"/>
        <v>0.1</v>
      </c>
      <c r="I15" s="36" t="s">
        <v>7</v>
      </c>
      <c r="J15" s="36" t="s">
        <v>8</v>
      </c>
      <c r="K15" s="37">
        <v>0.05</v>
      </c>
      <c r="L15" s="37">
        <v>0</v>
      </c>
      <c r="M15" s="37">
        <f t="shared" si="1"/>
        <v>0.05</v>
      </c>
      <c r="N15" s="36"/>
      <c r="O15" s="36"/>
      <c r="R15" s="36" t="s">
        <v>12</v>
      </c>
      <c r="S15" s="36" t="s">
        <v>13</v>
      </c>
      <c r="T15" s="37">
        <v>0.01</v>
      </c>
      <c r="U15" s="37">
        <v>0</v>
      </c>
      <c r="V15" s="37">
        <f t="shared" si="2"/>
        <v>0.01</v>
      </c>
      <c r="W15" s="36"/>
      <c r="X15" s="36"/>
    </row>
    <row r="16" spans="2:24">
      <c r="C16" s="36" t="s">
        <v>14</v>
      </c>
      <c r="D16" s="36" t="s">
        <v>11</v>
      </c>
      <c r="E16" s="40">
        <v>0.12</v>
      </c>
      <c r="F16" s="40">
        <v>0</v>
      </c>
      <c r="G16" s="40">
        <f t="shared" si="0"/>
        <v>0.12</v>
      </c>
      <c r="I16" s="36" t="s">
        <v>14</v>
      </c>
      <c r="J16" s="36" t="s">
        <v>11</v>
      </c>
      <c r="K16" s="40">
        <v>0.15</v>
      </c>
      <c r="L16" s="40">
        <v>0</v>
      </c>
      <c r="M16" s="40">
        <f t="shared" si="1"/>
        <v>0.15</v>
      </c>
      <c r="N16" s="36"/>
      <c r="O16" s="36"/>
      <c r="R16" s="36" t="s">
        <v>15</v>
      </c>
      <c r="S16" s="36" t="s">
        <v>16</v>
      </c>
      <c r="T16" s="37">
        <v>0.01</v>
      </c>
      <c r="U16" s="37">
        <v>0</v>
      </c>
      <c r="V16" s="37">
        <f t="shared" si="2"/>
        <v>0.01</v>
      </c>
      <c r="W16" s="36"/>
      <c r="X16" s="36"/>
    </row>
    <row r="17" spans="3:24">
      <c r="C17" s="36" t="s">
        <v>12</v>
      </c>
      <c r="D17" s="36" t="s">
        <v>17</v>
      </c>
      <c r="E17" s="40">
        <v>7.0000000000000007E-2</v>
      </c>
      <c r="F17" s="40">
        <v>0</v>
      </c>
      <c r="G17" s="40">
        <f t="shared" si="0"/>
        <v>7.0000000000000007E-2</v>
      </c>
      <c r="I17" s="36" t="s">
        <v>12</v>
      </c>
      <c r="J17" s="36" t="s">
        <v>17</v>
      </c>
      <c r="K17" s="40">
        <v>7.0000000000000007E-2</v>
      </c>
      <c r="L17" s="40">
        <v>0</v>
      </c>
      <c r="M17" s="40">
        <f t="shared" si="1"/>
        <v>7.0000000000000007E-2</v>
      </c>
      <c r="N17" s="36"/>
      <c r="O17" s="36"/>
      <c r="R17" s="36" t="s">
        <v>18</v>
      </c>
      <c r="S17" s="36" t="s">
        <v>98</v>
      </c>
      <c r="T17" s="37">
        <v>0.02</v>
      </c>
      <c r="U17" s="37">
        <v>0</v>
      </c>
      <c r="V17" s="37">
        <f t="shared" si="2"/>
        <v>0.02</v>
      </c>
      <c r="W17" s="36"/>
      <c r="X17" s="36"/>
    </row>
    <row r="18" spans="3:24">
      <c r="C18" s="36" t="s">
        <v>15</v>
      </c>
      <c r="D18" s="36" t="s">
        <v>19</v>
      </c>
      <c r="E18" s="40">
        <v>0.05</v>
      </c>
      <c r="F18" s="40">
        <v>0</v>
      </c>
      <c r="G18" s="40">
        <f t="shared" si="0"/>
        <v>0.05</v>
      </c>
      <c r="I18" s="36" t="s">
        <v>15</v>
      </c>
      <c r="J18" s="36" t="s">
        <v>19</v>
      </c>
      <c r="K18" s="40">
        <v>0.09</v>
      </c>
      <c r="L18" s="40">
        <v>0</v>
      </c>
      <c r="M18" s="40">
        <f t="shared" si="1"/>
        <v>0.09</v>
      </c>
      <c r="N18" s="36"/>
      <c r="O18" s="36"/>
    </row>
    <row r="19" spans="3:24">
      <c r="C19" s="36" t="s">
        <v>18</v>
      </c>
      <c r="D19" s="36" t="s">
        <v>98</v>
      </c>
      <c r="E19" s="40">
        <v>0.03</v>
      </c>
      <c r="F19" s="40">
        <v>0</v>
      </c>
      <c r="G19" s="40">
        <f t="shared" si="0"/>
        <v>0.03</v>
      </c>
      <c r="I19" s="36" t="s">
        <v>18</v>
      </c>
      <c r="J19" s="36" t="s">
        <v>98</v>
      </c>
      <c r="K19" s="40">
        <v>0.03</v>
      </c>
      <c r="L19" s="40">
        <v>0</v>
      </c>
      <c r="M19" s="40">
        <f t="shared" si="1"/>
        <v>0.03</v>
      </c>
      <c r="N19" s="36"/>
      <c r="O19" s="36"/>
      <c r="T19" s="41">
        <f>SUM(T7:T17)</f>
        <v>0.69000000000000006</v>
      </c>
      <c r="U19" s="41">
        <f>SUM(U7:U17)</f>
        <v>0.59000000000000008</v>
      </c>
      <c r="V19" s="41">
        <f>SUM(V7:V17)</f>
        <v>1.2800000000000002</v>
      </c>
      <c r="W19" s="42">
        <f>100000*1.4</f>
        <v>140000</v>
      </c>
      <c r="X19" s="42">
        <f>W19*V19</f>
        <v>179200.00000000003</v>
      </c>
    </row>
    <row r="20" spans="3:24">
      <c r="D20" s="43" t="s">
        <v>56</v>
      </c>
      <c r="E20" s="44">
        <f>SUM(E7:E19)</f>
        <v>1.5140000000000005</v>
      </c>
      <c r="F20" s="44">
        <f t="shared" ref="F20:G20" si="3">SUM(F7:F19)</f>
        <v>0.84000000000000008</v>
      </c>
      <c r="G20" s="44">
        <f t="shared" si="3"/>
        <v>2.3539999999999996</v>
      </c>
      <c r="J20" s="45" t="s">
        <v>56</v>
      </c>
      <c r="K20" s="46">
        <f>SUM(K7:K19)</f>
        <v>1.5100000000000002</v>
      </c>
      <c r="L20" s="46">
        <f t="shared" ref="L20:M20" si="4">SUM(L7:L19)</f>
        <v>0.9700000000000002</v>
      </c>
      <c r="M20" s="46">
        <f t="shared" si="4"/>
        <v>2.4799999999999991</v>
      </c>
      <c r="N20" s="47">
        <v>160000</v>
      </c>
      <c r="O20" s="47">
        <f>N20*M20</f>
        <v>396799.99999999988</v>
      </c>
      <c r="T20" s="48">
        <f>T19/$V$19</f>
        <v>0.53906249999999989</v>
      </c>
      <c r="U20" s="48">
        <f>U19/$V$19</f>
        <v>0.4609375</v>
      </c>
    </row>
    <row r="21" spans="3:24" ht="15">
      <c r="E21" s="72">
        <f>E20*$E$4</f>
        <v>242240.00000000009</v>
      </c>
      <c r="F21" s="72">
        <f t="shared" ref="F21:G21" si="5">F20*$E$4</f>
        <v>134400</v>
      </c>
      <c r="G21" s="72">
        <f t="shared" si="5"/>
        <v>376639.99999999994</v>
      </c>
      <c r="K21" s="178">
        <f>K20*$N$20</f>
        <v>241600.00000000003</v>
      </c>
      <c r="L21" s="178">
        <f t="shared" ref="L21:M21" si="6">L20*$N$20</f>
        <v>155200.00000000003</v>
      </c>
      <c r="M21" s="178">
        <f t="shared" si="6"/>
        <v>396799.99999999988</v>
      </c>
      <c r="T21" s="49">
        <f>X19*U20</f>
        <v>82600.000000000015</v>
      </c>
      <c r="U21" s="49">
        <f>X19*T20</f>
        <v>96600</v>
      </c>
    </row>
    <row r="22" spans="3:24" ht="15" customHeight="1"/>
    <row r="23" spans="3:24" ht="15" customHeight="1"/>
    <row r="24" spans="3:24" ht="15" customHeight="1">
      <c r="D24" s="29" t="s">
        <v>20</v>
      </c>
    </row>
    <row r="25" spans="3:24" ht="53.25" customHeight="1">
      <c r="C25" s="35" t="s">
        <v>58</v>
      </c>
      <c r="D25" s="35" t="s">
        <v>59</v>
      </c>
      <c r="E25" s="35" t="s">
        <v>60</v>
      </c>
      <c r="F25" s="35" t="s">
        <v>61</v>
      </c>
      <c r="G25" s="35" t="s">
        <v>62</v>
      </c>
    </row>
    <row r="26" spans="3:24">
      <c r="C26" s="36" t="s">
        <v>65</v>
      </c>
      <c r="D26" s="36" t="s">
        <v>66</v>
      </c>
      <c r="E26" s="40">
        <v>0.6</v>
      </c>
      <c r="F26" s="40">
        <v>0.2</v>
      </c>
      <c r="G26" s="37">
        <f t="shared" ref="G26:G38" si="7">SUM(E26:F26)</f>
        <v>0.8</v>
      </c>
    </row>
    <row r="27" spans="3:24">
      <c r="C27" s="36" t="s">
        <v>67</v>
      </c>
      <c r="D27" s="36" t="s">
        <v>68</v>
      </c>
      <c r="E27" s="40">
        <v>0.08</v>
      </c>
      <c r="F27" s="40">
        <v>0.12</v>
      </c>
      <c r="G27" s="37">
        <f t="shared" si="7"/>
        <v>0.2</v>
      </c>
    </row>
    <row r="28" spans="3:24">
      <c r="C28" s="36" t="s">
        <v>69</v>
      </c>
      <c r="D28" s="36" t="s">
        <v>70</v>
      </c>
      <c r="E28" s="40">
        <v>0.08</v>
      </c>
      <c r="F28" s="40">
        <v>0.12</v>
      </c>
      <c r="G28" s="37">
        <f t="shared" si="7"/>
        <v>0.2</v>
      </c>
    </row>
    <row r="29" spans="3:24">
      <c r="C29" s="38" t="s">
        <v>71</v>
      </c>
      <c r="D29" s="38" t="s">
        <v>72</v>
      </c>
      <c r="E29" s="39">
        <v>0</v>
      </c>
      <c r="F29" s="37">
        <v>0.01</v>
      </c>
      <c r="G29" s="39">
        <f t="shared" si="7"/>
        <v>0.01</v>
      </c>
    </row>
    <row r="30" spans="3:24">
      <c r="C30" s="38" t="s">
        <v>73</v>
      </c>
      <c r="D30" s="36" t="s">
        <v>2</v>
      </c>
      <c r="E30" s="39">
        <v>0</v>
      </c>
      <c r="F30" s="37">
        <v>0.01</v>
      </c>
      <c r="G30" s="39">
        <f t="shared" si="7"/>
        <v>0.01</v>
      </c>
    </row>
    <row r="31" spans="3:24">
      <c r="C31" s="38" t="s">
        <v>4</v>
      </c>
      <c r="D31" s="36" t="s">
        <v>5</v>
      </c>
      <c r="E31" s="39">
        <v>0.04</v>
      </c>
      <c r="F31" s="37">
        <v>0</v>
      </c>
      <c r="G31" s="39">
        <f t="shared" si="7"/>
        <v>0.04</v>
      </c>
    </row>
    <row r="32" spans="3:24">
      <c r="C32" s="38" t="s">
        <v>244</v>
      </c>
      <c r="D32" s="36" t="s">
        <v>6</v>
      </c>
      <c r="E32" s="39">
        <v>0</v>
      </c>
      <c r="F32" s="37">
        <v>0.02</v>
      </c>
      <c r="G32" s="39">
        <f t="shared" si="7"/>
        <v>0.02</v>
      </c>
    </row>
    <row r="33" spans="3:7">
      <c r="C33" s="38" t="s">
        <v>9</v>
      </c>
      <c r="D33" s="36" t="s">
        <v>245</v>
      </c>
      <c r="E33" s="39">
        <v>0.05</v>
      </c>
      <c r="F33" s="37">
        <v>0</v>
      </c>
      <c r="G33" s="39">
        <f t="shared" si="7"/>
        <v>0.05</v>
      </c>
    </row>
    <row r="34" spans="3:7">
      <c r="C34" s="36" t="s">
        <v>7</v>
      </c>
      <c r="D34" s="36" t="s">
        <v>8</v>
      </c>
      <c r="E34" s="37">
        <v>0.1</v>
      </c>
      <c r="F34" s="37">
        <v>0</v>
      </c>
      <c r="G34" s="37">
        <f t="shared" si="7"/>
        <v>0.1</v>
      </c>
    </row>
    <row r="35" spans="3:7">
      <c r="C35" s="36" t="s">
        <v>14</v>
      </c>
      <c r="D35" s="36" t="s">
        <v>11</v>
      </c>
      <c r="E35" s="40">
        <v>0.12</v>
      </c>
      <c r="F35" s="40">
        <v>0</v>
      </c>
      <c r="G35" s="40">
        <f t="shared" si="7"/>
        <v>0.12</v>
      </c>
    </row>
    <row r="36" spans="3:7">
      <c r="C36" s="36" t="s">
        <v>12</v>
      </c>
      <c r="D36" s="36" t="s">
        <v>17</v>
      </c>
      <c r="E36" s="40">
        <v>7.0000000000000007E-2</v>
      </c>
      <c r="F36" s="40">
        <v>0</v>
      </c>
      <c r="G36" s="40">
        <f t="shared" si="7"/>
        <v>7.0000000000000007E-2</v>
      </c>
    </row>
    <row r="37" spans="3:7">
      <c r="C37" s="36" t="s">
        <v>15</v>
      </c>
      <c r="D37" s="36" t="s">
        <v>19</v>
      </c>
      <c r="E37" s="40">
        <v>0.05</v>
      </c>
      <c r="F37" s="40">
        <v>0</v>
      </c>
      <c r="G37" s="40">
        <f t="shared" si="7"/>
        <v>0.05</v>
      </c>
    </row>
    <row r="38" spans="3:7">
      <c r="C38" s="36" t="s">
        <v>18</v>
      </c>
      <c r="D38" s="36" t="s">
        <v>98</v>
      </c>
      <c r="E38" s="40">
        <v>0.03</v>
      </c>
      <c r="F38" s="40">
        <v>0</v>
      </c>
      <c r="G38" s="40">
        <f t="shared" si="7"/>
        <v>0.03</v>
      </c>
    </row>
    <row r="39" spans="3:7">
      <c r="D39" s="43" t="s">
        <v>56</v>
      </c>
      <c r="E39" s="50">
        <f>SUM(E26:E38)</f>
        <v>1.22</v>
      </c>
      <c r="F39" s="44">
        <f t="shared" ref="F39:G39" si="8">SUM(F26:F38)</f>
        <v>0.48000000000000004</v>
      </c>
      <c r="G39" s="44">
        <f t="shared" si="8"/>
        <v>1.7000000000000004</v>
      </c>
    </row>
    <row r="40" spans="3:7" ht="15">
      <c r="E40" s="72">
        <f>E39*$E$4</f>
        <v>195200</v>
      </c>
      <c r="F40" s="72">
        <f t="shared" ref="F40:G40" si="9">F39*$E$4</f>
        <v>76800</v>
      </c>
      <c r="G40" s="72">
        <f t="shared" si="9"/>
        <v>272000.00000000006</v>
      </c>
    </row>
    <row r="42" spans="3:7">
      <c r="D42" s="29" t="s">
        <v>21</v>
      </c>
    </row>
    <row r="43" spans="3:7" ht="54" customHeight="1">
      <c r="D43" s="35" t="s">
        <v>59</v>
      </c>
      <c r="E43" s="35" t="s">
        <v>60</v>
      </c>
      <c r="F43" s="35" t="s">
        <v>61</v>
      </c>
      <c r="G43" s="35" t="s">
        <v>62</v>
      </c>
    </row>
    <row r="44" spans="3:7">
      <c r="D44" s="36" t="s">
        <v>66</v>
      </c>
      <c r="E44" s="37">
        <f>E7-E26</f>
        <v>0</v>
      </c>
      <c r="F44" s="37">
        <f>F7-F26</f>
        <v>0</v>
      </c>
      <c r="G44" s="37">
        <f t="shared" ref="G44:G56" si="10">SUM(E44:F44)</f>
        <v>0</v>
      </c>
    </row>
    <row r="45" spans="3:7">
      <c r="D45" s="36" t="s">
        <v>68</v>
      </c>
      <c r="E45" s="37">
        <f t="shared" ref="E45:F56" si="11">E8-E27</f>
        <v>0.12000000000000001</v>
      </c>
      <c r="F45" s="37">
        <f t="shared" si="11"/>
        <v>0.13</v>
      </c>
      <c r="G45" s="37">
        <f t="shared" si="10"/>
        <v>0.25</v>
      </c>
    </row>
    <row r="46" spans="3:7">
      <c r="D46" s="36" t="s">
        <v>70</v>
      </c>
      <c r="E46" s="37">
        <f t="shared" si="11"/>
        <v>0.17399999999999999</v>
      </c>
      <c r="F46" s="37">
        <f t="shared" si="11"/>
        <v>0.22999999999999998</v>
      </c>
      <c r="G46" s="37">
        <f t="shared" si="10"/>
        <v>0.40399999999999997</v>
      </c>
    </row>
    <row r="47" spans="3:7">
      <c r="D47" s="38" t="s">
        <v>72</v>
      </c>
      <c r="E47" s="37">
        <f t="shared" si="11"/>
        <v>0</v>
      </c>
      <c r="F47" s="37">
        <f t="shared" si="11"/>
        <v>0</v>
      </c>
      <c r="G47" s="39">
        <f t="shared" si="10"/>
        <v>0</v>
      </c>
    </row>
    <row r="48" spans="3:7">
      <c r="D48" s="36" t="s">
        <v>2</v>
      </c>
      <c r="E48" s="37">
        <f t="shared" si="11"/>
        <v>0</v>
      </c>
      <c r="F48" s="37">
        <f t="shared" si="11"/>
        <v>0</v>
      </c>
      <c r="G48" s="39">
        <f t="shared" si="10"/>
        <v>0</v>
      </c>
    </row>
    <row r="49" spans="4:9">
      <c r="D49" s="36" t="s">
        <v>5</v>
      </c>
      <c r="E49" s="37">
        <f t="shared" si="11"/>
        <v>0</v>
      </c>
      <c r="F49" s="37">
        <f t="shared" si="11"/>
        <v>0</v>
      </c>
      <c r="G49" s="39">
        <f t="shared" si="10"/>
        <v>0</v>
      </c>
    </row>
    <row r="50" spans="4:9">
      <c r="D50" s="36" t="s">
        <v>6</v>
      </c>
      <c r="E50" s="37">
        <f t="shared" si="11"/>
        <v>0</v>
      </c>
      <c r="F50" s="37">
        <f t="shared" si="11"/>
        <v>0</v>
      </c>
      <c r="G50" s="39">
        <f t="shared" si="10"/>
        <v>0</v>
      </c>
    </row>
    <row r="51" spans="4:9">
      <c r="D51" s="36" t="s">
        <v>245</v>
      </c>
      <c r="E51" s="37">
        <f t="shared" si="11"/>
        <v>0</v>
      </c>
      <c r="F51" s="37">
        <f t="shared" si="11"/>
        <v>0</v>
      </c>
      <c r="G51" s="39">
        <f t="shared" si="10"/>
        <v>0</v>
      </c>
    </row>
    <row r="52" spans="4:9">
      <c r="D52" s="36" t="s">
        <v>8</v>
      </c>
      <c r="E52" s="37">
        <f t="shared" si="11"/>
        <v>0</v>
      </c>
      <c r="F52" s="37">
        <f t="shared" si="11"/>
        <v>0</v>
      </c>
      <c r="G52" s="37">
        <f t="shared" si="10"/>
        <v>0</v>
      </c>
    </row>
    <row r="53" spans="4:9">
      <c r="D53" s="36" t="s">
        <v>11</v>
      </c>
      <c r="E53" s="37">
        <f t="shared" si="11"/>
        <v>0</v>
      </c>
      <c r="F53" s="37">
        <f t="shared" si="11"/>
        <v>0</v>
      </c>
      <c r="G53" s="40">
        <f t="shared" si="10"/>
        <v>0</v>
      </c>
    </row>
    <row r="54" spans="4:9">
      <c r="D54" s="36" t="s">
        <v>17</v>
      </c>
      <c r="E54" s="37">
        <f t="shared" si="11"/>
        <v>0</v>
      </c>
      <c r="F54" s="37">
        <f t="shared" si="11"/>
        <v>0</v>
      </c>
      <c r="G54" s="40">
        <f t="shared" si="10"/>
        <v>0</v>
      </c>
    </row>
    <row r="55" spans="4:9">
      <c r="D55" s="36" t="s">
        <v>19</v>
      </c>
      <c r="E55" s="37">
        <f t="shared" si="11"/>
        <v>0</v>
      </c>
      <c r="F55" s="37">
        <f t="shared" si="11"/>
        <v>0</v>
      </c>
      <c r="G55" s="40">
        <f t="shared" si="10"/>
        <v>0</v>
      </c>
    </row>
    <row r="56" spans="4:9">
      <c r="D56" s="36" t="s">
        <v>98</v>
      </c>
      <c r="E56" s="37">
        <f t="shared" si="11"/>
        <v>0</v>
      </c>
      <c r="F56" s="37">
        <f t="shared" si="11"/>
        <v>0</v>
      </c>
      <c r="G56" s="40">
        <f t="shared" si="10"/>
        <v>0</v>
      </c>
    </row>
    <row r="57" spans="4:9">
      <c r="D57" s="43" t="s">
        <v>56</v>
      </c>
      <c r="E57" s="50">
        <f>SUM(E44:E56)</f>
        <v>0.29399999999999998</v>
      </c>
      <c r="F57" s="44">
        <f t="shared" ref="F57:G57" si="12">SUM(F44:F56)</f>
        <v>0.36</v>
      </c>
      <c r="G57" s="44">
        <f t="shared" si="12"/>
        <v>0.65399999999999991</v>
      </c>
      <c r="I57" s="73" t="s">
        <v>91</v>
      </c>
    </row>
    <row r="58" spans="4:9" ht="15">
      <c r="G58" s="72">
        <f>G57*$I$58</f>
        <v>104639.99999999999</v>
      </c>
      <c r="I58" s="72">
        <v>160000</v>
      </c>
    </row>
  </sheetData>
  <phoneticPr fontId="20" type="noConversion"/>
  <pageMargins left="0.75" right="0.75" top="1" bottom="1" header="0.5" footer="0.5"/>
  <headerFooter alignWithMargins="0"/>
  <drawing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B1:S59"/>
  <sheetViews>
    <sheetView topLeftCell="A31" workbookViewId="0">
      <selection activeCell="B2" sqref="B2"/>
    </sheetView>
  </sheetViews>
  <sheetFormatPr defaultColWidth="8.85546875" defaultRowHeight="15"/>
  <cols>
    <col min="2" max="2" width="55" customWidth="1"/>
    <col min="3" max="3" width="13.7109375" customWidth="1"/>
    <col min="9" max="9" width="9.42578125" customWidth="1"/>
    <col min="10" max="10" width="9.5703125" customWidth="1"/>
  </cols>
  <sheetData>
    <row r="1" spans="2:19" ht="23.25">
      <c r="B1" s="103" t="s">
        <v>200</v>
      </c>
    </row>
    <row r="2" spans="2:19">
      <c r="B2" s="51" t="str">
        <f>'Table of Contents'!B2</f>
        <v>Draft of September 21, 2011</v>
      </c>
    </row>
    <row r="3" spans="2:19">
      <c r="C3" s="57"/>
    </row>
    <row r="9" spans="2:19" ht="60">
      <c r="B9" s="65" t="s">
        <v>246</v>
      </c>
      <c r="C9" s="65" t="s">
        <v>140</v>
      </c>
      <c r="D9" s="65" t="s">
        <v>24</v>
      </c>
      <c r="E9" s="66"/>
      <c r="F9" s="66"/>
      <c r="G9" s="66"/>
      <c r="H9" s="66"/>
      <c r="I9" s="66"/>
      <c r="J9" s="66"/>
      <c r="K9" s="66"/>
      <c r="L9" s="66"/>
      <c r="M9" s="66"/>
      <c r="N9" s="66"/>
      <c r="O9" s="57"/>
      <c r="P9" s="123" t="s">
        <v>116</v>
      </c>
      <c r="Q9" s="123" t="s">
        <v>47</v>
      </c>
      <c r="R9" s="123" t="s">
        <v>48</v>
      </c>
      <c r="S9" s="57"/>
    </row>
    <row r="10" spans="2:19">
      <c r="B10" t="s">
        <v>247</v>
      </c>
      <c r="C10" s="4">
        <v>8000</v>
      </c>
      <c r="D10" s="67" t="s">
        <v>137</v>
      </c>
      <c r="E10" s="67"/>
      <c r="F10" s="67"/>
      <c r="G10" s="67"/>
      <c r="H10" s="67"/>
      <c r="I10" s="67"/>
      <c r="J10" s="67"/>
      <c r="K10" s="67"/>
      <c r="L10" s="68"/>
      <c r="M10" s="68"/>
      <c r="N10" s="68"/>
      <c r="O10" s="122"/>
      <c r="P10" s="63">
        <v>6000</v>
      </c>
      <c r="Q10" s="63">
        <v>1000</v>
      </c>
      <c r="R10" s="63">
        <v>1000</v>
      </c>
      <c r="S10" s="57"/>
    </row>
    <row r="11" spans="2:19">
      <c r="B11" t="s">
        <v>123</v>
      </c>
      <c r="C11" s="4">
        <v>3000</v>
      </c>
      <c r="D11" s="67" t="s">
        <v>141</v>
      </c>
      <c r="E11" s="69"/>
      <c r="F11" s="69"/>
      <c r="G11" s="69"/>
      <c r="H11" s="69"/>
      <c r="I11" s="69"/>
      <c r="J11" s="69"/>
      <c r="K11" s="69"/>
      <c r="L11" s="70"/>
      <c r="M11" s="70"/>
      <c r="N11" s="70"/>
      <c r="O11" s="57"/>
      <c r="P11" s="63">
        <v>2000</v>
      </c>
      <c r="Q11" s="63">
        <v>1000</v>
      </c>
      <c r="R11" s="63"/>
      <c r="S11" s="57"/>
    </row>
    <row r="12" spans="2:19">
      <c r="B12" t="s">
        <v>248</v>
      </c>
      <c r="C12" s="4">
        <v>8000</v>
      </c>
      <c r="D12" s="67" t="s">
        <v>142</v>
      </c>
      <c r="E12" s="70"/>
      <c r="F12" s="70"/>
      <c r="G12" s="70"/>
      <c r="H12" s="70"/>
      <c r="I12" s="70"/>
      <c r="J12" s="70"/>
      <c r="K12" s="70"/>
      <c r="L12" s="70"/>
      <c r="M12" s="70"/>
      <c r="N12" s="70"/>
      <c r="O12" s="57"/>
      <c r="P12" s="63">
        <v>4000</v>
      </c>
      <c r="Q12" s="9">
        <v>2000</v>
      </c>
      <c r="R12" s="9">
        <v>2000</v>
      </c>
      <c r="S12" s="57"/>
    </row>
    <row r="13" spans="2:19">
      <c r="B13" t="s">
        <v>122</v>
      </c>
      <c r="C13" s="4">
        <v>20000</v>
      </c>
      <c r="D13" s="67" t="s">
        <v>249</v>
      </c>
      <c r="E13" s="70"/>
      <c r="F13" s="70"/>
      <c r="G13" s="70"/>
      <c r="H13" s="70"/>
      <c r="I13" s="70"/>
      <c r="J13" s="70"/>
      <c r="K13" s="70"/>
      <c r="L13" s="70"/>
      <c r="M13" s="70"/>
      <c r="N13" s="70"/>
      <c r="O13" s="57"/>
      <c r="P13" s="58">
        <v>12000</v>
      </c>
      <c r="Q13" s="58">
        <v>6000</v>
      </c>
      <c r="R13" s="58">
        <v>2000</v>
      </c>
      <c r="S13" s="57"/>
    </row>
    <row r="14" spans="2:19">
      <c r="B14" t="s">
        <v>166</v>
      </c>
      <c r="C14" s="4">
        <v>50000</v>
      </c>
      <c r="D14" s="67" t="s">
        <v>127</v>
      </c>
      <c r="E14" s="70"/>
      <c r="F14" s="70"/>
      <c r="G14" s="70"/>
      <c r="H14" s="70"/>
      <c r="I14" s="70"/>
      <c r="J14" s="70"/>
      <c r="K14" s="70"/>
      <c r="L14" s="70"/>
      <c r="M14" s="70"/>
      <c r="N14" s="70"/>
      <c r="O14" s="57"/>
      <c r="P14" s="58">
        <v>40000</v>
      </c>
      <c r="Q14" s="58">
        <v>6000</v>
      </c>
      <c r="R14" s="58">
        <v>3000</v>
      </c>
      <c r="S14" s="57"/>
    </row>
    <row r="15" spans="2:19">
      <c r="C15" s="4"/>
      <c r="D15" s="67"/>
      <c r="E15" s="69"/>
      <c r="F15" s="69"/>
      <c r="G15" s="69"/>
      <c r="H15" s="69"/>
      <c r="I15" s="69"/>
      <c r="J15" s="69"/>
      <c r="K15" s="69"/>
      <c r="L15" s="70"/>
      <c r="M15" s="70"/>
      <c r="N15" s="70"/>
      <c r="O15" s="57"/>
      <c r="P15" s="63"/>
      <c r="Q15" s="63"/>
      <c r="R15" s="63"/>
      <c r="S15" s="57"/>
    </row>
    <row r="16" spans="2:19">
      <c r="B16" t="s">
        <v>130</v>
      </c>
      <c r="C16" s="4">
        <v>23000</v>
      </c>
      <c r="D16" s="67" t="s">
        <v>126</v>
      </c>
      <c r="E16" s="69"/>
      <c r="F16" s="69"/>
      <c r="G16" s="69"/>
      <c r="H16" s="69"/>
      <c r="I16" s="69"/>
      <c r="J16" s="69"/>
      <c r="K16" s="69"/>
      <c r="L16" s="70"/>
      <c r="M16" s="70"/>
      <c r="N16" s="70"/>
      <c r="O16" s="57"/>
      <c r="P16" s="58">
        <v>15000</v>
      </c>
      <c r="Q16" s="58">
        <v>6000</v>
      </c>
      <c r="R16" s="58">
        <v>2000</v>
      </c>
      <c r="S16" s="57"/>
    </row>
    <row r="17" spans="2:19">
      <c r="B17" t="s">
        <v>250</v>
      </c>
      <c r="C17" s="4">
        <v>60000</v>
      </c>
      <c r="D17" s="67" t="s">
        <v>131</v>
      </c>
      <c r="E17" s="70"/>
      <c r="F17" s="70"/>
      <c r="G17" s="70"/>
      <c r="H17" s="70"/>
      <c r="I17" s="70"/>
      <c r="J17" s="70"/>
      <c r="K17" s="70"/>
      <c r="L17" s="70"/>
      <c r="M17" s="70"/>
      <c r="N17" s="70"/>
      <c r="O17" s="57"/>
      <c r="P17" s="63"/>
      <c r="Q17" s="63"/>
      <c r="R17" s="63"/>
      <c r="S17" s="57"/>
    </row>
    <row r="18" spans="2:19">
      <c r="B18" t="s">
        <v>134</v>
      </c>
      <c r="C18" s="4">
        <v>23000</v>
      </c>
      <c r="D18" s="67" t="s">
        <v>132</v>
      </c>
      <c r="E18" s="70"/>
      <c r="F18" s="70"/>
      <c r="G18" s="70"/>
      <c r="H18" s="70"/>
      <c r="I18" s="70"/>
      <c r="J18" s="70"/>
      <c r="K18" s="70"/>
      <c r="L18" s="70"/>
      <c r="M18" s="70"/>
      <c r="N18" s="70"/>
      <c r="O18" s="57"/>
      <c r="P18" s="63"/>
      <c r="Q18" s="63"/>
      <c r="R18" s="63"/>
      <c r="S18" s="57"/>
    </row>
    <row r="19" spans="2:19">
      <c r="B19" t="s">
        <v>135</v>
      </c>
      <c r="C19" s="4">
        <v>20000</v>
      </c>
      <c r="D19" s="67" t="s">
        <v>133</v>
      </c>
      <c r="E19" s="70"/>
      <c r="F19" s="70"/>
      <c r="G19" s="70"/>
      <c r="H19" s="70"/>
      <c r="I19" s="70"/>
      <c r="J19" s="70"/>
      <c r="K19" s="70"/>
      <c r="L19" s="70"/>
      <c r="M19" s="70"/>
      <c r="N19" s="70"/>
      <c r="O19" s="57"/>
      <c r="P19" s="63"/>
      <c r="Q19" s="63"/>
      <c r="R19" s="63"/>
      <c r="S19" s="57"/>
    </row>
    <row r="20" spans="2:19">
      <c r="B20" t="s">
        <v>143</v>
      </c>
      <c r="C20" s="4">
        <v>45000</v>
      </c>
      <c r="D20" s="67" t="s">
        <v>125</v>
      </c>
      <c r="E20" s="69"/>
      <c r="F20" s="69"/>
      <c r="G20" s="69"/>
      <c r="H20" s="69"/>
      <c r="I20" s="69"/>
      <c r="J20" s="69"/>
      <c r="K20" s="69"/>
      <c r="L20" s="70"/>
      <c r="M20" s="70"/>
      <c r="N20" s="70"/>
      <c r="O20" s="57"/>
      <c r="P20" s="63"/>
      <c r="Q20" s="63"/>
      <c r="R20" s="63"/>
      <c r="S20" s="57"/>
    </row>
    <row r="21" spans="2:19">
      <c r="C21" s="4"/>
      <c r="D21" s="67"/>
      <c r="E21" s="69"/>
      <c r="F21" s="69"/>
      <c r="G21" s="69"/>
      <c r="H21" s="69"/>
      <c r="I21" s="69"/>
      <c r="J21" s="69"/>
      <c r="K21" s="69"/>
      <c r="L21" s="70"/>
      <c r="M21" s="70"/>
      <c r="N21" s="70"/>
      <c r="O21" s="57"/>
      <c r="P21" s="63"/>
      <c r="Q21" s="63"/>
      <c r="R21" s="63"/>
      <c r="S21" s="57"/>
    </row>
    <row r="22" spans="2:19">
      <c r="B22" t="s">
        <v>99</v>
      </c>
      <c r="C22" s="4">
        <v>80000</v>
      </c>
      <c r="D22" s="67" t="s">
        <v>136</v>
      </c>
      <c r="E22" s="70"/>
      <c r="F22" s="70"/>
      <c r="G22" s="70"/>
      <c r="H22" s="70"/>
      <c r="I22" s="70"/>
      <c r="J22" s="70"/>
      <c r="K22" s="70"/>
      <c r="L22" s="70"/>
      <c r="M22" s="70"/>
      <c r="N22" s="70"/>
      <c r="O22" s="57"/>
      <c r="P22" s="63"/>
      <c r="Q22" s="63"/>
      <c r="R22" s="63"/>
      <c r="S22" s="57"/>
    </row>
    <row r="23" spans="2:19">
      <c r="B23" t="s">
        <v>124</v>
      </c>
      <c r="C23" s="4">
        <v>12000</v>
      </c>
      <c r="D23" s="67" t="s">
        <v>138</v>
      </c>
      <c r="E23" s="69"/>
      <c r="F23" s="69"/>
      <c r="G23" s="69"/>
      <c r="H23" s="69"/>
      <c r="I23" s="69"/>
      <c r="J23" s="69"/>
      <c r="K23" s="69"/>
      <c r="L23" s="69"/>
      <c r="M23" s="69"/>
      <c r="N23" s="69"/>
      <c r="O23" s="111"/>
      <c r="P23" s="63"/>
      <c r="Q23" s="63"/>
      <c r="R23" s="63"/>
      <c r="S23" s="57"/>
    </row>
    <row r="26" spans="2:19">
      <c r="B26" s="65" t="s">
        <v>144</v>
      </c>
      <c r="C26" s="65" t="s">
        <v>90</v>
      </c>
      <c r="D26" s="65" t="s">
        <v>86</v>
      </c>
      <c r="E26" s="65" t="s">
        <v>87</v>
      </c>
      <c r="F26" s="65" t="s">
        <v>88</v>
      </c>
      <c r="G26" s="65" t="s">
        <v>89</v>
      </c>
      <c r="H26" s="66"/>
      <c r="I26" s="65" t="s">
        <v>42</v>
      </c>
      <c r="J26" s="65" t="s">
        <v>43</v>
      </c>
      <c r="K26" s="66"/>
      <c r="L26" s="65" t="s">
        <v>44</v>
      </c>
      <c r="M26" s="65" t="s">
        <v>45</v>
      </c>
      <c r="N26" s="65" t="s">
        <v>46</v>
      </c>
    </row>
    <row r="27" spans="2:19">
      <c r="C27" s="5">
        <f>D27*12</f>
        <v>124800</v>
      </c>
      <c r="D27" s="5">
        <f>E27*(52/12)</f>
        <v>10400</v>
      </c>
      <c r="E27" s="5">
        <f>F27*5</f>
        <v>2400</v>
      </c>
      <c r="F27" s="5">
        <f>G27*8</f>
        <v>480</v>
      </c>
      <c r="G27" s="4">
        <v>60</v>
      </c>
      <c r="I27" s="5">
        <f>F27*52</f>
        <v>24960</v>
      </c>
      <c r="J27" s="5">
        <f>I27*2</f>
        <v>49920</v>
      </c>
      <c r="L27" s="5">
        <f>F27*12</f>
        <v>5760</v>
      </c>
      <c r="M27" s="5">
        <f>L27*2</f>
        <v>11520</v>
      </c>
      <c r="N27" s="5">
        <f>L27*3</f>
        <v>17280</v>
      </c>
    </row>
    <row r="28" spans="2:19">
      <c r="C28" s="5">
        <f>D28*12</f>
        <v>166400</v>
      </c>
      <c r="D28" s="5">
        <f>E28*(52/12)</f>
        <v>13866.666666666666</v>
      </c>
      <c r="E28" s="5">
        <f>F28*5</f>
        <v>3200</v>
      </c>
      <c r="F28" s="5">
        <f>G28*8</f>
        <v>640</v>
      </c>
      <c r="G28" s="4">
        <v>80</v>
      </c>
      <c r="I28" s="5">
        <f t="shared" ref="I28:I33" si="0">F28*52</f>
        <v>33280</v>
      </c>
      <c r="J28" s="5">
        <f t="shared" ref="J28:J33" si="1">I28*2</f>
        <v>66560</v>
      </c>
      <c r="L28" s="5">
        <f t="shared" ref="L28:L33" si="2">F28*12</f>
        <v>7680</v>
      </c>
      <c r="M28" s="5">
        <f t="shared" ref="M28:M33" si="3">L28*2</f>
        <v>15360</v>
      </c>
      <c r="N28" s="5">
        <f t="shared" ref="N28:N33" si="4">L28*3</f>
        <v>23040</v>
      </c>
    </row>
    <row r="29" spans="2:19">
      <c r="C29" s="5">
        <f t="shared" ref="C29:C33" si="5">D29*12</f>
        <v>208000</v>
      </c>
      <c r="D29" s="5">
        <f t="shared" ref="D29:D33" si="6">E29*(52/12)</f>
        <v>17333.333333333332</v>
      </c>
      <c r="E29" s="5">
        <f t="shared" ref="E29:E33" si="7">F29*5</f>
        <v>4000</v>
      </c>
      <c r="F29" s="5">
        <f t="shared" ref="F29:F33" si="8">G29*8</f>
        <v>800</v>
      </c>
      <c r="G29" s="4">
        <v>100</v>
      </c>
      <c r="I29" s="5">
        <f t="shared" si="0"/>
        <v>41600</v>
      </c>
      <c r="J29" s="5">
        <f t="shared" si="1"/>
        <v>83200</v>
      </c>
      <c r="L29" s="5">
        <f t="shared" si="2"/>
        <v>9600</v>
      </c>
      <c r="M29" s="5">
        <f t="shared" si="3"/>
        <v>19200</v>
      </c>
      <c r="N29" s="5">
        <f t="shared" si="4"/>
        <v>28800</v>
      </c>
    </row>
    <row r="30" spans="2:19">
      <c r="B30" s="8"/>
      <c r="C30" s="5">
        <f t="shared" si="5"/>
        <v>249600</v>
      </c>
      <c r="D30" s="5">
        <f t="shared" si="6"/>
        <v>20800</v>
      </c>
      <c r="E30" s="5">
        <f t="shared" si="7"/>
        <v>4800</v>
      </c>
      <c r="F30" s="5">
        <f t="shared" si="8"/>
        <v>960</v>
      </c>
      <c r="G30" s="4">
        <v>120</v>
      </c>
      <c r="I30" s="5">
        <f t="shared" si="0"/>
        <v>49920</v>
      </c>
      <c r="J30" s="5">
        <f t="shared" si="1"/>
        <v>99840</v>
      </c>
      <c r="L30" s="5">
        <f t="shared" si="2"/>
        <v>11520</v>
      </c>
      <c r="M30" s="5">
        <f t="shared" si="3"/>
        <v>23040</v>
      </c>
      <c r="N30" s="5">
        <f t="shared" si="4"/>
        <v>34560</v>
      </c>
    </row>
    <row r="31" spans="2:19">
      <c r="C31" s="5">
        <f t="shared" si="5"/>
        <v>312000</v>
      </c>
      <c r="D31" s="5">
        <f t="shared" si="6"/>
        <v>26000</v>
      </c>
      <c r="E31" s="5">
        <f t="shared" si="7"/>
        <v>6000</v>
      </c>
      <c r="F31" s="5">
        <f t="shared" si="8"/>
        <v>1200</v>
      </c>
      <c r="G31" s="4">
        <v>150</v>
      </c>
      <c r="I31" s="5">
        <f t="shared" si="0"/>
        <v>62400</v>
      </c>
      <c r="J31" s="5">
        <f t="shared" si="1"/>
        <v>124800</v>
      </c>
      <c r="L31" s="5">
        <f t="shared" si="2"/>
        <v>14400</v>
      </c>
      <c r="M31" s="5">
        <f t="shared" si="3"/>
        <v>28800</v>
      </c>
      <c r="N31" s="5">
        <f t="shared" si="4"/>
        <v>43200</v>
      </c>
    </row>
    <row r="32" spans="2:19">
      <c r="C32" s="5">
        <f t="shared" si="5"/>
        <v>416000</v>
      </c>
      <c r="D32" s="5">
        <f t="shared" si="6"/>
        <v>34666.666666666664</v>
      </c>
      <c r="E32" s="5">
        <f t="shared" si="7"/>
        <v>8000</v>
      </c>
      <c r="F32" s="5">
        <f t="shared" si="8"/>
        <v>1600</v>
      </c>
      <c r="G32" s="4">
        <v>200</v>
      </c>
      <c r="I32" s="5">
        <f t="shared" si="0"/>
        <v>83200</v>
      </c>
      <c r="J32" s="5">
        <f t="shared" si="1"/>
        <v>166400</v>
      </c>
      <c r="L32" s="5">
        <f t="shared" si="2"/>
        <v>19200</v>
      </c>
      <c r="M32" s="5">
        <f t="shared" si="3"/>
        <v>38400</v>
      </c>
      <c r="N32" s="5">
        <f t="shared" si="4"/>
        <v>57600</v>
      </c>
    </row>
    <row r="33" spans="2:14">
      <c r="C33" s="5">
        <f t="shared" si="5"/>
        <v>519999.99999999994</v>
      </c>
      <c r="D33" s="5">
        <f t="shared" si="6"/>
        <v>43333.333333333328</v>
      </c>
      <c r="E33" s="5">
        <f t="shared" si="7"/>
        <v>10000</v>
      </c>
      <c r="F33" s="5">
        <f t="shared" si="8"/>
        <v>2000</v>
      </c>
      <c r="G33" s="4">
        <v>250</v>
      </c>
      <c r="I33" s="5">
        <f t="shared" si="0"/>
        <v>104000</v>
      </c>
      <c r="J33" s="5">
        <f t="shared" si="1"/>
        <v>208000</v>
      </c>
      <c r="L33" s="5">
        <f t="shared" si="2"/>
        <v>24000</v>
      </c>
      <c r="M33" s="5">
        <f t="shared" si="3"/>
        <v>48000</v>
      </c>
      <c r="N33" s="5">
        <f t="shared" si="4"/>
        <v>72000</v>
      </c>
    </row>
    <row r="36" spans="2:14">
      <c r="B36" s="65" t="s">
        <v>139</v>
      </c>
      <c r="C36" s="65" t="s">
        <v>91</v>
      </c>
      <c r="D36" s="65" t="s">
        <v>92</v>
      </c>
      <c r="E36" s="65" t="s">
        <v>93</v>
      </c>
      <c r="F36" s="65" t="s">
        <v>94</v>
      </c>
      <c r="G36" s="65"/>
      <c r="H36" s="65" t="s">
        <v>95</v>
      </c>
      <c r="I36" s="65" t="s">
        <v>96</v>
      </c>
      <c r="J36" s="65" t="s">
        <v>97</v>
      </c>
      <c r="K36" s="65"/>
      <c r="L36" s="65"/>
      <c r="M36" s="65"/>
      <c r="N36" s="66"/>
    </row>
    <row r="37" spans="2:14">
      <c r="C37" s="4">
        <v>100</v>
      </c>
      <c r="D37" s="5">
        <f>$C37*8</f>
        <v>800</v>
      </c>
      <c r="E37" s="5">
        <f>$C37*16</f>
        <v>1600</v>
      </c>
      <c r="F37" s="5">
        <f>$C37*24</f>
        <v>2400</v>
      </c>
      <c r="H37" s="5">
        <f>$C37*40</f>
        <v>4000</v>
      </c>
      <c r="I37" s="5">
        <f>$C37*80</f>
        <v>8000</v>
      </c>
      <c r="J37" s="5">
        <f>$C37*120</f>
        <v>12000</v>
      </c>
      <c r="L37" s="5"/>
    </row>
    <row r="38" spans="2:14">
      <c r="C38" s="4">
        <v>120</v>
      </c>
      <c r="D38" s="5">
        <f t="shared" ref="D38:D40" si="9">$C38*8</f>
        <v>960</v>
      </c>
      <c r="E38" s="5">
        <f t="shared" ref="E38:E40" si="10">$C38*16</f>
        <v>1920</v>
      </c>
      <c r="F38" s="5">
        <f t="shared" ref="F38:F40" si="11">$C38*24</f>
        <v>2880</v>
      </c>
      <c r="H38" s="5">
        <f t="shared" ref="H38:H40" si="12">$C38*40</f>
        <v>4800</v>
      </c>
      <c r="I38" s="5">
        <f t="shared" ref="I38:I40" si="13">$C38*80</f>
        <v>9600</v>
      </c>
      <c r="J38" s="5">
        <f t="shared" ref="J38:J40" si="14">$C38*120</f>
        <v>14400</v>
      </c>
    </row>
    <row r="39" spans="2:14">
      <c r="C39" s="4">
        <v>150</v>
      </c>
      <c r="D39" s="5">
        <f t="shared" si="9"/>
        <v>1200</v>
      </c>
      <c r="E39" s="5">
        <f t="shared" si="10"/>
        <v>2400</v>
      </c>
      <c r="F39" s="5">
        <f t="shared" si="11"/>
        <v>3600</v>
      </c>
      <c r="H39" s="5">
        <f t="shared" si="12"/>
        <v>6000</v>
      </c>
      <c r="I39" s="5">
        <f t="shared" si="13"/>
        <v>12000</v>
      </c>
      <c r="J39" s="5">
        <f t="shared" si="14"/>
        <v>18000</v>
      </c>
    </row>
    <row r="40" spans="2:14">
      <c r="C40" s="4">
        <v>200</v>
      </c>
      <c r="D40" s="5">
        <f t="shared" si="9"/>
        <v>1600</v>
      </c>
      <c r="E40" s="5">
        <f t="shared" si="10"/>
        <v>3200</v>
      </c>
      <c r="F40" s="5">
        <f t="shared" si="11"/>
        <v>4800</v>
      </c>
      <c r="H40" s="5">
        <f t="shared" si="12"/>
        <v>8000</v>
      </c>
      <c r="I40" s="5">
        <f t="shared" si="13"/>
        <v>16000</v>
      </c>
      <c r="J40" s="5">
        <f t="shared" si="14"/>
        <v>24000</v>
      </c>
    </row>
    <row r="43" spans="2:14" ht="45">
      <c r="B43" s="65" t="s">
        <v>147</v>
      </c>
      <c r="C43" s="88" t="s">
        <v>148</v>
      </c>
      <c r="D43" s="89" t="s">
        <v>149</v>
      </c>
      <c r="E43" s="89" t="s">
        <v>150</v>
      </c>
      <c r="F43" s="89" t="s">
        <v>151</v>
      </c>
      <c r="G43" s="90" t="s">
        <v>152</v>
      </c>
      <c r="H43" s="66"/>
      <c r="I43" s="66"/>
      <c r="J43" s="66"/>
      <c r="K43" s="66"/>
      <c r="L43" s="66"/>
      <c r="M43" s="66"/>
    </row>
    <row r="44" spans="2:14">
      <c r="C44" s="74">
        <v>1</v>
      </c>
      <c r="D44" s="75">
        <f>F44*52</f>
        <v>2080</v>
      </c>
      <c r="E44" s="76">
        <f>D44/12</f>
        <v>173.33333333333334</v>
      </c>
      <c r="F44" s="75">
        <f>40</f>
        <v>40</v>
      </c>
      <c r="G44" s="77">
        <f>E44/8</f>
        <v>21.666666666666668</v>
      </c>
    </row>
    <row r="45" spans="2:14">
      <c r="C45" s="74">
        <v>0.35</v>
      </c>
      <c r="D45" s="75">
        <f t="shared" ref="D45:D53" si="15">F45*52</f>
        <v>728</v>
      </c>
      <c r="E45" s="76">
        <f t="shared" ref="E45:E53" si="16">D45/12</f>
        <v>60.666666666666664</v>
      </c>
      <c r="F45" s="75">
        <f>C45*$F$44</f>
        <v>14</v>
      </c>
      <c r="G45" s="77">
        <f t="shared" ref="G45:G53" si="17">E45/8</f>
        <v>7.583333333333333</v>
      </c>
    </row>
    <row r="46" spans="2:14">
      <c r="C46" s="74">
        <v>0.3</v>
      </c>
      <c r="D46" s="75">
        <f t="shared" si="15"/>
        <v>624</v>
      </c>
      <c r="E46" s="76">
        <f t="shared" si="16"/>
        <v>52</v>
      </c>
      <c r="F46" s="75">
        <f t="shared" ref="F46:F53" si="18">C46*$F$44</f>
        <v>12</v>
      </c>
      <c r="G46" s="77">
        <f t="shared" si="17"/>
        <v>6.5</v>
      </c>
    </row>
    <row r="47" spans="2:14">
      <c r="C47" s="74">
        <v>0.25</v>
      </c>
      <c r="D47" s="75">
        <f t="shared" si="15"/>
        <v>520</v>
      </c>
      <c r="E47" s="76">
        <f t="shared" si="16"/>
        <v>43.333333333333336</v>
      </c>
      <c r="F47" s="75">
        <f t="shared" si="18"/>
        <v>10</v>
      </c>
      <c r="G47" s="77">
        <f t="shared" si="17"/>
        <v>5.416666666666667</v>
      </c>
    </row>
    <row r="48" spans="2:14">
      <c r="C48" s="74">
        <v>0.2</v>
      </c>
      <c r="D48" s="75">
        <f t="shared" si="15"/>
        <v>416</v>
      </c>
      <c r="E48" s="76">
        <f t="shared" si="16"/>
        <v>34.666666666666664</v>
      </c>
      <c r="F48" s="75">
        <f t="shared" si="18"/>
        <v>8</v>
      </c>
      <c r="G48" s="77">
        <f t="shared" si="17"/>
        <v>4.333333333333333</v>
      </c>
    </row>
    <row r="49" spans="3:7">
      <c r="C49" s="74">
        <v>0.15</v>
      </c>
      <c r="D49" s="75">
        <f t="shared" si="15"/>
        <v>312</v>
      </c>
      <c r="E49" s="76">
        <f t="shared" si="16"/>
        <v>26</v>
      </c>
      <c r="F49" s="75">
        <f t="shared" si="18"/>
        <v>6</v>
      </c>
      <c r="G49" s="77">
        <f t="shared" si="17"/>
        <v>3.25</v>
      </c>
    </row>
    <row r="50" spans="3:7">
      <c r="C50" s="74">
        <v>0.1</v>
      </c>
      <c r="D50" s="75">
        <f t="shared" si="15"/>
        <v>208</v>
      </c>
      <c r="E50" s="76">
        <f t="shared" si="16"/>
        <v>17.333333333333332</v>
      </c>
      <c r="F50" s="75">
        <f t="shared" si="18"/>
        <v>4</v>
      </c>
      <c r="G50" s="77">
        <f t="shared" si="17"/>
        <v>2.1666666666666665</v>
      </c>
    </row>
    <row r="51" spans="3:7">
      <c r="C51" s="74">
        <v>0.05</v>
      </c>
      <c r="D51" s="75">
        <f t="shared" si="15"/>
        <v>104</v>
      </c>
      <c r="E51" s="76">
        <f t="shared" si="16"/>
        <v>8.6666666666666661</v>
      </c>
      <c r="F51" s="75">
        <f t="shared" si="18"/>
        <v>2</v>
      </c>
      <c r="G51" s="78">
        <f t="shared" si="17"/>
        <v>1.0833333333333333</v>
      </c>
    </row>
    <row r="52" spans="3:7">
      <c r="C52" s="74">
        <v>0.02</v>
      </c>
      <c r="D52" s="76">
        <f t="shared" si="15"/>
        <v>41.6</v>
      </c>
      <c r="E52" s="76">
        <f t="shared" si="16"/>
        <v>3.4666666666666668</v>
      </c>
      <c r="F52" s="75">
        <f t="shared" si="18"/>
        <v>0.8</v>
      </c>
      <c r="G52" s="78">
        <f t="shared" si="17"/>
        <v>0.43333333333333335</v>
      </c>
    </row>
    <row r="53" spans="3:7">
      <c r="C53" s="79">
        <v>0.01</v>
      </c>
      <c r="D53" s="86">
        <f t="shared" si="15"/>
        <v>20.8</v>
      </c>
      <c r="E53" s="86">
        <f t="shared" si="16"/>
        <v>1.7333333333333334</v>
      </c>
      <c r="F53" s="85">
        <f t="shared" si="18"/>
        <v>0.4</v>
      </c>
      <c r="G53" s="80">
        <f t="shared" si="17"/>
        <v>0.21666666666666667</v>
      </c>
    </row>
    <row r="55" spans="3:7">
      <c r="C55" s="185" t="s">
        <v>153</v>
      </c>
      <c r="D55" s="186"/>
      <c r="E55" s="187"/>
      <c r="F55" s="81" t="s">
        <v>154</v>
      </c>
    </row>
    <row r="56" spans="3:7">
      <c r="C56" s="87" t="s">
        <v>155</v>
      </c>
      <c r="D56" s="87" t="s">
        <v>157</v>
      </c>
      <c r="E56" s="87" t="s">
        <v>156</v>
      </c>
      <c r="F56" s="87" t="s">
        <v>158</v>
      </c>
    </row>
    <row r="57" spans="3:7">
      <c r="C57" s="82">
        <v>136</v>
      </c>
      <c r="D57" s="83"/>
      <c r="E57" s="83"/>
      <c r="F57" s="84">
        <f>C57/D44</f>
        <v>6.5384615384615388E-2</v>
      </c>
    </row>
    <row r="58" spans="3:7">
      <c r="C58" s="83"/>
      <c r="D58" s="82">
        <v>12</v>
      </c>
      <c r="E58" s="83"/>
      <c r="F58" s="84">
        <f>D58/E44</f>
        <v>6.9230769230769221E-2</v>
      </c>
    </row>
    <row r="59" spans="3:7">
      <c r="C59" s="83"/>
      <c r="D59" s="83"/>
      <c r="E59" s="82">
        <v>3</v>
      </c>
      <c r="F59" s="84">
        <f>E59/F44</f>
        <v>7.4999999999999997E-2</v>
      </c>
    </row>
  </sheetData>
  <mergeCells count="1">
    <mergeCell ref="C55:E55"/>
  </mergeCells>
  <phoneticPr fontId="20" type="noConversion"/>
  <pageMargins left="0.7" right="0.7" top="0.75" bottom="0.75" header="0.3" footer="0.3"/>
  <pageSetup orientation="portrait" r:id="rId1"/>
  <legacy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J22"/>
  <sheetViews>
    <sheetView workbookViewId="0">
      <selection activeCell="L10" sqref="L10"/>
    </sheetView>
  </sheetViews>
  <sheetFormatPr defaultRowHeight="15"/>
  <cols>
    <col min="1" max="1" width="33.85546875" customWidth="1"/>
    <col min="2" max="2" width="13.85546875" customWidth="1"/>
    <col min="3" max="4" width="13.5703125" customWidth="1"/>
    <col min="5" max="5" width="7.7109375" hidden="1" customWidth="1"/>
    <col min="6" max="6" width="12.5703125" hidden="1" customWidth="1"/>
    <col min="7" max="7" width="22.42578125" hidden="1" customWidth="1"/>
    <col min="8" max="8" width="7.28515625" hidden="1" customWidth="1"/>
    <col min="9" max="9" width="12.5703125" hidden="1" customWidth="1"/>
    <col min="10" max="10" width="11.28515625" customWidth="1"/>
  </cols>
  <sheetData>
    <row r="1" spans="1:10" ht="23.25">
      <c r="A1" s="103" t="s">
        <v>234</v>
      </c>
    </row>
    <row r="2" spans="1:10">
      <c r="A2" s="51" t="str">
        <f>'Table of Contents'!B2</f>
        <v>Draft of September 21, 2011</v>
      </c>
    </row>
    <row r="3" spans="1:10">
      <c r="A3" t="s">
        <v>233</v>
      </c>
    </row>
    <row r="5" spans="1:10">
      <c r="A5" s="133" t="s">
        <v>235</v>
      </c>
      <c r="B5" s="134">
        <f>'Category (2012)'!E18</f>
        <v>1500000</v>
      </c>
    </row>
    <row r="6" spans="1:10" ht="15.75" thickBot="1">
      <c r="J6" s="57"/>
    </row>
    <row r="7" spans="1:10" ht="60">
      <c r="A7" s="135" t="s">
        <v>214</v>
      </c>
      <c r="B7" s="136" t="s">
        <v>232</v>
      </c>
      <c r="C7" s="136" t="s">
        <v>215</v>
      </c>
      <c r="D7" s="138" t="s">
        <v>216</v>
      </c>
      <c r="E7" s="151"/>
      <c r="F7" s="136" t="s">
        <v>217</v>
      </c>
      <c r="G7" s="136"/>
      <c r="H7" s="137"/>
      <c r="I7" s="136" t="s">
        <v>218</v>
      </c>
      <c r="J7" s="152"/>
    </row>
    <row r="8" spans="1:10">
      <c r="A8" s="139" t="s">
        <v>220</v>
      </c>
      <c r="B8" s="140">
        <v>0.35491098436645985</v>
      </c>
      <c r="C8" s="141">
        <f>$B$5*B8</f>
        <v>532366.47654968977</v>
      </c>
      <c r="D8" s="143">
        <f>ROUND(C8,-3)</f>
        <v>532000</v>
      </c>
      <c r="E8" s="141"/>
      <c r="F8" s="142" t="e">
        <f>#REF!</f>
        <v>#REF!</v>
      </c>
      <c r="G8" s="75"/>
      <c r="H8" s="75"/>
      <c r="I8" s="141">
        <v>452179</v>
      </c>
      <c r="J8" s="57"/>
    </row>
    <row r="9" spans="1:10">
      <c r="A9" s="139" t="s">
        <v>221</v>
      </c>
      <c r="B9" s="140">
        <v>0.20525957851608623</v>
      </c>
      <c r="C9" s="141">
        <f t="shared" ref="C9:C20" si="0">$B$5*B9</f>
        <v>307889.36777412932</v>
      </c>
      <c r="D9" s="143">
        <f t="shared" ref="D9:D20" si="1">ROUND(C9,-3)</f>
        <v>308000</v>
      </c>
      <c r="E9" s="141"/>
      <c r="F9" s="144">
        <v>287400</v>
      </c>
      <c r="G9" s="75"/>
      <c r="H9" s="75"/>
      <c r="I9" s="141">
        <v>274467</v>
      </c>
    </row>
    <row r="10" spans="1:10">
      <c r="A10" s="139" t="s">
        <v>222</v>
      </c>
      <c r="B10" s="140">
        <v>0.13718045536284248</v>
      </c>
      <c r="C10" s="141">
        <f t="shared" si="0"/>
        <v>205770.68304426371</v>
      </c>
      <c r="D10" s="143">
        <f t="shared" si="1"/>
        <v>206000</v>
      </c>
      <c r="E10" s="141"/>
      <c r="F10" s="141">
        <v>192100</v>
      </c>
      <c r="G10" s="75"/>
      <c r="H10" s="75"/>
      <c r="I10" s="141">
        <f>F10</f>
        <v>192100</v>
      </c>
    </row>
    <row r="11" spans="1:10">
      <c r="A11" s="139" t="s">
        <v>223</v>
      </c>
      <c r="B11" s="140">
        <v>8.6172223450727434E-2</v>
      </c>
      <c r="C11" s="141">
        <f t="shared" si="0"/>
        <v>129258.33517609115</v>
      </c>
      <c r="D11" s="143">
        <f t="shared" si="1"/>
        <v>129000</v>
      </c>
      <c r="E11" s="141"/>
      <c r="F11" s="142">
        <v>90000</v>
      </c>
      <c r="G11" s="75"/>
      <c r="H11" s="75"/>
      <c r="I11" s="141">
        <f>F11</f>
        <v>90000</v>
      </c>
    </row>
    <row r="12" spans="1:10">
      <c r="A12" s="139" t="s">
        <v>224</v>
      </c>
      <c r="B12" s="140">
        <v>5.5301509948806102E-2</v>
      </c>
      <c r="C12" s="141">
        <f t="shared" si="0"/>
        <v>82952.26492320915</v>
      </c>
      <c r="D12" s="143">
        <f t="shared" si="1"/>
        <v>83000</v>
      </c>
      <c r="E12" s="141"/>
      <c r="F12" s="145">
        <v>77400</v>
      </c>
      <c r="G12" s="75"/>
      <c r="H12" s="75"/>
      <c r="I12" s="141">
        <f>F12</f>
        <v>77400</v>
      </c>
    </row>
    <row r="13" spans="1:10">
      <c r="A13" s="139" t="s">
        <v>225</v>
      </c>
      <c r="B13" s="140">
        <v>4.5079419385255989E-2</v>
      </c>
      <c r="C13" s="141">
        <f t="shared" si="0"/>
        <v>67619.12907788399</v>
      </c>
      <c r="D13" s="143">
        <f t="shared" si="1"/>
        <v>68000</v>
      </c>
      <c r="E13" s="141"/>
      <c r="F13" s="142">
        <v>45000</v>
      </c>
      <c r="G13" s="75"/>
      <c r="H13" s="75"/>
      <c r="I13" s="141">
        <v>63100</v>
      </c>
    </row>
    <row r="14" spans="1:10">
      <c r="A14" s="139" t="s">
        <v>251</v>
      </c>
      <c r="B14" s="140">
        <v>3.8128397802041913E-2</v>
      </c>
      <c r="C14" s="141">
        <f t="shared" si="0"/>
        <v>57192.596703062867</v>
      </c>
      <c r="D14" s="143">
        <f t="shared" si="1"/>
        <v>57000</v>
      </c>
      <c r="E14" s="141"/>
      <c r="F14" s="142">
        <v>12720</v>
      </c>
      <c r="G14" s="75"/>
      <c r="H14" s="75"/>
      <c r="I14" s="141">
        <f t="shared" ref="I14:I20" si="2">F14</f>
        <v>12720</v>
      </c>
    </row>
    <row r="15" spans="1:10">
      <c r="A15" s="139" t="s">
        <v>226</v>
      </c>
      <c r="B15" s="140">
        <v>3.7208409651322404E-2</v>
      </c>
      <c r="C15" s="141">
        <f t="shared" si="0"/>
        <v>55812.614476983603</v>
      </c>
      <c r="D15" s="143">
        <f t="shared" si="1"/>
        <v>56000</v>
      </c>
      <c r="E15" s="141"/>
      <c r="F15" s="141">
        <v>52100</v>
      </c>
      <c r="G15" s="75"/>
      <c r="H15" s="75"/>
      <c r="I15" s="141">
        <f t="shared" si="2"/>
        <v>52100</v>
      </c>
    </row>
    <row r="16" spans="1:10">
      <c r="A16" s="139" t="s">
        <v>227</v>
      </c>
      <c r="B16" s="140">
        <v>1.3596423519987317E-2</v>
      </c>
      <c r="C16" s="141">
        <f t="shared" si="0"/>
        <v>20394.635279980976</v>
      </c>
      <c r="D16" s="143">
        <f t="shared" si="1"/>
        <v>20000</v>
      </c>
      <c r="E16" s="141"/>
      <c r="F16" s="141">
        <v>19000</v>
      </c>
      <c r="G16" s="141"/>
      <c r="H16" s="141"/>
      <c r="I16" s="141">
        <f t="shared" si="2"/>
        <v>19000</v>
      </c>
      <c r="J16" s="141"/>
    </row>
    <row r="17" spans="1:10">
      <c r="A17" s="139" t="s">
        <v>228</v>
      </c>
      <c r="B17" s="140">
        <v>1.1244299619905123E-2</v>
      </c>
      <c r="C17" s="141">
        <f t="shared" si="0"/>
        <v>16866.449429857683</v>
      </c>
      <c r="D17" s="143">
        <f t="shared" si="1"/>
        <v>17000</v>
      </c>
      <c r="E17" s="141"/>
      <c r="F17" s="141">
        <v>15700</v>
      </c>
      <c r="G17" s="141"/>
      <c r="H17" s="141"/>
      <c r="I17" s="141">
        <f t="shared" si="2"/>
        <v>15700</v>
      </c>
      <c r="J17" s="141"/>
    </row>
    <row r="18" spans="1:10">
      <c r="A18" s="139" t="s">
        <v>229</v>
      </c>
      <c r="B18" s="140">
        <v>7.8710097339335858E-3</v>
      </c>
      <c r="C18" s="141">
        <f t="shared" si="0"/>
        <v>11806.514600900378</v>
      </c>
      <c r="D18" s="143">
        <f t="shared" si="1"/>
        <v>12000</v>
      </c>
      <c r="E18" s="141"/>
      <c r="F18" s="141">
        <v>11000</v>
      </c>
      <c r="G18" s="141"/>
      <c r="H18" s="141"/>
      <c r="I18" s="141">
        <f t="shared" si="2"/>
        <v>11000</v>
      </c>
      <c r="J18" s="141"/>
    </row>
    <row r="19" spans="1:10">
      <c r="A19" s="139" t="s">
        <v>230</v>
      </c>
      <c r="B19" s="140">
        <v>5.1851032848375103E-3</v>
      </c>
      <c r="C19" s="141">
        <f t="shared" si="0"/>
        <v>7777.6549272562652</v>
      </c>
      <c r="D19" s="143">
        <f t="shared" si="1"/>
        <v>8000</v>
      </c>
      <c r="E19" s="141"/>
      <c r="F19" s="141">
        <v>7300</v>
      </c>
      <c r="G19" s="141"/>
      <c r="H19" s="141"/>
      <c r="I19" s="141">
        <f t="shared" si="2"/>
        <v>7300</v>
      </c>
      <c r="J19" s="141"/>
    </row>
    <row r="20" spans="1:10">
      <c r="A20" s="139" t="s">
        <v>231</v>
      </c>
      <c r="B20" s="140">
        <v>2.8621853577940311E-3</v>
      </c>
      <c r="C20" s="141">
        <f t="shared" si="0"/>
        <v>4293.2780366910465</v>
      </c>
      <c r="D20" s="143">
        <f t="shared" si="1"/>
        <v>4000</v>
      </c>
      <c r="E20" s="141"/>
      <c r="F20" s="141">
        <v>4000</v>
      </c>
      <c r="G20" s="141"/>
      <c r="H20" s="141"/>
      <c r="I20" s="141">
        <f t="shared" si="2"/>
        <v>4000</v>
      </c>
      <c r="J20" s="141"/>
    </row>
    <row r="21" spans="1:10">
      <c r="A21" s="139"/>
      <c r="B21" s="75"/>
      <c r="C21" s="75"/>
      <c r="D21" s="146"/>
      <c r="E21" s="75"/>
      <c r="F21" s="75"/>
      <c r="G21" s="75"/>
      <c r="H21" s="75"/>
      <c r="I21" s="75"/>
      <c r="J21" s="75"/>
    </row>
    <row r="22" spans="1:10" ht="15.75" thickBot="1">
      <c r="A22" s="147" t="s">
        <v>219</v>
      </c>
      <c r="B22" s="148">
        <f>SUM(B8:B20)</f>
        <v>1</v>
      </c>
      <c r="C22" s="149">
        <f>SUM(C8:C20)</f>
        <v>1499999.9999999998</v>
      </c>
      <c r="D22" s="150">
        <f>SUM(D8:D20)</f>
        <v>1500000</v>
      </c>
      <c r="E22" s="149"/>
      <c r="F22" s="149" t="e">
        <f>SUM(F8:F20)</f>
        <v>#REF!</v>
      </c>
      <c r="G22" s="149"/>
      <c r="H22" s="149"/>
      <c r="I22" s="149">
        <f>SUM(I8:I20)</f>
        <v>1271066</v>
      </c>
      <c r="J22" s="14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(2012)</vt:lpstr>
      <vt:lpstr>Category Detail (2012)</vt:lpstr>
      <vt:lpstr>Category (2012-2014)</vt:lpstr>
      <vt:lpstr>NPCC In Kind</vt:lpstr>
      <vt:lpstr>Typical Rates</vt:lpstr>
      <vt:lpstr>Funding Shares</vt:lpstr>
      <vt:lpstr>'NPCC In Kind'!Print_Area</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Terry Morlan</cp:lastModifiedBy>
  <dcterms:created xsi:type="dcterms:W3CDTF">2010-11-30T20:23:00Z</dcterms:created>
  <dcterms:modified xsi:type="dcterms:W3CDTF">2011-09-21T23:43:58Z</dcterms:modified>
</cp:coreProperties>
</file>