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S\Principal_Analyst\Methane\Model\"/>
    </mc:Choice>
  </mc:AlternateContent>
  <xr:revisionPtr revIDLastSave="0" documentId="13_ncr:1_{5C176184-388F-43AA-B5C7-4789792937D6}" xr6:coauthVersionLast="45" xr6:coauthVersionMax="45" xr10:uidLastSave="{00000000-0000-0000-0000-000000000000}"/>
  <bookViews>
    <workbookView xWindow="-108" yWindow="-108" windowWidth="23256" windowHeight="12576" xr2:uid="{4B7FABE9-6EC7-4075-800A-70736A9887BD}"/>
  </bookViews>
  <sheets>
    <sheet name="Information" sheetId="24" r:id="rId1"/>
    <sheet name="1-MethaneCalculator_NG" sheetId="18" r:id="rId2"/>
    <sheet name="2-MethaneCalculator_Coal" sheetId="17" r:id="rId3"/>
    <sheet name="3-StudyResults" sheetId="29" r:id="rId4"/>
    <sheet name="4-FuelEmissionRates_Proposed" sheetId="19" r:id="rId5"/>
    <sheet name="5-MethaneEmissionStudies" sheetId="9" r:id="rId6"/>
    <sheet name="6-EPA GHGI" sheetId="25" r:id="rId7"/>
    <sheet name="7-Historic_NG_Delivered" sheetId="6" r:id="rId8"/>
    <sheet name="8-BC Related Studies" sheetId="26" r:id="rId9"/>
    <sheet name="9-IPCC CO2e" sheetId="27" r:id="rId10"/>
    <sheet name="10-Em Rate Over Time" sheetId="30" r:id="rId11"/>
    <sheet name="11-NW GenerationEmissionRate" sheetId="31" r:id="rId12"/>
    <sheet name="12-NW Generation2016" sheetId="32" r:id="rId1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8" i="32" l="1"/>
  <c r="U38" i="32"/>
  <c r="V37" i="32"/>
  <c r="U37" i="32"/>
  <c r="V36" i="32"/>
  <c r="U36" i="32"/>
  <c r="V35" i="32"/>
  <c r="U35" i="32"/>
  <c r="V34" i="32"/>
  <c r="U34" i="32"/>
  <c r="V33" i="32"/>
  <c r="U33" i="32"/>
  <c r="V32" i="32"/>
  <c r="U32" i="32"/>
  <c r="V31" i="32"/>
  <c r="U31" i="32"/>
  <c r="V30" i="32"/>
  <c r="U30" i="32"/>
  <c r="V29" i="32"/>
  <c r="U29" i="32"/>
  <c r="V28" i="32"/>
  <c r="U28" i="32"/>
  <c r="V27" i="32"/>
  <c r="U27" i="32"/>
  <c r="V26" i="32"/>
  <c r="U26" i="32"/>
  <c r="V25" i="32"/>
  <c r="U25" i="32"/>
  <c r="V24" i="32"/>
  <c r="U24" i="32"/>
  <c r="V23" i="32"/>
  <c r="U23" i="32"/>
  <c r="V22" i="32"/>
  <c r="U22" i="32"/>
  <c r="V21" i="32"/>
  <c r="V20" i="32"/>
  <c r="U20" i="32"/>
  <c r="V19" i="32"/>
  <c r="U19" i="32"/>
  <c r="V18" i="32"/>
  <c r="U18" i="32"/>
  <c r="V17" i="32"/>
  <c r="U17" i="32"/>
  <c r="V16" i="32"/>
  <c r="U16" i="32"/>
  <c r="AF15" i="32"/>
  <c r="V15" i="32"/>
  <c r="AF14" i="32"/>
  <c r="V14" i="32"/>
  <c r="AF13" i="32"/>
  <c r="V13" i="32"/>
  <c r="AF12" i="32"/>
  <c r="V12" i="32"/>
  <c r="AF11" i="32"/>
  <c r="V11" i="32"/>
  <c r="AF10" i="32"/>
  <c r="V10" i="32"/>
  <c r="AE9" i="32"/>
  <c r="S5" i="32"/>
  <c r="C6" i="32" s="1"/>
  <c r="V9" i="32"/>
  <c r="AF8" i="32"/>
  <c r="AE8" i="32"/>
  <c r="V8" i="32"/>
  <c r="U8" i="32"/>
  <c r="AC5" i="32"/>
  <c r="D6" i="32" s="1"/>
  <c r="AG8" i="32" l="1"/>
  <c r="W18" i="32"/>
  <c r="W23" i="32"/>
  <c r="W27" i="32"/>
  <c r="W31" i="32"/>
  <c r="W35" i="32"/>
  <c r="W25" i="32"/>
  <c r="W29" i="32"/>
  <c r="W33" i="32"/>
  <c r="W37" i="32"/>
  <c r="V5" i="32"/>
  <c r="C8" i="32" s="1"/>
  <c r="W24" i="32"/>
  <c r="W28" i="32"/>
  <c r="W32" i="32"/>
  <c r="W36" i="32"/>
  <c r="W17" i="32"/>
  <c r="W16" i="32"/>
  <c r="W20" i="32"/>
  <c r="W19" i="32"/>
  <c r="W22" i="32"/>
  <c r="W26" i="32"/>
  <c r="W30" i="32"/>
  <c r="W34" i="32"/>
  <c r="W38" i="32"/>
  <c r="U9" i="32"/>
  <c r="W9" i="32" s="1"/>
  <c r="AF9" i="32"/>
  <c r="AG9" i="32" s="1"/>
  <c r="W8" i="32"/>
  <c r="U10" i="32"/>
  <c r="W10" i="32" s="1"/>
  <c r="AE10" i="32"/>
  <c r="U11" i="32"/>
  <c r="W11" i="32" s="1"/>
  <c r="AE11" i="32"/>
  <c r="AG11" i="32" s="1"/>
  <c r="U12" i="32"/>
  <c r="W12" i="32" s="1"/>
  <c r="AE12" i="32"/>
  <c r="AG12" i="32" s="1"/>
  <c r="U13" i="32"/>
  <c r="W13" i="32" s="1"/>
  <c r="AE13" i="32"/>
  <c r="AG13" i="32" s="1"/>
  <c r="U14" i="32"/>
  <c r="W14" i="32" s="1"/>
  <c r="AE14" i="32"/>
  <c r="AG14" i="32" s="1"/>
  <c r="U15" i="32"/>
  <c r="W15" i="32" s="1"/>
  <c r="AE15" i="32"/>
  <c r="AG15" i="32" s="1"/>
  <c r="U21" i="32"/>
  <c r="W21" i="32" s="1"/>
  <c r="AE5" i="32" l="1"/>
  <c r="D7" i="32" s="1"/>
  <c r="AG10" i="32"/>
  <c r="AG5" i="32" s="1"/>
  <c r="U5" i="32"/>
  <c r="C7" i="32" s="1"/>
  <c r="C9" i="32" s="1"/>
  <c r="C10" i="32" s="1"/>
  <c r="AF5" i="32"/>
  <c r="D8" i="32" s="1"/>
  <c r="D9" i="32" s="1"/>
  <c r="D10" i="32" s="1"/>
  <c r="W5" i="32"/>
  <c r="D12" i="31" l="1"/>
  <c r="C15" i="31" s="1"/>
  <c r="C16" i="31" s="1"/>
  <c r="D10" i="31"/>
  <c r="C10" i="31"/>
  <c r="C12" i="31" s="1"/>
  <c r="C13" i="31" l="1"/>
  <c r="H20" i="26" l="1"/>
  <c r="H19" i="26"/>
  <c r="G20" i="26"/>
  <c r="I20" i="26" s="1"/>
  <c r="G19" i="26"/>
  <c r="I15" i="26"/>
  <c r="I14" i="26"/>
  <c r="I19" i="26" l="1"/>
  <c r="E9" i="26"/>
  <c r="E8" i="26"/>
  <c r="AD34" i="18" l="1"/>
  <c r="AC34" i="18"/>
  <c r="AE34" i="18" l="1"/>
  <c r="AJ10" i="9"/>
  <c r="N7" i="25" l="1"/>
  <c r="M7" i="25"/>
  <c r="AB15" i="25"/>
  <c r="AA15" i="25"/>
  <c r="Z15" i="25"/>
  <c r="Y15" i="25"/>
  <c r="AB14" i="25"/>
  <c r="L7" i="25" s="1"/>
  <c r="AA14" i="25"/>
  <c r="Z14" i="25"/>
  <c r="Y14" i="25"/>
  <c r="AB13" i="25"/>
  <c r="F7" i="25" s="1"/>
  <c r="AA13" i="25"/>
  <c r="Z13" i="25"/>
  <c r="Y13" i="25"/>
  <c r="X15" i="25"/>
  <c r="X14" i="25"/>
  <c r="X13" i="25"/>
  <c r="I7" i="25" l="1"/>
  <c r="X8" i="9" s="1"/>
  <c r="X11" i="9"/>
  <c r="D7" i="25"/>
  <c r="E7" i="25"/>
  <c r="K7" i="25"/>
  <c r="W11" i="9" l="1"/>
  <c r="H7" i="25"/>
  <c r="W8" i="9" s="1"/>
  <c r="V11" i="9"/>
  <c r="G7" i="25"/>
  <c r="V8" i="9" s="1"/>
  <c r="AE22" i="9"/>
  <c r="AE23" i="9" s="1"/>
  <c r="AD22" i="9"/>
  <c r="AD23" i="9" s="1"/>
  <c r="AE17" i="9"/>
  <c r="AD17" i="9"/>
  <c r="AE13" i="9"/>
  <c r="AF13" i="9" s="1"/>
  <c r="AG13" i="9" s="1"/>
  <c r="AE12" i="9"/>
  <c r="AF12" i="9" s="1"/>
  <c r="AG12" i="9" s="1"/>
  <c r="AE9" i="9"/>
  <c r="AE8" i="9"/>
  <c r="K24" i="19" l="1"/>
  <c r="K27" i="19" s="1"/>
  <c r="F24" i="19"/>
  <c r="F27" i="19" s="1"/>
  <c r="G43" i="17"/>
  <c r="H43" i="17" s="1"/>
  <c r="G42" i="17"/>
  <c r="H42" i="17" s="1"/>
  <c r="G41" i="17"/>
  <c r="H41" i="17" s="1"/>
  <c r="G30" i="17"/>
  <c r="H24" i="17"/>
  <c r="G27" i="17" s="1"/>
  <c r="G33" i="17" l="1"/>
  <c r="H44" i="17"/>
  <c r="G46" i="17" l="1"/>
  <c r="G36" i="17"/>
  <c r="G48" i="18"/>
  <c r="H48" i="18" s="1"/>
  <c r="G47" i="18"/>
  <c r="H47" i="18" s="1"/>
  <c r="G46" i="18"/>
  <c r="H46" i="18" s="1"/>
  <c r="G26" i="18"/>
  <c r="H23" i="18"/>
  <c r="D8" i="29" l="1"/>
  <c r="H46" i="17"/>
  <c r="H26" i="18"/>
  <c r="H29" i="18" s="1"/>
  <c r="H49" i="18"/>
  <c r="D27" i="30" s="1"/>
  <c r="J29" i="18" l="1"/>
  <c r="H17" i="30" s="1"/>
  <c r="I139" i="18"/>
  <c r="I128" i="18"/>
  <c r="I131" i="18"/>
  <c r="I140" i="18"/>
  <c r="I136" i="18"/>
  <c r="I134" i="18"/>
  <c r="I132" i="18"/>
  <c r="I130" i="18"/>
  <c r="I137" i="18"/>
  <c r="I135" i="18"/>
  <c r="I129" i="18"/>
  <c r="I138" i="18"/>
  <c r="I141" i="18"/>
  <c r="I133" i="18"/>
  <c r="F17" i="30"/>
  <c r="L8" i="26"/>
  <c r="I60" i="18"/>
  <c r="I68" i="18"/>
  <c r="I76" i="18"/>
  <c r="I84" i="18"/>
  <c r="I92" i="18"/>
  <c r="I100" i="18"/>
  <c r="I108" i="18"/>
  <c r="I116" i="18"/>
  <c r="I124" i="18"/>
  <c r="I93" i="18"/>
  <c r="I109" i="18"/>
  <c r="I117" i="18"/>
  <c r="I102" i="18"/>
  <c r="I118" i="18"/>
  <c r="I95" i="18"/>
  <c r="I127" i="18"/>
  <c r="I121" i="18"/>
  <c r="I74" i="18"/>
  <c r="I106" i="18"/>
  <c r="I91" i="18"/>
  <c r="I115" i="18"/>
  <c r="I61" i="18"/>
  <c r="I69" i="18"/>
  <c r="I77" i="18"/>
  <c r="I85" i="18"/>
  <c r="I101" i="18"/>
  <c r="I125" i="18"/>
  <c r="I126" i="18"/>
  <c r="I103" i="18"/>
  <c r="I57" i="18"/>
  <c r="I58" i="18"/>
  <c r="I75" i="18"/>
  <c r="I123" i="18"/>
  <c r="I62" i="18"/>
  <c r="I70" i="18"/>
  <c r="I78" i="18"/>
  <c r="I86" i="18"/>
  <c r="I94" i="18"/>
  <c r="I110" i="18"/>
  <c r="I119" i="18"/>
  <c r="I97" i="18"/>
  <c r="I90" i="18"/>
  <c r="I122" i="18"/>
  <c r="I83" i="18"/>
  <c r="I63" i="18"/>
  <c r="I71" i="18"/>
  <c r="I79" i="18"/>
  <c r="I87" i="18"/>
  <c r="I111" i="18"/>
  <c r="I113" i="18"/>
  <c r="I82" i="18"/>
  <c r="I67" i="18"/>
  <c r="I107" i="18"/>
  <c r="I64" i="18"/>
  <c r="I72" i="18"/>
  <c r="I80" i="18"/>
  <c r="I88" i="18"/>
  <c r="I96" i="18"/>
  <c r="I104" i="18"/>
  <c r="I112" i="18"/>
  <c r="I120" i="18"/>
  <c r="I89" i="18"/>
  <c r="I66" i="18"/>
  <c r="I114" i="18"/>
  <c r="I99" i="18"/>
  <c r="I65" i="18"/>
  <c r="I73" i="18"/>
  <c r="I81" i="18"/>
  <c r="I105" i="18"/>
  <c r="I98" i="18"/>
  <c r="I59" i="18"/>
  <c r="D9" i="29"/>
  <c r="H47" i="17"/>
  <c r="D10" i="29" s="1"/>
  <c r="Z31" i="18"/>
  <c r="W31" i="18"/>
  <c r="X31" i="18"/>
  <c r="Y31" i="18"/>
  <c r="G29" i="18"/>
  <c r="I29" i="18"/>
  <c r="G17" i="30" s="1"/>
  <c r="G120" i="18"/>
  <c r="H120" i="18" s="1"/>
  <c r="K120" i="18" s="1"/>
  <c r="G127" i="18"/>
  <c r="H127" i="18" s="1"/>
  <c r="K127" i="18" s="1"/>
  <c r="G119" i="18"/>
  <c r="H119" i="18" s="1"/>
  <c r="K119" i="18" s="1"/>
  <c r="G111" i="18"/>
  <c r="H111" i="18" s="1"/>
  <c r="K111" i="18" s="1"/>
  <c r="G103" i="18"/>
  <c r="H103" i="18" s="1"/>
  <c r="K103" i="18" s="1"/>
  <c r="G95" i="18"/>
  <c r="H95" i="18" s="1"/>
  <c r="K95" i="18" s="1"/>
  <c r="G87" i="18"/>
  <c r="H87" i="18" s="1"/>
  <c r="K87" i="18" s="1"/>
  <c r="G79" i="18"/>
  <c r="H79" i="18" s="1"/>
  <c r="K79" i="18" s="1"/>
  <c r="G71" i="18"/>
  <c r="H71" i="18" s="1"/>
  <c r="K71" i="18" s="1"/>
  <c r="G63" i="18"/>
  <c r="H63" i="18" s="1"/>
  <c r="K63" i="18" s="1"/>
  <c r="G112" i="18"/>
  <c r="H112" i="18" s="1"/>
  <c r="K112" i="18" s="1"/>
  <c r="G80" i="18"/>
  <c r="H80" i="18" s="1"/>
  <c r="K80" i="18" s="1"/>
  <c r="G106" i="18"/>
  <c r="H106" i="18" s="1"/>
  <c r="K106" i="18" s="1"/>
  <c r="G102" i="18"/>
  <c r="H102" i="18" s="1"/>
  <c r="K102" i="18" s="1"/>
  <c r="G70" i="18"/>
  <c r="H70" i="18" s="1"/>
  <c r="K70" i="18" s="1"/>
  <c r="G92" i="18"/>
  <c r="H92" i="18" s="1"/>
  <c r="K92" i="18" s="1"/>
  <c r="G98" i="18"/>
  <c r="H98" i="18" s="1"/>
  <c r="K98" i="18" s="1"/>
  <c r="G126" i="18" l="1"/>
  <c r="H126" i="18" s="1"/>
  <c r="K126" i="18" s="1"/>
  <c r="G128" i="18"/>
  <c r="H128" i="18" s="1"/>
  <c r="K128" i="18" s="1"/>
  <c r="G138" i="18"/>
  <c r="H138" i="18" s="1"/>
  <c r="K138" i="18" s="1"/>
  <c r="G129" i="18"/>
  <c r="H129" i="18" s="1"/>
  <c r="K129" i="18" s="1"/>
  <c r="G136" i="18"/>
  <c r="H136" i="18" s="1"/>
  <c r="K136" i="18" s="1"/>
  <c r="G134" i="18"/>
  <c r="H134" i="18" s="1"/>
  <c r="K134" i="18" s="1"/>
  <c r="G141" i="18"/>
  <c r="H141" i="18" s="1"/>
  <c r="K141" i="18" s="1"/>
  <c r="G132" i="18"/>
  <c r="H132" i="18" s="1"/>
  <c r="K132" i="18" s="1"/>
  <c r="G139" i="18"/>
  <c r="H139" i="18" s="1"/>
  <c r="K139" i="18" s="1"/>
  <c r="G137" i="18"/>
  <c r="H137" i="18" s="1"/>
  <c r="K137" i="18" s="1"/>
  <c r="G135" i="18"/>
  <c r="H135" i="18" s="1"/>
  <c r="K135" i="18" s="1"/>
  <c r="G133" i="18"/>
  <c r="H133" i="18" s="1"/>
  <c r="K133" i="18" s="1"/>
  <c r="G131" i="18"/>
  <c r="H131" i="18" s="1"/>
  <c r="K131" i="18" s="1"/>
  <c r="G140" i="18"/>
  <c r="H140" i="18" s="1"/>
  <c r="K140" i="18" s="1"/>
  <c r="G130" i="18"/>
  <c r="H130" i="18" s="1"/>
  <c r="K130" i="18" s="1"/>
  <c r="E17" i="30"/>
  <c r="W28" i="18"/>
  <c r="N6" i="29" s="1"/>
  <c r="N8" i="29" s="1"/>
  <c r="N9" i="29" s="1"/>
  <c r="N10" i="29" s="1"/>
  <c r="N12" i="29" s="1"/>
  <c r="W27" i="18"/>
  <c r="J6" i="29" s="1"/>
  <c r="J8" i="29" s="1"/>
  <c r="J9" i="29" s="1"/>
  <c r="J10" i="29" s="1"/>
  <c r="J12" i="29" s="1"/>
  <c r="D12" i="29"/>
  <c r="N11" i="26"/>
  <c r="W29" i="18" s="1"/>
  <c r="M12" i="26"/>
  <c r="N12" i="26"/>
  <c r="M11" i="26"/>
  <c r="X24" i="18"/>
  <c r="O6" i="29" s="1"/>
  <c r="O8" i="29" s="1"/>
  <c r="O9" i="29" s="1"/>
  <c r="W24" i="18"/>
  <c r="K6" i="29" s="1"/>
  <c r="K8" i="29" s="1"/>
  <c r="K9" i="29" s="1"/>
  <c r="K10" i="29" s="1"/>
  <c r="K12" i="29" s="1"/>
  <c r="Y24" i="18"/>
  <c r="I6" i="29" s="1"/>
  <c r="I8" i="29" s="1"/>
  <c r="I9" i="29" s="1"/>
  <c r="W23" i="18"/>
  <c r="F6" i="29" s="1"/>
  <c r="F8" i="29" s="1"/>
  <c r="F9" i="29" s="1"/>
  <c r="F10" i="29" s="1"/>
  <c r="F12" i="29" s="1"/>
  <c r="Y23" i="18"/>
  <c r="E6" i="29" s="1"/>
  <c r="E8" i="29" s="1"/>
  <c r="E9" i="29" s="1"/>
  <c r="X23" i="18"/>
  <c r="Y26" i="18"/>
  <c r="H6" i="29" s="1"/>
  <c r="H8" i="29" s="1"/>
  <c r="H9" i="29" s="1"/>
  <c r="X26" i="18"/>
  <c r="R6" i="29" s="1"/>
  <c r="R8" i="29" s="1"/>
  <c r="R9" i="29" s="1"/>
  <c r="R10" i="29" s="1"/>
  <c r="R12" i="29" s="1"/>
  <c r="W26" i="18"/>
  <c r="L6" i="29" s="1"/>
  <c r="L8" i="29" s="1"/>
  <c r="L9" i="29" s="1"/>
  <c r="G58" i="18"/>
  <c r="H58" i="18" s="1"/>
  <c r="K58" i="18" s="1"/>
  <c r="G60" i="18"/>
  <c r="H60" i="18" s="1"/>
  <c r="K60" i="18" s="1"/>
  <c r="G100" i="18"/>
  <c r="H100" i="18" s="1"/>
  <c r="K100" i="18" s="1"/>
  <c r="G78" i="18"/>
  <c r="H78" i="18" s="1"/>
  <c r="K78" i="18" s="1"/>
  <c r="G110" i="18"/>
  <c r="H110" i="18" s="1"/>
  <c r="K110" i="18" s="1"/>
  <c r="G68" i="18"/>
  <c r="H68" i="18" s="1"/>
  <c r="K68" i="18" s="1"/>
  <c r="G88" i="18"/>
  <c r="H88" i="18" s="1"/>
  <c r="K88" i="18" s="1"/>
  <c r="G57" i="18"/>
  <c r="H57" i="18" s="1"/>
  <c r="K57" i="18" s="1"/>
  <c r="G65" i="18"/>
  <c r="H65" i="18" s="1"/>
  <c r="K65" i="18" s="1"/>
  <c r="G73" i="18"/>
  <c r="H73" i="18" s="1"/>
  <c r="K73" i="18" s="1"/>
  <c r="G81" i="18"/>
  <c r="H81" i="18" s="1"/>
  <c r="K81" i="18" s="1"/>
  <c r="G89" i="18"/>
  <c r="H89" i="18" s="1"/>
  <c r="K89" i="18" s="1"/>
  <c r="G97" i="18"/>
  <c r="H97" i="18" s="1"/>
  <c r="K97" i="18" s="1"/>
  <c r="G105" i="18"/>
  <c r="H105" i="18" s="1"/>
  <c r="K105" i="18" s="1"/>
  <c r="G113" i="18"/>
  <c r="H113" i="18" s="1"/>
  <c r="K113" i="18" s="1"/>
  <c r="G121" i="18"/>
  <c r="H121" i="18" s="1"/>
  <c r="K121" i="18" s="1"/>
  <c r="G114" i="18"/>
  <c r="H114" i="18" s="1"/>
  <c r="K114" i="18" s="1"/>
  <c r="G122" i="18"/>
  <c r="H122" i="18" s="1"/>
  <c r="K122" i="18" s="1"/>
  <c r="G74" i="18"/>
  <c r="H74" i="18" s="1"/>
  <c r="K74" i="18" s="1"/>
  <c r="G76" i="18"/>
  <c r="H76" i="18" s="1"/>
  <c r="K76" i="18" s="1"/>
  <c r="G108" i="18"/>
  <c r="H108" i="18" s="1"/>
  <c r="K108" i="18" s="1"/>
  <c r="G86" i="18"/>
  <c r="H86" i="18" s="1"/>
  <c r="K86" i="18" s="1"/>
  <c r="G66" i="18"/>
  <c r="H66" i="18" s="1"/>
  <c r="K66" i="18" s="1"/>
  <c r="G64" i="18"/>
  <c r="H64" i="18" s="1"/>
  <c r="K64" i="18" s="1"/>
  <c r="G96" i="18"/>
  <c r="H96" i="18" s="1"/>
  <c r="K96" i="18" s="1"/>
  <c r="G59" i="18"/>
  <c r="H59" i="18" s="1"/>
  <c r="K59" i="18" s="1"/>
  <c r="G67" i="18"/>
  <c r="H67" i="18" s="1"/>
  <c r="K67" i="18" s="1"/>
  <c r="G75" i="18"/>
  <c r="H75" i="18" s="1"/>
  <c r="K75" i="18" s="1"/>
  <c r="G83" i="18"/>
  <c r="H83" i="18" s="1"/>
  <c r="K83" i="18" s="1"/>
  <c r="G91" i="18"/>
  <c r="H91" i="18" s="1"/>
  <c r="K91" i="18" s="1"/>
  <c r="G99" i="18"/>
  <c r="H99" i="18" s="1"/>
  <c r="K99" i="18" s="1"/>
  <c r="G107" i="18"/>
  <c r="H107" i="18" s="1"/>
  <c r="K107" i="18" s="1"/>
  <c r="G115" i="18"/>
  <c r="H115" i="18" s="1"/>
  <c r="K115" i="18" s="1"/>
  <c r="G123" i="18"/>
  <c r="H123" i="18" s="1"/>
  <c r="K123" i="18" s="1"/>
  <c r="G116" i="18"/>
  <c r="H116" i="18" s="1"/>
  <c r="K116" i="18" s="1"/>
  <c r="G124" i="18"/>
  <c r="H124" i="18" s="1"/>
  <c r="K124" i="18" s="1"/>
  <c r="G90" i="18"/>
  <c r="H90" i="18" s="1"/>
  <c r="K90" i="18" s="1"/>
  <c r="G84" i="18"/>
  <c r="H84" i="18" s="1"/>
  <c r="K84" i="18" s="1"/>
  <c r="G62" i="18"/>
  <c r="H62" i="18" s="1"/>
  <c r="K62" i="18" s="1"/>
  <c r="G94" i="18"/>
  <c r="H94" i="18" s="1"/>
  <c r="K94" i="18" s="1"/>
  <c r="G82" i="18"/>
  <c r="H82" i="18" s="1"/>
  <c r="K82" i="18" s="1"/>
  <c r="G72" i="18"/>
  <c r="H72" i="18" s="1"/>
  <c r="K72" i="18" s="1"/>
  <c r="G104" i="18"/>
  <c r="H104" i="18" s="1"/>
  <c r="K104" i="18" s="1"/>
  <c r="G61" i="18"/>
  <c r="H61" i="18" s="1"/>
  <c r="K61" i="18" s="1"/>
  <c r="G69" i="18"/>
  <c r="H69" i="18" s="1"/>
  <c r="K69" i="18" s="1"/>
  <c r="G77" i="18"/>
  <c r="H77" i="18" s="1"/>
  <c r="K77" i="18" s="1"/>
  <c r="G85" i="18"/>
  <c r="H85" i="18" s="1"/>
  <c r="K85" i="18" s="1"/>
  <c r="G93" i="18"/>
  <c r="H93" i="18" s="1"/>
  <c r="K93" i="18" s="1"/>
  <c r="G101" i="18"/>
  <c r="H101" i="18" s="1"/>
  <c r="K101" i="18" s="1"/>
  <c r="G109" i="18"/>
  <c r="H109" i="18" s="1"/>
  <c r="K109" i="18" s="1"/>
  <c r="G117" i="18"/>
  <c r="H117" i="18" s="1"/>
  <c r="K117" i="18" s="1"/>
  <c r="G125" i="18"/>
  <c r="H125" i="18" s="1"/>
  <c r="K125" i="18" s="1"/>
  <c r="G118" i="18"/>
  <c r="H118" i="18" s="1"/>
  <c r="K118" i="18" s="1"/>
  <c r="Y25" i="18"/>
  <c r="M6" i="29" s="1"/>
  <c r="M8" i="29" s="1"/>
  <c r="M9" i="29" s="1"/>
  <c r="X25" i="18"/>
  <c r="S6" i="29" s="1"/>
  <c r="S8" i="29" s="1"/>
  <c r="S9" i="29" s="1"/>
  <c r="S10" i="29" s="1"/>
  <c r="S12" i="29" s="1"/>
  <c r="W25" i="18"/>
  <c r="P6" i="29" s="1"/>
  <c r="P8" i="29" s="1"/>
  <c r="P9" i="29" s="1"/>
  <c r="P10" i="29" s="1"/>
  <c r="P12" i="29" s="1"/>
  <c r="E12" i="29" l="1"/>
  <c r="E10" i="29"/>
  <c r="I10" i="29"/>
  <c r="I12" i="29"/>
  <c r="O10" i="29"/>
  <c r="O12" i="29" s="1"/>
  <c r="G8" i="30"/>
  <c r="T6" i="29"/>
  <c r="T8" i="29" s="1"/>
  <c r="T9" i="29" s="1"/>
  <c r="I32" i="18"/>
  <c r="H10" i="29"/>
  <c r="H12" i="29" s="1"/>
  <c r="L10" i="29"/>
  <c r="L12" i="29" s="1"/>
  <c r="M10" i="29"/>
  <c r="M12" i="29" s="1"/>
  <c r="H8" i="30"/>
  <c r="G6" i="29"/>
  <c r="G8" i="29" s="1"/>
  <c r="G9" i="29" s="1"/>
  <c r="G10" i="29" s="1"/>
  <c r="G12" i="29" s="1"/>
  <c r="Z24" i="18"/>
  <c r="Z23" i="18"/>
  <c r="Z26" i="18"/>
  <c r="Z25" i="18"/>
  <c r="U11" i="30" l="1"/>
  <c r="G9" i="30"/>
  <c r="H9" i="30" s="1"/>
  <c r="I9" i="30" s="1"/>
  <c r="I8" i="30"/>
  <c r="C8" i="31" s="1"/>
  <c r="T12" i="29"/>
  <c r="T10" i="29"/>
  <c r="V36" i="30"/>
  <c r="V11" i="30"/>
  <c r="V12" i="30" s="1"/>
  <c r="V13" i="30" s="1"/>
  <c r="V14" i="30" s="1"/>
  <c r="V15" i="30" s="1"/>
  <c r="V16" i="30" s="1"/>
  <c r="V21" i="30"/>
  <c r="V27" i="30"/>
  <c r="V28" i="30"/>
  <c r="V17" i="30"/>
  <c r="V22" i="30"/>
  <c r="V19" i="30"/>
  <c r="V25" i="30"/>
  <c r="V23" i="30"/>
  <c r="V33" i="30"/>
  <c r="V35" i="30"/>
  <c r="V18" i="30"/>
  <c r="V29" i="30"/>
  <c r="V34" i="30"/>
  <c r="V26" i="30"/>
  <c r="V30" i="30"/>
  <c r="V31" i="30"/>
  <c r="V20" i="30"/>
  <c r="V24" i="30"/>
  <c r="V32" i="30"/>
  <c r="H13" i="30"/>
  <c r="H14" i="30" s="1"/>
  <c r="Q6" i="29"/>
  <c r="Q8" i="29" s="1"/>
  <c r="Q9" i="29" s="1"/>
  <c r="G32" i="18"/>
  <c r="I37" i="18" s="1"/>
  <c r="I41" i="18" s="1"/>
  <c r="H37" i="18"/>
  <c r="H41" i="18" s="1"/>
  <c r="G37" i="18"/>
  <c r="Q10" i="29" l="1"/>
  <c r="Q12" i="29" s="1"/>
  <c r="J37" i="18"/>
  <c r="J41" i="18" s="1"/>
  <c r="U12" i="30"/>
  <c r="M11" i="30"/>
  <c r="G51" i="18"/>
  <c r="H51" i="18" s="1"/>
  <c r="H52" i="18" s="1"/>
  <c r="G41" i="18"/>
  <c r="N11" i="30" l="1"/>
  <c r="O11" i="30" s="1"/>
  <c r="S11" i="30" s="1"/>
  <c r="P11" i="30"/>
  <c r="Q11" i="30" s="1"/>
  <c r="U13" i="30"/>
  <c r="M12" i="30"/>
  <c r="N8" i="9"/>
  <c r="P10" i="9"/>
  <c r="O18" i="9"/>
  <c r="J8" i="9"/>
  <c r="I8" i="9"/>
  <c r="I19" i="9"/>
  <c r="H19" i="9"/>
  <c r="K8" i="9" s="1"/>
  <c r="U14" i="30" l="1"/>
  <c r="M13" i="30"/>
  <c r="P12" i="30"/>
  <c r="Q12" i="30" s="1"/>
  <c r="N12" i="30"/>
  <c r="O12" i="30" s="1"/>
  <c r="S12" i="30" s="1"/>
  <c r="H8" i="9"/>
  <c r="N13" i="30" l="1"/>
  <c r="O13" i="30" s="1"/>
  <c r="S13" i="30" s="1"/>
  <c r="P13" i="30"/>
  <c r="Q13" i="30" s="1"/>
  <c r="U15" i="30"/>
  <c r="M14" i="30"/>
  <c r="P14" i="30" l="1"/>
  <c r="Q14" i="30" s="1"/>
  <c r="N14" i="30"/>
  <c r="O14" i="30" s="1"/>
  <c r="S14" i="30" s="1"/>
  <c r="U16" i="30"/>
  <c r="M15" i="30"/>
  <c r="U17" i="30" l="1"/>
  <c r="M16" i="30"/>
  <c r="N15" i="30"/>
  <c r="O15" i="30" s="1"/>
  <c r="S15" i="30" s="1"/>
  <c r="P15" i="30"/>
  <c r="Q15" i="30" s="1"/>
  <c r="N16" i="30" l="1"/>
  <c r="O16" i="30" s="1"/>
  <c r="S16" i="30" s="1"/>
  <c r="P16" i="30"/>
  <c r="Q16" i="30" s="1"/>
  <c r="U18" i="30"/>
  <c r="M17" i="30"/>
  <c r="P17" i="30" l="1"/>
  <c r="Q17" i="30" s="1"/>
  <c r="N17" i="30"/>
  <c r="O17" i="30" s="1"/>
  <c r="S17" i="30" s="1"/>
  <c r="M18" i="30"/>
  <c r="U19" i="30"/>
  <c r="U20" i="30" l="1"/>
  <c r="M19" i="30"/>
  <c r="N18" i="30"/>
  <c r="O18" i="30" s="1"/>
  <c r="S18" i="30" s="1"/>
  <c r="P18" i="30"/>
  <c r="Q18" i="30" s="1"/>
  <c r="P19" i="30" l="1"/>
  <c r="Q19" i="30" s="1"/>
  <c r="N19" i="30"/>
  <c r="O19" i="30" s="1"/>
  <c r="S19" i="30" s="1"/>
  <c r="U21" i="30"/>
  <c r="M20" i="30"/>
  <c r="P20" i="30" l="1"/>
  <c r="Q20" i="30" s="1"/>
  <c r="N20" i="30"/>
  <c r="O20" i="30" s="1"/>
  <c r="S20" i="30" s="1"/>
  <c r="U22" i="30"/>
  <c r="M21" i="30"/>
  <c r="P21" i="30" l="1"/>
  <c r="Q21" i="30" s="1"/>
  <c r="N21" i="30"/>
  <c r="O21" i="30" s="1"/>
  <c r="S21" i="30" s="1"/>
  <c r="M22" i="30"/>
  <c r="U23" i="30"/>
  <c r="U24" i="30" l="1"/>
  <c r="M23" i="30"/>
  <c r="N22" i="30"/>
  <c r="O22" i="30" s="1"/>
  <c r="S22" i="30" s="1"/>
  <c r="P22" i="30"/>
  <c r="Q22" i="30" s="1"/>
  <c r="P23" i="30" l="1"/>
  <c r="Q23" i="30" s="1"/>
  <c r="N23" i="30"/>
  <c r="O23" i="30" s="1"/>
  <c r="S23" i="30" s="1"/>
  <c r="U25" i="30"/>
  <c r="M24" i="30"/>
  <c r="N24" i="30" l="1"/>
  <c r="O24" i="30" s="1"/>
  <c r="S24" i="30" s="1"/>
  <c r="P24" i="30"/>
  <c r="Q24" i="30" s="1"/>
  <c r="U26" i="30"/>
  <c r="M25" i="30"/>
  <c r="M26" i="30" l="1"/>
  <c r="U27" i="30"/>
  <c r="P25" i="30"/>
  <c r="Q25" i="30" s="1"/>
  <c r="N25" i="30"/>
  <c r="O25" i="30" s="1"/>
  <c r="S25" i="30" s="1"/>
  <c r="U28" i="30" l="1"/>
  <c r="M27" i="30"/>
  <c r="N26" i="30"/>
  <c r="O26" i="30" s="1"/>
  <c r="S26" i="30" s="1"/>
  <c r="P26" i="30"/>
  <c r="Q26" i="30" s="1"/>
  <c r="P27" i="30" l="1"/>
  <c r="Q27" i="30" s="1"/>
  <c r="N27" i="30"/>
  <c r="O27" i="30" s="1"/>
  <c r="S27" i="30" s="1"/>
  <c r="U29" i="30"/>
  <c r="M28" i="30"/>
  <c r="M29" i="30" l="1"/>
  <c r="U30" i="30"/>
  <c r="P28" i="30"/>
  <c r="Q28" i="30" s="1"/>
  <c r="N28" i="30"/>
  <c r="O28" i="30" s="1"/>
  <c r="S28" i="30" s="1"/>
  <c r="M30" i="30" l="1"/>
  <c r="U31" i="30"/>
  <c r="N29" i="30"/>
  <c r="O29" i="30" s="1"/>
  <c r="S29" i="30" s="1"/>
  <c r="P29" i="30"/>
  <c r="Q29" i="30" s="1"/>
  <c r="M31" i="30" l="1"/>
  <c r="U32" i="30"/>
  <c r="P30" i="30"/>
  <c r="Q30" i="30" s="1"/>
  <c r="N30" i="30"/>
  <c r="O30" i="30" s="1"/>
  <c r="S30" i="30" s="1"/>
  <c r="U33" i="30" l="1"/>
  <c r="M32" i="30"/>
  <c r="N31" i="30"/>
  <c r="O31" i="30" s="1"/>
  <c r="S31" i="30" s="1"/>
  <c r="P31" i="30"/>
  <c r="Q31" i="30" s="1"/>
  <c r="P32" i="30" l="1"/>
  <c r="Q32" i="30" s="1"/>
  <c r="N32" i="30"/>
  <c r="O32" i="30" s="1"/>
  <c r="S32" i="30" s="1"/>
  <c r="U34" i="30"/>
  <c r="M33" i="30"/>
  <c r="M34" i="30" l="1"/>
  <c r="U35" i="30"/>
  <c r="P33" i="30"/>
  <c r="Q33" i="30" s="1"/>
  <c r="N33" i="30"/>
  <c r="O33" i="30" s="1"/>
  <c r="S33" i="30" s="1"/>
  <c r="U36" i="30" l="1"/>
  <c r="M36" i="30" s="1"/>
  <c r="M35" i="30"/>
  <c r="N34" i="30"/>
  <c r="O34" i="30" s="1"/>
  <c r="S34" i="30" s="1"/>
  <c r="P34" i="30"/>
  <c r="Q34" i="30" s="1"/>
  <c r="N35" i="30" l="1"/>
  <c r="O35" i="30" s="1"/>
  <c r="S35" i="30" s="1"/>
  <c r="P35" i="30"/>
  <c r="Q35" i="30" s="1"/>
  <c r="P36" i="30"/>
  <c r="Q36" i="30" s="1"/>
  <c r="N36" i="30"/>
  <c r="O36" i="30" s="1"/>
  <c r="S36" i="30" s="1"/>
</calcChain>
</file>

<file path=xl/sharedStrings.xml><?xml version="1.0" encoding="utf-8"?>
<sst xmlns="http://schemas.openxmlformats.org/spreadsheetml/2006/main" count="800" uniqueCount="455">
  <si>
    <t>% of Natural Gas that is Methane at delivery point</t>
  </si>
  <si>
    <t>lbs</t>
  </si>
  <si>
    <t>Grams g</t>
  </si>
  <si>
    <t>Metric Ton MT</t>
  </si>
  <si>
    <t>Ton</t>
  </si>
  <si>
    <t>EIA</t>
  </si>
  <si>
    <t>Mcf NatGas</t>
  </si>
  <si>
    <t>mmbtu NatGas</t>
  </si>
  <si>
    <t>https://www.eia.gov/tools/faqs/faq.php?id=45&amp;t=8</t>
  </si>
  <si>
    <t>mmbtu</t>
  </si>
  <si>
    <t>Workbook Contents</t>
  </si>
  <si>
    <t>U.S. Natural Gas Gross Withdrawals and Production</t>
  </si>
  <si>
    <t>U.S. Natural Gas Gross Withdrawals (MMcf)</t>
  </si>
  <si>
    <t>U.S. Natural Gas Gross Withdrawals from Gas Wells (MMcf)</t>
  </si>
  <si>
    <t>U.S. Natural Gas Gross Withdrawals from Oil Wells (MMcf)</t>
  </si>
  <si>
    <t>U.S. Natural Gas Gross Withdrawals from Shale Gas (Million Cubic Feet)</t>
  </si>
  <si>
    <t>U.S. Natural Gas Gross Withdrawals from Coalbed Wells (MMcf)</t>
  </si>
  <si>
    <t>U.S. Natural Gas Repressuring (MMcf)</t>
  </si>
  <si>
    <t>U.S. Natural Gas Vented and Flared (MMcf)</t>
  </si>
  <si>
    <t>U.S. Nonhydrocarbon Gases Removed from Natural Gas (MMcf)</t>
  </si>
  <si>
    <t>U.S. Natural Gas Marketed Production (MMcf)</t>
  </si>
  <si>
    <t>Click worksheet name or tab at bottom for data</t>
  </si>
  <si>
    <t>Worksheet Name</t>
  </si>
  <si>
    <t>Description</t>
  </si>
  <si>
    <t># Of Series</t>
  </si>
  <si>
    <t>Frequency</t>
  </si>
  <si>
    <t>Latest Data for</t>
  </si>
  <si>
    <t>Data 1</t>
  </si>
  <si>
    <t>Annual</t>
  </si>
  <si>
    <t>Release Date:</t>
  </si>
  <si>
    <t>1/31/2020</t>
  </si>
  <si>
    <t>Next Release Date:</t>
  </si>
  <si>
    <t>2/28/2020</t>
  </si>
  <si>
    <t>Excel File Name:</t>
  </si>
  <si>
    <t>ng_prod_sum_dc_nus_mmcf_a.xls</t>
  </si>
  <si>
    <t>Available from Web Page:</t>
  </si>
  <si>
    <t>http://www.eia.gov/dnav/ng/ng_prod_sum_dc_nus_mmcf_a.htm</t>
  </si>
  <si>
    <t>Source:</t>
  </si>
  <si>
    <t>Energy Information Administration</t>
  </si>
  <si>
    <t>For Help, Contact:</t>
  </si>
  <si>
    <t>infoctr@eia.gov</t>
  </si>
  <si>
    <t>(202) 586-8800</t>
  </si>
  <si>
    <t>1/30/2020 9:10:51 PM</t>
  </si>
  <si>
    <t>U.S. Natural Gas Total Consumption (MMcf)</t>
  </si>
  <si>
    <t>U.S. Natural Gas Lease and Plant Fuel Consumption (MMcf)</t>
  </si>
  <si>
    <t>U.S. Natural Gas Lease Fuel Consumption (MMcf)</t>
  </si>
  <si>
    <t>U.S. Natural Gas Plant Fuel Consumption (MMcf)</t>
  </si>
  <si>
    <t>U.S. Natural Gas Pipeline &amp; Distribution Use (MMcf)</t>
  </si>
  <si>
    <t>Natural Gas Delivered to Consumers in the U.S. (MMcf)</t>
  </si>
  <si>
    <t>U.S. Natural Gas Consumption by End Use</t>
  </si>
  <si>
    <t>ng_cons_sum_dcu_nus_a.xls</t>
  </si>
  <si>
    <t>http://www.eia.gov/dnav/ng/ng_cons_sum_dcu_nus_a.htm</t>
  </si>
  <si>
    <t>1/30/2020 8:59:40 PM</t>
  </si>
  <si>
    <t>Range(+)</t>
  </si>
  <si>
    <t>Range(-)</t>
  </si>
  <si>
    <t>Tg per year</t>
  </si>
  <si>
    <t>Ref - Table 1 page 187</t>
  </si>
  <si>
    <t>Segment</t>
  </si>
  <si>
    <t>EDF</t>
  </si>
  <si>
    <t>Production</t>
  </si>
  <si>
    <t>Gathering</t>
  </si>
  <si>
    <t>Processing</t>
  </si>
  <si>
    <t>Tr &amp; Stor</t>
  </si>
  <si>
    <t>Local Dist</t>
  </si>
  <si>
    <t>Oil refining &amp; transp</t>
  </si>
  <si>
    <t>Total</t>
  </si>
  <si>
    <t>Pos</t>
  </si>
  <si>
    <t>Neg</t>
  </si>
  <si>
    <t>EPA GHGI</t>
  </si>
  <si>
    <t>Total Tg</t>
  </si>
  <si>
    <t>Total Tg (excluding distribution segment)</t>
  </si>
  <si>
    <t>Assessment of methane emissions from the U.S. oil and gas supply chain
Science, 13 July 2018
Ramon A. Alvarez, et all</t>
  </si>
  <si>
    <t>Inventory of U.S. Greenhouse Gas Emissions and Sinks</t>
  </si>
  <si>
    <r>
      <t>Estimate of CH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emissions from the Oil/Natural Gas supply chain in </t>
    </r>
    <r>
      <rPr>
        <b/>
        <sz val="10"/>
        <color theme="1"/>
        <rFont val="Arial"/>
        <family val="2"/>
      </rPr>
      <t>2015</t>
    </r>
    <r>
      <rPr>
        <sz val="10"/>
        <color theme="1"/>
        <rFont val="Arial"/>
        <family val="2"/>
      </rPr>
      <t xml:space="preserve"> in trillion grams (Tg)</t>
    </r>
  </si>
  <si>
    <t>Environmental Defense Fund Organized Studies</t>
  </si>
  <si>
    <t>NETL &amp; Carnegie Mellon Life Cycle Model Study</t>
  </si>
  <si>
    <t>Synthesis of recent ground-level methane emission measurements from the U.S. natural gas supply chain
Journal of Cleaner Production
James A. Littlefield, ect all</t>
  </si>
  <si>
    <r>
      <t>Estimate of CH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emissions from the Natural Gas supply chain in </t>
    </r>
    <r>
      <rPr>
        <b/>
        <sz val="10"/>
        <color theme="1"/>
        <rFont val="Arial"/>
        <family val="2"/>
      </rPr>
      <t>2012</t>
    </r>
    <r>
      <rPr>
        <sz val="10"/>
        <color theme="1"/>
        <rFont val="Arial"/>
        <family val="2"/>
      </rPr>
      <t xml:space="preserve"> in trillion grams (Tg)</t>
    </r>
  </si>
  <si>
    <t>2012 delivered natural gas</t>
  </si>
  <si>
    <t>trillion MJ</t>
  </si>
  <si>
    <t>Upstream NG CH4 emissions per unit of delivered NG and scale to annual inventory basis</t>
  </si>
  <si>
    <t>g CH4 per MJ NG delivered</t>
  </si>
  <si>
    <t>2012 Gg CH4</t>
  </si>
  <si>
    <t>EPA 2012</t>
  </si>
  <si>
    <t>EPA 2012 net of condensate tanks</t>
  </si>
  <si>
    <t>Ref-S13 page S35, S38</t>
  </si>
  <si>
    <t>Transmission &amp; Storage</t>
  </si>
  <si>
    <t>Distribution</t>
  </si>
  <si>
    <t>95% CI (+,-)</t>
  </si>
  <si>
    <t>% of methane that is emitted (as a percentage of methane delivered)
ref - page 118</t>
  </si>
  <si>
    <t>Global Warming Potentials (GWP)</t>
  </si>
  <si>
    <t>5th Assessment of the Intergovernmental Panel on Climate Change</t>
  </si>
  <si>
    <t>https://www.c2es.org/content/ipcc-fifth-assessment-report/</t>
  </si>
  <si>
    <t>Natural Gas
Fuel Emission Factors at the Point of Generation by GHG</t>
  </si>
  <si>
    <t>EPA published emission factors (from eGrid)
for pipeline natural gas</t>
  </si>
  <si>
    <t>https://www.epa.gov/energy/emissions-generation-resource-integrated-database-egrid</t>
  </si>
  <si>
    <t>GWP - 100 year</t>
  </si>
  <si>
    <t>GWP - 20 year</t>
  </si>
  <si>
    <r>
      <t>CO</t>
    </r>
    <r>
      <rPr>
        <vertAlign val="subscript"/>
        <sz val="10"/>
        <color theme="1"/>
        <rFont val="Arial"/>
        <family val="2"/>
      </rPr>
      <t>2</t>
    </r>
  </si>
  <si>
    <t>ton/mmbtu</t>
  </si>
  <si>
    <r>
      <t>CH</t>
    </r>
    <r>
      <rPr>
        <vertAlign val="subscript"/>
        <sz val="10"/>
        <color theme="1"/>
        <rFont val="Arial"/>
        <family val="2"/>
      </rPr>
      <t>4</t>
    </r>
  </si>
  <si>
    <t>lbs/mmbtu</t>
  </si>
  <si>
    <r>
      <t>N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O</t>
    </r>
  </si>
  <si>
    <t>lb/mmbtu</t>
  </si>
  <si>
    <t>1)</t>
  </si>
  <si>
    <t>2)</t>
  </si>
  <si>
    <t>3)</t>
  </si>
  <si>
    <t>mcf</t>
  </si>
  <si>
    <t>Metric Ton CH4 in 1 Mcf of CH4</t>
  </si>
  <si>
    <t>lb/mcf</t>
  </si>
  <si>
    <t>g/mcf</t>
  </si>
  <si>
    <t>g/mmbtu</t>
  </si>
  <si>
    <t>4)</t>
  </si>
  <si>
    <r>
      <t>L</t>
    </r>
    <r>
      <rPr>
        <b/>
        <vertAlign val="subscript"/>
        <sz val="10"/>
        <color theme="1"/>
        <rFont val="Arial"/>
        <family val="2"/>
      </rPr>
      <t>d</t>
    </r>
  </si>
  <si>
    <t>5)</t>
  </si>
  <si>
    <r>
      <t>lb CH</t>
    </r>
    <r>
      <rPr>
        <b/>
        <vertAlign val="subscript"/>
        <sz val="10"/>
        <color theme="1"/>
        <rFont val="Arial"/>
        <family val="2"/>
      </rPr>
      <t>4</t>
    </r>
    <r>
      <rPr>
        <b/>
        <sz val="10"/>
        <color theme="1"/>
        <rFont val="Arial"/>
        <family val="2"/>
      </rPr>
      <t>/mmbtu</t>
    </r>
  </si>
  <si>
    <r>
      <t>lb CH</t>
    </r>
    <r>
      <rPr>
        <b/>
        <vertAlign val="subscript"/>
        <sz val="10"/>
        <color theme="1"/>
        <rFont val="Arial"/>
        <family val="2"/>
      </rPr>
      <t>4</t>
    </r>
    <r>
      <rPr>
        <b/>
        <sz val="10"/>
        <color theme="1"/>
        <rFont val="Arial"/>
        <family val="2"/>
      </rPr>
      <t>/mcf</t>
    </r>
  </si>
  <si>
    <t>6)</t>
  </si>
  <si>
    <t xml:space="preserve">this is the % loss or emission of methane in the supply chain as a function of the amount of methane that is delivered.  </t>
  </si>
  <si>
    <r>
      <t>mcf of CH</t>
    </r>
    <r>
      <rPr>
        <b/>
        <vertAlign val="subscript"/>
        <sz val="10"/>
        <color theme="1"/>
        <rFont val="Arial"/>
        <family val="2"/>
      </rPr>
      <t>4</t>
    </r>
  </si>
  <si>
    <r>
      <t>% CH</t>
    </r>
    <r>
      <rPr>
        <b/>
        <vertAlign val="subscript"/>
        <sz val="10"/>
        <color theme="1"/>
        <rFont val="Arial"/>
        <family val="2"/>
      </rPr>
      <t>4</t>
    </r>
  </si>
  <si>
    <r>
      <t>g CH</t>
    </r>
    <r>
      <rPr>
        <b/>
        <vertAlign val="subscript"/>
        <sz val="10"/>
        <color theme="1"/>
        <rFont val="Arial"/>
        <family val="2"/>
      </rPr>
      <t>4</t>
    </r>
    <r>
      <rPr>
        <b/>
        <sz val="10"/>
        <color theme="1"/>
        <rFont val="Arial"/>
        <family val="2"/>
      </rPr>
      <t>/mmbtu</t>
    </r>
  </si>
  <si>
    <r>
      <t>g CH</t>
    </r>
    <r>
      <rPr>
        <b/>
        <vertAlign val="subscript"/>
        <sz val="10"/>
        <color theme="1"/>
        <rFont val="Arial"/>
        <family val="2"/>
      </rPr>
      <t>4</t>
    </r>
    <r>
      <rPr>
        <b/>
        <sz val="10"/>
        <color theme="1"/>
        <rFont val="Arial"/>
        <family val="2"/>
      </rPr>
      <t>/mcf</t>
    </r>
  </si>
  <si>
    <r>
      <t>lb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e/mmbtu</t>
    </r>
  </si>
  <si>
    <r>
      <t>lb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e/mcf</t>
    </r>
  </si>
  <si>
    <r>
      <t>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e/mmbtu</t>
    </r>
  </si>
  <si>
    <r>
      <t>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e/mcf</t>
    </r>
  </si>
  <si>
    <t>Assessment of methane emissions from the U.S. oil and gas supply chain
Science, 13 July 2018
Ramon A. Alvarez, et all</t>
  </si>
  <si>
    <t>Environmental Defense Fund Coordinated Studies</t>
  </si>
  <si>
    <t>Estimate</t>
  </si>
  <si>
    <t>Low</t>
  </si>
  <si>
    <t>High</t>
  </si>
  <si>
    <t>Mmcf</t>
  </si>
  <si>
    <t>Estimate of delivered methane in Tg - historic</t>
  </si>
  <si>
    <t>calculated from EIA reported natural gas deliveries</t>
  </si>
  <si>
    <t>Methane Studies: calculated methane loss percentages
% of delivered methane that is emitted upstream: L</t>
  </si>
  <si>
    <t xml:space="preserve">7) </t>
  </si>
  <si>
    <t>Combustion</t>
  </si>
  <si>
    <t>Upstream</t>
  </si>
  <si>
    <t>lb GHG/mmbtu</t>
  </si>
  <si>
    <t>Total Combustion</t>
  </si>
  <si>
    <t xml:space="preserve">Total  </t>
  </si>
  <si>
    <t>8)</t>
  </si>
  <si>
    <r>
      <t>Upstream Methane Emission Rate Factor as a function of L</t>
    </r>
    <r>
      <rPr>
        <vertAlign val="subscript"/>
        <sz val="10"/>
        <color theme="1"/>
        <rFont val="Arial"/>
        <family val="2"/>
      </rPr>
      <t>d</t>
    </r>
  </si>
  <si>
    <r>
      <t>L</t>
    </r>
    <r>
      <rPr>
        <b/>
        <vertAlign val="subscript"/>
        <sz val="10"/>
        <color rgb="FFC00000"/>
        <rFont val="Arial"/>
        <family val="2"/>
      </rPr>
      <t>d</t>
    </r>
  </si>
  <si>
    <t>unit of delivered natural gas - 1 mmbtu &amp; mcf equivalent</t>
  </si>
  <si>
    <t>Assumption on the % of the delivered gas that is methane</t>
  </si>
  <si>
    <r>
      <t xml:space="preserve"> Methane Loss Rate - L</t>
    </r>
    <r>
      <rPr>
        <vertAlign val="subscript"/>
        <sz val="10"/>
        <color theme="1"/>
        <rFont val="Arial"/>
        <family val="2"/>
      </rPr>
      <t>d</t>
    </r>
  </si>
  <si>
    <t xml:space="preserve">this is the % loss (emission) of methane in the supply chain as a function of the amount of methane that is delivered.  </t>
  </si>
  <si>
    <t>The loss rate assumption is derived from the methane emission studies - these studies provide an esimate of overall methane emissions in Tg - the loss rate is calculated by dividing this amount by the estimate of total methane that was delivered</t>
  </si>
  <si>
    <t>Calculation of the methane emission factor</t>
  </si>
  <si>
    <t>this sets the amount of upstream methane emitted per unit of natural gas consumed at the delivery point</t>
  </si>
  <si>
    <r>
      <t>Calculation of the methane emission rate factor in Carbon Dioxide Equivalents (CO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e)</t>
    </r>
  </si>
  <si>
    <t>100 year Global Warming Potential (GWP)</t>
  </si>
  <si>
    <r>
      <t>Fuel Emission Rates in
lbs GHG per unit of natural gas combusted
in lbs &amp;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lbs - 100 year GWP</t>
    </r>
  </si>
  <si>
    <r>
      <t>Calculation of the amount of methane</t>
    </r>
    <r>
      <rPr>
        <vertAlign val="sub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in a delivered unit of natural gas gas</t>
    </r>
  </si>
  <si>
    <t>EDF Studies (2015 emission year)</t>
  </si>
  <si>
    <t>NETL/CM (2012 emission year)</t>
  </si>
  <si>
    <t>Range (High-Low)</t>
  </si>
  <si>
    <r>
      <t xml:space="preserve">Methane Leak </t>
    </r>
    <r>
      <rPr>
        <b/>
        <sz val="10"/>
        <color theme="1"/>
        <rFont val="Arial"/>
        <family val="2"/>
      </rPr>
      <t>L</t>
    </r>
    <r>
      <rPr>
        <b/>
        <vertAlign val="subscript"/>
        <sz val="10"/>
        <color theme="1"/>
        <rFont val="Arial"/>
        <family val="2"/>
      </rPr>
      <t>d</t>
    </r>
    <r>
      <rPr>
        <sz val="10"/>
        <color theme="1"/>
        <rFont val="Arial"/>
        <family val="2"/>
      </rPr>
      <t xml:space="preserve"> % is calculated by dividing the study scaled-up estimate of methane emissions in Tg by the estimate of historically delivered methane in Tg</t>
    </r>
  </si>
  <si>
    <t>Estimate
%</t>
  </si>
  <si>
    <t>Low
%</t>
  </si>
  <si>
    <t>High
%</t>
  </si>
  <si>
    <t>2015 Upstream Methane Emissions (Tg)</t>
  </si>
  <si>
    <t>2012 Upstream Methane Emissions (Tg)</t>
  </si>
  <si>
    <t>Historic Natural Gas Deliveries by year - from the EIA</t>
  </si>
  <si>
    <t>Coal</t>
  </si>
  <si>
    <t>Btu/lb</t>
  </si>
  <si>
    <t>Power River Basin</t>
  </si>
  <si>
    <t>lb</t>
  </si>
  <si>
    <t>unit of delivered coal - 1 mmbtu &amp; lb equivalent</t>
  </si>
  <si>
    <t>lb of coal produced per mmbtu delivered</t>
  </si>
  <si>
    <t>Assumed Coal Loss % to delivery point</t>
  </si>
  <si>
    <t>https://www.usea.org/sites/default/files/122012_Losses%20in%20the%20coal%20supply%20chain_ccc212.pdf</t>
  </si>
  <si>
    <r>
      <t>lb CH</t>
    </r>
    <r>
      <rPr>
        <b/>
        <vertAlign val="subscript"/>
        <sz val="10"/>
        <color theme="1"/>
        <rFont val="Arial"/>
        <family val="2"/>
      </rPr>
      <t>4</t>
    </r>
    <r>
      <rPr>
        <b/>
        <sz val="10"/>
        <color theme="1"/>
        <rFont val="Arial"/>
        <family val="2"/>
      </rPr>
      <t xml:space="preserve"> per lb of coal mined</t>
    </r>
  </si>
  <si>
    <r>
      <t>Methane emissions from coal mining (lb of  CH</t>
    </r>
    <r>
      <rPr>
        <vertAlign val="subscript"/>
        <sz val="10"/>
        <color theme="1"/>
        <rFont val="Arial"/>
        <family val="2"/>
      </rPr>
      <t xml:space="preserve">4 </t>
    </r>
    <r>
      <rPr>
        <sz val="10"/>
        <color theme="1"/>
        <rFont val="Arial"/>
        <family val="2"/>
      </rPr>
      <t>released per lb of coal mined)</t>
    </r>
  </si>
  <si>
    <t>EPA
Coal Mine Methane Release Rate for PRB
(scf of methane/ton of coal)</t>
  </si>
  <si>
    <t>Upstream methane emissions per mmbtu coal delivered</t>
  </si>
  <si>
    <r>
      <t>lb CH</t>
    </r>
    <r>
      <rPr>
        <b/>
        <vertAlign val="subscript"/>
        <sz val="10"/>
        <color theme="1"/>
        <rFont val="Arial"/>
        <family val="2"/>
      </rPr>
      <t>4</t>
    </r>
    <r>
      <rPr>
        <b/>
        <sz val="10"/>
        <color theme="1"/>
        <rFont val="Arial"/>
        <family val="2"/>
      </rPr>
      <t xml:space="preserve"> per mmbtu of coal delivered</t>
    </r>
  </si>
  <si>
    <r>
      <t>Fuel Emission Rates in
lbs GHG per unit of coal combusted
in lbs &amp;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lbs - 100 year GWP</t>
    </r>
  </si>
  <si>
    <t>Coal
Fuel Emission Factors at the Point of Generation by GHG</t>
  </si>
  <si>
    <t>EPA published emission factors (from eGrid)
for subbit coal</t>
  </si>
  <si>
    <t>Fuel Emission Rates in
lbs GHG per unit of natural gas combusted</t>
  </si>
  <si>
    <t>Greenhouse Gas</t>
  </si>
  <si>
    <t>Carbon Dioxide Equivalents</t>
  </si>
  <si>
    <t>Natural Gas</t>
  </si>
  <si>
    <t>With EPA estimate for PRB surface mining methane releases</t>
  </si>
  <si>
    <r>
      <t xml:space="preserve">Preindustrial </t>
    </r>
    <r>
      <rPr>
        <vertAlign val="superscript"/>
        <sz val="10"/>
        <color theme="1"/>
        <rFont val="Arial"/>
        <family val="2"/>
      </rPr>
      <t>14</t>
    </r>
    <r>
      <rPr>
        <sz val="10"/>
        <color theme="1"/>
        <rFont val="Arial"/>
        <family val="2"/>
      </rPr>
      <t>CH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indicates greater anthropogenic fossil CH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emissions
Benjamin Hmiel et al</t>
    </r>
  </si>
  <si>
    <t>Current Global fossil methane emissions per year - from emission inventories</t>
  </si>
  <si>
    <t>Total Fossil CH4 emissions - Tg</t>
  </si>
  <si>
    <t>Naturally occurring CH4 emissions - Tg</t>
  </si>
  <si>
    <t>Anthropogenic Fossil Emissions</t>
  </si>
  <si>
    <t>Study estimates of naturally occurring CH4 emissions</t>
  </si>
  <si>
    <t>Delta to emission inventories - Anthropogenic Fossil Emissions</t>
  </si>
  <si>
    <t>% Increase in estimate for anthropogenic fossil methane emissions</t>
  </si>
  <si>
    <t>Study estimates of anthropogenic fossil methane emissions from 2003 to 2012 (per year)</t>
  </si>
  <si>
    <t>Estimate - Tg</t>
  </si>
  <si>
    <t>Low - Tg</t>
  </si>
  <si>
    <t>High - Tg</t>
  </si>
  <si>
    <t>Bottoms up inventory estimates for anthropogenic fossil methane emissions from 2003 to 2012 (per year)</t>
  </si>
  <si>
    <t>Delta</t>
  </si>
  <si>
    <t>% Higher</t>
  </si>
  <si>
    <r>
      <t>L</t>
    </r>
    <r>
      <rPr>
        <vertAlign val="subscript"/>
        <sz val="10"/>
        <color theme="1"/>
        <rFont val="Arial"/>
        <family val="2"/>
      </rPr>
      <t>d</t>
    </r>
    <r>
      <rPr>
        <sz val="10"/>
        <color theme="1"/>
        <rFont val="Arial"/>
        <family val="2"/>
      </rPr>
      <t xml:space="preserve"> %
percent of methane leakedas a function of methane delivered</t>
    </r>
  </si>
  <si>
    <t>Upstream methane emission rate (lb/mmbtu)</t>
  </si>
  <si>
    <t>Total Natural Gas delivered emission rate (lb CO2e/mmbtu)</t>
  </si>
  <si>
    <r>
      <t>L</t>
    </r>
    <r>
      <rPr>
        <b/>
        <vertAlign val="subscript"/>
        <sz val="10"/>
        <color theme="1"/>
        <rFont val="Arial"/>
        <family val="2"/>
      </rPr>
      <t>d</t>
    </r>
    <r>
      <rPr>
        <b/>
        <sz val="10"/>
        <color theme="1"/>
        <rFont val="Arial"/>
        <family val="2"/>
      </rPr>
      <t xml:space="preserve"> %</t>
    </r>
  </si>
  <si>
    <r>
      <t>Upstream methane emission rate (lb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e/mmbtu)</t>
    </r>
  </si>
  <si>
    <t>Study Result</t>
  </si>
  <si>
    <t>1-MethaneCalculator_NG</t>
  </si>
  <si>
    <t>Worksheets</t>
  </si>
  <si>
    <t>2-MethaneCalculator_Coal</t>
  </si>
  <si>
    <t>4-FuelEmissionRates_Proposed</t>
  </si>
  <si>
    <t>5-MethaneEmissionStudies</t>
  </si>
  <si>
    <t>Upstream methane emission rate calculator for Natural Gas</t>
  </si>
  <si>
    <t>Upstream methane emission rate calculator for Coal</t>
  </si>
  <si>
    <t>Proposed rates</t>
  </si>
  <si>
    <t>Summary of emission rates by study</t>
  </si>
  <si>
    <t>Summary of recent emission studies</t>
  </si>
  <si>
    <t>Report</t>
  </si>
  <si>
    <t>WebLink</t>
  </si>
  <si>
    <t>Year</t>
  </si>
  <si>
    <t>https://www.epa.gov/ghgemissions/inventory-us-greenhouse-gas-emissions-and-sinks</t>
  </si>
  <si>
    <t>Draft U.S. Inventory of Greenhouse Gas Emissions and Sinks: 1990-2018</t>
  </si>
  <si>
    <t>Note</t>
  </si>
  <si>
    <t>Draft Doc - not yet final - did not review numbers</t>
  </si>
  <si>
    <t>https://www.epa.gov/ghgemissions/inventory-us-greenhouse-gas-emissions-and-sinks-1990-2017</t>
  </si>
  <si>
    <t>U.S. Inventory of Greenhouse Gas Emissions and Sinks: 1990-2017</t>
  </si>
  <si>
    <t>Units</t>
  </si>
  <si>
    <r>
      <t>MMT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</t>
    </r>
  </si>
  <si>
    <t>NG Sys</t>
  </si>
  <si>
    <t>Petro Sys</t>
  </si>
  <si>
    <t>Ab. Wells</t>
  </si>
  <si>
    <t>GWP Factor for Methane</t>
  </si>
  <si>
    <t>Data pulled from the Fast Facts Document</t>
  </si>
  <si>
    <t>Uncertainty</t>
  </si>
  <si>
    <t>Data from Annex Doc - page A-41</t>
  </si>
  <si>
    <t>Pos %</t>
  </si>
  <si>
    <t>Neg %</t>
  </si>
  <si>
    <t>NatGasSys</t>
  </si>
  <si>
    <t>Tg</t>
  </si>
  <si>
    <t>PetroSys</t>
  </si>
  <si>
    <t>NatGasSys High</t>
  </si>
  <si>
    <t>NatGasSys Low</t>
  </si>
  <si>
    <r>
      <t>Tg CH</t>
    </r>
    <r>
      <rPr>
        <vertAlign val="subscript"/>
        <sz val="10"/>
        <color theme="1"/>
        <rFont val="Arial"/>
        <family val="2"/>
      </rPr>
      <t>4</t>
    </r>
  </si>
  <si>
    <t>PetroSys High</t>
  </si>
  <si>
    <t>PetroSys Low</t>
  </si>
  <si>
    <t>AbWells</t>
  </si>
  <si>
    <t>O/NG</t>
  </si>
  <si>
    <t>O/NG High</t>
  </si>
  <si>
    <t>O/NG Low</t>
  </si>
  <si>
    <r>
      <t>Estimate of CH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emissions in </t>
    </r>
    <r>
      <rPr>
        <b/>
        <sz val="10"/>
        <color theme="1"/>
        <rFont val="Arial"/>
        <family val="2"/>
      </rPr>
      <t>2017</t>
    </r>
    <r>
      <rPr>
        <sz val="10"/>
        <color theme="1"/>
        <rFont val="Arial"/>
        <family val="2"/>
      </rPr>
      <t xml:space="preserve"> in trillion grams (Tg)</t>
    </r>
  </si>
  <si>
    <t>O/NG includes Natural Gas System, Petrolium System</t>
  </si>
  <si>
    <t>Oil&amp;NatGas
Total Tg</t>
  </si>
  <si>
    <t>High Range</t>
  </si>
  <si>
    <t>Natural Gas Sys Only Total TG</t>
  </si>
  <si>
    <t>2017 Upstream Methane Emissions (Tg)
NaturalGas&amp;Oil System</t>
  </si>
  <si>
    <t>2017 Upstream Methane Emissions (Tg)
NaturalGas Sys Only</t>
  </si>
  <si>
    <t>EPA (2017 emission year) NatGas&amp;Oil</t>
  </si>
  <si>
    <t>EPA (2017 emission year) NatGasSysOnly</t>
  </si>
  <si>
    <t>%</t>
  </si>
  <si>
    <t>EIA sourced historic gas deliveries</t>
  </si>
  <si>
    <t xml:space="preserve">Summary of EPA GreenhouseGasInventory Study </t>
  </si>
  <si>
    <t>7-Historic_NG_Delivered</t>
  </si>
  <si>
    <t>6-EPA GHGI</t>
  </si>
  <si>
    <t>3-StudyResults</t>
  </si>
  <si>
    <t>U.S. Inventory of Greenhouse Gas Emissions and Sinks:1990-2017</t>
  </si>
  <si>
    <t>Nature
Vol 598
20 February 2020</t>
  </si>
  <si>
    <t>IEA
Methane Tracker 2020</t>
  </si>
  <si>
    <t>https://www.iea.org/reports/methane-tracker-2020/interactive-country-and-regional-estimates#sources</t>
  </si>
  <si>
    <t>Emiissions - kt (k tons)</t>
  </si>
  <si>
    <t>Natural Gas System</t>
  </si>
  <si>
    <t>Oil System</t>
  </si>
  <si>
    <t>Oil&amp;NG Systemn</t>
  </si>
  <si>
    <t>2019 Methane Emissions in kt
Oil System</t>
  </si>
  <si>
    <t>2019 Methane Emissions in kt
Oil &amp; NG System</t>
  </si>
  <si>
    <t>IEA (2019 emission year) NatGas&amp;Oil</t>
  </si>
  <si>
    <t>IEA (2019 emission year) NatGasOnly</t>
  </si>
  <si>
    <t>2019 Methane Emissions in Tg
Natural Gas System</t>
  </si>
  <si>
    <t>EDF O/NG
High</t>
  </si>
  <si>
    <t>EDF
O/NG</t>
  </si>
  <si>
    <t>EDF 
O/NG
Low</t>
  </si>
  <si>
    <t>NETL/CMU 
NatGasOnly
High</t>
  </si>
  <si>
    <t>EPA 
O/NG 
High</t>
  </si>
  <si>
    <t>IEA
 O/NG</t>
  </si>
  <si>
    <t>EPA 
O/NG</t>
  </si>
  <si>
    <t>NETL/CMU 
NatGasOnly</t>
  </si>
  <si>
    <t>EPA NatGasOnly
 High</t>
  </si>
  <si>
    <t>IEA 
NatGasOnly</t>
  </si>
  <si>
    <t>EPA 
O/NG
Low</t>
  </si>
  <si>
    <t>EPA 
NatGasOnly</t>
  </si>
  <si>
    <t>NETL/CMU 
NatGasOnly
Low</t>
  </si>
  <si>
    <t>EPA 
NatGasOnly
 Low</t>
  </si>
  <si>
    <t>https://pscleanair.gov/460/Current-Permitting-Projects</t>
  </si>
  <si>
    <t>Puget Sound Energy Tacoma Liquefied Natural Gas (LNG) facility</t>
  </si>
  <si>
    <t>Puget Sound Clean Air Agency</t>
  </si>
  <si>
    <t>LCA Worksheet</t>
  </si>
  <si>
    <t>Ecology and Environment Inc
Life Cycle Associates LLC</t>
  </si>
  <si>
    <t>Upstream Methane Emissions</t>
  </si>
  <si>
    <t>g/mmbtu (LHV)</t>
  </si>
  <si>
    <t>GHGenius (BC inventory)</t>
  </si>
  <si>
    <t>GREET (NA invenotyr)</t>
  </si>
  <si>
    <t>Converted to HHV</t>
  </si>
  <si>
    <t>https://pse-irp.participate.online/</t>
  </si>
  <si>
    <t>2019 Puget Sound Energy IRP</t>
  </si>
  <si>
    <t>TAG #6 - May 29, 2019</t>
  </si>
  <si>
    <t>Slide 54 - 59</t>
  </si>
  <si>
    <t>Upstream Methane</t>
  </si>
  <si>
    <t>Upstream CO2</t>
  </si>
  <si>
    <t>from supporting LCA worksheet</t>
  </si>
  <si>
    <t>GREET (NA inventory)</t>
  </si>
  <si>
    <t>g of CH4 delivered per mmbtu of natural gas delivered</t>
  </si>
  <si>
    <r>
      <t>Estmated upstream Loss Rate - L</t>
    </r>
    <r>
      <rPr>
        <vertAlign val="subscript"/>
        <sz val="10"/>
        <color theme="1"/>
        <rFont val="Arial"/>
        <family val="2"/>
      </rPr>
      <t>d</t>
    </r>
  </si>
  <si>
    <t>% (based on LHV)</t>
  </si>
  <si>
    <t>% (based on HHV)</t>
  </si>
  <si>
    <t>Upstream CO2e</t>
  </si>
  <si>
    <t>Combustion CO2e</t>
  </si>
  <si>
    <t>Total CO2e</t>
  </si>
  <si>
    <t>Data related to BC &amp; NW I5 Corridor (PSE, Tacoma LNG, Kalama Methanol Plant Studies</t>
  </si>
  <si>
    <t>BC Sourced Gas from GHGenious</t>
  </si>
  <si>
    <t>US Rockies estimate from low estimate (EDF Studies) and BC estimates from LCA studies for Tacoma LNG and Kalama</t>
  </si>
  <si>
    <r>
      <t>Using a weighted estimate for the upstream methane loss rate L</t>
    </r>
    <r>
      <rPr>
        <b/>
        <vertAlign val="subscript"/>
        <sz val="10"/>
        <color theme="1"/>
        <rFont val="Arial"/>
        <family val="2"/>
      </rPr>
      <t>d</t>
    </r>
    <r>
      <rPr>
        <b/>
        <sz val="10"/>
        <color theme="1"/>
        <rFont val="Arial"/>
        <family val="2"/>
      </rPr>
      <t xml:space="preserve"> of 1.37
Assumes 65% of regional gas is from BC (L</t>
    </r>
    <r>
      <rPr>
        <b/>
        <vertAlign val="subscript"/>
        <sz val="10"/>
        <color theme="1"/>
        <rFont val="Arial"/>
        <family val="2"/>
      </rPr>
      <t>d</t>
    </r>
    <r>
      <rPr>
        <b/>
        <sz val="10"/>
        <color theme="1"/>
        <rFont val="Arial"/>
        <family val="2"/>
      </rPr>
      <t xml:space="preserve"> = 0.77) and 35% from US Rockies (L</t>
    </r>
    <r>
      <rPr>
        <b/>
        <vertAlign val="subscript"/>
        <sz val="10"/>
        <color theme="1"/>
        <rFont val="Arial"/>
        <family val="2"/>
      </rPr>
      <t>d</t>
    </r>
    <r>
      <rPr>
        <b/>
        <sz val="10"/>
        <color theme="1"/>
        <rFont val="Arial"/>
        <family val="2"/>
      </rPr>
      <t xml:space="preserve"> = 2.47)</t>
    </r>
  </si>
  <si>
    <t>http://www.climatechange2013.org/images/report/WG1AR5_Chapter08_FINAL.pdf</t>
  </si>
  <si>
    <t>http://www.climatechange2013.org/report/full-report/</t>
  </si>
  <si>
    <t>https://en.wikipedia.org/wiki/Carbon_dioxide_equivalent#cite_note-3</t>
  </si>
  <si>
    <t>IPCC CO2e</t>
  </si>
  <si>
    <t>8-BC Related Studies</t>
  </si>
  <si>
    <t>Weighted loss calcuation (65%BC/AB 35%USRockies)</t>
  </si>
  <si>
    <t>Methane Loss Rates</t>
  </si>
  <si>
    <t>Initial</t>
  </si>
  <si>
    <t>BC(proxy AB)</t>
  </si>
  <si>
    <t>US Rockies</t>
  </si>
  <si>
    <t>Final</t>
  </si>
  <si>
    <t>Assumed Mix</t>
  </si>
  <si>
    <t>Region</t>
  </si>
  <si>
    <t>BC/AB</t>
  </si>
  <si>
    <t>USRockies</t>
  </si>
  <si>
    <t>delta</t>
  </si>
  <si>
    <t>% reduction</t>
  </si>
  <si>
    <t>USRockies % Reduction</t>
  </si>
  <si>
    <t>Emission rate over time</t>
  </si>
  <si>
    <t>10-Em Rate Over Time</t>
  </si>
  <si>
    <t>9-IPCC CO2e</t>
  </si>
  <si>
    <t>2021 PowerPlan</t>
  </si>
  <si>
    <t>BC NatGasOnly GHGenius</t>
  </si>
  <si>
    <t>Loss Rate</t>
  </si>
  <si>
    <t>Emission Rate</t>
  </si>
  <si>
    <t>Emissions from Combustion</t>
  </si>
  <si>
    <t>Upstream+Combustion</t>
  </si>
  <si>
    <t>Total Emission Rate</t>
  </si>
  <si>
    <t>Puget Sound Energy</t>
  </si>
  <si>
    <t>https://oohpseirp.blob.core.windows.net/media/Default/29_May_TAG_6/02_IRP_052919_TAG_Meeting_6_Slide_Deck_FINAL.pdf</t>
  </si>
  <si>
    <t>2019 IRP</t>
  </si>
  <si>
    <t>May 29, 2019 TAG</t>
  </si>
  <si>
    <t>% of Combustion Emission Rate</t>
  </si>
  <si>
    <t>Natural Gas Plant Summaries</t>
  </si>
  <si>
    <t>Plant</t>
  </si>
  <si>
    <t>Heat Rate (btu/kWh)</t>
  </si>
  <si>
    <t>Most Efficient</t>
  </si>
  <si>
    <t>Carty Generating Station</t>
  </si>
  <si>
    <t>Least Efficient</t>
  </si>
  <si>
    <t>Beaver</t>
  </si>
  <si>
    <t>Average</t>
  </si>
  <si>
    <t>Generation Weighted</t>
  </si>
  <si>
    <t>Capacity Weighted</t>
  </si>
  <si>
    <t>Coal Plant Summaries</t>
  </si>
  <si>
    <t>Boardman</t>
  </si>
  <si>
    <t>Colstrip Energy Limited Partnership</t>
  </si>
  <si>
    <t>Northwest Power Plant Data</t>
  </si>
  <si>
    <t>Derived from the EPA eGRID data set for 2016</t>
  </si>
  <si>
    <t>Using a weighted estimate for the upstream methane loss rate Ld of 1.37
Assumes 65% of regional gas is from BC (Ld = 0.77) and 35% from US Rockies (Ld = 2.47)</t>
  </si>
  <si>
    <t>lb CO2e/mmbtu</t>
  </si>
  <si>
    <t>CO2</t>
  </si>
  <si>
    <t>CH4</t>
  </si>
  <si>
    <t>N2O</t>
  </si>
  <si>
    <t>Northwest - 2016</t>
  </si>
  <si>
    <t>Generation Weighted Ave Heat Rate</t>
  </si>
  <si>
    <t>Emission Rate - Combustion+Upstream Methane</t>
  </si>
  <si>
    <r>
      <t>L</t>
    </r>
    <r>
      <rPr>
        <vertAlign val="subscript"/>
        <sz val="10"/>
        <color theme="1"/>
        <rFont val="Arial"/>
        <family val="2"/>
      </rPr>
      <t>d</t>
    </r>
    <r>
      <rPr>
        <sz val="10"/>
        <color theme="1"/>
        <rFont val="Arial"/>
        <family val="2"/>
      </rPr>
      <t xml:space="preserve"> %</t>
    </r>
  </si>
  <si>
    <t>Btu/kWh</t>
  </si>
  <si>
    <t>Lbs CO2e/MWh</t>
  </si>
  <si>
    <t>Regional Natural Gas Plants</t>
  </si>
  <si>
    <t>Regional Coal</t>
  </si>
  <si>
    <t>Ratio Coal to Gas</t>
  </si>
  <si>
    <t>Regional power generation emission rates</t>
  </si>
  <si>
    <t>11-NW GenerationEmissionRate'</t>
  </si>
  <si>
    <t>2016 eGRID data</t>
  </si>
  <si>
    <t>Regional Natural Gas and Coal</t>
  </si>
  <si>
    <t>Metric Tons CO2e</t>
  </si>
  <si>
    <t>Totals</t>
  </si>
  <si>
    <t>Combusion</t>
  </si>
  <si>
    <t xml:space="preserve">Upstream Methane   </t>
  </si>
  <si>
    <t>Generation (MWh)</t>
  </si>
  <si>
    <t>SEQPLT16</t>
  </si>
  <si>
    <t>PSTATABB</t>
  </si>
  <si>
    <t>PNAME</t>
  </si>
  <si>
    <t>PLHTIANT</t>
  </si>
  <si>
    <t>PLNGENAN</t>
  </si>
  <si>
    <t>Combustion Emissions (Tonnes CO2e)</t>
  </si>
  <si>
    <t>eGRID2016 Plant file sequence number</t>
  </si>
  <si>
    <t>Plant state abbreviation</t>
  </si>
  <si>
    <t>Plant name</t>
  </si>
  <si>
    <t>Plant total annual heat input (MMBtu)</t>
  </si>
  <si>
    <t>Plant annual net generation (MWh)</t>
  </si>
  <si>
    <t>Combustion metric Tons CO2e</t>
  </si>
  <si>
    <t>Upstream Methane Lbs CO2e</t>
  </si>
  <si>
    <t>Total Lbs CO2e</t>
  </si>
  <si>
    <t>Upstream Methane Emissions (Tonnes CO2e)</t>
  </si>
  <si>
    <t>Total Emissions (Tonnes CO2e)</t>
  </si>
  <si>
    <t>Tonnes CO2e/MWh</t>
  </si>
  <si>
    <t>OR</t>
  </si>
  <si>
    <t>WA</t>
  </si>
  <si>
    <t>March Point Cogeneration</t>
  </si>
  <si>
    <t>Fredonia Generating Station</t>
  </si>
  <si>
    <t>Port Westward</t>
  </si>
  <si>
    <t>Coyote Springs II</t>
  </si>
  <si>
    <t>ID</t>
  </si>
  <si>
    <t>Langley Gulch Power Plant</t>
  </si>
  <si>
    <t>Rathdrum Power, LLC</t>
  </si>
  <si>
    <t>Grays Harbor Energy Center</t>
  </si>
  <si>
    <t>Goldendale Generating Station</t>
  </si>
  <si>
    <t>Hermiston Power Plant</t>
  </si>
  <si>
    <t>Frederickson Power LP</t>
  </si>
  <si>
    <t>River Road</t>
  </si>
  <si>
    <t>Hermiston</t>
  </si>
  <si>
    <t>Ferndale Generating Station</t>
  </si>
  <si>
    <t>Mint Farm Generating Station</t>
  </si>
  <si>
    <t>Klamath Cogeneration Project</t>
  </si>
  <si>
    <t>Chehalis Generation Facility</t>
  </si>
  <si>
    <t>Sumas Generating Station</t>
  </si>
  <si>
    <t>Encogen Generating Station</t>
  </si>
  <si>
    <t>Boulder Park</t>
  </si>
  <si>
    <t>MT</t>
  </si>
  <si>
    <t>Basin Creek Plant</t>
  </si>
  <si>
    <t>Port Westward Unit 2</t>
  </si>
  <si>
    <t>Rathdrum Combustion Turbine Project</t>
  </si>
  <si>
    <t>Rupert Cogen Project</t>
  </si>
  <si>
    <t>Bennett Mountain Power Project</t>
  </si>
  <si>
    <t>Evander Andrews Power Complex</t>
  </si>
  <si>
    <t>Klamath Generation Peakers</t>
  </si>
  <si>
    <t>Mill Creek Generating Station</t>
  </si>
  <si>
    <t>Northeast (WA)</t>
  </si>
  <si>
    <t>Coyote Springs</t>
  </si>
  <si>
    <t>WY</t>
  </si>
  <si>
    <t>Jim Bridger</t>
  </si>
  <si>
    <t>NV</t>
  </si>
  <si>
    <t>North Valmy</t>
  </si>
  <si>
    <t>Colstrip</t>
  </si>
  <si>
    <t>Dave Johnston</t>
  </si>
  <si>
    <t>Centralia</t>
  </si>
  <si>
    <t>Hardin Generating Station</t>
  </si>
  <si>
    <t>Regional power plant data from 2016 eGRID</t>
  </si>
  <si>
    <t>12-NW Generation2016'!</t>
  </si>
  <si>
    <t>Ld</t>
  </si>
  <si>
    <t>Emission Rate Total that NG would have to reach to equate to Coal at regional heat rate averages (lb CO2e/mmbtu)</t>
  </si>
  <si>
    <t>Upstream Methane Emission Rate at equality (lb CO2e/mmbtu)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</si>
</sst>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#,##0.000"/>
    <numFmt numFmtId="166" formatCode="yyyy"/>
    <numFmt numFmtId="167" formatCode="0.0"/>
    <numFmt numFmtId="168" formatCode="0.00000"/>
    <numFmt numFmtId="169" formatCode="#,##0.0"/>
    <numFmt numFmtId="170" formatCode="#,##0.000000"/>
  </numFmts>
  <fonts count="2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color indexed="18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u/>
      <sz val="10"/>
      <color indexed="12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vertAlign val="subscript"/>
      <sz val="10"/>
      <color theme="1"/>
      <name val="Arial"/>
      <family val="2"/>
    </font>
    <font>
      <b/>
      <sz val="10"/>
      <color rgb="FF002060"/>
      <name val="Arial"/>
      <family val="2"/>
    </font>
    <font>
      <b/>
      <vertAlign val="subscript"/>
      <sz val="10"/>
      <color theme="1"/>
      <name val="Arial"/>
      <family val="2"/>
    </font>
    <font>
      <b/>
      <sz val="10"/>
      <color rgb="FFC00000"/>
      <name val="Arial"/>
      <family val="2"/>
    </font>
    <font>
      <b/>
      <vertAlign val="subscript"/>
      <sz val="10"/>
      <color rgb="FFC00000"/>
      <name val="Arial"/>
      <family val="2"/>
    </font>
    <font>
      <b/>
      <sz val="10"/>
      <color rgb="FF7030A0"/>
      <name val="Arial"/>
      <family val="2"/>
    </font>
    <font>
      <b/>
      <sz val="10"/>
      <color theme="7" tint="0.39997558519241921"/>
      <name val="Arial"/>
      <family val="2"/>
    </font>
    <font>
      <vertAlign val="superscript"/>
      <sz val="10"/>
      <color theme="1"/>
      <name val="Arial"/>
      <family val="2"/>
    </font>
    <font>
      <sz val="10"/>
      <color rgb="FF21212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3F3F3F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DCDB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 style="medium">
        <color theme="5" tint="-0.249977111117893"/>
      </top>
      <bottom style="medium">
        <color theme="5" tint="-0.249977111117893"/>
      </bottom>
      <diagonal/>
    </border>
    <border>
      <left/>
      <right/>
      <top style="medium">
        <color theme="5" tint="-0.249977111117893"/>
      </top>
      <bottom style="medium">
        <color theme="5" tint="-0.249977111117893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theme="5" tint="-0.249977111117893"/>
      </left>
      <right/>
      <top/>
      <bottom/>
      <diagonal/>
    </border>
    <border>
      <left/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0" fillId="0" borderId="6" xfId="0" applyBorder="1"/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3" xfId="0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7" fillId="4" borderId="0" xfId="0" quotePrefix="1" applyFont="1" applyFill="1" applyAlignment="1">
      <alignment horizontal="left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5" borderId="0" xfId="1" quotePrefix="1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166" fontId="0" fillId="0" borderId="0" xfId="0" applyNumberFormat="1"/>
    <xf numFmtId="0" fontId="1" fillId="0" borderId="11" xfId="0" applyFont="1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167" fontId="0" fillId="0" borderId="11" xfId="0" applyNumberFormat="1" applyBorder="1"/>
    <xf numFmtId="0" fontId="0" fillId="0" borderId="11" xfId="0" applyBorder="1"/>
    <xf numFmtId="167" fontId="0" fillId="0" borderId="10" xfId="0" applyNumberFormat="1" applyBorder="1"/>
    <xf numFmtId="0" fontId="0" fillId="0" borderId="9" xfId="0" applyBorder="1"/>
    <xf numFmtId="0" fontId="0" fillId="0" borderId="10" xfId="0" applyBorder="1" applyAlignment="1">
      <alignment wrapText="1"/>
    </xf>
    <xf numFmtId="0" fontId="1" fillId="7" borderId="12" xfId="0" applyFont="1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1" fillId="6" borderId="12" xfId="0" applyFont="1" applyFill="1" applyBorder="1" applyAlignment="1">
      <alignment wrapText="1"/>
    </xf>
    <xf numFmtId="0" fontId="0" fillId="6" borderId="13" xfId="0" applyFill="1" applyBorder="1" applyAlignment="1">
      <alignment wrapText="1"/>
    </xf>
    <xf numFmtId="0" fontId="1" fillId="8" borderId="12" xfId="0" applyFont="1" applyFill="1" applyBorder="1" applyAlignment="1">
      <alignment wrapText="1"/>
    </xf>
    <xf numFmtId="0" fontId="0" fillId="8" borderId="13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0" xfId="0" applyBorder="1" applyAlignment="1">
      <alignment wrapText="1"/>
    </xf>
    <xf numFmtId="3" fontId="0" fillId="0" borderId="0" xfId="0" applyNumberFormat="1" applyBorder="1"/>
    <xf numFmtId="0" fontId="0" fillId="0" borderId="1" xfId="0" applyBorder="1"/>
    <xf numFmtId="0" fontId="0" fillId="0" borderId="10" xfId="0" applyBorder="1"/>
    <xf numFmtId="164" fontId="0" fillId="0" borderId="9" xfId="0" applyNumberFormat="1" applyBorder="1"/>
    <xf numFmtId="2" fontId="0" fillId="0" borderId="0" xfId="0" applyNumberFormat="1"/>
    <xf numFmtId="2" fontId="0" fillId="0" borderId="11" xfId="0" applyNumberFormat="1" applyBorder="1"/>
    <xf numFmtId="164" fontId="0" fillId="0" borderId="11" xfId="0" applyNumberFormat="1" applyBorder="1"/>
    <xf numFmtId="164" fontId="0" fillId="0" borderId="0" xfId="0" applyNumberFormat="1"/>
    <xf numFmtId="164" fontId="0" fillId="0" borderId="10" xfId="0" applyNumberFormat="1" applyBorder="1"/>
    <xf numFmtId="2" fontId="0" fillId="0" borderId="6" xfId="0" applyNumberFormat="1" applyBorder="1"/>
    <xf numFmtId="0" fontId="0" fillId="0" borderId="0" xfId="0" applyFill="1" applyBorder="1"/>
    <xf numFmtId="2" fontId="0" fillId="0" borderId="0" xfId="0" applyNumberForma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6" xfId="1" applyBorder="1" applyAlignment="1">
      <alignment wrapText="1"/>
    </xf>
    <xf numFmtId="0" fontId="13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2" fontId="0" fillId="0" borderId="0" xfId="0" applyNumberFormat="1" applyBorder="1" applyAlignment="1">
      <alignment wrapText="1"/>
    </xf>
    <xf numFmtId="2" fontId="1" fillId="0" borderId="27" xfId="0" applyNumberFormat="1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1" xfId="0" applyFill="1" applyBorder="1"/>
    <xf numFmtId="1" fontId="0" fillId="9" borderId="1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1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Border="1"/>
    <xf numFmtId="2" fontId="0" fillId="6" borderId="0" xfId="0" applyNumberFormat="1" applyFill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65" fontId="0" fillId="0" borderId="5" xfId="0" applyNumberFormat="1" applyBorder="1"/>
    <xf numFmtId="165" fontId="0" fillId="0" borderId="6" xfId="0" applyNumberFormat="1" applyBorder="1"/>
    <xf numFmtId="0" fontId="0" fillId="0" borderId="28" xfId="0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4" xfId="0" applyNumberFormat="1" applyBorder="1" applyAlignment="1">
      <alignment wrapText="1"/>
    </xf>
    <xf numFmtId="164" fontId="0" fillId="0" borderId="5" xfId="0" applyNumberFormat="1" applyBorder="1"/>
    <xf numFmtId="164" fontId="0" fillId="0" borderId="6" xfId="0" applyNumberFormat="1" applyBorder="1"/>
    <xf numFmtId="0" fontId="1" fillId="0" borderId="10" xfId="0" applyFont="1" applyBorder="1"/>
    <xf numFmtId="167" fontId="0" fillId="0" borderId="2" xfId="0" applyNumberFormat="1" applyBorder="1"/>
    <xf numFmtId="167" fontId="0" fillId="0" borderId="3" xfId="0" applyNumberFormat="1" applyBorder="1"/>
    <xf numFmtId="0" fontId="17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0" fillId="3" borderId="12" xfId="0" applyFill="1" applyBorder="1"/>
    <xf numFmtId="0" fontId="0" fillId="0" borderId="13" xfId="0" applyBorder="1" applyAlignment="1">
      <alignment horizontal="center" vertical="center"/>
    </xf>
    <xf numFmtId="0" fontId="2" fillId="0" borderId="5" xfId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167" fontId="0" fillId="0" borderId="5" xfId="0" applyNumberFormat="1" applyFill="1" applyBorder="1" applyAlignment="1">
      <alignment horizontal="center" vertical="center"/>
    </xf>
    <xf numFmtId="167" fontId="0" fillId="9" borderId="10" xfId="0" applyNumberForma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" fontId="1" fillId="9" borderId="10" xfId="0" applyNumberFormat="1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 wrapText="1"/>
    </xf>
    <xf numFmtId="0" fontId="1" fillId="13" borderId="12" xfId="0" applyFont="1" applyFill="1" applyBorder="1" applyAlignment="1">
      <alignment wrapText="1"/>
    </xf>
    <xf numFmtId="0" fontId="0" fillId="13" borderId="13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6" xfId="0" applyFill="1" applyBorder="1" applyAlignment="1">
      <alignment wrapText="1"/>
    </xf>
    <xf numFmtId="0" fontId="0" fillId="0" borderId="27" xfId="0" applyFill="1" applyBorder="1" applyAlignment="1">
      <alignment wrapText="1"/>
    </xf>
    <xf numFmtId="1" fontId="0" fillId="0" borderId="8" xfId="0" applyNumberFormat="1" applyBorder="1"/>
    <xf numFmtId="1" fontId="0" fillId="0" borderId="6" xfId="0" applyNumberFormat="1" applyBorder="1"/>
    <xf numFmtId="1" fontId="0" fillId="0" borderId="5" xfId="0" applyNumberFormat="1" applyBorder="1"/>
    <xf numFmtId="2" fontId="0" fillId="0" borderId="0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0" xfId="1"/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2" fillId="0" borderId="0" xfId="1" quotePrefix="1"/>
    <xf numFmtId="0" fontId="1" fillId="0" borderId="0" xfId="0" applyFont="1"/>
    <xf numFmtId="0" fontId="2" fillId="0" borderId="0" xfId="1" applyAlignment="1">
      <alignment wrapText="1"/>
    </xf>
    <xf numFmtId="0" fontId="20" fillId="0" borderId="0" xfId="0" applyFont="1" applyAlignment="1">
      <alignment vertical="center" wrapText="1"/>
    </xf>
    <xf numFmtId="3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0" fontId="20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wrapText="1"/>
    </xf>
    <xf numFmtId="0" fontId="1" fillId="7" borderId="1" xfId="0" applyFont="1" applyFill="1" applyBorder="1" applyAlignment="1">
      <alignment wrapText="1"/>
    </xf>
    <xf numFmtId="2" fontId="0" fillId="0" borderId="2" xfId="0" applyNumberFormat="1" applyBorder="1" applyAlignment="1">
      <alignment wrapText="1"/>
    </xf>
    <xf numFmtId="0" fontId="0" fillId="7" borderId="4" xfId="0" applyFill="1" applyBorder="1" applyAlignment="1">
      <alignment wrapText="1"/>
    </xf>
    <xf numFmtId="2" fontId="0" fillId="0" borderId="5" xfId="0" applyNumberFormat="1" applyBorder="1" applyAlignment="1">
      <alignment wrapText="1"/>
    </xf>
    <xf numFmtId="2" fontId="0" fillId="0" borderId="2" xfId="0" applyNumberFormat="1" applyBorder="1"/>
    <xf numFmtId="2" fontId="0" fillId="0" borderId="3" xfId="0" applyNumberFormat="1" applyBorder="1"/>
    <xf numFmtId="2" fontId="0" fillId="0" borderId="5" xfId="0" applyNumberFormat="1" applyBorder="1"/>
    <xf numFmtId="0" fontId="2" fillId="8" borderId="13" xfId="1" applyFill="1" applyBorder="1" applyAlignment="1">
      <alignment wrapText="1"/>
    </xf>
    <xf numFmtId="0" fontId="0" fillId="0" borderId="28" xfId="0" applyBorder="1"/>
    <xf numFmtId="0" fontId="0" fillId="0" borderId="3" xfId="0" applyBorder="1" applyAlignment="1">
      <alignment wrapText="1"/>
    </xf>
    <xf numFmtId="0" fontId="1" fillId="14" borderId="12" xfId="0" applyFont="1" applyFill="1" applyBorder="1" applyAlignment="1">
      <alignment wrapText="1"/>
    </xf>
    <xf numFmtId="0" fontId="2" fillId="14" borderId="13" xfId="1" applyFill="1" applyBorder="1" applyAlignment="1">
      <alignment wrapText="1"/>
    </xf>
    <xf numFmtId="0" fontId="0" fillId="0" borderId="27" xfId="0" applyFill="1" applyBorder="1"/>
    <xf numFmtId="0" fontId="0" fillId="0" borderId="0" xfId="0" applyBorder="1" applyAlignment="1">
      <alignment horizontal="center" vertical="center"/>
    </xf>
    <xf numFmtId="164" fontId="0" fillId="0" borderId="4" xfId="0" applyNumberFormat="1" applyBorder="1"/>
    <xf numFmtId="0" fontId="0" fillId="0" borderId="29" xfId="0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1" fillId="0" borderId="0" xfId="0" applyFont="1"/>
    <xf numFmtId="0" fontId="21" fillId="0" borderId="1" xfId="0" applyFont="1" applyBorder="1"/>
    <xf numFmtId="0" fontId="21" fillId="0" borderId="3" xfId="0" applyFont="1" applyBorder="1"/>
    <xf numFmtId="0" fontId="22" fillId="0" borderId="7" xfId="1" applyFont="1" applyBorder="1" applyAlignment="1">
      <alignment wrapText="1"/>
    </xf>
    <xf numFmtId="0" fontId="21" fillId="0" borderId="8" xfId="0" applyFont="1" applyBorder="1"/>
    <xf numFmtId="0" fontId="23" fillId="0" borderId="4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21" fillId="0" borderId="0" xfId="0" applyFont="1" applyFill="1" applyBorder="1"/>
    <xf numFmtId="0" fontId="2" fillId="0" borderId="7" xfId="1" applyBorder="1"/>
    <xf numFmtId="0" fontId="21" fillId="0" borderId="8" xfId="0" applyFont="1" applyFill="1" applyBorder="1"/>
    <xf numFmtId="2" fontId="0" fillId="0" borderId="0" xfId="0" applyNumberFormat="1" applyBorder="1"/>
    <xf numFmtId="3" fontId="0" fillId="0" borderId="7" xfId="0" applyNumberFormat="1" applyBorder="1"/>
    <xf numFmtId="2" fontId="0" fillId="0" borderId="8" xfId="0" applyNumberFormat="1" applyBorder="1" applyAlignment="1">
      <alignment wrapText="1"/>
    </xf>
    <xf numFmtId="2" fontId="0" fillId="0" borderId="8" xfId="0" applyNumberFormat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21" fillId="0" borderId="7" xfId="0" applyFont="1" applyFill="1" applyBorder="1"/>
    <xf numFmtId="3" fontId="0" fillId="0" borderId="8" xfId="0" applyNumberFormat="1" applyBorder="1"/>
    <xf numFmtId="0" fontId="0" fillId="0" borderId="7" xfId="0" applyFill="1" applyBorder="1"/>
    <xf numFmtId="0" fontId="0" fillId="0" borderId="8" xfId="0" applyFill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4" xfId="0" applyFill="1" applyBorder="1" applyAlignment="1">
      <alignment horizontal="center" vertical="center"/>
    </xf>
    <xf numFmtId="0" fontId="0" fillId="0" borderId="13" xfId="0" applyBorder="1"/>
    <xf numFmtId="0" fontId="1" fillId="12" borderId="0" xfId="0" applyFont="1" applyFill="1" applyAlignment="1">
      <alignment wrapText="1"/>
    </xf>
    <xf numFmtId="0" fontId="0" fillId="0" borderId="25" xfId="0" applyBorder="1" applyAlignment="1">
      <alignment horizontal="center" vertical="center" wrapText="1"/>
    </xf>
    <xf numFmtId="0" fontId="1" fillId="15" borderId="25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7" fontId="0" fillId="0" borderId="5" xfId="0" applyNumberFormat="1" applyBorder="1"/>
    <xf numFmtId="0" fontId="1" fillId="16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67" fontId="0" fillId="0" borderId="0" xfId="0" applyNumberFormat="1"/>
    <xf numFmtId="0" fontId="1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24" fillId="0" borderId="0" xfId="0" applyFont="1"/>
    <xf numFmtId="3" fontId="0" fillId="0" borderId="21" xfId="0" applyNumberFormat="1" applyBorder="1" applyAlignment="1">
      <alignment wrapText="1"/>
    </xf>
    <xf numFmtId="3" fontId="0" fillId="0" borderId="21" xfId="0" applyNumberFormat="1" applyBorder="1"/>
    <xf numFmtId="0" fontId="0" fillId="0" borderId="22" xfId="0" applyBorder="1"/>
    <xf numFmtId="0" fontId="0" fillId="0" borderId="23" xfId="0" applyBorder="1"/>
    <xf numFmtId="3" fontId="0" fillId="0" borderId="24" xfId="0" applyNumberFormat="1" applyBorder="1"/>
    <xf numFmtId="0" fontId="24" fillId="0" borderId="0" xfId="0" applyFont="1" applyBorder="1"/>
    <xf numFmtId="0" fontId="0" fillId="0" borderId="12" xfId="0" applyBorder="1" applyAlignment="1">
      <alignment wrapText="1"/>
    </xf>
    <xf numFmtId="0" fontId="0" fillId="0" borderId="30" xfId="0" applyBorder="1" applyAlignment="1">
      <alignment wrapText="1" shrinkToFit="1"/>
    </xf>
    <xf numFmtId="0" fontId="2" fillId="0" borderId="13" xfId="1" applyBorder="1" applyAlignment="1">
      <alignment wrapText="1"/>
    </xf>
    <xf numFmtId="0" fontId="0" fillId="0" borderId="0" xfId="0" applyBorder="1" applyAlignment="1">
      <alignment wrapText="1" shrinkToFit="1"/>
    </xf>
    <xf numFmtId="0" fontId="2" fillId="0" borderId="0" xfId="1" applyBorder="1" applyAlignment="1">
      <alignment wrapText="1"/>
    </xf>
    <xf numFmtId="0" fontId="25" fillId="17" borderId="0" xfId="0" applyFont="1" applyFill="1"/>
    <xf numFmtId="3" fontId="25" fillId="18" borderId="0" xfId="0" applyNumberFormat="1" applyFont="1" applyFill="1"/>
    <xf numFmtId="0" fontId="25" fillId="17" borderId="31" xfId="0" applyFont="1" applyFill="1" applyBorder="1" applyAlignment="1">
      <alignment horizontal="center" vertical="center" wrapText="1"/>
    </xf>
    <xf numFmtId="3" fontId="25" fillId="18" borderId="3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70" fontId="0" fillId="0" borderId="0" xfId="0" applyNumberFormat="1"/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1" fontId="0" fillId="0" borderId="0" xfId="0" applyNumberFormat="1"/>
    <xf numFmtId="164" fontId="0" fillId="10" borderId="0" xfId="0" applyNumberFormat="1" applyFill="1" applyAlignment="1">
      <alignment horizontal="center"/>
    </xf>
    <xf numFmtId="164" fontId="0" fillId="10" borderId="0" xfId="0" applyNumberFormat="1" applyFill="1" applyAlignment="1">
      <alignment horizontal="center" vertical="center"/>
    </xf>
    <xf numFmtId="167" fontId="0" fillId="10" borderId="0" xfId="0" applyNumberFormat="1" applyFill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Methane</a:t>
            </a:r>
            <a:r>
              <a:rPr lang="en-US" baseline="0"/>
              <a:t> Leak Estimates (%)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'1-MethaneCalculator_NG'!$V$23:$V$27</c:f>
              <c:strCache>
                <c:ptCount val="5"/>
                <c:pt idx="0">
                  <c:v>EDF Studies (2015 emission year)</c:v>
                </c:pt>
                <c:pt idx="1">
                  <c:v>EPA (2017 emission year) NatGas&amp;Oil</c:v>
                </c:pt>
                <c:pt idx="2">
                  <c:v>EPA (2017 emission year) NatGasSysOnly</c:v>
                </c:pt>
                <c:pt idx="3">
                  <c:v>NETL/CM (2012 emission year)</c:v>
                </c:pt>
                <c:pt idx="4">
                  <c:v>IEA (2019 emission year) NatGas&amp;Oil</c:v>
                </c:pt>
              </c:strCache>
            </c:strRef>
          </c:cat>
          <c:val>
            <c:numRef>
              <c:f>'1-MethaneCalculator_NG'!$X$23:$X$27</c:f>
              <c:numCache>
                <c:formatCode>0.00</c:formatCode>
                <c:ptCount val="5"/>
                <c:pt idx="0">
                  <c:v>2.4728257727775964</c:v>
                </c:pt>
                <c:pt idx="1">
                  <c:v>1.4933928739591935</c:v>
                </c:pt>
                <c:pt idx="2">
                  <c:v>1.2033716491613211</c:v>
                </c:pt>
                <c:pt idx="3">
                  <c:v>1.2905923177198411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9-4C29-A598-ED5545993ED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'1-MethaneCalculator_NG'!$V$23:$V$27</c:f>
              <c:strCache>
                <c:ptCount val="5"/>
                <c:pt idx="0">
                  <c:v>EDF Studies (2015 emission year)</c:v>
                </c:pt>
                <c:pt idx="1">
                  <c:v>EPA (2017 emission year) NatGas&amp;Oil</c:v>
                </c:pt>
                <c:pt idx="2">
                  <c:v>EPA (2017 emission year) NatGasSysOnly</c:v>
                </c:pt>
                <c:pt idx="3">
                  <c:v>NETL/CM (2012 emission year)</c:v>
                </c:pt>
                <c:pt idx="4">
                  <c:v>IEA (2019 emission year) NatGas&amp;Oil</c:v>
                </c:pt>
              </c:strCache>
            </c:strRef>
          </c:cat>
          <c:val>
            <c:numRef>
              <c:f>'1-MethaneCalculator_NG'!$Z$23:$Z$27</c:f>
              <c:numCache>
                <c:formatCode>0.00</c:formatCode>
                <c:ptCount val="5"/>
                <c:pt idx="0">
                  <c:v>0.81753418623237017</c:v>
                </c:pt>
                <c:pt idx="1">
                  <c:v>0.68176631202484961</c:v>
                </c:pt>
                <c:pt idx="2">
                  <c:v>0.47398991216965713</c:v>
                </c:pt>
                <c:pt idx="3">
                  <c:v>0.89332913975207817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9-4C29-A598-ED5545993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5266568"/>
        <c:axId val="1085266896"/>
      </c:barChart>
      <c:lineChart>
        <c:grouping val="standard"/>
        <c:varyColors val="0"/>
        <c:ser>
          <c:idx val="2"/>
          <c:order val="2"/>
          <c:tx>
            <c:strRef>
              <c:f>'1-MethaneCalculator_NG'!$W$4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'1-MethaneCalculator_NG'!$V$23:$V$27</c:f>
              <c:strCache>
                <c:ptCount val="5"/>
                <c:pt idx="0">
                  <c:v>EDF Studies (2015 emission year)</c:v>
                </c:pt>
                <c:pt idx="1">
                  <c:v>EPA (2017 emission year) NatGas&amp;Oil</c:v>
                </c:pt>
                <c:pt idx="2">
                  <c:v>EPA (2017 emission year) NatGasSysOnly</c:v>
                </c:pt>
                <c:pt idx="3">
                  <c:v>NETL/CM (2012 emission year)</c:v>
                </c:pt>
                <c:pt idx="4">
                  <c:v>IEA (2019 emission year) NatGas&amp;Oil</c:v>
                </c:pt>
              </c:strCache>
            </c:strRef>
          </c:cat>
          <c:val>
            <c:numRef>
              <c:f>'1-MethaneCalculator_NG'!$W$23:$W$27</c:f>
              <c:numCache>
                <c:formatCode>0.00</c:formatCode>
                <c:ptCount val="5"/>
                <c:pt idx="0">
                  <c:v>2.8385647508289198</c:v>
                </c:pt>
                <c:pt idx="1">
                  <c:v>1.8202078362314227</c:v>
                </c:pt>
                <c:pt idx="2">
                  <c:v>1.432791424001429</c:v>
                </c:pt>
                <c:pt idx="3">
                  <c:v>1.6876274909429869</c:v>
                </c:pt>
                <c:pt idx="4">
                  <c:v>2.1638596041843905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69-4C29-A598-ED5545993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266568"/>
        <c:axId val="1085266896"/>
      </c:lineChart>
      <c:catAx>
        <c:axId val="108526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266896"/>
        <c:crosses val="autoZero"/>
        <c:auto val="1"/>
        <c:lblAlgn val="ctr"/>
        <c:lblOffset val="100"/>
        <c:noMultiLvlLbl val="0"/>
      </c:catAx>
      <c:valAx>
        <c:axId val="108526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2665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('3-StudyResults'!$E$4:$L$4,'3-StudyResults'!$O$4,'3-StudyResults'!$Q$4:$R$4,'3-StudyResults'!$T$4)</c:f>
              <c:strCache>
                <c:ptCount val="12"/>
                <c:pt idx="0">
                  <c:v>EDF O/NG
High</c:v>
                </c:pt>
                <c:pt idx="1">
                  <c:v>EDF
O/NG</c:v>
                </c:pt>
                <c:pt idx="2">
                  <c:v>EDF 
O/NG
Low</c:v>
                </c:pt>
                <c:pt idx="3">
                  <c:v>NETL/CMU 
NatGasOnly
High</c:v>
                </c:pt>
                <c:pt idx="4">
                  <c:v>EPA 
O/NG 
High</c:v>
                </c:pt>
                <c:pt idx="5">
                  <c:v>IEA
 O/NG</c:v>
                </c:pt>
                <c:pt idx="6">
                  <c:v>EPA 
O/NG</c:v>
                </c:pt>
                <c:pt idx="7">
                  <c:v>NETL/CMU 
NatGasOnly</c:v>
                </c:pt>
                <c:pt idx="8">
                  <c:v>EPA 
O/NG
Low</c:v>
                </c:pt>
                <c:pt idx="9">
                  <c:v>2021 PowerPlan</c:v>
                </c:pt>
                <c:pt idx="10">
                  <c:v>NETL/CMU 
NatGasOnly
Low</c:v>
                </c:pt>
                <c:pt idx="11">
                  <c:v>BC NatGasOnly GHGenius</c:v>
                </c:pt>
              </c:strCache>
            </c:strRef>
          </c:cat>
          <c:val>
            <c:numRef>
              <c:f>('3-StudyResults'!$E$5:$L$5,'3-StudyResults'!$O$5,'3-StudyResults'!$Q$5:$R$5,'3-StudyResults'!$T$5)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83-46CD-B585-E74C78B87AE3}"/>
            </c:ext>
          </c:extLst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C83-46CD-B585-E74C78B87AE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C83-46CD-B585-E74C78B87AE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C83-46CD-B585-E74C78B87AE3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C83-46CD-B585-E74C78B87AE3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C83-46CD-B585-E74C78B87AE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C83-46CD-B585-E74C78B87AE3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C83-46CD-B585-E74C78B87AE3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C83-46CD-B585-E74C78B87AE3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C83-46CD-B585-E74C78B87AE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C83-46CD-B585-E74C78B87AE3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BC83-46CD-B585-E74C78B87A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('3-StudyResults'!$E$4:$L$4,'3-StudyResults'!$O$4,'3-StudyResults'!$Q$4:$R$4,'3-StudyResults'!$T$4)</c:f>
              <c:strCache>
                <c:ptCount val="12"/>
                <c:pt idx="0">
                  <c:v>EDF O/NG
High</c:v>
                </c:pt>
                <c:pt idx="1">
                  <c:v>EDF
O/NG</c:v>
                </c:pt>
                <c:pt idx="2">
                  <c:v>EDF 
O/NG
Low</c:v>
                </c:pt>
                <c:pt idx="3">
                  <c:v>NETL/CMU 
NatGasOnly
High</c:v>
                </c:pt>
                <c:pt idx="4">
                  <c:v>EPA 
O/NG 
High</c:v>
                </c:pt>
                <c:pt idx="5">
                  <c:v>IEA
 O/NG</c:v>
                </c:pt>
                <c:pt idx="6">
                  <c:v>EPA 
O/NG</c:v>
                </c:pt>
                <c:pt idx="7">
                  <c:v>NETL/CMU 
NatGasOnly</c:v>
                </c:pt>
                <c:pt idx="8">
                  <c:v>EPA 
O/NG
Low</c:v>
                </c:pt>
                <c:pt idx="9">
                  <c:v>2021 PowerPlan</c:v>
                </c:pt>
                <c:pt idx="10">
                  <c:v>NETL/CMU 
NatGasOnly
Low</c:v>
                </c:pt>
                <c:pt idx="11">
                  <c:v>BC NatGasOnly GHGenius</c:v>
                </c:pt>
              </c:strCache>
            </c:strRef>
          </c:cat>
          <c:val>
            <c:numRef>
              <c:f>('3-StudyResults'!$E$6:$L$6,'3-StudyResults'!$O$6,'3-StudyResults'!$Q$6:$R$6,'3-StudyResults'!$T$6)</c:f>
              <c:numCache>
                <c:formatCode>0.00</c:formatCode>
                <c:ptCount val="12"/>
                <c:pt idx="0">
                  <c:v>3.2903599590099666</c:v>
                </c:pt>
                <c:pt idx="1">
                  <c:v>2.8385647508289198</c:v>
                </c:pt>
                <c:pt idx="2">
                  <c:v>2.4728257727775964</c:v>
                </c:pt>
                <c:pt idx="3">
                  <c:v>2.1839214574719192</c:v>
                </c:pt>
                <c:pt idx="4">
                  <c:v>2.1751591859840431</c:v>
                </c:pt>
                <c:pt idx="5">
                  <c:v>2.1638596041843905</c:v>
                </c:pt>
                <c:pt idx="6">
                  <c:v>1.8202078362314227</c:v>
                </c:pt>
                <c:pt idx="7">
                  <c:v>1.6876274909429869</c:v>
                </c:pt>
                <c:pt idx="8">
                  <c:v>1.4933928739591935</c:v>
                </c:pt>
                <c:pt idx="9">
                  <c:v>1.3656160787348142</c:v>
                </c:pt>
                <c:pt idx="10">
                  <c:v>1.2905923177198411</c:v>
                </c:pt>
                <c:pt idx="11">
                  <c:v>0.76942624348100841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C83-46CD-B585-E74C78B87A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4382992"/>
        <c:axId val="844383320"/>
      </c:barChart>
      <c:catAx>
        <c:axId val="84438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3320"/>
        <c:crosses val="autoZero"/>
        <c:auto val="1"/>
        <c:lblAlgn val="ctr"/>
        <c:lblOffset val="100"/>
        <c:noMultiLvlLbl val="0"/>
      </c:catAx>
      <c:valAx>
        <c:axId val="844383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Upstream Methane Release</a:t>
                </a:r>
                <a:r>
                  <a:rPr lang="en-US" sz="1200" baseline="0"/>
                  <a:t> Rate L</a:t>
                </a:r>
                <a:r>
                  <a:rPr lang="en-US" sz="1200" baseline="-25000"/>
                  <a:t>d</a:t>
                </a:r>
                <a:r>
                  <a:rPr lang="en-US" sz="1200" baseline="0"/>
                  <a:t> %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EC-4BC2-9AB4-89FFD3391B2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EC-4BC2-9AB4-89FFD3391B2F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EC-4BC2-9AB4-89FFD3391B2F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EC-4BC2-9AB4-89FFD3391B2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EC-4BC2-9AB4-89FFD3391B2F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6EC-4BC2-9AB4-89FFD3391B2F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6EC-4BC2-9AB4-89FFD3391B2F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6EC-4BC2-9AB4-89FFD3391B2F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6EC-4BC2-9AB4-89FFD3391B2F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6EC-4BC2-9AB4-89FFD3391B2F}"/>
              </c:ext>
            </c:extLst>
          </c:dPt>
          <c:dPt>
            <c:idx val="10"/>
            <c:invertIfNegative val="0"/>
            <c:bubble3D val="0"/>
            <c:spPr>
              <a:solidFill>
                <a:srgbClr val="FF3737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6EC-4BC2-9AB4-89FFD3391B2F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6EC-4BC2-9AB4-89FFD3391B2F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6EC-4BC2-9AB4-89FFD3391B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'3-StudyResults'!$D$4:$T$4</c15:sqref>
                  </c15:fullRef>
                </c:ext>
              </c:extLst>
              <c:f>('3-StudyResults'!$D$4:$L$4,'3-StudyResults'!$O$4,'3-StudyResults'!$Q$4:$R$4,'3-StudyResults'!$T$4)</c:f>
              <c:strCache>
                <c:ptCount val="13"/>
                <c:pt idx="0">
                  <c:v>Coal</c:v>
                </c:pt>
                <c:pt idx="1">
                  <c:v>EDF O/NG
High</c:v>
                </c:pt>
                <c:pt idx="2">
                  <c:v>EDF
O/NG</c:v>
                </c:pt>
                <c:pt idx="3">
                  <c:v>EDF 
O/NG
Low</c:v>
                </c:pt>
                <c:pt idx="4">
                  <c:v>NETL/CMU 
NatGasOnly
High</c:v>
                </c:pt>
                <c:pt idx="5">
                  <c:v>EPA 
O/NG 
High</c:v>
                </c:pt>
                <c:pt idx="6">
                  <c:v>IEA
 O/NG</c:v>
                </c:pt>
                <c:pt idx="7">
                  <c:v>EPA 
O/NG</c:v>
                </c:pt>
                <c:pt idx="8">
                  <c:v>NETL/CMU 
NatGasOnly</c:v>
                </c:pt>
                <c:pt idx="9">
                  <c:v>EPA 
O/NG
Low</c:v>
                </c:pt>
                <c:pt idx="10">
                  <c:v>2021 PowerPlan</c:v>
                </c:pt>
                <c:pt idx="11">
                  <c:v>NETL/CMU 
NatGasOnly
Low</c:v>
                </c:pt>
                <c:pt idx="12">
                  <c:v>BC NatGasOnly GHGenius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'3-StudyResults'!$D$10:$T$10</c15:sqref>
                  </c15:fullRef>
                </c:ext>
              </c:extLst>
              <c:f>('3-StudyResults'!$D$10:$L$10,'3-StudyResults'!$O$10,'3-StudyResults'!$Q$10:$R$10,'3-StudyResults'!$T$10)</c:f>
              <c:numCache>
                <c:formatCode>0</c:formatCode>
                <c:ptCount val="13"/>
                <c:pt idx="0">
                  <c:v>219.28816547148475</c:v>
                </c:pt>
                <c:pt idx="1">
                  <c:v>161.89167940113899</c:v>
                </c:pt>
                <c:pt idx="2">
                  <c:v>155.81147234331291</c:v>
                </c:pt>
                <c:pt idx="3">
                  <c:v>150.88939996316799</c:v>
                </c:pt>
                <c:pt idx="4">
                  <c:v>147.0013594856469</c:v>
                </c:pt>
                <c:pt idx="5">
                  <c:v>146.88343786102925</c:v>
                </c:pt>
                <c:pt idx="6">
                  <c:v>146.73136941106642</c:v>
                </c:pt>
                <c:pt idx="7">
                  <c:v>142.10654412052298</c:v>
                </c:pt>
                <c:pt idx="8">
                  <c:v>140.32229334372252</c:v>
                </c:pt>
                <c:pt idx="9">
                  <c:v>137.70830659115441</c:v>
                </c:pt>
                <c:pt idx="10">
                  <c:v>135.98870142916621</c:v>
                </c:pt>
                <c:pt idx="11">
                  <c:v>134.97904043018301</c:v>
                </c:pt>
                <c:pt idx="12">
                  <c:v>127.96524837239599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'3-StudyResults'!$M$10</c15:sqref>
                  <c15:spPr xmlns:c15="http://schemas.microsoft.com/office/drawing/2012/chart">
                    <a:solidFill>
                      <a:srgbClr val="0070C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'3-StudyResults'!$N$10</c15:sqref>
                  <c15:spPr xmlns:c15="http://schemas.microsoft.com/office/drawing/2012/chart">
                    <a:solidFill>
                      <a:schemeClr val="accent2">
                        <a:lumMod val="75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'3-StudyResults'!$P$10</c15:sqref>
                  <c15:spPr xmlns:c15="http://schemas.microsoft.com/office/drawing/2012/chart">
                    <a:solidFill>
                      <a:srgbClr val="0070C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'3-StudyResults'!$S$10</c15:sqref>
                  <c15:spPr xmlns:c15="http://schemas.microsoft.com/office/drawing/2012/chart">
                    <a:solidFill>
                      <a:srgbClr val="0070C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2-E6EC-4BC2-9AB4-89FFD3391B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4382992"/>
        <c:axId val="844383320"/>
      </c:barChart>
      <c:catAx>
        <c:axId val="84438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3320"/>
        <c:crosses val="autoZero"/>
        <c:auto val="1"/>
        <c:lblAlgn val="ctr"/>
        <c:lblOffset val="100"/>
        <c:noMultiLvlLbl val="0"/>
      </c:catAx>
      <c:valAx>
        <c:axId val="844383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 Emission</a:t>
                </a:r>
                <a:r>
                  <a:rPr lang="en-US" sz="1200" baseline="0"/>
                  <a:t> Rate </a:t>
                </a:r>
                <a:r>
                  <a:rPr lang="en-US" sz="1200"/>
                  <a:t>Lbs CO2e / 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Upstream</a:t>
            </a:r>
            <a:r>
              <a:rPr lang="en-US" baseline="0"/>
              <a:t> Methane Emission Rate </a:t>
            </a:r>
          </a:p>
          <a:p>
            <a:pPr>
              <a:defRPr/>
            </a:pPr>
            <a:r>
              <a:rPr lang="en-US" baseline="0"/>
              <a:t>(lb CH</a:t>
            </a:r>
            <a:r>
              <a:rPr lang="en-US" baseline="-25000"/>
              <a:t>4</a:t>
            </a:r>
            <a:r>
              <a:rPr lang="en-US" baseline="0"/>
              <a:t> per mmbtu) by Loss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'1-MethaneCalculator_NG'!$G$54</c:f>
              <c:strCache>
                <c:ptCount val="1"/>
                <c:pt idx="0">
                  <c:v>lb CH4/mmbtu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'1-MethaneCalculator_NG'!$E$57:$E$127</c:f>
              <c:numCache>
                <c:formatCode>General</c:formatCode>
                <c:ptCount val="7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</c:numCache>
            </c:numRef>
          </c:xVal>
          <c:yVal>
            <c:numRef>
              <c:f>'1-MethaneCalculator_NG'!$G$57:$G$127</c:f>
              <c:numCache>
                <c:formatCode>0.000</c:formatCode>
                <c:ptCount val="71"/>
                <c:pt idx="0">
                  <c:v>0</c:v>
                </c:pt>
                <c:pt idx="1">
                  <c:v>1.9791004431831367E-2</c:v>
                </c:pt>
                <c:pt idx="2">
                  <c:v>3.9582008863662733E-2</c:v>
                </c:pt>
                <c:pt idx="3">
                  <c:v>5.9373013295494104E-2</c:v>
                </c:pt>
                <c:pt idx="4">
                  <c:v>7.9164017727325467E-2</c:v>
                </c:pt>
                <c:pt idx="5">
                  <c:v>9.8955022159156844E-2</c:v>
                </c:pt>
                <c:pt idx="6">
                  <c:v>0.11874602659098821</c:v>
                </c:pt>
                <c:pt idx="7">
                  <c:v>0.13853703102281956</c:v>
                </c:pt>
                <c:pt idx="8">
                  <c:v>0.15832803545465093</c:v>
                </c:pt>
                <c:pt idx="9">
                  <c:v>0.17811903988648234</c:v>
                </c:pt>
                <c:pt idx="10">
                  <c:v>0.19791004431831369</c:v>
                </c:pt>
                <c:pt idx="11">
                  <c:v>0.21770104875014507</c:v>
                </c:pt>
                <c:pt idx="12">
                  <c:v>0.23749205318197641</c:v>
                </c:pt>
                <c:pt idx="13">
                  <c:v>0.25728305761380782</c:v>
                </c:pt>
                <c:pt idx="14">
                  <c:v>0.27707406204563911</c:v>
                </c:pt>
                <c:pt idx="15">
                  <c:v>0.29686506647747052</c:v>
                </c:pt>
                <c:pt idx="16">
                  <c:v>0.31665607090930187</c:v>
                </c:pt>
                <c:pt idx="17">
                  <c:v>0.33644707534113327</c:v>
                </c:pt>
                <c:pt idx="18">
                  <c:v>0.35623807977296468</c:v>
                </c:pt>
                <c:pt idx="19">
                  <c:v>0.37602908420479597</c:v>
                </c:pt>
                <c:pt idx="20">
                  <c:v>0.39582008863662738</c:v>
                </c:pt>
                <c:pt idx="21">
                  <c:v>0.41561109306845878</c:v>
                </c:pt>
                <c:pt idx="22">
                  <c:v>0.43540209750029013</c:v>
                </c:pt>
                <c:pt idx="23">
                  <c:v>0.45519310193212148</c:v>
                </c:pt>
                <c:pt idx="24">
                  <c:v>0.47498410636395283</c:v>
                </c:pt>
                <c:pt idx="25">
                  <c:v>0.49477511079578423</c:v>
                </c:pt>
                <c:pt idx="26">
                  <c:v>0.51456611522761564</c:v>
                </c:pt>
                <c:pt idx="27">
                  <c:v>0.53435711965944699</c:v>
                </c:pt>
                <c:pt idx="28">
                  <c:v>0.55414812409127823</c:v>
                </c:pt>
                <c:pt idx="29">
                  <c:v>0.57393912852310969</c:v>
                </c:pt>
                <c:pt idx="30">
                  <c:v>0.59373013295494104</c:v>
                </c:pt>
                <c:pt idx="31">
                  <c:v>0.61352113738677239</c:v>
                </c:pt>
                <c:pt idx="32">
                  <c:v>0.63331214181860374</c:v>
                </c:pt>
                <c:pt idx="33">
                  <c:v>0.6531031462504352</c:v>
                </c:pt>
                <c:pt idx="34">
                  <c:v>0.67289415068226655</c:v>
                </c:pt>
                <c:pt idx="35">
                  <c:v>0.69268515511409789</c:v>
                </c:pt>
                <c:pt idx="36">
                  <c:v>0.71247615954592936</c:v>
                </c:pt>
                <c:pt idx="37">
                  <c:v>0.7322671639777607</c:v>
                </c:pt>
                <c:pt idx="38">
                  <c:v>0.75205816840959194</c:v>
                </c:pt>
                <c:pt idx="39">
                  <c:v>0.7718491728414234</c:v>
                </c:pt>
                <c:pt idx="40">
                  <c:v>0.79164017727325475</c:v>
                </c:pt>
                <c:pt idx="41">
                  <c:v>0.81143118170508599</c:v>
                </c:pt>
                <c:pt idx="42">
                  <c:v>0.83122218613691756</c:v>
                </c:pt>
                <c:pt idx="43">
                  <c:v>0.8510131905687488</c:v>
                </c:pt>
                <c:pt idx="44">
                  <c:v>0.87080419500058026</c:v>
                </c:pt>
                <c:pt idx="45">
                  <c:v>0.8905951994324115</c:v>
                </c:pt>
                <c:pt idx="46">
                  <c:v>0.91038620386424296</c:v>
                </c:pt>
                <c:pt idx="47">
                  <c:v>0.93017720829607431</c:v>
                </c:pt>
                <c:pt idx="48">
                  <c:v>0.94996821272790566</c:v>
                </c:pt>
                <c:pt idx="49">
                  <c:v>0.96975921715973712</c:v>
                </c:pt>
                <c:pt idx="50">
                  <c:v>0.98955022159156847</c:v>
                </c:pt>
                <c:pt idx="51">
                  <c:v>1.0093412260233996</c:v>
                </c:pt>
                <c:pt idx="52">
                  <c:v>1.0291322304552313</c:v>
                </c:pt>
                <c:pt idx="53">
                  <c:v>1.0489232348870625</c:v>
                </c:pt>
                <c:pt idx="54">
                  <c:v>1.068714239318894</c:v>
                </c:pt>
                <c:pt idx="55">
                  <c:v>1.0885052437507252</c:v>
                </c:pt>
                <c:pt idx="56">
                  <c:v>1.1082962481825565</c:v>
                </c:pt>
                <c:pt idx="57">
                  <c:v>1.1280872526143879</c:v>
                </c:pt>
                <c:pt idx="58">
                  <c:v>1.1478782570462194</c:v>
                </c:pt>
                <c:pt idx="59">
                  <c:v>1.1676692614780508</c:v>
                </c:pt>
                <c:pt idx="60">
                  <c:v>1.1874602659098821</c:v>
                </c:pt>
                <c:pt idx="61">
                  <c:v>1.2072512703417135</c:v>
                </c:pt>
                <c:pt idx="62">
                  <c:v>1.2270422747735448</c:v>
                </c:pt>
                <c:pt idx="63">
                  <c:v>1.2468332792053762</c:v>
                </c:pt>
                <c:pt idx="64">
                  <c:v>1.2666242836372075</c:v>
                </c:pt>
                <c:pt idx="65">
                  <c:v>1.2864152880690389</c:v>
                </c:pt>
                <c:pt idx="66">
                  <c:v>1.3062062925008704</c:v>
                </c:pt>
                <c:pt idx="67">
                  <c:v>1.3259972969327016</c:v>
                </c:pt>
                <c:pt idx="68">
                  <c:v>1.3457883013645331</c:v>
                </c:pt>
                <c:pt idx="69">
                  <c:v>1.3655793057963646</c:v>
                </c:pt>
                <c:pt idx="70">
                  <c:v>1.3853703102281958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AC-421B-8E60-3FFFD5CD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399240"/>
        <c:axId val="924399568"/>
      </c:scatterChart>
      <c:valAx>
        <c:axId val="924399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L</a:t>
                </a:r>
                <a:r>
                  <a:rPr lang="en-US" sz="1200" baseline="-25000"/>
                  <a:t>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399568"/>
        <c:crosses val="autoZero"/>
        <c:crossBetween val="midCat"/>
        <c:majorUnit val="0.5"/>
      </c:valAx>
      <c:valAx>
        <c:axId val="92439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lb CH</a:t>
                </a:r>
                <a:r>
                  <a:rPr lang="en-US" sz="1200" baseline="-25000"/>
                  <a:t>4</a:t>
                </a:r>
                <a:r>
                  <a:rPr lang="en-US" sz="1200"/>
                  <a:t>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399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Upstream</a:t>
            </a:r>
            <a:r>
              <a:rPr lang="en-US" baseline="0"/>
              <a:t> Methane Emission Rate </a:t>
            </a:r>
          </a:p>
          <a:p>
            <a:pPr>
              <a:defRPr/>
            </a:pPr>
            <a:r>
              <a:rPr lang="en-US" baseline="0"/>
              <a:t>(lb CO</a:t>
            </a:r>
            <a:r>
              <a:rPr lang="en-US" baseline="-25000"/>
              <a:t>2</a:t>
            </a:r>
            <a:r>
              <a:rPr lang="en-US" baseline="0"/>
              <a:t>e per mmbtu) by Loss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'1-MethaneCalculator_NG'!$H$54</c:f>
              <c:strCache>
                <c:ptCount val="1"/>
                <c:pt idx="0">
                  <c:v>lb CO2e/mmbtu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'1-MethaneCalculator_NG'!$E$57:$E$127</c:f>
              <c:numCache>
                <c:formatCode>General</c:formatCode>
                <c:ptCount val="7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</c:numCache>
            </c:numRef>
          </c:xVal>
          <c:yVal>
            <c:numRef>
              <c:f>'1-MethaneCalculator_NG'!$H$57:$H$127</c:f>
              <c:numCache>
                <c:formatCode>0.000</c:formatCode>
                <c:ptCount val="71"/>
                <c:pt idx="0">
                  <c:v>0</c:v>
                </c:pt>
                <c:pt idx="1">
                  <c:v>0.67289415068226643</c:v>
                </c:pt>
                <c:pt idx="2">
                  <c:v>1.3457883013645329</c:v>
                </c:pt>
                <c:pt idx="3">
                  <c:v>2.0186824520467996</c:v>
                </c:pt>
                <c:pt idx="4">
                  <c:v>2.6915766027290657</c:v>
                </c:pt>
                <c:pt idx="5">
                  <c:v>3.3644707534113327</c:v>
                </c:pt>
                <c:pt idx="6">
                  <c:v>4.0373649040935993</c:v>
                </c:pt>
                <c:pt idx="7">
                  <c:v>4.7102590547758645</c:v>
                </c:pt>
                <c:pt idx="8">
                  <c:v>5.3831532054581315</c:v>
                </c:pt>
                <c:pt idx="9">
                  <c:v>6.0560473561403994</c:v>
                </c:pt>
                <c:pt idx="10">
                  <c:v>6.7289415068226655</c:v>
                </c:pt>
                <c:pt idx="11">
                  <c:v>7.4018356575049324</c:v>
                </c:pt>
                <c:pt idx="12">
                  <c:v>8.0747298081871985</c:v>
                </c:pt>
                <c:pt idx="13">
                  <c:v>8.7476239588694664</c:v>
                </c:pt>
                <c:pt idx="14">
                  <c:v>9.420518109551729</c:v>
                </c:pt>
                <c:pt idx="15">
                  <c:v>10.093412260233997</c:v>
                </c:pt>
                <c:pt idx="16">
                  <c:v>10.766306410916263</c:v>
                </c:pt>
                <c:pt idx="17">
                  <c:v>11.439200561598531</c:v>
                </c:pt>
                <c:pt idx="18">
                  <c:v>12.112094712280799</c:v>
                </c:pt>
                <c:pt idx="19">
                  <c:v>12.784988862963063</c:v>
                </c:pt>
                <c:pt idx="20">
                  <c:v>13.457883013645331</c:v>
                </c:pt>
                <c:pt idx="21">
                  <c:v>14.130777164327599</c:v>
                </c:pt>
                <c:pt idx="22">
                  <c:v>14.803671315009865</c:v>
                </c:pt>
                <c:pt idx="23">
                  <c:v>15.476565465692131</c:v>
                </c:pt>
                <c:pt idx="24">
                  <c:v>16.149459616374397</c:v>
                </c:pt>
                <c:pt idx="25">
                  <c:v>16.822353767056665</c:v>
                </c:pt>
                <c:pt idx="26">
                  <c:v>17.495247917738933</c:v>
                </c:pt>
                <c:pt idx="27">
                  <c:v>18.168142068421197</c:v>
                </c:pt>
                <c:pt idx="28">
                  <c:v>18.841036219103458</c:v>
                </c:pt>
                <c:pt idx="29">
                  <c:v>19.513930369785729</c:v>
                </c:pt>
                <c:pt idx="30">
                  <c:v>20.186824520467994</c:v>
                </c:pt>
                <c:pt idx="31">
                  <c:v>20.859718671150262</c:v>
                </c:pt>
                <c:pt idx="32">
                  <c:v>21.532612821832526</c:v>
                </c:pt>
                <c:pt idx="33">
                  <c:v>22.205506972514797</c:v>
                </c:pt>
                <c:pt idx="34">
                  <c:v>22.878401123197062</c:v>
                </c:pt>
                <c:pt idx="35">
                  <c:v>23.55129527387933</c:v>
                </c:pt>
                <c:pt idx="36">
                  <c:v>24.224189424561597</c:v>
                </c:pt>
                <c:pt idx="37">
                  <c:v>24.897083575243865</c:v>
                </c:pt>
                <c:pt idx="38">
                  <c:v>25.569977725926126</c:v>
                </c:pt>
                <c:pt idx="39">
                  <c:v>26.242871876608397</c:v>
                </c:pt>
                <c:pt idx="40">
                  <c:v>26.915766027290662</c:v>
                </c:pt>
                <c:pt idx="41">
                  <c:v>27.588660177972923</c:v>
                </c:pt>
                <c:pt idx="42">
                  <c:v>28.261554328655198</c:v>
                </c:pt>
                <c:pt idx="43">
                  <c:v>28.934448479337458</c:v>
                </c:pt>
                <c:pt idx="44">
                  <c:v>29.60734263001973</c:v>
                </c:pt>
                <c:pt idx="45">
                  <c:v>30.280236780701991</c:v>
                </c:pt>
                <c:pt idx="46">
                  <c:v>30.953130931384262</c:v>
                </c:pt>
                <c:pt idx="47">
                  <c:v>31.626025082066526</c:v>
                </c:pt>
                <c:pt idx="48">
                  <c:v>32.298919232748794</c:v>
                </c:pt>
                <c:pt idx="49">
                  <c:v>32.971813383431062</c:v>
                </c:pt>
                <c:pt idx="50">
                  <c:v>33.64470753411333</c:v>
                </c:pt>
                <c:pt idx="51">
                  <c:v>34.317601684795584</c:v>
                </c:pt>
                <c:pt idx="52">
                  <c:v>34.990495835477866</c:v>
                </c:pt>
                <c:pt idx="53">
                  <c:v>35.663389986160126</c:v>
                </c:pt>
                <c:pt idx="54">
                  <c:v>36.336284136842394</c:v>
                </c:pt>
                <c:pt idx="55">
                  <c:v>37.009178287524655</c:v>
                </c:pt>
                <c:pt idx="56">
                  <c:v>37.682072438206916</c:v>
                </c:pt>
                <c:pt idx="57">
                  <c:v>38.354966588889191</c:v>
                </c:pt>
                <c:pt idx="58">
                  <c:v>39.027860739571459</c:v>
                </c:pt>
                <c:pt idx="59">
                  <c:v>39.700754890253727</c:v>
                </c:pt>
                <c:pt idx="60">
                  <c:v>40.373649040935987</c:v>
                </c:pt>
                <c:pt idx="61">
                  <c:v>41.046543191618262</c:v>
                </c:pt>
                <c:pt idx="62">
                  <c:v>41.719437342300523</c:v>
                </c:pt>
                <c:pt idx="63">
                  <c:v>42.392331492982791</c:v>
                </c:pt>
                <c:pt idx="64">
                  <c:v>43.065225643665052</c:v>
                </c:pt>
                <c:pt idx="65">
                  <c:v>43.738119794347327</c:v>
                </c:pt>
                <c:pt idx="66">
                  <c:v>44.411013945029595</c:v>
                </c:pt>
                <c:pt idx="67">
                  <c:v>45.083908095711855</c:v>
                </c:pt>
                <c:pt idx="68">
                  <c:v>45.756802246394123</c:v>
                </c:pt>
                <c:pt idx="69">
                  <c:v>46.429696397076398</c:v>
                </c:pt>
                <c:pt idx="70">
                  <c:v>47.102590547758659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D-4750-BBCC-F79637D47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399240"/>
        <c:axId val="924399568"/>
      </c:scatterChart>
      <c:valAx>
        <c:axId val="924399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L</a:t>
                </a:r>
                <a:r>
                  <a:rPr lang="en-US" sz="1200" baseline="-25000"/>
                  <a:t>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399568"/>
        <c:crosses val="autoZero"/>
        <c:crossBetween val="midCat"/>
        <c:majorUnit val="0.5"/>
      </c:valAx>
      <c:valAx>
        <c:axId val="92439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lb C0</a:t>
                </a:r>
                <a:r>
                  <a:rPr lang="en-US" sz="1200" baseline="-25000"/>
                  <a:t>2</a:t>
                </a:r>
                <a:r>
                  <a:rPr lang="en-US" sz="1200" baseline="0"/>
                  <a:t> e</a:t>
                </a:r>
                <a:r>
                  <a:rPr lang="en-US" sz="1200"/>
                  <a:t>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399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'1-MethaneCalculator_NG'!$H$54</c:f>
              <c:strCache>
                <c:ptCount val="1"/>
                <c:pt idx="0">
                  <c:v>lb CO2e/mmbtu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'1-MethaneCalculator_NG'!$E$57:$E$127</c:f>
              <c:numCache>
                <c:formatCode>General</c:formatCode>
                <c:ptCount val="7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</c:numCache>
            </c:numRef>
          </c:xVal>
          <c:yVal>
            <c:numRef>
              <c:f>'1-MethaneCalculator_NG'!$H$57:$H$127</c:f>
              <c:numCache>
                <c:formatCode>0.000</c:formatCode>
                <c:ptCount val="71"/>
                <c:pt idx="0">
                  <c:v>0</c:v>
                </c:pt>
                <c:pt idx="1">
                  <c:v>0.67289415068226643</c:v>
                </c:pt>
                <c:pt idx="2">
                  <c:v>1.3457883013645329</c:v>
                </c:pt>
                <c:pt idx="3">
                  <c:v>2.0186824520467996</c:v>
                </c:pt>
                <c:pt idx="4">
                  <c:v>2.6915766027290657</c:v>
                </c:pt>
                <c:pt idx="5">
                  <c:v>3.3644707534113327</c:v>
                </c:pt>
                <c:pt idx="6">
                  <c:v>4.0373649040935993</c:v>
                </c:pt>
                <c:pt idx="7">
                  <c:v>4.7102590547758645</c:v>
                </c:pt>
                <c:pt idx="8">
                  <c:v>5.3831532054581315</c:v>
                </c:pt>
                <c:pt idx="9">
                  <c:v>6.0560473561403994</c:v>
                </c:pt>
                <c:pt idx="10">
                  <c:v>6.7289415068226655</c:v>
                </c:pt>
                <c:pt idx="11">
                  <c:v>7.4018356575049324</c:v>
                </c:pt>
                <c:pt idx="12">
                  <c:v>8.0747298081871985</c:v>
                </c:pt>
                <c:pt idx="13">
                  <c:v>8.7476239588694664</c:v>
                </c:pt>
                <c:pt idx="14">
                  <c:v>9.420518109551729</c:v>
                </c:pt>
                <c:pt idx="15">
                  <c:v>10.093412260233997</c:v>
                </c:pt>
                <c:pt idx="16">
                  <c:v>10.766306410916263</c:v>
                </c:pt>
                <c:pt idx="17">
                  <c:v>11.439200561598531</c:v>
                </c:pt>
                <c:pt idx="18">
                  <c:v>12.112094712280799</c:v>
                </c:pt>
                <c:pt idx="19">
                  <c:v>12.784988862963063</c:v>
                </c:pt>
                <c:pt idx="20">
                  <c:v>13.457883013645331</c:v>
                </c:pt>
                <c:pt idx="21">
                  <c:v>14.130777164327599</c:v>
                </c:pt>
                <c:pt idx="22">
                  <c:v>14.803671315009865</c:v>
                </c:pt>
                <c:pt idx="23">
                  <c:v>15.476565465692131</c:v>
                </c:pt>
                <c:pt idx="24">
                  <c:v>16.149459616374397</c:v>
                </c:pt>
                <c:pt idx="25">
                  <c:v>16.822353767056665</c:v>
                </c:pt>
                <c:pt idx="26">
                  <c:v>17.495247917738933</c:v>
                </c:pt>
                <c:pt idx="27">
                  <c:v>18.168142068421197</c:v>
                </c:pt>
                <c:pt idx="28">
                  <c:v>18.841036219103458</c:v>
                </c:pt>
                <c:pt idx="29">
                  <c:v>19.513930369785729</c:v>
                </c:pt>
                <c:pt idx="30">
                  <c:v>20.186824520467994</c:v>
                </c:pt>
                <c:pt idx="31">
                  <c:v>20.859718671150262</c:v>
                </c:pt>
                <c:pt idx="32">
                  <c:v>21.532612821832526</c:v>
                </c:pt>
                <c:pt idx="33">
                  <c:v>22.205506972514797</c:v>
                </c:pt>
                <c:pt idx="34">
                  <c:v>22.878401123197062</c:v>
                </c:pt>
                <c:pt idx="35">
                  <c:v>23.55129527387933</c:v>
                </c:pt>
                <c:pt idx="36">
                  <c:v>24.224189424561597</c:v>
                </c:pt>
                <c:pt idx="37">
                  <c:v>24.897083575243865</c:v>
                </c:pt>
                <c:pt idx="38">
                  <c:v>25.569977725926126</c:v>
                </c:pt>
                <c:pt idx="39">
                  <c:v>26.242871876608397</c:v>
                </c:pt>
                <c:pt idx="40">
                  <c:v>26.915766027290662</c:v>
                </c:pt>
                <c:pt idx="41">
                  <c:v>27.588660177972923</c:v>
                </c:pt>
                <c:pt idx="42">
                  <c:v>28.261554328655198</c:v>
                </c:pt>
                <c:pt idx="43">
                  <c:v>28.934448479337458</c:v>
                </c:pt>
                <c:pt idx="44">
                  <c:v>29.60734263001973</c:v>
                </c:pt>
                <c:pt idx="45">
                  <c:v>30.280236780701991</c:v>
                </c:pt>
                <c:pt idx="46">
                  <c:v>30.953130931384262</c:v>
                </c:pt>
                <c:pt idx="47">
                  <c:v>31.626025082066526</c:v>
                </c:pt>
                <c:pt idx="48">
                  <c:v>32.298919232748794</c:v>
                </c:pt>
                <c:pt idx="49">
                  <c:v>32.971813383431062</c:v>
                </c:pt>
                <c:pt idx="50">
                  <c:v>33.64470753411333</c:v>
                </c:pt>
                <c:pt idx="51">
                  <c:v>34.317601684795584</c:v>
                </c:pt>
                <c:pt idx="52">
                  <c:v>34.990495835477866</c:v>
                </c:pt>
                <c:pt idx="53">
                  <c:v>35.663389986160126</c:v>
                </c:pt>
                <c:pt idx="54">
                  <c:v>36.336284136842394</c:v>
                </c:pt>
                <c:pt idx="55">
                  <c:v>37.009178287524655</c:v>
                </c:pt>
                <c:pt idx="56">
                  <c:v>37.682072438206916</c:v>
                </c:pt>
                <c:pt idx="57">
                  <c:v>38.354966588889191</c:v>
                </c:pt>
                <c:pt idx="58">
                  <c:v>39.027860739571459</c:v>
                </c:pt>
                <c:pt idx="59">
                  <c:v>39.700754890253727</c:v>
                </c:pt>
                <c:pt idx="60">
                  <c:v>40.373649040935987</c:v>
                </c:pt>
                <c:pt idx="61">
                  <c:v>41.046543191618262</c:v>
                </c:pt>
                <c:pt idx="62">
                  <c:v>41.719437342300523</c:v>
                </c:pt>
                <c:pt idx="63">
                  <c:v>42.392331492982791</c:v>
                </c:pt>
                <c:pt idx="64">
                  <c:v>43.065225643665052</c:v>
                </c:pt>
                <c:pt idx="65">
                  <c:v>43.738119794347327</c:v>
                </c:pt>
                <c:pt idx="66">
                  <c:v>44.411013945029595</c:v>
                </c:pt>
                <c:pt idx="67">
                  <c:v>45.083908095711855</c:v>
                </c:pt>
                <c:pt idx="68">
                  <c:v>45.756802246394123</c:v>
                </c:pt>
                <c:pt idx="69">
                  <c:v>46.429696397076398</c:v>
                </c:pt>
                <c:pt idx="70">
                  <c:v>47.102590547758659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55-452A-9FF1-01E40E19B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399240"/>
        <c:axId val="924399568"/>
      </c:scatterChart>
      <c:valAx>
        <c:axId val="924399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L</a:t>
                </a:r>
                <a:r>
                  <a:rPr lang="en-US" sz="1200" b="1" baseline="-25000"/>
                  <a:t>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399568"/>
        <c:crosses val="autoZero"/>
        <c:crossBetween val="midCat"/>
        <c:majorUnit val="0.5"/>
      </c:valAx>
      <c:valAx>
        <c:axId val="92439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lb C0</a:t>
                </a:r>
                <a:r>
                  <a:rPr lang="en-US" sz="1200" b="1" baseline="-25000"/>
                  <a:t>2</a:t>
                </a:r>
                <a:r>
                  <a:rPr lang="en-US" sz="1200" b="1" baseline="0"/>
                  <a:t> e</a:t>
                </a:r>
                <a:r>
                  <a:rPr lang="en-US" sz="1200" b="1"/>
                  <a:t>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399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C2-43DB-B119-6543B1970E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C2-43DB-B119-6543B1970E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C2-43DB-B119-6543B1970E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C2-43DB-B119-6543B1970E0F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4C2-43DB-B119-6543B1970E0F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C2-43DB-B119-6543B1970E0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4C2-43DB-B119-6543B1970E0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4C2-43DB-B119-6543B1970E0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4C2-43DB-B119-6543B1970E0F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4C2-43DB-B119-6543B1970E0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4C2-43DB-B119-6543B1970E0F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4C2-43DB-B119-6543B1970E0F}"/>
              </c:ext>
            </c:extLst>
          </c:dPt>
          <c:dPt>
            <c:idx val="1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4C2-43DB-B119-6543B1970E0F}"/>
              </c:ext>
            </c:extLst>
          </c:dPt>
          <c:dPt>
            <c:idx val="13"/>
            <c:invertIfNegative val="0"/>
            <c:bubble3D val="0"/>
            <c:spPr>
              <a:solidFill>
                <a:srgbClr val="FF3737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4C2-43DB-B119-6543B1970E0F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4C2-43DB-B119-6543B1970E0F}"/>
              </c:ext>
            </c:extLst>
          </c:dPt>
          <c:dPt>
            <c:idx val="1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DE6-43C2-B1F9-52D309B087B6}"/>
              </c:ext>
            </c:extLst>
          </c:dPt>
          <c:dPt>
            <c:idx val="1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F12E-4734-A85A-FD3A1FFDC8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'3-StudyResults'!$D$4:$T$4</c:f>
              <c:strCache>
                <c:ptCount val="17"/>
                <c:pt idx="0">
                  <c:v>Coal</c:v>
                </c:pt>
                <c:pt idx="1">
                  <c:v>EDF O/NG
High</c:v>
                </c:pt>
                <c:pt idx="2">
                  <c:v>EDF
O/NG</c:v>
                </c:pt>
                <c:pt idx="3">
                  <c:v>EDF 
O/NG
Low</c:v>
                </c:pt>
                <c:pt idx="4">
                  <c:v>NETL/CMU 
NatGasOnly
High</c:v>
                </c:pt>
                <c:pt idx="5">
                  <c:v>EPA 
O/NG 
High</c:v>
                </c:pt>
                <c:pt idx="6">
                  <c:v>IEA
 O/NG</c:v>
                </c:pt>
                <c:pt idx="7">
                  <c:v>EPA 
O/NG</c:v>
                </c:pt>
                <c:pt idx="8">
                  <c:v>NETL/CMU 
NatGasOnly</c:v>
                </c:pt>
                <c:pt idx="9">
                  <c:v>EPA NatGasOnly
 High</c:v>
                </c:pt>
                <c:pt idx="10">
                  <c:v>IEA 
NatGasOnly</c:v>
                </c:pt>
                <c:pt idx="11">
                  <c:v>EPA 
O/NG
Low</c:v>
                </c:pt>
                <c:pt idx="12">
                  <c:v>EPA 
NatGasOnly</c:v>
                </c:pt>
                <c:pt idx="13">
                  <c:v>2021 PowerPlan</c:v>
                </c:pt>
                <c:pt idx="14">
                  <c:v>NETL/CMU 
NatGasOnly
Low</c:v>
                </c:pt>
                <c:pt idx="15">
                  <c:v>EPA 
NatGasOnly
 Low</c:v>
                </c:pt>
                <c:pt idx="16">
                  <c:v>BC NatGasOnly GHGenius</c:v>
                </c:pt>
              </c:strCache>
            </c:strRef>
          </c:cat>
          <c:val>
            <c:numRef>
              <c:f>'3-StudyResults'!$D$9:$T$9</c:f>
              <c:numCache>
                <c:formatCode>0.00</c:formatCode>
                <c:ptCount val="17"/>
                <c:pt idx="0">
                  <c:v>3.5117254714847261</c:v>
                </c:pt>
                <c:pt idx="1">
                  <c:v>44.281279401138981</c:v>
                </c:pt>
                <c:pt idx="2">
                  <c:v>38.201072343312909</c:v>
                </c:pt>
                <c:pt idx="3">
                  <c:v>33.278999963168005</c:v>
                </c:pt>
                <c:pt idx="4">
                  <c:v>29.390959485646896</c:v>
                </c:pt>
                <c:pt idx="5">
                  <c:v>29.273037861029259</c:v>
                </c:pt>
                <c:pt idx="6">
                  <c:v>29.120969411066419</c:v>
                </c:pt>
                <c:pt idx="7">
                  <c:v>24.496144120522985</c:v>
                </c:pt>
                <c:pt idx="8">
                  <c:v>22.711893343722512</c:v>
                </c:pt>
                <c:pt idx="9">
                  <c:v>22.573735663977782</c:v>
                </c:pt>
                <c:pt idx="10">
                  <c:v>20.342598925165372</c:v>
                </c:pt>
                <c:pt idx="11">
                  <c:v>20.097906591154413</c:v>
                </c:pt>
                <c:pt idx="12">
                  <c:v>19.282339367165534</c:v>
                </c:pt>
                <c:pt idx="13">
                  <c:v>18.3783014291662</c:v>
                </c:pt>
                <c:pt idx="14">
                  <c:v>17.368640430183007</c:v>
                </c:pt>
                <c:pt idx="15">
                  <c:v>16.194834876350512</c:v>
                </c:pt>
                <c:pt idx="16">
                  <c:v>10.354848372395999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4C2-43DB-B119-6543B1970E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4382992"/>
        <c:axId val="844383320"/>
      </c:barChart>
      <c:catAx>
        <c:axId val="84438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3320"/>
        <c:crosses val="autoZero"/>
        <c:auto val="1"/>
        <c:lblAlgn val="ctr"/>
        <c:lblOffset val="100"/>
        <c:noMultiLvlLbl val="0"/>
      </c:catAx>
      <c:valAx>
        <c:axId val="844383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Upstream Methane Emission</a:t>
                </a:r>
                <a:r>
                  <a:rPr lang="en-US" sz="1200" baseline="0"/>
                  <a:t> Rate </a:t>
                </a:r>
                <a:r>
                  <a:rPr lang="en-US" sz="1200"/>
                  <a:t>Lbs CO2e / 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96-437C-9A53-A624F29416B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96-437C-9A53-A624F29416B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96-437C-9A53-A624F29416B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96-437C-9A53-A624F29416B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96-437C-9A53-A624F29416B4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96-437C-9A53-A624F29416B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96-437C-9A53-A624F29416B4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196-437C-9A53-A624F29416B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196-437C-9A53-A624F29416B4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196-437C-9A53-A624F29416B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196-437C-9A53-A624F29416B4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196-437C-9A53-A624F29416B4}"/>
              </c:ext>
            </c:extLst>
          </c:dPt>
          <c:dPt>
            <c:idx val="1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196-437C-9A53-A624F29416B4}"/>
              </c:ext>
            </c:extLst>
          </c:dPt>
          <c:dPt>
            <c:idx val="13"/>
            <c:invertIfNegative val="0"/>
            <c:bubble3D val="0"/>
            <c:spPr>
              <a:solidFill>
                <a:srgbClr val="FF3737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196-437C-9A53-A624F29416B4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196-437C-9A53-A624F29416B4}"/>
              </c:ext>
            </c:extLst>
          </c:dPt>
          <c:dPt>
            <c:idx val="1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35D-4BC5-8813-5176DCA957AB}"/>
              </c:ext>
            </c:extLst>
          </c:dPt>
          <c:dPt>
            <c:idx val="1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FA12-4555-B656-C2EE53B71F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'3-StudyResults'!$D$4:$T$4</c:f>
              <c:strCache>
                <c:ptCount val="17"/>
                <c:pt idx="0">
                  <c:v>Coal</c:v>
                </c:pt>
                <c:pt idx="1">
                  <c:v>EDF O/NG
High</c:v>
                </c:pt>
                <c:pt idx="2">
                  <c:v>EDF
O/NG</c:v>
                </c:pt>
                <c:pt idx="3">
                  <c:v>EDF 
O/NG
Low</c:v>
                </c:pt>
                <c:pt idx="4">
                  <c:v>NETL/CMU 
NatGasOnly
High</c:v>
                </c:pt>
                <c:pt idx="5">
                  <c:v>EPA 
O/NG 
High</c:v>
                </c:pt>
                <c:pt idx="6">
                  <c:v>IEA
 O/NG</c:v>
                </c:pt>
                <c:pt idx="7">
                  <c:v>EPA 
O/NG</c:v>
                </c:pt>
                <c:pt idx="8">
                  <c:v>NETL/CMU 
NatGasOnly</c:v>
                </c:pt>
                <c:pt idx="9">
                  <c:v>EPA NatGasOnly
 High</c:v>
                </c:pt>
                <c:pt idx="10">
                  <c:v>IEA 
NatGasOnly</c:v>
                </c:pt>
                <c:pt idx="11">
                  <c:v>EPA 
O/NG
Low</c:v>
                </c:pt>
                <c:pt idx="12">
                  <c:v>EPA 
NatGasOnly</c:v>
                </c:pt>
                <c:pt idx="13">
                  <c:v>2021 PowerPlan</c:v>
                </c:pt>
                <c:pt idx="14">
                  <c:v>NETL/CMU 
NatGasOnly
Low</c:v>
                </c:pt>
                <c:pt idx="15">
                  <c:v>EPA 
NatGasOnly
 Low</c:v>
                </c:pt>
                <c:pt idx="16">
                  <c:v>BC NatGasOnly GHGenius</c:v>
                </c:pt>
              </c:strCache>
            </c:strRef>
          </c:cat>
          <c:val>
            <c:numRef>
              <c:f>'3-StudyResults'!$D$10:$T$10</c:f>
              <c:numCache>
                <c:formatCode>0</c:formatCode>
                <c:ptCount val="17"/>
                <c:pt idx="0">
                  <c:v>219.28816547148475</c:v>
                </c:pt>
                <c:pt idx="1">
                  <c:v>161.89167940113899</c:v>
                </c:pt>
                <c:pt idx="2">
                  <c:v>155.81147234331291</c:v>
                </c:pt>
                <c:pt idx="3">
                  <c:v>150.88939996316799</c:v>
                </c:pt>
                <c:pt idx="4">
                  <c:v>147.0013594856469</c:v>
                </c:pt>
                <c:pt idx="5">
                  <c:v>146.88343786102925</c:v>
                </c:pt>
                <c:pt idx="6">
                  <c:v>146.73136941106642</c:v>
                </c:pt>
                <c:pt idx="7">
                  <c:v>142.10654412052298</c:v>
                </c:pt>
                <c:pt idx="8">
                  <c:v>140.32229334372252</c:v>
                </c:pt>
                <c:pt idx="9">
                  <c:v>140.18413566397777</c:v>
                </c:pt>
                <c:pt idx="10">
                  <c:v>137.95299892516536</c:v>
                </c:pt>
                <c:pt idx="11">
                  <c:v>137.70830659115441</c:v>
                </c:pt>
                <c:pt idx="12">
                  <c:v>136.89273936716552</c:v>
                </c:pt>
                <c:pt idx="13">
                  <c:v>135.98870142916621</c:v>
                </c:pt>
                <c:pt idx="14">
                  <c:v>134.97904043018301</c:v>
                </c:pt>
                <c:pt idx="15">
                  <c:v>133.80523487635051</c:v>
                </c:pt>
                <c:pt idx="16">
                  <c:v>127.96524837239599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196-437C-9A53-A624F29416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4382992"/>
        <c:axId val="844383320"/>
      </c:barChart>
      <c:catAx>
        <c:axId val="84438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3320"/>
        <c:crosses val="autoZero"/>
        <c:auto val="1"/>
        <c:lblAlgn val="ctr"/>
        <c:lblOffset val="100"/>
        <c:noMultiLvlLbl val="0"/>
      </c:catAx>
      <c:valAx>
        <c:axId val="844383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 Emission</a:t>
                </a:r>
                <a:r>
                  <a:rPr lang="en-US" sz="1200" baseline="0"/>
                  <a:t> Rate </a:t>
                </a:r>
                <a:r>
                  <a:rPr lang="en-US" sz="1200"/>
                  <a:t>Lbs CO2e / 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6C-4C34-B473-8F74847096B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6C-4C34-B473-8F74847096B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6C-4C34-B473-8F74847096B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6C-4C34-B473-8F74847096B5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6C-4C34-B473-8F74847096B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6C-4C34-B473-8F74847096B5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6C-4C34-B473-8F74847096B5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36C-4C34-B473-8F74847096B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36C-4C34-B473-8F74847096B5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36C-4C34-B473-8F74847096B5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36C-4C34-B473-8F74847096B5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166-4D6D-AF9E-BAF90387EC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'3-StudyResults'!$E$4:$S$4</c:f>
              <c:strCache>
                <c:ptCount val="15"/>
                <c:pt idx="0">
                  <c:v>EDF O/NG
High</c:v>
                </c:pt>
                <c:pt idx="1">
                  <c:v>EDF
O/NG</c:v>
                </c:pt>
                <c:pt idx="2">
                  <c:v>EDF 
O/NG
Low</c:v>
                </c:pt>
                <c:pt idx="3">
                  <c:v>NETL/CMU 
NatGasOnly
High</c:v>
                </c:pt>
                <c:pt idx="4">
                  <c:v>EPA 
O/NG 
High</c:v>
                </c:pt>
                <c:pt idx="5">
                  <c:v>IEA
 O/NG</c:v>
                </c:pt>
                <c:pt idx="6">
                  <c:v>EPA 
O/NG</c:v>
                </c:pt>
                <c:pt idx="7">
                  <c:v>NETL/CMU 
NatGasOnly</c:v>
                </c:pt>
                <c:pt idx="8">
                  <c:v>EPA NatGasOnly
 High</c:v>
                </c:pt>
                <c:pt idx="9">
                  <c:v>IEA 
NatGasOnly</c:v>
                </c:pt>
                <c:pt idx="10">
                  <c:v>EPA 
O/NG
Low</c:v>
                </c:pt>
                <c:pt idx="11">
                  <c:v>EPA 
NatGasOnly</c:v>
                </c:pt>
                <c:pt idx="12">
                  <c:v>2021 PowerPlan</c:v>
                </c:pt>
                <c:pt idx="13">
                  <c:v>NETL/CMU 
NatGasOnly
Low</c:v>
                </c:pt>
                <c:pt idx="14">
                  <c:v>EPA 
NatGasOnly
 Low</c:v>
                </c:pt>
              </c:strCache>
            </c:strRef>
          </c:cat>
          <c:val>
            <c:numRef>
              <c:f>'3-StudyResults'!$E$6:$S$6</c:f>
              <c:numCache>
                <c:formatCode>0.00</c:formatCode>
                <c:ptCount val="15"/>
                <c:pt idx="0">
                  <c:v>3.2903599590099666</c:v>
                </c:pt>
                <c:pt idx="1">
                  <c:v>2.8385647508289198</c:v>
                </c:pt>
                <c:pt idx="2">
                  <c:v>2.4728257727775964</c:v>
                </c:pt>
                <c:pt idx="3">
                  <c:v>2.1839214574719192</c:v>
                </c:pt>
                <c:pt idx="4">
                  <c:v>2.1751591859840431</c:v>
                </c:pt>
                <c:pt idx="5">
                  <c:v>2.1638596041843905</c:v>
                </c:pt>
                <c:pt idx="6">
                  <c:v>1.8202078362314227</c:v>
                </c:pt>
                <c:pt idx="7">
                  <c:v>1.6876274909429869</c:v>
                </c:pt>
                <c:pt idx="8">
                  <c:v>1.6773615613309782</c:v>
                </c:pt>
                <c:pt idx="9">
                  <c:v>1.5115749560714291</c:v>
                </c:pt>
                <c:pt idx="10">
                  <c:v>1.4933928739591935</c:v>
                </c:pt>
                <c:pt idx="11">
                  <c:v>1.432791424001429</c:v>
                </c:pt>
                <c:pt idx="12">
                  <c:v>1.3656160787348142</c:v>
                </c:pt>
                <c:pt idx="13">
                  <c:v>1.2905923177198411</c:v>
                </c:pt>
                <c:pt idx="14">
                  <c:v>1.2033716491613211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36C-4C34-B473-8F7484709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4382992"/>
        <c:axId val="844383320"/>
      </c:barChart>
      <c:catAx>
        <c:axId val="84438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3320"/>
        <c:crosses val="autoZero"/>
        <c:auto val="1"/>
        <c:lblAlgn val="ctr"/>
        <c:lblOffset val="100"/>
        <c:noMultiLvlLbl val="0"/>
      </c:catAx>
      <c:valAx>
        <c:axId val="844383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Upstream Methane Leak</a:t>
                </a:r>
                <a:r>
                  <a:rPr lang="en-US" sz="1200" baseline="0"/>
                  <a:t> Rate L</a:t>
                </a:r>
                <a:r>
                  <a:rPr lang="en-US" sz="1200" baseline="-25000"/>
                  <a:t>d</a:t>
                </a:r>
                <a:r>
                  <a:rPr lang="en-US" sz="1200" baseline="0"/>
                  <a:t> %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58-4C18-B694-E6C9075B47C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58-4C18-B694-E6C9075B47C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58-4C18-B694-E6C9075B47C5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58-4C18-B694-E6C9075B47C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58-4C18-B694-E6C9075B47C5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58-4C18-B694-E6C9075B47C5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5D58-4C18-B694-E6C9075B47C5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5D58-4C18-B694-E6C9075B47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'3-StudyResults'!$E$4:$S$4</c15:sqref>
                  </c15:fullRef>
                </c:ext>
              </c:extLst>
              <c:f>('3-StudyResults'!$E$4:$G$4,'3-StudyResults'!$I$4:$K$4,'3-StudyResults'!$O$4,'3-StudyResults'!$Q$4)</c:f>
              <c:strCache>
                <c:ptCount val="8"/>
                <c:pt idx="0">
                  <c:v>EDF O/NG
High</c:v>
                </c:pt>
                <c:pt idx="1">
                  <c:v>EDF
O/NG</c:v>
                </c:pt>
                <c:pt idx="2">
                  <c:v>EDF 
O/NG
Low</c:v>
                </c:pt>
                <c:pt idx="3">
                  <c:v>EPA 
O/NG 
High</c:v>
                </c:pt>
                <c:pt idx="4">
                  <c:v>IEA
 O/NG</c:v>
                </c:pt>
                <c:pt idx="5">
                  <c:v>EPA 
O/NG</c:v>
                </c:pt>
                <c:pt idx="6">
                  <c:v>EPA 
O/NG
Low</c:v>
                </c:pt>
                <c:pt idx="7">
                  <c:v>2021 PowerPlan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'3-StudyResults'!$E$6:$S$6</c15:sqref>
                  </c15:fullRef>
                </c:ext>
              </c:extLst>
              <c:f>('3-StudyResults'!$E$6:$G$6,'3-StudyResults'!$I$6:$K$6,'3-StudyResults'!$O$6,'3-StudyResults'!$Q$6)</c:f>
              <c:numCache>
                <c:formatCode>0.00</c:formatCode>
                <c:ptCount val="8"/>
                <c:pt idx="0">
                  <c:v>3.2903599590099666</c:v>
                </c:pt>
                <c:pt idx="1">
                  <c:v>2.8385647508289198</c:v>
                </c:pt>
                <c:pt idx="2">
                  <c:v>2.4728257727775964</c:v>
                </c:pt>
                <c:pt idx="3">
                  <c:v>2.1751591859840431</c:v>
                </c:pt>
                <c:pt idx="4">
                  <c:v>2.1638596041843905</c:v>
                </c:pt>
                <c:pt idx="5">
                  <c:v>1.8202078362314227</c:v>
                </c:pt>
                <c:pt idx="6">
                  <c:v>1.4933928739591935</c:v>
                </c:pt>
                <c:pt idx="7">
                  <c:v>1.3656160787348142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'3-StudyResults'!$H$6</c15:sqref>
                  <c15:spPr xmlns:c15="http://schemas.microsoft.com/office/drawing/2012/chart">
                    <a:solidFill>
                      <a:schemeClr val="bg2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'3-StudyResults'!$L$6</c15:sqref>
                  <c15:spPr xmlns:c15="http://schemas.microsoft.com/office/drawing/2012/chart">
                    <a:solidFill>
                      <a:schemeClr val="bg2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'3-StudyResults'!$N$6</c15:sqref>
                  <c15:spPr xmlns:c15="http://schemas.microsoft.com/office/drawing/2012/chart">
                    <a:solidFill>
                      <a:schemeClr val="accent2">
                        <a:lumMod val="75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'3-StudyResults'!$R$6</c15:sqref>
                  <c15:spPr xmlns:c15="http://schemas.microsoft.com/office/drawing/2012/chart">
                    <a:solidFill>
                      <a:schemeClr val="bg2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5D58-4C18-B694-E6C9075B47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4382992"/>
        <c:axId val="844383320"/>
      </c:barChart>
      <c:catAx>
        <c:axId val="84438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3320"/>
        <c:crosses val="autoZero"/>
        <c:auto val="1"/>
        <c:lblAlgn val="ctr"/>
        <c:lblOffset val="100"/>
        <c:noMultiLvlLbl val="0"/>
      </c:catAx>
      <c:valAx>
        <c:axId val="844383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Upstream Methane Leak</a:t>
                </a:r>
                <a:r>
                  <a:rPr lang="en-US" sz="1200" baseline="0"/>
                  <a:t> Rate L</a:t>
                </a:r>
                <a:r>
                  <a:rPr lang="en-US" sz="1200" baseline="-25000"/>
                  <a:t>d</a:t>
                </a:r>
                <a:r>
                  <a:rPr lang="en-US" sz="1200" baseline="0"/>
                  <a:t> %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F8-47E0-A0E4-DF4D1132BB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F8-47E0-A0E4-DF4D1132BB4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F8-47E0-A0E4-DF4D1132BB46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F8-47E0-A0E4-DF4D1132BB46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A5-42D8-98CA-8D88D298E43E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6203-4E71-8E4B-3F3EA14D95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'3-StudyResults'!$E$4:$T$4</c15:sqref>
                  </c15:fullRef>
                </c:ext>
              </c:extLst>
              <c:f>('3-StudyResults'!$H$4,'3-StudyResults'!$L$4:$N$4,'3-StudyResults'!$P$4:$T$4)</c:f>
              <c:strCache>
                <c:ptCount val="9"/>
                <c:pt idx="0">
                  <c:v>NETL/CMU 
NatGasOnly
High</c:v>
                </c:pt>
                <c:pt idx="1">
                  <c:v>NETL/CMU 
NatGasOnly</c:v>
                </c:pt>
                <c:pt idx="2">
                  <c:v>EPA NatGasOnly
 High</c:v>
                </c:pt>
                <c:pt idx="3">
                  <c:v>IEA 
NatGasOnly</c:v>
                </c:pt>
                <c:pt idx="4">
                  <c:v>EPA 
NatGasOnly</c:v>
                </c:pt>
                <c:pt idx="5">
                  <c:v>2021 PowerPlan</c:v>
                </c:pt>
                <c:pt idx="6">
                  <c:v>NETL/CMU 
NatGasOnly
Low</c:v>
                </c:pt>
                <c:pt idx="7">
                  <c:v>EPA 
NatGasOnly
 Low</c:v>
                </c:pt>
                <c:pt idx="8">
                  <c:v>BC NatGasOnly GHGenius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'3-StudyResults'!$E$6:$T$6</c15:sqref>
                  </c15:fullRef>
                </c:ext>
              </c:extLst>
              <c:f>('3-StudyResults'!$H$6,'3-StudyResults'!$L$6:$N$6,'3-StudyResults'!$P$6:$T$6)</c:f>
              <c:numCache>
                <c:formatCode>0.00</c:formatCode>
                <c:ptCount val="9"/>
                <c:pt idx="0">
                  <c:v>2.1839214574719192</c:v>
                </c:pt>
                <c:pt idx="1">
                  <c:v>1.6876274909429869</c:v>
                </c:pt>
                <c:pt idx="2">
                  <c:v>1.6773615613309782</c:v>
                </c:pt>
                <c:pt idx="3">
                  <c:v>1.5115749560714291</c:v>
                </c:pt>
                <c:pt idx="4">
                  <c:v>1.432791424001429</c:v>
                </c:pt>
                <c:pt idx="5">
                  <c:v>1.3656160787348142</c:v>
                </c:pt>
                <c:pt idx="6">
                  <c:v>1.2905923177198411</c:v>
                </c:pt>
                <c:pt idx="7">
                  <c:v>1.2033716491613211</c:v>
                </c:pt>
                <c:pt idx="8">
                  <c:v>0.76942624348100841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'3-StudyResults'!$E$6</c15:sqref>
                  <c15:spPr xmlns:c15="http://schemas.microsoft.com/office/drawing/2012/chart">
                    <a:solidFill>
                      <a:schemeClr val="accent6">
                        <a:lumMod val="75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'3-StudyResults'!$F$6</c15:sqref>
                  <c15:spPr xmlns:c15="http://schemas.microsoft.com/office/drawing/2012/chart">
                    <a:solidFill>
                      <a:schemeClr val="accent6">
                        <a:lumMod val="75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'3-StudyResults'!$G$6</c15:sqref>
                  <c15:spPr xmlns:c15="http://schemas.microsoft.com/office/drawing/2012/chart">
                    <a:solidFill>
                      <a:schemeClr val="accent6">
                        <a:lumMod val="75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'3-StudyResults'!$I$6</c15:sqref>
                  <c15:spPr xmlns:c15="http://schemas.microsoft.com/office/drawing/2012/chart">
                    <a:solidFill>
                      <a:srgbClr val="00B0F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'3-StudyResults'!$J$6</c15:sqref>
                  <c15:spPr xmlns:c15="http://schemas.microsoft.com/office/drawing/2012/chart">
                    <a:solidFill>
                      <a:schemeClr val="accent2">
                        <a:lumMod val="75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'3-StudyResults'!$K$6</c15:sqref>
                  <c15:spPr xmlns:c15="http://schemas.microsoft.com/office/drawing/2012/chart">
                    <a:solidFill>
                      <a:srgbClr val="00B0F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'3-StudyResults'!$O$6</c15:sqref>
                  <c15:spPr xmlns:c15="http://schemas.microsoft.com/office/drawing/2012/chart">
                    <a:solidFill>
                      <a:srgbClr val="00B0F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FFF8-47E0-A0E4-DF4D1132BB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4382992"/>
        <c:axId val="844383320"/>
      </c:barChart>
      <c:catAx>
        <c:axId val="84438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3320"/>
        <c:crosses val="autoZero"/>
        <c:auto val="1"/>
        <c:lblAlgn val="ctr"/>
        <c:lblOffset val="100"/>
        <c:noMultiLvlLbl val="0"/>
      </c:catAx>
      <c:valAx>
        <c:axId val="844383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Upstream Methane Leak</a:t>
                </a:r>
                <a:r>
                  <a:rPr lang="en-US" sz="1200" baseline="0"/>
                  <a:t> Rate L</a:t>
                </a:r>
                <a:r>
                  <a:rPr lang="en-US" sz="1200" baseline="-25000"/>
                  <a:t>d</a:t>
                </a:r>
                <a:r>
                  <a:rPr lang="en-US" sz="1200" baseline="0"/>
                  <a:t> %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38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30480</xdr:rowOff>
    </xdr:from>
    <xdr:to>
      <xdr:col>3</xdr:col>
      <xdr:colOff>373380</xdr:colOff>
      <xdr:row>14</xdr:row>
      <xdr:rowOff>91440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1C110A-DE17-4DC6-BE9A-BD3603F494DE}"/>
            </a:ext>
          </a:extLst>
        </xdr:cNvPr>
        <xdr:cNvSpPr txBox="1"/>
      </xdr:nvSpPr>
      <xdr:spPr>
        <a:xfrm>
          <a:off x="152400" y="198120"/>
          <a:ext cx="2049780" cy="2240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Upsteam</a:t>
          </a:r>
          <a:r>
            <a:rPr lang="en-US" sz="1100" b="1" baseline="0"/>
            <a:t> Methane Emission Workbook</a:t>
          </a:r>
        </a:p>
        <a:p>
          <a:endParaRPr lang="en-US" sz="1100" b="1" baseline="0"/>
        </a:p>
        <a:p>
          <a:r>
            <a:rPr lang="en-US" sz="1100" baseline="0"/>
            <a:t>June 8, 2020</a:t>
          </a:r>
        </a:p>
        <a:p>
          <a:endParaRPr lang="en-US" sz="1100" baseline="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Northwest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Power &amp; Conservation Council</a:t>
          </a:r>
          <a:endParaRPr lang="en-US">
            <a:effectLst/>
          </a:endParaRP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Contact - Prinicpal Analyst  Steven Simmons (ssimmons@nwcouncil.org)</a:t>
          </a:r>
          <a:endParaRPr lang="en-US">
            <a:effectLst/>
          </a:endParaRPr>
        </a:p>
        <a:p>
          <a:endParaRPr lang="en-US" sz="1100" baseline="0"/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21</xdr:col>
      <xdr:colOff>408228</xdr:colOff>
      <xdr:row>36</xdr:row>
      <xdr:rowOff>146017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A40BB5-7CB6-419C-AC26-1A6FC37AE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838200"/>
          <a:ext cx="10771428" cy="53428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2</xdr:row>
      <xdr:rowOff>137160</xdr:rowOff>
    </xdr:from>
    <xdr:to>
      <xdr:col>3</xdr:col>
      <xdr:colOff>304800</xdr:colOff>
      <xdr:row>12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CB1C4A-D2D6-46DC-8E69-8BD66EFFB039}"/>
            </a:ext>
          </a:extLst>
        </xdr:cNvPr>
        <xdr:cNvSpPr txBox="1"/>
      </xdr:nvSpPr>
      <xdr:spPr>
        <a:xfrm>
          <a:off x="403860" y="472440"/>
          <a:ext cx="3482340" cy="243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Initial upstream</a:t>
          </a:r>
          <a:r>
            <a:rPr lang="en-US" sz="1100" baseline="0"/>
            <a:t> methane loss rates:</a:t>
          </a:r>
        </a:p>
        <a:p>
          <a:endParaRPr lang="en-US" sz="1100" baseline="0"/>
        </a:p>
        <a:p>
          <a:r>
            <a:rPr lang="en-US" sz="1100" baseline="0"/>
            <a:t>BC/AB assumes the BC model GHGenus 0.77%</a:t>
          </a:r>
        </a:p>
        <a:p>
          <a:r>
            <a:rPr lang="en-US" sz="1100" baseline="0"/>
            <a:t>US Rockes assumes low EDF estimate of US 2.47%</a:t>
          </a:r>
        </a:p>
        <a:p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320040</xdr:colOff>
      <xdr:row>0</xdr:row>
      <xdr:rowOff>152400</xdr:rowOff>
    </xdr:from>
    <xdr:to>
      <xdr:col>17</xdr:col>
      <xdr:colOff>762000</xdr:colOff>
      <xdr:row>3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65EFE9-B99D-4F6F-8CE7-09F3B561A29B}"/>
            </a:ext>
          </a:extLst>
        </xdr:cNvPr>
        <xdr:cNvSpPr txBox="1"/>
      </xdr:nvSpPr>
      <xdr:spPr>
        <a:xfrm>
          <a:off x="13868400" y="152400"/>
          <a:ext cx="3116580" cy="480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Natural Gas Plants</a:t>
          </a:r>
        </a:p>
      </xdr:txBody>
    </xdr:sp>
    <xdr:clientData/>
  </xdr:twoCellAnchor>
  <xdr:twoCellAnchor>
    <xdr:from>
      <xdr:col>24</xdr:col>
      <xdr:colOff>76200</xdr:colOff>
      <xdr:row>1</xdr:row>
      <xdr:rowOff>7620</xdr:rowOff>
    </xdr:from>
    <xdr:to>
      <xdr:col>27</xdr:col>
      <xdr:colOff>426720</xdr:colOff>
      <xdr:row>3</xdr:row>
      <xdr:rowOff>45720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DA900B-4751-48BF-A02E-BAFEE8F10662}"/>
            </a:ext>
          </a:extLst>
        </xdr:cNvPr>
        <xdr:cNvSpPr txBox="1"/>
      </xdr:nvSpPr>
      <xdr:spPr>
        <a:xfrm>
          <a:off x="22585680" y="175260"/>
          <a:ext cx="2209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Coal Plants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46183</xdr:colOff>
      <xdr:row>32</xdr:row>
      <xdr:rowOff>329430</xdr:rowOff>
    </xdr:from>
    <xdr:to>
      <xdr:col>25</xdr:col>
      <xdr:colOff>1133072</xdr:colOff>
      <xdr:row>42</xdr:row>
      <xdr:rowOff>167716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4A8175-E488-4301-9BEB-72DB7431D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102751</xdr:colOff>
      <xdr:row>52</xdr:row>
      <xdr:rowOff>67735</xdr:rowOff>
    </xdr:from>
    <xdr:to>
      <xdr:col>16</xdr:col>
      <xdr:colOff>495684</xdr:colOff>
      <xdr:row>64</xdr:row>
      <xdr:rowOff>37716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7408EE-EEDA-4321-95D7-83DC26003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223981</xdr:colOff>
      <xdr:row>65</xdr:row>
      <xdr:rowOff>15394</xdr:rowOff>
    </xdr:from>
    <xdr:to>
      <xdr:col>17</xdr:col>
      <xdr:colOff>42333</xdr:colOff>
      <xdr:row>83</xdr:row>
      <xdr:rowOff>143934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D83F1B-2C7C-4335-900C-4D50D079E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346364</xdr:colOff>
      <xdr:row>0</xdr:row>
      <xdr:rowOff>48489</xdr:rowOff>
    </xdr:from>
    <xdr:to>
      <xdr:col>14</xdr:col>
      <xdr:colOff>117763</xdr:colOff>
      <xdr:row>19</xdr:row>
      <xdr:rowOff>48491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752345D-03BD-4611-9606-5C410B4A24F4}"/>
            </a:ext>
          </a:extLst>
        </xdr:cNvPr>
        <xdr:cNvSpPr txBox="1"/>
      </xdr:nvSpPr>
      <xdr:spPr>
        <a:xfrm>
          <a:off x="346364" y="48489"/>
          <a:ext cx="10079181" cy="31588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Upstream</a:t>
          </a:r>
          <a:r>
            <a:rPr lang="en-US" sz="1100" b="1" u="sng" baseline="0"/>
            <a:t> Methane Emission Rate Calculator for Natural Gas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03/23/2020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Northwest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Power &amp; Conservation Council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Contact - Prinicpal Analyst - Steven Simmons (ssimmons@nwcouncil.org)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This worksheet calculates an emission rate that captures the upstream methane emissions associated with the combustion of natural gas.  The rate is applied at the point of gas combustion - Power Plant, Home, Business, Industiral site. </a:t>
          </a:r>
        </a:p>
        <a:p>
          <a:endParaRPr lang="en-US" sz="1100" baseline="0"/>
        </a:p>
        <a:p>
          <a:r>
            <a:rPr lang="en-US" sz="1100" baseline="0"/>
            <a:t>The calculator is outline below in the following 8 steps.  The key backing data is located to the right.</a:t>
          </a:r>
        </a:p>
        <a:p>
          <a:endParaRPr lang="en-US" sz="1100" baseline="0"/>
        </a:p>
        <a:p>
          <a:r>
            <a:rPr lang="en-US" sz="1100" baseline="0"/>
            <a:t>The key variable is the estimate of methane loss from the supply chain - L</a:t>
          </a:r>
          <a:r>
            <a:rPr lang="en-US" sz="1100" baseline="-25000"/>
            <a:t>d</a:t>
          </a:r>
          <a:r>
            <a:rPr lang="en-US" sz="1100" baseline="0"/>
            <a:t> %</a:t>
          </a:r>
        </a:p>
        <a:p>
          <a:r>
            <a:rPr lang="en-US" sz="1100" baseline="0"/>
            <a:t>L</a:t>
          </a:r>
          <a:r>
            <a:rPr lang="en-US" sz="1100" baseline="-25000"/>
            <a:t>d</a:t>
          </a:r>
          <a:r>
            <a:rPr lang="en-US" sz="1100" baseline="0"/>
            <a:t> is defined as the amount of methane that is emitted divided by the amount of methane that is delivered to the point of combustion</a:t>
          </a:r>
        </a:p>
        <a:p>
          <a:r>
            <a:rPr lang="en-US" sz="1100" baseline="0"/>
            <a:t>There are several studies that have estimated the amount of methane that has been emitted - L</a:t>
          </a:r>
          <a:r>
            <a:rPr lang="en-US" sz="1100" baseline="-25000"/>
            <a:t>d </a:t>
          </a:r>
          <a:r>
            <a:rPr lang="en-US" sz="1100" baseline="0"/>
            <a:t>is derived from these studies</a:t>
          </a:r>
        </a:p>
        <a:p>
          <a:endParaRPr lang="en-US" sz="1100" baseline="0"/>
        </a:p>
        <a:p>
          <a:r>
            <a:rPr lang="en-US" sz="1100" b="1" baseline="0"/>
            <a:t>Step 4)</a:t>
          </a:r>
          <a:r>
            <a:rPr lang="en-US" sz="1100" b="0" baseline="0"/>
            <a:t> sets the key input variable L</a:t>
          </a:r>
          <a:r>
            <a:rPr lang="en-US" sz="1100" b="0" baseline="-25000"/>
            <a:t>d</a:t>
          </a:r>
          <a:r>
            <a:rPr lang="en-US" sz="1100" b="0" baseline="0"/>
            <a:t> - loss rates from various methane emission studies are available to the right </a:t>
          </a:r>
        </a:p>
        <a:p>
          <a:r>
            <a:rPr lang="en-US" sz="1100" b="1" baseline="0"/>
            <a:t>Step 7) </a:t>
          </a:r>
          <a:r>
            <a:rPr lang="en-US" sz="1100" b="0" baseline="0"/>
            <a:t>contains the key results - pounds of methane emitted per unit of natural gas combusted &amp; pounds of </a:t>
          </a:r>
        </a:p>
        <a:p>
          <a:endParaRPr lang="en-US" sz="1100" b="1" baseline="-25000"/>
        </a:p>
      </xdr:txBody>
    </xdr:sp>
    <xdr:clientData/>
  </xdr:twoCellAnchor>
  <xdr:twoCellAnchor>
    <xdr:from>
      <xdr:col>15</xdr:col>
      <xdr:colOff>34636</xdr:colOff>
      <xdr:row>11</xdr:row>
      <xdr:rowOff>159327</xdr:rowOff>
    </xdr:from>
    <xdr:to>
      <xdr:col>19</xdr:col>
      <xdr:colOff>6928</xdr:colOff>
      <xdr:row>16</xdr:row>
      <xdr:rowOff>110837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3BA824A-256A-4B4F-AB8D-EC19AC9EA6B6}"/>
            </a:ext>
          </a:extLst>
        </xdr:cNvPr>
        <xdr:cNvSpPr txBox="1"/>
      </xdr:nvSpPr>
      <xdr:spPr>
        <a:xfrm>
          <a:off x="10961716" y="2529147"/>
          <a:ext cx="6815052" cy="789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Unit Conversions</a:t>
          </a:r>
        </a:p>
      </xdr:txBody>
    </xdr:sp>
    <xdr:clientData/>
  </xdr:twoCellAnchor>
  <xdr:twoCellAnchor>
    <xdr:from>
      <xdr:col>21</xdr:col>
      <xdr:colOff>0</xdr:colOff>
      <xdr:row>8</xdr:row>
      <xdr:rowOff>163284</xdr:rowOff>
    </xdr:from>
    <xdr:to>
      <xdr:col>31</xdr:col>
      <xdr:colOff>293914</xdr:colOff>
      <xdr:row>17</xdr:row>
      <xdr:rowOff>65314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0862E1F-281D-4AF0-A775-344C5C6FB79E}"/>
            </a:ext>
          </a:extLst>
        </xdr:cNvPr>
        <xdr:cNvSpPr txBox="1"/>
      </xdr:nvSpPr>
      <xdr:spPr>
        <a:xfrm>
          <a:off x="18995571" y="1469570"/>
          <a:ext cx="13204372" cy="1371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Methane</a:t>
          </a:r>
          <a:r>
            <a:rPr lang="en-US" sz="1100" b="1" u="sng" baseline="0"/>
            <a:t> Study Results</a:t>
          </a:r>
        </a:p>
        <a:p>
          <a:endParaRPr lang="en-US" sz="1100" b="0" u="none" baseline="0"/>
        </a:p>
        <a:p>
          <a:r>
            <a:rPr lang="en-US" sz="1100" b="0" u="none" baseline="0"/>
            <a:t>These studies estimate methane releases from the natural gas chain for specific emission years.</a:t>
          </a:r>
        </a:p>
        <a:p>
          <a:endParaRPr lang="en-US" sz="1100" b="0" u="none" baseline="0"/>
        </a:p>
        <a:p>
          <a:r>
            <a:rPr lang="en-US" sz="1100" b="0" u="none" baseline="0"/>
            <a:t>The methane leakage rate can be calculated on a standardized basis:</a:t>
          </a:r>
        </a:p>
        <a:p>
          <a:r>
            <a:rPr lang="en-US" sz="1100" b="0" u="none" baseline="0"/>
            <a:t>L</a:t>
          </a:r>
          <a:r>
            <a:rPr lang="en-US" sz="1100" b="0" u="none" baseline="-25000"/>
            <a:t>d</a:t>
          </a:r>
          <a:r>
            <a:rPr lang="en-US" sz="1100" b="0" u="none" baseline="0"/>
            <a:t> = 100*(CH</a:t>
          </a:r>
          <a:r>
            <a:rPr lang="en-US" sz="1100" b="0" u="none" baseline="-25000"/>
            <a:t>4</a:t>
          </a:r>
          <a:r>
            <a:rPr lang="en-US" sz="1100" b="0" u="none" baseline="0"/>
            <a:t> leaked/CH</a:t>
          </a:r>
          <a:r>
            <a:rPr lang="en-US" sz="1100" b="0" u="none" baseline="-25000"/>
            <a:t>4</a:t>
          </a:r>
          <a:r>
            <a:rPr lang="en-US" sz="1100" b="0" u="none" baseline="0"/>
            <a:t> delivered)</a:t>
          </a:r>
          <a:endParaRPr lang="en-US" sz="1100" b="0" u="none"/>
        </a:p>
      </xdr:txBody>
    </xdr:sp>
    <xdr:clientData/>
  </xdr:twoCellAnchor>
  <xdr:twoCellAnchor>
    <xdr:from>
      <xdr:col>14</xdr:col>
      <xdr:colOff>262467</xdr:colOff>
      <xdr:row>85</xdr:row>
      <xdr:rowOff>135468</xdr:rowOff>
    </xdr:from>
    <xdr:to>
      <xdr:col>17</xdr:col>
      <xdr:colOff>999067</xdr:colOff>
      <xdr:row>104</xdr:row>
      <xdr:rowOff>25401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195E6B9-A601-4CE4-A2F4-21AF41446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6234</xdr:colOff>
      <xdr:row>0</xdr:row>
      <xdr:rowOff>76201</xdr:rowOff>
    </xdr:from>
    <xdr:to>
      <xdr:col>11</xdr:col>
      <xdr:colOff>6926</xdr:colOff>
      <xdr:row>19</xdr:row>
      <xdr:rowOff>6929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4C7AF5-8E3E-4CF6-BAB7-285BCBB58DEA}"/>
            </a:ext>
          </a:extLst>
        </xdr:cNvPr>
        <xdr:cNvSpPr txBox="1"/>
      </xdr:nvSpPr>
      <xdr:spPr>
        <a:xfrm>
          <a:off x="615834" y="76201"/>
          <a:ext cx="7405947" cy="3089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Upstream</a:t>
          </a:r>
          <a:r>
            <a:rPr lang="en-US" sz="1100" b="1" u="sng" baseline="0"/>
            <a:t> Methane Emission Rate Calculator for Coal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03/23/2020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Northwest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Power &amp; Conservation Council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Contact - Prinicpal Analyst - Steven Simmons (ssimmons@nwcouncil.org)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This worksheet calculates an emission rate that captures the upstream methane emissions associated with the combustion of coal. The rate is applied at the point of coal combustion.</a:t>
          </a:r>
        </a:p>
        <a:p>
          <a:endParaRPr lang="en-US" sz="1100" baseline="0"/>
        </a:p>
        <a:p>
          <a:r>
            <a:rPr lang="en-US" sz="1100" b="1" baseline="0"/>
            <a:t>Step 3)</a:t>
          </a:r>
          <a:r>
            <a:rPr lang="en-US" sz="1100" baseline="0"/>
            <a:t> calculates the lb of CH</a:t>
          </a:r>
          <a:r>
            <a:rPr lang="en-US" sz="1100" baseline="-25000"/>
            <a:t>4</a:t>
          </a:r>
          <a:r>
            <a:rPr lang="en-US" sz="1100" baseline="0"/>
            <a:t> emitted per lb of coal mined.  The key variable is expressed in scf of CH</a:t>
          </a:r>
          <a:r>
            <a:rPr lang="en-US" sz="1100" baseline="-25000"/>
            <a:t>4</a:t>
          </a:r>
          <a:r>
            <a:rPr lang="en-US" sz="1100" baseline="0"/>
            <a:t> released per ton of coal.  The value of 38.7 scf CH4 per ton of coal is an estimate for Powder River Basin coal, which is surface mined.  It's a rough estimate from the EPA &amp; NETL.</a:t>
          </a:r>
        </a:p>
        <a:p>
          <a:endParaRPr lang="en-US" sz="1100" baseline="0"/>
        </a:p>
        <a:p>
          <a:r>
            <a:rPr lang="en-US" sz="1100" b="1" baseline="0"/>
            <a:t>Step 7)</a:t>
          </a:r>
          <a:r>
            <a:rPr lang="en-US" sz="1100" baseline="0"/>
            <a:t> calculates the final emission rates for coal combustion, including upstream methane emissions from mining.</a:t>
          </a:r>
        </a:p>
      </xdr:txBody>
    </xdr:sp>
    <xdr:clientData/>
  </xdr:twoCellAnchor>
  <xdr:twoCellAnchor>
    <xdr:from>
      <xdr:col>12</xdr:col>
      <xdr:colOff>13855</xdr:colOff>
      <xdr:row>11</xdr:row>
      <xdr:rowOff>27709</xdr:rowOff>
    </xdr:from>
    <xdr:to>
      <xdr:col>17</xdr:col>
      <xdr:colOff>6927</xdr:colOff>
      <xdr:row>20</xdr:row>
      <xdr:rowOff>6927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AB9F0E-EAB7-40C3-B2A6-4B1A2153199F}"/>
            </a:ext>
          </a:extLst>
        </xdr:cNvPr>
        <xdr:cNvSpPr txBox="1"/>
      </xdr:nvSpPr>
      <xdr:spPr>
        <a:xfrm>
          <a:off x="8638310" y="1856509"/>
          <a:ext cx="7079672" cy="14755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Unit Conversions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452331</xdr:colOff>
      <xdr:row>18</xdr:row>
      <xdr:rowOff>89535</xdr:rowOff>
    </xdr:from>
    <xdr:to>
      <xdr:col>14</xdr:col>
      <xdr:colOff>228600</xdr:colOff>
      <xdr:row>46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FAE459-8AFC-4A4C-A70E-504CDF332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8466</xdr:rowOff>
    </xdr:from>
    <xdr:to>
      <xdr:col>10</xdr:col>
      <xdr:colOff>355600</xdr:colOff>
      <xdr:row>17</xdr:row>
      <xdr:rowOff>59266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0DF9883-8FBA-416A-8046-64B45B1BEB6E}"/>
            </a:ext>
          </a:extLst>
        </xdr:cNvPr>
        <xdr:cNvSpPr txBox="1"/>
      </xdr:nvSpPr>
      <xdr:spPr>
        <a:xfrm>
          <a:off x="4663440" y="5129106"/>
          <a:ext cx="3213100" cy="553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Upstream Methane Emission Rate</a:t>
          </a:r>
          <a:endParaRPr lang="en-US">
            <a:effectLst/>
          </a:endParaRPr>
        </a:p>
        <a:p>
          <a:pPr rtl="0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Lbs CO2e/MMbtu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14</xdr:col>
      <xdr:colOff>770466</xdr:colOff>
      <xdr:row>19</xdr:row>
      <xdr:rowOff>25400</xdr:rowOff>
    </xdr:from>
    <xdr:to>
      <xdr:col>28</xdr:col>
      <xdr:colOff>160867</xdr:colOff>
      <xdr:row>47</xdr:row>
      <xdr:rowOff>67733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1D1223B-7BC0-4AC8-9F92-3E266173F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14</xdr:row>
      <xdr:rowOff>0</xdr:rowOff>
    </xdr:from>
    <xdr:to>
      <xdr:col>24</xdr:col>
      <xdr:colOff>104140</xdr:colOff>
      <xdr:row>17</xdr:row>
      <xdr:rowOff>50800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AC0EAF6-4F30-48EE-9BD3-952320003DC8}"/>
            </a:ext>
          </a:extLst>
        </xdr:cNvPr>
        <xdr:cNvSpPr txBox="1"/>
      </xdr:nvSpPr>
      <xdr:spPr>
        <a:xfrm>
          <a:off x="14691360" y="5120640"/>
          <a:ext cx="3152140" cy="553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Full Emission Rate</a:t>
          </a:r>
          <a:endParaRPr lang="en-US">
            <a:effectLst/>
          </a:endParaRPr>
        </a:p>
        <a:p>
          <a:pPr rtl="0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Lbs CO2e/MMbtu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33866</xdr:colOff>
      <xdr:row>52</xdr:row>
      <xdr:rowOff>25401</xdr:rowOff>
    </xdr:from>
    <xdr:to>
      <xdr:col>14</xdr:col>
      <xdr:colOff>8466</xdr:colOff>
      <xdr:row>82</xdr:row>
      <xdr:rowOff>33866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CB4173-28E3-45EA-B02B-D7F059AB4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524934</xdr:colOff>
      <xdr:row>47</xdr:row>
      <xdr:rowOff>101600</xdr:rowOff>
    </xdr:from>
    <xdr:to>
      <xdr:col>11</xdr:col>
      <xdr:colOff>101601</xdr:colOff>
      <xdr:row>50</xdr:row>
      <xdr:rowOff>152400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BD77424-AB4D-426B-877C-0E742AFD71FE}"/>
            </a:ext>
          </a:extLst>
        </xdr:cNvPr>
        <xdr:cNvSpPr txBox="1"/>
      </xdr:nvSpPr>
      <xdr:spPr>
        <a:xfrm>
          <a:off x="5188374" y="10754360"/>
          <a:ext cx="3211407" cy="553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Upstream Methane Leakage Rate L</a:t>
          </a:r>
          <a:r>
            <a:rPr lang="en-US" sz="11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%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14</xdr:col>
      <xdr:colOff>550334</xdr:colOff>
      <xdr:row>54</xdr:row>
      <xdr:rowOff>59267</xdr:rowOff>
    </xdr:from>
    <xdr:to>
      <xdr:col>28</xdr:col>
      <xdr:colOff>478156</xdr:colOff>
      <xdr:row>82</xdr:row>
      <xdr:rowOff>10372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A0B186A-81D5-43B3-BD72-C3D3E88A9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567267</xdr:colOff>
      <xdr:row>48</xdr:row>
      <xdr:rowOff>42333</xdr:rowOff>
    </xdr:from>
    <xdr:to>
      <xdr:col>22</xdr:col>
      <xdr:colOff>67734</xdr:colOff>
      <xdr:row>51</xdr:row>
      <xdr:rowOff>93133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9F9E038-6AD5-44B8-A7E0-328D0A8C7B78}"/>
            </a:ext>
          </a:extLst>
        </xdr:cNvPr>
        <xdr:cNvSpPr txBox="1"/>
      </xdr:nvSpPr>
      <xdr:spPr>
        <a:xfrm>
          <a:off x="12957387" y="10862733"/>
          <a:ext cx="3630507" cy="553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Upstream Methane Leakage Rate L</a:t>
          </a:r>
          <a:r>
            <a:rPr lang="en-US" sz="11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%</a:t>
          </a:r>
        </a:p>
        <a:p>
          <a:pPr rtl="0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OIl &amp; Natural Gas System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29</xdr:col>
      <xdr:colOff>558800</xdr:colOff>
      <xdr:row>51</xdr:row>
      <xdr:rowOff>93134</xdr:rowOff>
    </xdr:from>
    <xdr:to>
      <xdr:col>44</xdr:col>
      <xdr:colOff>258022</xdr:colOff>
      <xdr:row>79</xdr:row>
      <xdr:rowOff>44240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D5D7DB7-08FC-4E56-990E-882FBF4AD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47</xdr:row>
      <xdr:rowOff>0</xdr:rowOff>
    </xdr:from>
    <xdr:to>
      <xdr:col>37</xdr:col>
      <xdr:colOff>110067</xdr:colOff>
      <xdr:row>50</xdr:row>
      <xdr:rowOff>50800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4ED8EB9-671C-4459-B8F9-425C7D6ABCA8}"/>
            </a:ext>
          </a:extLst>
        </xdr:cNvPr>
        <xdr:cNvSpPr txBox="1"/>
      </xdr:nvSpPr>
      <xdr:spPr>
        <a:xfrm>
          <a:off x="22616160" y="10652760"/>
          <a:ext cx="3158067" cy="553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Upstream Methane Leakage Rate L</a:t>
          </a:r>
          <a:r>
            <a:rPr lang="en-US" sz="11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%</a:t>
          </a:r>
        </a:p>
        <a:p>
          <a:pPr rtl="0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Natural Gas System Only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4</xdr:col>
      <xdr:colOff>143934</xdr:colOff>
      <xdr:row>85</xdr:row>
      <xdr:rowOff>110066</xdr:rowOff>
    </xdr:from>
    <xdr:to>
      <xdr:col>16</xdr:col>
      <xdr:colOff>287867</xdr:colOff>
      <xdr:row>115</xdr:row>
      <xdr:rowOff>118531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2538E04-DA5E-4306-A5B2-603EB1F8A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829733</xdr:colOff>
      <xdr:row>85</xdr:row>
      <xdr:rowOff>118532</xdr:rowOff>
    </xdr:from>
    <xdr:to>
      <xdr:col>31</xdr:col>
      <xdr:colOff>211667</xdr:colOff>
      <xdr:row>116</xdr:row>
      <xdr:rowOff>118532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D9E5EE8-258E-4CC3-BC62-AEAFAE285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0.1871</cdr:x>
      <cdr:y>0.03813</cdr:y>
    </cdr:from>
    <cdr:to>
      <cdr:x>0.96175</cdr:x>
      <cdr:y>0.03813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F250174-965F-4C11-843A-02829046BB2E}"/>
            </a:ext>
          </a:extLst>
        </cdr:cNvPr>
        <cdr:cNvCxnSpPr/>
      </cdr:nvCxnSpPr>
      <cdr:spPr>
        <a:xfrm xmlns:a="http://schemas.openxmlformats.org/drawingml/2006/main">
          <a:off x="1490769" y="177165"/>
          <a:ext cx="61722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0.45679</cdr:x>
      <cdr:y>0.04961</cdr:y>
    </cdr:from>
    <cdr:to>
      <cdr:x>0.65284</cdr:x>
      <cdr:y>0.09388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F91D688-FCA1-4650-BA27-82A18DBCEAF5}"/>
            </a:ext>
          </a:extLst>
        </cdr:cNvPr>
        <cdr:cNvSpPr txBox="1"/>
      </cdr:nvSpPr>
      <cdr:spPr>
        <a:xfrm xmlns:a="http://schemas.openxmlformats.org/drawingml/2006/main">
          <a:off x="3639609" y="230505"/>
          <a:ext cx="156210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accent1">
                  <a:lumMod val="75000"/>
                </a:schemeClr>
              </a:solidFill>
            </a:rPr>
            <a:t>Natural</a:t>
          </a:r>
          <a:r>
            <a:rPr lang="en-US" sz="1100" baseline="0">
              <a:solidFill>
                <a:schemeClr val="accent1">
                  <a:lumMod val="75000"/>
                </a:schemeClr>
              </a:solidFill>
            </a:rPr>
            <a:t> Gas</a:t>
          </a:r>
          <a:endParaRPr lang="en-US" sz="1100">
            <a:solidFill>
              <a:schemeClr val="accent1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0.1871</cdr:x>
      <cdr:y>0.03813</cdr:y>
    </cdr:from>
    <cdr:to>
      <cdr:x>0.96175</cdr:x>
      <cdr:y>0.03813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F250174-965F-4C11-843A-02829046BB2E}"/>
            </a:ext>
          </a:extLst>
        </cdr:cNvPr>
        <cdr:cNvCxnSpPr/>
      </cdr:nvCxnSpPr>
      <cdr:spPr>
        <a:xfrm xmlns:a="http://schemas.openxmlformats.org/drawingml/2006/main">
          <a:off x="1490769" y="177165"/>
          <a:ext cx="61722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0.45679</cdr:x>
      <cdr:y>0.04961</cdr:y>
    </cdr:from>
    <cdr:to>
      <cdr:x>0.65284</cdr:x>
      <cdr:y>0.09388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F91D688-FCA1-4650-BA27-82A18DBCEAF5}"/>
            </a:ext>
          </a:extLst>
        </cdr:cNvPr>
        <cdr:cNvSpPr txBox="1"/>
      </cdr:nvSpPr>
      <cdr:spPr>
        <a:xfrm xmlns:a="http://schemas.openxmlformats.org/drawingml/2006/main">
          <a:off x="3639609" y="230505"/>
          <a:ext cx="156210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accent1">
                  <a:lumMod val="75000"/>
                </a:schemeClr>
              </a:solidFill>
            </a:rPr>
            <a:t>Natural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 Gas</a:t>
          </a:r>
          <a:endParaRPr lang="en-US" sz="1200">
            <a:solidFill>
              <a:schemeClr val="accent1">
                <a:lumMod val="75000"/>
              </a:schemeClr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0.1871</cdr:x>
      <cdr:y>0.03813</cdr:y>
    </cdr:from>
    <cdr:to>
      <cdr:x>0.96175</cdr:x>
      <cdr:y>0.03813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F250174-965F-4C11-843A-02829046BB2E}"/>
            </a:ext>
          </a:extLst>
        </cdr:cNvPr>
        <cdr:cNvCxnSpPr/>
      </cdr:nvCxnSpPr>
      <cdr:spPr>
        <a:xfrm xmlns:a="http://schemas.openxmlformats.org/drawingml/2006/main">
          <a:off x="1490769" y="177165"/>
          <a:ext cx="61722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0.45679</cdr:x>
      <cdr:y>0.04961</cdr:y>
    </cdr:from>
    <cdr:to>
      <cdr:x>0.65284</cdr:x>
      <cdr:y>0.09388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F91D688-FCA1-4650-BA27-82A18DBCEAF5}"/>
            </a:ext>
          </a:extLst>
        </cdr:cNvPr>
        <cdr:cNvSpPr txBox="1"/>
      </cdr:nvSpPr>
      <cdr:spPr>
        <a:xfrm xmlns:a="http://schemas.openxmlformats.org/drawingml/2006/main">
          <a:off x="3639609" y="230505"/>
          <a:ext cx="156210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accent1">
                  <a:lumMod val="75000"/>
                </a:schemeClr>
              </a:solidFill>
            </a:rPr>
            <a:t>Natural</a:t>
          </a:r>
          <a:r>
            <a:rPr lang="en-US" sz="1200" baseline="0">
              <a:solidFill>
                <a:schemeClr val="accent1">
                  <a:lumMod val="75000"/>
                </a:schemeClr>
              </a:solidFill>
            </a:rPr>
            <a:t> Gas</a:t>
          </a:r>
          <a:endParaRPr lang="en-US" sz="1200">
            <a:solidFill>
              <a:schemeClr val="accent1">
                <a:lumMod val="75000"/>
              </a:schemeClr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0</xdr:row>
      <xdr:rowOff>129540</xdr:rowOff>
    </xdr:from>
    <xdr:to>
      <xdr:col>10</xdr:col>
      <xdr:colOff>952500</xdr:colOff>
      <xdr:row>11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6F8918-0084-4F5C-BD69-FA87520A3721}"/>
            </a:ext>
          </a:extLst>
        </xdr:cNvPr>
        <xdr:cNvSpPr txBox="1"/>
      </xdr:nvSpPr>
      <xdr:spPr>
        <a:xfrm>
          <a:off x="1249680" y="129540"/>
          <a:ext cx="10873740" cy="1775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Proposed</a:t>
          </a:r>
          <a:r>
            <a:rPr lang="en-US" sz="1100" b="1" u="sng" baseline="0"/>
            <a:t> Emission Rates for Natural Gas &amp; Coal Fuel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03/23/2020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Northwest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Power &amp; Conservation Council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Contact - Prinicpal Analyst - Steven Simmons (ssimmons@nwcouncil.org)</a:t>
          </a:r>
          <a:endParaRPr lang="en-US">
            <a:effectLst/>
          </a:endParaRPr>
        </a:p>
        <a:p>
          <a:endParaRPr lang="en-US" sz="1100" b="1" u="none">
            <a:solidFill>
              <a:srgbClr val="FF0000"/>
            </a:solidFill>
          </a:endParaRPr>
        </a:p>
        <a:p>
          <a:r>
            <a:rPr lang="en-US" sz="1100" b="0" u="none">
              <a:solidFill>
                <a:sysClr val="windowText" lastClr="000000"/>
              </a:solidFill>
            </a:rPr>
            <a:t>The upsteam</a:t>
          </a:r>
          <a:r>
            <a:rPr lang="en-US" sz="1100" b="0" u="none" baseline="0">
              <a:solidFill>
                <a:sysClr val="windowText" lastClr="000000"/>
              </a:solidFill>
            </a:rPr>
            <a:t> methane emission rates are from the calculation worksheets using an assumed upstream methane leakage rate.</a:t>
          </a:r>
        </a:p>
        <a:p>
          <a:r>
            <a:rPr lang="en-US" sz="1100" b="0" u="none" baseline="0">
              <a:solidFill>
                <a:sysClr val="windowText" lastClr="000000"/>
              </a:solidFill>
            </a:rPr>
            <a:t>The combusion emission rates are from the EPA published emission rates in eGRID.</a:t>
          </a:r>
        </a:p>
        <a:p>
          <a:r>
            <a:rPr lang="en-US" sz="1100" b="0" u="none" baseline="0">
              <a:solidFill>
                <a:sysClr val="windowText" lastClr="000000"/>
              </a:solidFill>
            </a:rPr>
            <a:t>The 100-year global warming potential factors are from The 5th Assessment of the Intergovernmental Panel on Climate Change.  These factors convert all GHG emissions into carbon dioxide equivalents.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281940</xdr:colOff>
      <xdr:row>6</xdr:row>
      <xdr:rowOff>137160</xdr:rowOff>
    </xdr:from>
    <xdr:to>
      <xdr:col>10</xdr:col>
      <xdr:colOff>358140</xdr:colOff>
      <xdr:row>6</xdr:row>
      <xdr:rowOff>289560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C7990BF-DAED-462F-8C59-E73D2B65B35B}"/>
            </a:ext>
          </a:extLst>
        </xdr:cNvPr>
        <xdr:cNvCxnSpPr/>
      </xdr:nvCxnSpPr>
      <xdr:spPr>
        <a:xfrm>
          <a:off x="6126480" y="1897380"/>
          <a:ext cx="384810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502920</xdr:rowOff>
    </xdr:from>
    <xdr:to>
      <xdr:col>9</xdr:col>
      <xdr:colOff>304800</xdr:colOff>
      <xdr:row>5</xdr:row>
      <xdr:rowOff>320040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FE272F0-04EE-4E9B-8EDF-4D3025FC5E45}"/>
            </a:ext>
          </a:extLst>
        </xdr:cNvPr>
        <xdr:cNvSpPr txBox="1"/>
      </xdr:nvSpPr>
      <xdr:spPr>
        <a:xfrm>
          <a:off x="6827520" y="1203960"/>
          <a:ext cx="248412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convert to</a:t>
          </a:r>
          <a:r>
            <a:rPr lang="en-US" sz="1100" baseline="0"/>
            <a:t> approximated loss or leakage rate</a:t>
          </a:r>
          <a:endParaRPr lang="en-US" sz="1100"/>
        </a:p>
      </xdr:txBody>
    </xdr:sp>
    <xdr:clientData/>
  </xdr:twoCellAnchor>
  <xdr:twoCellAnchor editAs="oneCell">
    <xdr:from>
      <xdr:col>16</xdr:col>
      <xdr:colOff>601980</xdr:colOff>
      <xdr:row>5</xdr:row>
      <xdr:rowOff>175260</xdr:rowOff>
    </xdr:from>
    <xdr:to>
      <xdr:col>27</xdr:col>
      <xdr:colOff>68580</xdr:colOff>
      <xdr:row>34</xdr:row>
      <xdr:rowOff>141070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BC41DA-B9E7-4B6D-9D35-E5D67CA65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23820" y="1592580"/>
          <a:ext cx="8001000" cy="6092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n.wikipedia.org/wiki/Carbon_dioxide_equivalent" TargetMode="External"/><Relationship Id="rId2" Type="http://schemas.openxmlformats.org/officeDocument/2006/relationships/hyperlink" Target="http://www.climatechange2013.org/report/full-report/" TargetMode="External"/><Relationship Id="rId1" Type="http://schemas.openxmlformats.org/officeDocument/2006/relationships/hyperlink" Target="http://www.climatechange2013.org/images/report/WG1AR5_Chapter08_FINAL.pdf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2es.org/content/ipcc-fifth-assessment-report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pa.gov/energy/emissions-generation-resource-integrated-database-egrid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a.org/reports/methane-tracker-2020/interactive-country-and-regional-estimates" TargetMode="External"/><Relationship Id="rId2" Type="http://schemas.openxmlformats.org/officeDocument/2006/relationships/hyperlink" Target="https://www.c2es.org/content/ipcc-fifth-assessment-report/" TargetMode="External"/><Relationship Id="rId1" Type="http://schemas.openxmlformats.org/officeDocument/2006/relationships/hyperlink" Target="https://www.eia.gov/tools/faqs/faq.php?id=45&amp;t=8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c2es.org/content/ipcc-fifth-assessment-report/" TargetMode="External"/><Relationship Id="rId1" Type="http://schemas.openxmlformats.org/officeDocument/2006/relationships/hyperlink" Target="https://www.usea.org/sites/default/files/122012_Losses%20in%20the%20coal%20supply%20chain_ccc21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c2es.org/content/ipcc-fifth-assessment-report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ea.org/reports/methane-tracker-2020/interactive-country-and-regional-estimate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pa.gov/ghgemissions/inventory-us-greenhouse-gas-emissions-and-sinks-1990-2017" TargetMode="External"/><Relationship Id="rId1" Type="http://schemas.openxmlformats.org/officeDocument/2006/relationships/hyperlink" Target="https://www.epa.gov/ghgemissions/inventory-us-greenhouse-gas-emissions-and-sink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nfoctr@eia.gov" TargetMode="External"/><Relationship Id="rId2" Type="http://schemas.openxmlformats.org/officeDocument/2006/relationships/hyperlink" Target="http://www.eia.gov/" TargetMode="External"/><Relationship Id="rId1" Type="http://schemas.openxmlformats.org/officeDocument/2006/relationships/hyperlink" Target="http://www.eia.gov/dnav/ng/ng_prod_sum_dc_nus_mmcf_a.htm" TargetMode="External"/><Relationship Id="rId6" Type="http://schemas.openxmlformats.org/officeDocument/2006/relationships/hyperlink" Target="mailto:infoctr@eia.gov" TargetMode="External"/><Relationship Id="rId5" Type="http://schemas.openxmlformats.org/officeDocument/2006/relationships/hyperlink" Target="http://www.eia.gov/" TargetMode="External"/><Relationship Id="rId4" Type="http://schemas.openxmlformats.org/officeDocument/2006/relationships/hyperlink" Target="http://www.eia.gov/dnav/ng/ng_cons_sum_dcu_nus_a.ht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oohpseirp.blob.core.windows.net/media/Default/29_May_TAG_6/02_IRP_052919_TAG_Meeting_6_Slide_Deck_FINAL.pdf" TargetMode="External"/><Relationship Id="rId2" Type="http://schemas.openxmlformats.org/officeDocument/2006/relationships/hyperlink" Target="https://pse-irp.participate.online/" TargetMode="External"/><Relationship Id="rId1" Type="http://schemas.openxmlformats.org/officeDocument/2006/relationships/hyperlink" Target="https://pscleanair.gov/460/Current-Permitting-Projects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E092B-C166-48A2-A1F5-6910B1C6A42B}">
  <dimension ref="E4:H17"/>
  <sheetViews>
    <sheetView tabSelected="1" workbookViewId="0">
      <selection activeCell="I13" sqref="I13"/>
    </sheetView>
  </sheetViews>
  <sheetFormatPr defaultRowHeight="13.2" x14ac:dyDescent="0.25"/>
  <cols>
    <col min="5" max="5" width="30.88671875" bestFit="1" customWidth="1"/>
    <col min="6" max="6" width="49.5546875" bestFit="1" customWidth="1"/>
  </cols>
  <sheetData>
    <row r="4" spans="5:8" x14ac:dyDescent="0.25">
      <c r="E4" s="184" t="s">
        <v>209</v>
      </c>
    </row>
    <row r="6" spans="5:8" x14ac:dyDescent="0.25">
      <c r="E6" s="183" t="s">
        <v>208</v>
      </c>
      <c r="F6" t="s">
        <v>213</v>
      </c>
    </row>
    <row r="7" spans="5:8" x14ac:dyDescent="0.25">
      <c r="E7" s="183" t="s">
        <v>210</v>
      </c>
      <c r="F7" t="s">
        <v>214</v>
      </c>
    </row>
    <row r="8" spans="5:8" x14ac:dyDescent="0.25">
      <c r="E8" s="183" t="s">
        <v>264</v>
      </c>
      <c r="F8" t="s">
        <v>216</v>
      </c>
    </row>
    <row r="9" spans="5:8" x14ac:dyDescent="0.25">
      <c r="E9" s="183" t="s">
        <v>211</v>
      </c>
      <c r="F9" t="s">
        <v>215</v>
      </c>
    </row>
    <row r="10" spans="5:8" x14ac:dyDescent="0.25">
      <c r="E10" s="183" t="s">
        <v>212</v>
      </c>
      <c r="F10" t="s">
        <v>217</v>
      </c>
    </row>
    <row r="11" spans="5:8" x14ac:dyDescent="0.25">
      <c r="E11" s="183" t="s">
        <v>263</v>
      </c>
      <c r="F11" t="s">
        <v>261</v>
      </c>
    </row>
    <row r="12" spans="5:8" x14ac:dyDescent="0.25">
      <c r="E12" s="183" t="s">
        <v>262</v>
      </c>
      <c r="F12" t="s">
        <v>260</v>
      </c>
      <c r="H12" s="183"/>
    </row>
    <row r="13" spans="5:8" ht="26.4" x14ac:dyDescent="0.25">
      <c r="E13" s="183" t="s">
        <v>325</v>
      </c>
      <c r="F13" s="3" t="s">
        <v>317</v>
      </c>
    </row>
    <row r="14" spans="5:8" x14ac:dyDescent="0.25">
      <c r="E14" s="183" t="s">
        <v>341</v>
      </c>
      <c r="F14" t="s">
        <v>324</v>
      </c>
    </row>
    <row r="15" spans="5:8" x14ac:dyDescent="0.25">
      <c r="E15" s="183" t="s">
        <v>340</v>
      </c>
      <c r="F15" t="s">
        <v>339</v>
      </c>
    </row>
    <row r="16" spans="5:8" x14ac:dyDescent="0.25">
      <c r="E16" s="183" t="s">
        <v>384</v>
      </c>
      <c r="F16" t="s">
        <v>383</v>
      </c>
    </row>
    <row r="17" spans="5:6" x14ac:dyDescent="0.25">
      <c r="E17" s="183" t="s">
        <v>451</v>
      </c>
      <c r="F17" t="s">
        <v>450</v>
      </c>
    </row>
  </sheetData>
  <hyperlinks>
    <hyperlink ref="E6" location="'1-MethaneCalculator_NG'!A1" display="'1-MethaneCalculator_NG'!A1" xr:uid="{54A3D3B8-56CE-4A73-ADFA-11417FEF0F76}"/>
    <hyperlink ref="E7" location="'2-MethaneCalculator_Coal'!A1" display="'2-MethaneCalculator_Coal'!A1" xr:uid="{4268E947-0505-4CFD-83F2-FE31EE904EF1}"/>
    <hyperlink ref="E8" location="'3-StudyResults'!A1" display="'3-StudyResults'!A1" xr:uid="{2E9E34FD-6BAB-4AC5-8101-1928D5BFFB84}"/>
    <hyperlink ref="E9" location="'4-FuelEmissionRates_Proposed'!A1" display="'4-FuelEmissionRates_Proposed'!A1" xr:uid="{4298674C-BAF5-4CF5-9E9A-962B6BE09783}"/>
    <hyperlink ref="E10" location="'5-MethaneEmissionStudies'!A1" display="'5-MethaneEmissionStudies'!A1" xr:uid="{5854A7FD-219B-493F-9922-B3DDC424D803}"/>
    <hyperlink ref="E11" location="'6-EPA GHGI'!A1" display="'6-EPA GHGI'!A1" xr:uid="{C532F965-A11E-44AF-9109-69C2DF06B220}"/>
    <hyperlink ref="E12" location="'7-Historic_NG_Delivered'!A1" display="'7-Historic_NG_Delivered'!A1" xr:uid="{97A14F17-FE7F-45AA-A548-B83F9DAA58F4}"/>
    <hyperlink ref="E14" location="'9-IPCC CO2e'!A1" display="'9-IPCC CO2e'!A1" xr:uid="{CF78C135-53DE-4C3B-BA68-D7C3F6EB6618}"/>
    <hyperlink ref="E13" location="'8-BC Related Studies'!A1" display="'8-BC Related Studies'!A1" xr:uid="{6178C278-1E7F-4375-9DC9-EEA51FDD41D5}"/>
    <hyperlink ref="E15" location="'10-Em Rate Over Time'!A1" display="'10-Em Rate Over Time'!A1" xr:uid="{0A8A81AE-507A-4076-88E1-AB2D340D4906}"/>
    <hyperlink ref="E16" location="'11-NW GenerationEmissionRate'!A1" display="'11-NW GenerationEmissionRate'!A1" xr:uid="{D3CC599E-76E7-4286-83C2-17C655243DB9}"/>
    <hyperlink ref="E17" location="'12-NW Generation2016'!A1" display="'12-NW Generation2016'!A1" xr:uid="{4B26D14A-3BCF-4EC5-9E0E-2B5C25D9F3D6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AF09D-D7A1-4BF0-9C89-7EA14295FE0F}">
  <dimension ref="B2:B4"/>
  <sheetViews>
    <sheetView workbookViewId="0"/>
  </sheetViews>
  <sheetFormatPr defaultRowHeight="13.2" x14ac:dyDescent="0.25"/>
  <sheetData>
    <row r="2" spans="2:2" x14ac:dyDescent="0.25">
      <c r="B2" s="179" t="s">
        <v>321</v>
      </c>
    </row>
    <row r="3" spans="2:2" x14ac:dyDescent="0.25">
      <c r="B3" s="179" t="s">
        <v>322</v>
      </c>
    </row>
    <row r="4" spans="2:2" x14ac:dyDescent="0.25">
      <c r="B4" s="179" t="s">
        <v>323</v>
      </c>
    </row>
  </sheetData>
  <hyperlinks>
    <hyperlink ref="B2" r:id="rId1" xr:uid="{D912F518-76E4-411F-9A1E-92A4353196A7}"/>
    <hyperlink ref="B3" r:id="rId2" xr:uid="{6FF6325F-1E82-48F5-9203-BD1B3255472F}"/>
    <hyperlink ref="B4" r:id="rId3" location="cite_note-3" display="https://en.wikipedia.org/wiki/Carbon_dioxide_equivalent - cite_note-3" xr:uid="{82118F70-BD9D-48F6-A207-66F69F2135D9}"/>
  </hyperlinks>
  <pageMargins left="0.7" right="0.7" top="0.75" bottom="0.75" header="0.3" footer="0.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41B1D-56E2-4A87-9CF1-46B938FB0EF2}">
  <dimension ref="B3:X36"/>
  <sheetViews>
    <sheetView workbookViewId="0">
      <selection activeCell="K11" sqref="K11:K36"/>
    </sheetView>
  </sheetViews>
  <sheetFormatPr defaultRowHeight="13.2" x14ac:dyDescent="0.25"/>
  <cols>
    <col min="2" max="2" width="16" customWidth="1"/>
    <col min="3" max="3" width="27.33203125" customWidth="1"/>
    <col min="4" max="4" width="18.44140625" customWidth="1"/>
    <col min="5" max="5" width="9.109375" bestFit="1" customWidth="1"/>
    <col min="6" max="6" width="9.5546875" bestFit="1" customWidth="1"/>
    <col min="7" max="7" width="12.33203125" bestFit="1" customWidth="1"/>
    <col min="8" max="8" width="10.44140625" bestFit="1" customWidth="1"/>
    <col min="11" max="11" width="5" bestFit="1" customWidth="1"/>
    <col min="12" max="12" width="5" customWidth="1"/>
    <col min="13" max="13" width="9" bestFit="1" customWidth="1"/>
    <col min="14" max="14" width="13.109375" bestFit="1" customWidth="1"/>
    <col min="15" max="15" width="14.21875" bestFit="1" customWidth="1"/>
    <col min="16" max="16" width="12.5546875" bestFit="1" customWidth="1"/>
    <col min="17" max="17" width="14.21875" bestFit="1" customWidth="1"/>
    <col min="18" max="18" width="3.6640625" customWidth="1"/>
    <col min="19" max="19" width="19.5546875" bestFit="1" customWidth="1"/>
    <col min="20" max="20" width="3.6640625" customWidth="1"/>
    <col min="21" max="21" width="6.77734375" bestFit="1" customWidth="1"/>
    <col min="22" max="22" width="10.44140625" bestFit="1" customWidth="1"/>
    <col min="24" max="24" width="11.5546875" customWidth="1"/>
  </cols>
  <sheetData>
    <row r="3" spans="2:24" ht="13.8" thickBot="1" x14ac:dyDescent="0.3"/>
    <row r="4" spans="2:24" ht="27" thickBot="1" x14ac:dyDescent="0.3">
      <c r="E4" s="70"/>
      <c r="F4" s="67"/>
      <c r="G4" s="170" t="s">
        <v>327</v>
      </c>
      <c r="H4" s="67"/>
      <c r="I4" s="62"/>
    </row>
    <row r="5" spans="2:24" ht="13.8" thickTop="1" x14ac:dyDescent="0.25">
      <c r="E5" s="47"/>
      <c r="F5" s="5"/>
      <c r="G5" s="5"/>
      <c r="H5" s="5"/>
      <c r="I5" s="48"/>
    </row>
    <row r="6" spans="2:24" x14ac:dyDescent="0.25">
      <c r="E6" s="47"/>
      <c r="F6" s="5"/>
      <c r="G6" s="5" t="s">
        <v>329</v>
      </c>
      <c r="H6" s="5" t="s">
        <v>330</v>
      </c>
      <c r="I6" s="48" t="s">
        <v>333</v>
      </c>
    </row>
    <row r="7" spans="2:24" x14ac:dyDescent="0.25">
      <c r="E7" s="47"/>
      <c r="F7" s="5"/>
      <c r="G7" s="5"/>
      <c r="H7" s="5"/>
      <c r="I7" s="48"/>
      <c r="M7" t="s">
        <v>138</v>
      </c>
      <c r="N7" t="s">
        <v>138</v>
      </c>
      <c r="O7" t="s">
        <v>138</v>
      </c>
      <c r="P7" t="s">
        <v>138</v>
      </c>
      <c r="Q7" t="s">
        <v>138</v>
      </c>
      <c r="S7" t="s">
        <v>347</v>
      </c>
    </row>
    <row r="8" spans="2:24" ht="15.6" x14ac:dyDescent="0.25">
      <c r="E8" s="47" t="s">
        <v>328</v>
      </c>
      <c r="F8" s="125" t="s">
        <v>113</v>
      </c>
      <c r="G8" s="221">
        <f>'1-MethaneCalculator_NG'!W29</f>
        <v>0.76942624348100841</v>
      </c>
      <c r="H8" s="221">
        <f>'1-MethaneCalculator_NG'!X23</f>
        <v>2.4728257727775964</v>
      </c>
      <c r="I8" s="224">
        <f>G11*G8 + H11*H8</f>
        <v>1.3656160787348142</v>
      </c>
      <c r="M8" t="s">
        <v>344</v>
      </c>
      <c r="N8" t="s">
        <v>345</v>
      </c>
      <c r="O8" t="s">
        <v>345</v>
      </c>
      <c r="P8" t="s">
        <v>345</v>
      </c>
      <c r="Q8" t="s">
        <v>345</v>
      </c>
      <c r="S8" t="s">
        <v>348</v>
      </c>
    </row>
    <row r="9" spans="2:24" ht="40.200000000000003" thickBot="1" x14ac:dyDescent="0.3">
      <c r="E9" s="47" t="s">
        <v>331</v>
      </c>
      <c r="F9" s="125" t="s">
        <v>113</v>
      </c>
      <c r="G9" s="221">
        <f>G8</f>
        <v>0.76942624348100841</v>
      </c>
      <c r="H9" s="221">
        <f>G9</f>
        <v>0.76942624348100841</v>
      </c>
      <c r="I9" s="224">
        <f>G11*G9+H11*H9</f>
        <v>0.76942624348100841</v>
      </c>
      <c r="M9" s="239" t="s">
        <v>113</v>
      </c>
      <c r="N9" s="102" t="s">
        <v>115</v>
      </c>
      <c r="O9" s="102" t="s">
        <v>123</v>
      </c>
      <c r="P9" s="102" t="s">
        <v>121</v>
      </c>
      <c r="Q9" s="102" t="s">
        <v>125</v>
      </c>
      <c r="S9" s="102" t="s">
        <v>123</v>
      </c>
      <c r="U9" s="240" t="s">
        <v>334</v>
      </c>
      <c r="V9" s="240" t="s">
        <v>335</v>
      </c>
      <c r="X9" s="241" t="s">
        <v>338</v>
      </c>
    </row>
    <row r="10" spans="2:24" ht="13.8" thickTop="1" x14ac:dyDescent="0.25">
      <c r="E10" s="47"/>
      <c r="F10" s="5"/>
      <c r="G10" s="5"/>
      <c r="H10" s="5"/>
      <c r="I10" s="48"/>
    </row>
    <row r="11" spans="2:24" ht="26.4" x14ac:dyDescent="0.25">
      <c r="E11" s="63" t="s">
        <v>332</v>
      </c>
      <c r="F11" s="5"/>
      <c r="G11" s="5">
        <v>0.65</v>
      </c>
      <c r="H11" s="5">
        <v>0.35</v>
      </c>
      <c r="I11" s="48"/>
      <c r="K11">
        <v>2020</v>
      </c>
      <c r="M11" s="73">
        <f>$G$11*U11+$H$11*V11</f>
        <v>1.3656160787348142</v>
      </c>
      <c r="N11" s="76">
        <f>($M11/100)*$E$17</f>
        <v>0.54053827732841764</v>
      </c>
      <c r="O11" s="73">
        <f>N11*$C$22</f>
        <v>18.3783014291662</v>
      </c>
      <c r="P11" s="73">
        <f>(M11/100)*$F$17</f>
        <v>245.18432987472565</v>
      </c>
      <c r="Q11" s="4">
        <f>P11*$C$22</f>
        <v>8336.2672157406723</v>
      </c>
      <c r="S11" s="80">
        <f>O11+$D$27</f>
        <v>135.98870142916621</v>
      </c>
      <c r="U11" s="73">
        <f>$G$8</f>
        <v>0.76942624348100841</v>
      </c>
      <c r="V11" s="73">
        <f>H8</f>
        <v>2.4728257727775964</v>
      </c>
    </row>
    <row r="12" spans="2:24" x14ac:dyDescent="0.25">
      <c r="E12" s="47"/>
      <c r="F12" s="5"/>
      <c r="G12" s="5"/>
      <c r="H12" s="5"/>
      <c r="I12" s="48"/>
      <c r="K12">
        <v>2021</v>
      </c>
      <c r="M12" s="73">
        <f t="shared" ref="M12:M36" si="0">$G$11*U12+$H$11*V12</f>
        <v>1.3656160787348142</v>
      </c>
      <c r="N12" s="76">
        <f t="shared" ref="N12:N36" si="1">($M12/100)*$E$17</f>
        <v>0.54053827732841764</v>
      </c>
      <c r="O12" s="73">
        <f t="shared" ref="O12:O36" si="2">N12*$C$22</f>
        <v>18.3783014291662</v>
      </c>
      <c r="P12" s="73">
        <f t="shared" ref="P12:P36" si="3">(M12/100)*$F$17</f>
        <v>245.18432987472565</v>
      </c>
      <c r="Q12" s="4">
        <f t="shared" ref="Q12:Q36" si="4">P12*$C$22</f>
        <v>8336.2672157406723</v>
      </c>
      <c r="S12" s="80">
        <f t="shared" ref="S12:S36" si="5">O12+$D$27</f>
        <v>135.98870142916621</v>
      </c>
      <c r="U12" s="73">
        <f>U11</f>
        <v>0.76942624348100841</v>
      </c>
      <c r="V12" s="73">
        <f>V11</f>
        <v>2.4728257727775964</v>
      </c>
    </row>
    <row r="13" spans="2:24" x14ac:dyDescent="0.25">
      <c r="E13" s="47" t="s">
        <v>336</v>
      </c>
      <c r="F13" s="5"/>
      <c r="G13" s="5"/>
      <c r="H13" s="221">
        <f>H8-H9</f>
        <v>1.703399529296588</v>
      </c>
      <c r="I13" s="48"/>
      <c r="K13">
        <v>2022</v>
      </c>
      <c r="M13" s="73">
        <f t="shared" si="0"/>
        <v>1.3656160787348142</v>
      </c>
      <c r="N13" s="76">
        <f t="shared" si="1"/>
        <v>0.54053827732841764</v>
      </c>
      <c r="O13" s="73">
        <f t="shared" si="2"/>
        <v>18.3783014291662</v>
      </c>
      <c r="P13" s="73">
        <f t="shared" si="3"/>
        <v>245.18432987472565</v>
      </c>
      <c r="Q13" s="4">
        <f t="shared" si="4"/>
        <v>8336.2672157406723</v>
      </c>
      <c r="S13" s="80">
        <f t="shared" si="5"/>
        <v>135.98870142916621</v>
      </c>
      <c r="U13" s="73">
        <f t="shared" ref="U13:V28" si="6">U12</f>
        <v>0.76942624348100841</v>
      </c>
      <c r="V13" s="73">
        <f t="shared" si="6"/>
        <v>2.4728257727775964</v>
      </c>
    </row>
    <row r="14" spans="2:24" ht="13.8" thickBot="1" x14ac:dyDescent="0.3">
      <c r="E14" s="65"/>
      <c r="F14" s="66"/>
      <c r="G14" s="66" t="s">
        <v>337</v>
      </c>
      <c r="H14" s="246">
        <f>100*(H13/H8)</f>
        <v>68.884736969691488</v>
      </c>
      <c r="I14" s="12"/>
      <c r="K14">
        <v>2023</v>
      </c>
      <c r="M14" s="73">
        <f t="shared" si="0"/>
        <v>1.3656160787348142</v>
      </c>
      <c r="N14" s="76">
        <f t="shared" si="1"/>
        <v>0.54053827732841764</v>
      </c>
      <c r="O14" s="73">
        <f t="shared" si="2"/>
        <v>18.3783014291662</v>
      </c>
      <c r="P14" s="73">
        <f t="shared" si="3"/>
        <v>245.18432987472565</v>
      </c>
      <c r="Q14" s="4">
        <f t="shared" si="4"/>
        <v>8336.2672157406723</v>
      </c>
      <c r="S14" s="80">
        <f t="shared" si="5"/>
        <v>135.98870142916621</v>
      </c>
      <c r="U14" s="73">
        <f t="shared" si="6"/>
        <v>0.76942624348100841</v>
      </c>
      <c r="V14" s="73">
        <f t="shared" si="6"/>
        <v>2.4728257727775964</v>
      </c>
      <c r="X14">
        <v>15</v>
      </c>
    </row>
    <row r="15" spans="2:24" ht="13.8" thickBot="1" x14ac:dyDescent="0.3">
      <c r="K15">
        <v>2024</v>
      </c>
      <c r="M15" s="73">
        <f t="shared" si="0"/>
        <v>1.3656160787348142</v>
      </c>
      <c r="N15" s="76">
        <f t="shared" si="1"/>
        <v>0.54053827732841764</v>
      </c>
      <c r="O15" s="73">
        <f t="shared" si="2"/>
        <v>18.3783014291662</v>
      </c>
      <c r="P15" s="73">
        <f t="shared" si="3"/>
        <v>245.18432987472565</v>
      </c>
      <c r="Q15" s="4">
        <f t="shared" si="4"/>
        <v>8336.2672157406723</v>
      </c>
      <c r="S15" s="80">
        <f t="shared" si="5"/>
        <v>135.98870142916621</v>
      </c>
      <c r="U15" s="73">
        <f t="shared" si="6"/>
        <v>0.76942624348100841</v>
      </c>
      <c r="V15" s="73">
        <f t="shared" si="6"/>
        <v>2.4728257727775964</v>
      </c>
      <c r="X15">
        <v>15</v>
      </c>
    </row>
    <row r="16" spans="2:24" ht="13.8" thickBot="1" x14ac:dyDescent="0.3">
      <c r="B16" s="1"/>
      <c r="C16" s="18"/>
      <c r="D16" s="40"/>
      <c r="E16" s="242" t="s">
        <v>103</v>
      </c>
      <c r="F16" s="242" t="s">
        <v>111</v>
      </c>
      <c r="G16" s="242" t="s">
        <v>109</v>
      </c>
      <c r="H16" s="243" t="s">
        <v>110</v>
      </c>
      <c r="K16">
        <v>2025</v>
      </c>
      <c r="M16" s="73">
        <f t="shared" si="0"/>
        <v>1.3656160787348142</v>
      </c>
      <c r="N16" s="76">
        <f t="shared" si="1"/>
        <v>0.54053827732841764</v>
      </c>
      <c r="O16" s="73">
        <f t="shared" si="2"/>
        <v>18.3783014291662</v>
      </c>
      <c r="P16" s="73">
        <f t="shared" si="3"/>
        <v>245.18432987472565</v>
      </c>
      <c r="Q16" s="4">
        <f t="shared" si="4"/>
        <v>8336.2672157406723</v>
      </c>
      <c r="S16" s="80">
        <f t="shared" si="5"/>
        <v>135.98870142916621</v>
      </c>
      <c r="U16" s="73">
        <f t="shared" si="6"/>
        <v>0.76942624348100841</v>
      </c>
      <c r="V16" s="73">
        <f t="shared" si="6"/>
        <v>2.4728257727775964</v>
      </c>
      <c r="X16">
        <v>15</v>
      </c>
    </row>
    <row r="17" spans="2:24" ht="43.2" thickTop="1" thickBot="1" x14ac:dyDescent="0.3">
      <c r="C17" s="7" t="s">
        <v>155</v>
      </c>
      <c r="D17" s="97"/>
      <c r="E17" s="244">
        <f>'1-MethaneCalculator_NG'!G29</f>
        <v>39.582008863662736</v>
      </c>
      <c r="F17" s="244">
        <f>'1-MethaneCalculator_NG'!H29</f>
        <v>17954.11856177606</v>
      </c>
      <c r="G17" s="244">
        <f>'1-MethaneCalculator_NG'!I29</f>
        <v>41.006961182754594</v>
      </c>
      <c r="H17" s="245">
        <f>'1-MethaneCalculator_NG'!J29</f>
        <v>18600.466829999998</v>
      </c>
      <c r="K17">
        <v>2026</v>
      </c>
      <c r="M17" s="73">
        <f t="shared" si="0"/>
        <v>1.2357927256639902</v>
      </c>
      <c r="N17" s="76">
        <f t="shared" si="1"/>
        <v>0.48915158620881988</v>
      </c>
      <c r="O17" s="73">
        <f t="shared" si="2"/>
        <v>16.631153931099877</v>
      </c>
      <c r="P17" s="73">
        <f t="shared" si="3"/>
        <v>221.87569114351678</v>
      </c>
      <c r="Q17" s="4">
        <f t="shared" si="4"/>
        <v>7543.7734988795701</v>
      </c>
      <c r="S17" s="80">
        <f t="shared" si="5"/>
        <v>134.24155393109987</v>
      </c>
      <c r="U17" s="73">
        <f t="shared" si="6"/>
        <v>0.76942624348100841</v>
      </c>
      <c r="V17" s="73">
        <f>$H$8-((X17/100)*$H$8)</f>
        <v>2.1019019068609568</v>
      </c>
      <c r="X17">
        <v>15</v>
      </c>
    </row>
    <row r="18" spans="2:24" ht="13.8" thickBot="1" x14ac:dyDescent="0.3">
      <c r="K18">
        <v>2027</v>
      </c>
      <c r="M18" s="73">
        <f t="shared" si="0"/>
        <v>1.2357927256639902</v>
      </c>
      <c r="N18" s="76">
        <f t="shared" si="1"/>
        <v>0.48915158620881988</v>
      </c>
      <c r="O18" s="73">
        <f t="shared" si="2"/>
        <v>16.631153931099877</v>
      </c>
      <c r="P18" s="73">
        <f t="shared" si="3"/>
        <v>221.87569114351678</v>
      </c>
      <c r="Q18" s="4">
        <f t="shared" si="4"/>
        <v>7543.7734988795701</v>
      </c>
      <c r="S18" s="80">
        <f t="shared" si="5"/>
        <v>134.24155393109987</v>
      </c>
      <c r="U18" s="73">
        <f t="shared" si="6"/>
        <v>0.76942624348100841</v>
      </c>
      <c r="V18" s="73">
        <f t="shared" ref="V18:V36" si="7">$H$8-((X18/100)*$H$8)</f>
        <v>2.1019019068609568</v>
      </c>
      <c r="X18">
        <v>15</v>
      </c>
    </row>
    <row r="19" spans="2:24" ht="40.200000000000003" thickBot="1" x14ac:dyDescent="0.3">
      <c r="B19" s="81" t="s">
        <v>90</v>
      </c>
      <c r="C19" s="82" t="s">
        <v>91</v>
      </c>
      <c r="D19" s="83" t="s">
        <v>92</v>
      </c>
      <c r="K19">
        <v>2028</v>
      </c>
      <c r="M19" s="73">
        <f t="shared" si="0"/>
        <v>1.1059693725931665</v>
      </c>
      <c r="N19" s="76">
        <f t="shared" si="1"/>
        <v>0.43776489508922228</v>
      </c>
      <c r="O19" s="73">
        <f t="shared" si="2"/>
        <v>14.884006433033557</v>
      </c>
      <c r="P19" s="73">
        <f t="shared" si="3"/>
        <v>198.56705241230793</v>
      </c>
      <c r="Q19" s="4">
        <f t="shared" si="4"/>
        <v>6751.2797820184696</v>
      </c>
      <c r="S19" s="80">
        <f t="shared" si="5"/>
        <v>132.49440643303356</v>
      </c>
      <c r="U19" s="73">
        <f t="shared" si="6"/>
        <v>0.76942624348100841</v>
      </c>
      <c r="V19" s="73">
        <f t="shared" si="7"/>
        <v>1.7309780409443176</v>
      </c>
      <c r="X19">
        <v>30</v>
      </c>
    </row>
    <row r="20" spans="2:24" ht="13.8" thickBot="1" x14ac:dyDescent="0.3">
      <c r="B20" s="87"/>
      <c r="C20" s="85" t="s">
        <v>96</v>
      </c>
      <c r="D20" s="88" t="s">
        <v>97</v>
      </c>
      <c r="K20">
        <v>2029</v>
      </c>
      <c r="M20" s="73">
        <f t="shared" si="0"/>
        <v>1.1059693725931665</v>
      </c>
      <c r="N20" s="76">
        <f t="shared" si="1"/>
        <v>0.43776489508922228</v>
      </c>
      <c r="O20" s="73">
        <f t="shared" si="2"/>
        <v>14.884006433033557</v>
      </c>
      <c r="P20" s="73">
        <f t="shared" si="3"/>
        <v>198.56705241230793</v>
      </c>
      <c r="Q20" s="4">
        <f t="shared" si="4"/>
        <v>6751.2797820184696</v>
      </c>
      <c r="S20" s="80">
        <f t="shared" si="5"/>
        <v>132.49440643303356</v>
      </c>
      <c r="U20" s="73">
        <f t="shared" si="6"/>
        <v>0.76942624348100841</v>
      </c>
      <c r="V20" s="73">
        <f t="shared" si="7"/>
        <v>1.7309780409443176</v>
      </c>
      <c r="X20">
        <v>30</v>
      </c>
    </row>
    <row r="21" spans="2:24" ht="15.6" x14ac:dyDescent="0.25">
      <c r="B21" s="89" t="s">
        <v>98</v>
      </c>
      <c r="C21" s="2">
        <v>1</v>
      </c>
      <c r="D21" s="91">
        <v>1</v>
      </c>
      <c r="K21">
        <v>2030</v>
      </c>
      <c r="M21" s="73">
        <f t="shared" si="0"/>
        <v>1.1059693725931665</v>
      </c>
      <c r="N21" s="76">
        <f t="shared" si="1"/>
        <v>0.43776489508922228</v>
      </c>
      <c r="O21" s="73">
        <f t="shared" si="2"/>
        <v>14.884006433033557</v>
      </c>
      <c r="P21" s="73">
        <f t="shared" si="3"/>
        <v>198.56705241230793</v>
      </c>
      <c r="Q21" s="4">
        <f t="shared" si="4"/>
        <v>6751.2797820184696</v>
      </c>
      <c r="S21" s="80">
        <f t="shared" si="5"/>
        <v>132.49440643303356</v>
      </c>
      <c r="U21" s="73">
        <f t="shared" si="6"/>
        <v>0.76942624348100841</v>
      </c>
      <c r="V21" s="73">
        <f t="shared" si="7"/>
        <v>1.7309780409443176</v>
      </c>
      <c r="X21">
        <v>30</v>
      </c>
    </row>
    <row r="22" spans="2:24" ht="15.6" x14ac:dyDescent="0.25">
      <c r="B22" s="89" t="s">
        <v>100</v>
      </c>
      <c r="C22" s="2">
        <v>34</v>
      </c>
      <c r="D22" s="91">
        <v>86</v>
      </c>
      <c r="K22">
        <v>2031</v>
      </c>
      <c r="M22" s="73">
        <f t="shared" si="0"/>
        <v>1.1059693725931665</v>
      </c>
      <c r="N22" s="76">
        <f t="shared" si="1"/>
        <v>0.43776489508922228</v>
      </c>
      <c r="O22" s="73">
        <f t="shared" si="2"/>
        <v>14.884006433033557</v>
      </c>
      <c r="P22" s="73">
        <f t="shared" si="3"/>
        <v>198.56705241230793</v>
      </c>
      <c r="Q22" s="4">
        <f t="shared" si="4"/>
        <v>6751.2797820184696</v>
      </c>
      <c r="S22" s="80">
        <f t="shared" si="5"/>
        <v>132.49440643303356</v>
      </c>
      <c r="U22" s="73">
        <f t="shared" si="6"/>
        <v>0.76942624348100841</v>
      </c>
      <c r="V22" s="73">
        <f t="shared" si="7"/>
        <v>1.7309780409443176</v>
      </c>
      <c r="X22">
        <v>30</v>
      </c>
    </row>
    <row r="23" spans="2:24" ht="16.2" thickBot="1" x14ac:dyDescent="0.3">
      <c r="B23" s="92" t="s">
        <v>102</v>
      </c>
      <c r="C23" s="95">
        <v>298</v>
      </c>
      <c r="D23" s="96">
        <v>268</v>
      </c>
      <c r="K23">
        <v>2032</v>
      </c>
      <c r="M23" s="73">
        <f t="shared" si="0"/>
        <v>1.1059693725931665</v>
      </c>
      <c r="N23" s="76">
        <f t="shared" si="1"/>
        <v>0.43776489508922228</v>
      </c>
      <c r="O23" s="73">
        <f t="shared" si="2"/>
        <v>14.884006433033557</v>
      </c>
      <c r="P23" s="73">
        <f t="shared" si="3"/>
        <v>198.56705241230793</v>
      </c>
      <c r="Q23" s="4">
        <f t="shared" si="4"/>
        <v>6751.2797820184696</v>
      </c>
      <c r="S23" s="80">
        <f t="shared" si="5"/>
        <v>132.49440643303356</v>
      </c>
      <c r="U23" s="73">
        <f t="shared" si="6"/>
        <v>0.76942624348100841</v>
      </c>
      <c r="V23" s="73">
        <f t="shared" si="7"/>
        <v>1.7309780409443176</v>
      </c>
      <c r="X23">
        <v>30</v>
      </c>
    </row>
    <row r="24" spans="2:24" x14ac:dyDescent="0.25">
      <c r="K24">
        <v>2033</v>
      </c>
      <c r="M24" s="73">
        <f t="shared" si="0"/>
        <v>0.97614601952234281</v>
      </c>
      <c r="N24" s="76">
        <f t="shared" si="1"/>
        <v>0.38637820396962469</v>
      </c>
      <c r="O24" s="73">
        <f t="shared" si="2"/>
        <v>13.13685893496724</v>
      </c>
      <c r="P24" s="73">
        <f t="shared" si="3"/>
        <v>175.25841368109911</v>
      </c>
      <c r="Q24" s="4">
        <f t="shared" si="4"/>
        <v>5958.7860651573701</v>
      </c>
      <c r="S24" s="80">
        <f t="shared" si="5"/>
        <v>130.74725893496725</v>
      </c>
      <c r="U24" s="73">
        <f t="shared" si="6"/>
        <v>0.76942624348100841</v>
      </c>
      <c r="V24" s="73">
        <f t="shared" si="7"/>
        <v>1.360054175027678</v>
      </c>
      <c r="X24">
        <v>45</v>
      </c>
    </row>
    <row r="25" spans="2:24" x14ac:dyDescent="0.25">
      <c r="K25">
        <v>2034</v>
      </c>
      <c r="M25" s="73">
        <f t="shared" si="0"/>
        <v>0.97614601952234281</v>
      </c>
      <c r="N25" s="76">
        <f t="shared" si="1"/>
        <v>0.38637820396962469</v>
      </c>
      <c r="O25" s="73">
        <f t="shared" si="2"/>
        <v>13.13685893496724</v>
      </c>
      <c r="P25" s="73">
        <f t="shared" si="3"/>
        <v>175.25841368109911</v>
      </c>
      <c r="Q25" s="4">
        <f t="shared" si="4"/>
        <v>5958.7860651573701</v>
      </c>
      <c r="S25" s="80">
        <f t="shared" si="5"/>
        <v>130.74725893496725</v>
      </c>
      <c r="U25" s="73">
        <f t="shared" si="6"/>
        <v>0.76942624348100841</v>
      </c>
      <c r="V25" s="73">
        <f t="shared" si="7"/>
        <v>1.360054175027678</v>
      </c>
      <c r="X25">
        <v>45</v>
      </c>
    </row>
    <row r="26" spans="2:24" ht="16.2" thickBot="1" x14ac:dyDescent="0.3">
      <c r="C26" t="s">
        <v>346</v>
      </c>
      <c r="D26" s="102" t="s">
        <v>123</v>
      </c>
      <c r="K26">
        <v>2035</v>
      </c>
      <c r="M26" s="73">
        <f t="shared" si="0"/>
        <v>0.97614601952234281</v>
      </c>
      <c r="N26" s="76">
        <f t="shared" si="1"/>
        <v>0.38637820396962469</v>
      </c>
      <c r="O26" s="73">
        <f t="shared" si="2"/>
        <v>13.13685893496724</v>
      </c>
      <c r="P26" s="73">
        <f t="shared" si="3"/>
        <v>175.25841368109911</v>
      </c>
      <c r="Q26" s="4">
        <f t="shared" si="4"/>
        <v>5958.7860651573701</v>
      </c>
      <c r="S26" s="80">
        <f t="shared" si="5"/>
        <v>130.74725893496725</v>
      </c>
      <c r="U26" s="73">
        <f t="shared" si="6"/>
        <v>0.76942624348100841</v>
      </c>
      <c r="V26" s="73">
        <f t="shared" si="7"/>
        <v>1.360054175027678</v>
      </c>
      <c r="X26">
        <v>45</v>
      </c>
    </row>
    <row r="27" spans="2:24" ht="13.8" thickTop="1" x14ac:dyDescent="0.25">
      <c r="C27" t="s">
        <v>185</v>
      </c>
      <c r="D27" s="17">
        <f>'1-MethaneCalculator_NG'!H49</f>
        <v>117.6104</v>
      </c>
      <c r="K27">
        <v>2036</v>
      </c>
      <c r="M27" s="73">
        <f t="shared" si="0"/>
        <v>0.97614601952234281</v>
      </c>
      <c r="N27" s="76">
        <f t="shared" si="1"/>
        <v>0.38637820396962469</v>
      </c>
      <c r="O27" s="73">
        <f t="shared" si="2"/>
        <v>13.13685893496724</v>
      </c>
      <c r="P27" s="73">
        <f t="shared" si="3"/>
        <v>175.25841368109911</v>
      </c>
      <c r="Q27" s="4">
        <f t="shared" si="4"/>
        <v>5958.7860651573701</v>
      </c>
      <c r="S27" s="80">
        <f t="shared" si="5"/>
        <v>130.74725893496725</v>
      </c>
      <c r="U27" s="73">
        <f t="shared" si="6"/>
        <v>0.76942624348100841</v>
      </c>
      <c r="V27" s="73">
        <f t="shared" si="7"/>
        <v>1.360054175027678</v>
      </c>
      <c r="X27">
        <v>45</v>
      </c>
    </row>
    <row r="28" spans="2:24" x14ac:dyDescent="0.25">
      <c r="K28">
        <v>2037</v>
      </c>
      <c r="M28" s="73">
        <f t="shared" si="0"/>
        <v>0.97614601952234281</v>
      </c>
      <c r="N28" s="76">
        <f t="shared" si="1"/>
        <v>0.38637820396962469</v>
      </c>
      <c r="O28" s="73">
        <f t="shared" si="2"/>
        <v>13.13685893496724</v>
      </c>
      <c r="P28" s="73">
        <f t="shared" si="3"/>
        <v>175.25841368109911</v>
      </c>
      <c r="Q28" s="4">
        <f t="shared" si="4"/>
        <v>5958.7860651573701</v>
      </c>
      <c r="S28" s="80">
        <f t="shared" si="5"/>
        <v>130.74725893496725</v>
      </c>
      <c r="U28" s="73">
        <f t="shared" si="6"/>
        <v>0.76942624348100841</v>
      </c>
      <c r="V28" s="73">
        <f t="shared" si="7"/>
        <v>1.360054175027678</v>
      </c>
      <c r="X28">
        <v>45</v>
      </c>
    </row>
    <row r="29" spans="2:24" x14ac:dyDescent="0.25">
      <c r="K29">
        <v>2038</v>
      </c>
      <c r="M29" s="73">
        <f t="shared" si="0"/>
        <v>0.84632266645151888</v>
      </c>
      <c r="N29" s="76">
        <f t="shared" si="1"/>
        <v>0.33499151285002698</v>
      </c>
      <c r="O29" s="73">
        <f t="shared" si="2"/>
        <v>11.389711436900917</v>
      </c>
      <c r="P29" s="73">
        <f t="shared" si="3"/>
        <v>151.94977494989024</v>
      </c>
      <c r="Q29" s="4">
        <f t="shared" si="4"/>
        <v>5166.2923482962678</v>
      </c>
      <c r="S29" s="80">
        <f t="shared" si="5"/>
        <v>129.00011143690091</v>
      </c>
      <c r="U29" s="73">
        <f t="shared" ref="U29:U36" si="8">U28</f>
        <v>0.76942624348100841</v>
      </c>
      <c r="V29" s="73">
        <f t="shared" si="7"/>
        <v>0.98913030911103861</v>
      </c>
      <c r="X29">
        <v>60</v>
      </c>
    </row>
    <row r="30" spans="2:24" x14ac:dyDescent="0.25">
      <c r="K30">
        <v>2039</v>
      </c>
      <c r="M30" s="73">
        <f t="shared" si="0"/>
        <v>0.84632266645151888</v>
      </c>
      <c r="N30" s="76">
        <f t="shared" si="1"/>
        <v>0.33499151285002698</v>
      </c>
      <c r="O30" s="73">
        <f t="shared" si="2"/>
        <v>11.389711436900917</v>
      </c>
      <c r="P30" s="73">
        <f t="shared" si="3"/>
        <v>151.94977494989024</v>
      </c>
      <c r="Q30" s="4">
        <f t="shared" si="4"/>
        <v>5166.2923482962678</v>
      </c>
      <c r="S30" s="80">
        <f t="shared" si="5"/>
        <v>129.00011143690091</v>
      </c>
      <c r="U30" s="73">
        <f t="shared" si="8"/>
        <v>0.76942624348100841</v>
      </c>
      <c r="V30" s="73">
        <f t="shared" si="7"/>
        <v>0.98913030911103861</v>
      </c>
      <c r="X30">
        <v>60</v>
      </c>
    </row>
    <row r="31" spans="2:24" x14ac:dyDescent="0.25">
      <c r="K31">
        <v>2040</v>
      </c>
      <c r="M31" s="73">
        <f t="shared" si="0"/>
        <v>0.84632266645151888</v>
      </c>
      <c r="N31" s="76">
        <f t="shared" si="1"/>
        <v>0.33499151285002698</v>
      </c>
      <c r="O31" s="73">
        <f t="shared" si="2"/>
        <v>11.389711436900917</v>
      </c>
      <c r="P31" s="73">
        <f t="shared" si="3"/>
        <v>151.94977494989024</v>
      </c>
      <c r="Q31" s="4">
        <f t="shared" si="4"/>
        <v>5166.2923482962678</v>
      </c>
      <c r="S31" s="80">
        <f t="shared" si="5"/>
        <v>129.00011143690091</v>
      </c>
      <c r="U31" s="73">
        <f t="shared" si="8"/>
        <v>0.76942624348100841</v>
      </c>
      <c r="V31" s="73">
        <f t="shared" si="7"/>
        <v>0.98913030911103861</v>
      </c>
      <c r="X31">
        <v>60</v>
      </c>
    </row>
    <row r="32" spans="2:24" x14ac:dyDescent="0.25">
      <c r="K32">
        <v>2041</v>
      </c>
      <c r="M32" s="73">
        <f t="shared" si="0"/>
        <v>0.76929414362949677</v>
      </c>
      <c r="N32" s="76">
        <f t="shared" si="1"/>
        <v>0.30450207611906577</v>
      </c>
      <c r="O32" s="73">
        <f t="shared" si="2"/>
        <v>10.353070588048237</v>
      </c>
      <c r="P32" s="73">
        <f t="shared" si="3"/>
        <v>138.11998263603968</v>
      </c>
      <c r="Q32" s="4">
        <f t="shared" si="4"/>
        <v>4696.0794096253494</v>
      </c>
      <c r="S32" s="80">
        <f t="shared" si="5"/>
        <v>127.96347058804824</v>
      </c>
      <c r="U32" s="73">
        <f t="shared" si="8"/>
        <v>0.76942624348100841</v>
      </c>
      <c r="V32" s="73">
        <f t="shared" si="7"/>
        <v>0.7690488153338324</v>
      </c>
      <c r="X32">
        <v>68.900000000000006</v>
      </c>
    </row>
    <row r="33" spans="11:24" x14ac:dyDescent="0.25">
      <c r="K33">
        <v>2042</v>
      </c>
      <c r="M33" s="73">
        <f t="shared" si="0"/>
        <v>0.76929414362949677</v>
      </c>
      <c r="N33" s="76">
        <f t="shared" si="1"/>
        <v>0.30450207611906577</v>
      </c>
      <c r="O33" s="73">
        <f t="shared" si="2"/>
        <v>10.353070588048237</v>
      </c>
      <c r="P33" s="73">
        <f t="shared" si="3"/>
        <v>138.11998263603968</v>
      </c>
      <c r="Q33" s="4">
        <f t="shared" si="4"/>
        <v>4696.0794096253494</v>
      </c>
      <c r="S33" s="80">
        <f t="shared" si="5"/>
        <v>127.96347058804824</v>
      </c>
      <c r="U33" s="73">
        <f t="shared" si="8"/>
        <v>0.76942624348100841</v>
      </c>
      <c r="V33" s="73">
        <f t="shared" si="7"/>
        <v>0.7690488153338324</v>
      </c>
      <c r="X33">
        <v>68.900000000000006</v>
      </c>
    </row>
    <row r="34" spans="11:24" x14ac:dyDescent="0.25">
      <c r="K34">
        <v>2043</v>
      </c>
      <c r="M34" s="73">
        <f t="shared" si="0"/>
        <v>0.76929414362949677</v>
      </c>
      <c r="N34" s="76">
        <f t="shared" si="1"/>
        <v>0.30450207611906577</v>
      </c>
      <c r="O34" s="73">
        <f t="shared" si="2"/>
        <v>10.353070588048237</v>
      </c>
      <c r="P34" s="73">
        <f t="shared" si="3"/>
        <v>138.11998263603968</v>
      </c>
      <c r="Q34" s="4">
        <f t="shared" si="4"/>
        <v>4696.0794096253494</v>
      </c>
      <c r="S34" s="80">
        <f t="shared" si="5"/>
        <v>127.96347058804824</v>
      </c>
      <c r="U34" s="73">
        <f t="shared" si="8"/>
        <v>0.76942624348100841</v>
      </c>
      <c r="V34" s="73">
        <f t="shared" si="7"/>
        <v>0.7690488153338324</v>
      </c>
      <c r="X34">
        <v>68.900000000000006</v>
      </c>
    </row>
    <row r="35" spans="11:24" x14ac:dyDescent="0.25">
      <c r="K35">
        <v>2044</v>
      </c>
      <c r="M35" s="73">
        <f t="shared" si="0"/>
        <v>0.76929414362949677</v>
      </c>
      <c r="N35" s="76">
        <f t="shared" si="1"/>
        <v>0.30450207611906577</v>
      </c>
      <c r="O35" s="73">
        <f t="shared" si="2"/>
        <v>10.353070588048237</v>
      </c>
      <c r="P35" s="73">
        <f t="shared" si="3"/>
        <v>138.11998263603968</v>
      </c>
      <c r="Q35" s="4">
        <f t="shared" si="4"/>
        <v>4696.0794096253494</v>
      </c>
      <c r="S35" s="80">
        <f t="shared" si="5"/>
        <v>127.96347058804824</v>
      </c>
      <c r="U35" s="73">
        <f t="shared" si="8"/>
        <v>0.76942624348100841</v>
      </c>
      <c r="V35" s="73">
        <f t="shared" si="7"/>
        <v>0.7690488153338324</v>
      </c>
      <c r="X35">
        <v>68.900000000000006</v>
      </c>
    </row>
    <row r="36" spans="11:24" x14ac:dyDescent="0.25">
      <c r="K36">
        <v>2045</v>
      </c>
      <c r="M36" s="73">
        <f t="shared" si="0"/>
        <v>0.76929414362949677</v>
      </c>
      <c r="N36" s="76">
        <f t="shared" si="1"/>
        <v>0.30450207611906577</v>
      </c>
      <c r="O36" s="73">
        <f t="shared" si="2"/>
        <v>10.353070588048237</v>
      </c>
      <c r="P36" s="73">
        <f t="shared" si="3"/>
        <v>138.11998263603968</v>
      </c>
      <c r="Q36" s="4">
        <f t="shared" si="4"/>
        <v>4696.0794096253494</v>
      </c>
      <c r="S36" s="80">
        <f t="shared" si="5"/>
        <v>127.96347058804824</v>
      </c>
      <c r="U36" s="73">
        <f t="shared" si="8"/>
        <v>0.76942624348100841</v>
      </c>
      <c r="V36" s="73">
        <f t="shared" si="7"/>
        <v>0.7690488153338324</v>
      </c>
      <c r="X36">
        <v>68.900000000000006</v>
      </c>
    </row>
  </sheetData>
  <hyperlinks>
    <hyperlink ref="D19" r:id="rId1" xr:uid="{D799BDAF-410C-4A6F-9E9B-9DA9C96FBEB0}"/>
  </hyperlinks>
  <pageMargins left="0.7" right="0.7" top="0.75" bottom="0.75" header="0.3" footer="0.3"/>
  <pageSetup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6071A-5058-4A05-B7F7-248BCBDC0AE0}">
  <dimension ref="B2:W17"/>
  <sheetViews>
    <sheetView workbookViewId="0">
      <selection activeCell="C17" sqref="C17"/>
    </sheetView>
  </sheetViews>
  <sheetFormatPr defaultColWidth="28.5546875" defaultRowHeight="13.2" x14ac:dyDescent="0.25"/>
  <cols>
    <col min="1" max="1" width="11.88671875" customWidth="1"/>
    <col min="2" max="2" width="30.77734375" bestFit="1" customWidth="1"/>
    <col min="3" max="3" width="16" bestFit="1" customWidth="1"/>
    <col min="4" max="4" width="9.21875" customWidth="1"/>
    <col min="5" max="5" width="7.5546875" customWidth="1"/>
    <col min="6" max="6" width="9.109375" customWidth="1"/>
    <col min="7" max="7" width="6.21875" customWidth="1"/>
    <col min="8" max="8" width="28" bestFit="1" customWidth="1"/>
    <col min="9" max="9" width="4" customWidth="1"/>
    <col min="10" max="10" width="27" bestFit="1" customWidth="1"/>
    <col min="11" max="11" width="26" bestFit="1" customWidth="1"/>
    <col min="12" max="12" width="17.77734375" bestFit="1" customWidth="1"/>
    <col min="13" max="13" width="6.6640625" customWidth="1"/>
    <col min="14" max="14" width="5.5546875" customWidth="1"/>
    <col min="15" max="15" width="37.77734375" bestFit="1" customWidth="1"/>
    <col min="16" max="16" width="28.44140625" bestFit="1" customWidth="1"/>
    <col min="17" max="17" width="14.77734375" bestFit="1" customWidth="1"/>
    <col min="18" max="18" width="23.5546875" bestFit="1" customWidth="1"/>
    <col min="20" max="20" width="26.33203125" bestFit="1" customWidth="1"/>
    <col min="22" max="22" width="14.77734375" bestFit="1" customWidth="1"/>
    <col min="23" max="23" width="23.5546875" bestFit="1" customWidth="1"/>
  </cols>
  <sheetData>
    <row r="2" spans="2:23" x14ac:dyDescent="0.25">
      <c r="F2" s="179"/>
      <c r="I2" s="68"/>
    </row>
    <row r="3" spans="2:23" x14ac:dyDescent="0.25">
      <c r="I3" s="264"/>
      <c r="O3" s="162" t="s">
        <v>185</v>
      </c>
      <c r="T3" s="161" t="s">
        <v>166</v>
      </c>
    </row>
    <row r="4" spans="2:23" ht="13.8" thickBot="1" x14ac:dyDescent="0.3">
      <c r="G4" s="3"/>
      <c r="I4" s="265"/>
    </row>
    <row r="5" spans="2:23" x14ac:dyDescent="0.25">
      <c r="H5" s="261" t="s">
        <v>367</v>
      </c>
      <c r="I5" s="68"/>
    </row>
    <row r="6" spans="2:23" ht="66.599999999999994" thickBot="1" x14ac:dyDescent="0.3">
      <c r="H6" s="262" t="s">
        <v>368</v>
      </c>
      <c r="I6" s="264"/>
      <c r="O6" s="164" t="s">
        <v>369</v>
      </c>
      <c r="P6" s="237" t="s">
        <v>319</v>
      </c>
      <c r="Q6" s="3" t="s">
        <v>183</v>
      </c>
      <c r="R6" s="3" t="s">
        <v>184</v>
      </c>
      <c r="T6" s="164" t="s">
        <v>186</v>
      </c>
      <c r="V6" s="3" t="s">
        <v>183</v>
      </c>
      <c r="W6" s="3" t="s">
        <v>184</v>
      </c>
    </row>
    <row r="7" spans="2:23" ht="40.200000000000003" thickBot="1" x14ac:dyDescent="0.3">
      <c r="B7" s="70" t="s">
        <v>374</v>
      </c>
      <c r="C7" s="61" t="s">
        <v>380</v>
      </c>
      <c r="D7" s="201" t="s">
        <v>381</v>
      </c>
      <c r="G7" s="3"/>
      <c r="H7" s="263" t="s">
        <v>95</v>
      </c>
      <c r="I7" s="265"/>
      <c r="J7" s="250" t="s">
        <v>354</v>
      </c>
      <c r="K7" s="251" t="s">
        <v>355</v>
      </c>
      <c r="L7" s="252" t="s">
        <v>356</v>
      </c>
    </row>
    <row r="8" spans="2:23" ht="41.4" thickBot="1" x14ac:dyDescent="0.4">
      <c r="B8" s="47" t="s">
        <v>377</v>
      </c>
      <c r="C8" s="221">
        <f>'10-Em Rate Over Time'!I8</f>
        <v>1.3656160787348142</v>
      </c>
      <c r="D8" s="48"/>
      <c r="G8" s="188"/>
      <c r="J8" s="253" t="s">
        <v>357</v>
      </c>
      <c r="K8" s="254" t="s">
        <v>358</v>
      </c>
      <c r="L8" s="255">
        <v>5292.2249626132398</v>
      </c>
      <c r="O8" s="114" t="s">
        <v>182</v>
      </c>
      <c r="Q8" s="102" t="s">
        <v>139</v>
      </c>
      <c r="R8" s="102" t="s">
        <v>370</v>
      </c>
      <c r="T8" s="114" t="s">
        <v>182</v>
      </c>
      <c r="V8" s="102" t="s">
        <v>139</v>
      </c>
      <c r="W8" s="102" t="s">
        <v>370</v>
      </c>
    </row>
    <row r="9" spans="2:23" ht="13.8" thickTop="1" x14ac:dyDescent="0.25">
      <c r="B9" s="47" t="s">
        <v>375</v>
      </c>
      <c r="C9" s="69"/>
      <c r="D9" s="48"/>
      <c r="G9" s="185"/>
      <c r="J9" s="253" t="s">
        <v>359</v>
      </c>
      <c r="K9" s="254" t="s">
        <v>360</v>
      </c>
      <c r="L9" s="255">
        <v>15385.119954358101</v>
      </c>
      <c r="O9" s="115" t="s">
        <v>137</v>
      </c>
      <c r="T9" s="115" t="s">
        <v>137</v>
      </c>
    </row>
    <row r="10" spans="2:23" x14ac:dyDescent="0.25">
      <c r="B10" s="63" t="s">
        <v>378</v>
      </c>
      <c r="C10" s="69">
        <f>L10</f>
        <v>7716.4241881927974</v>
      </c>
      <c r="D10" s="229">
        <f>L16</f>
        <v>11047.261541770526</v>
      </c>
      <c r="J10" s="253" t="s">
        <v>361</v>
      </c>
      <c r="K10" t="s">
        <v>362</v>
      </c>
      <c r="L10" s="256">
        <v>7716.4241881927974</v>
      </c>
      <c r="O10" s="98" t="s">
        <v>371</v>
      </c>
      <c r="Q10" s="115">
        <v>116.88</v>
      </c>
      <c r="R10" s="1">
        <v>116.88</v>
      </c>
      <c r="T10" s="98" t="s">
        <v>371</v>
      </c>
      <c r="V10" s="115">
        <v>213.9</v>
      </c>
      <c r="W10" s="1">
        <v>213.9</v>
      </c>
    </row>
    <row r="11" spans="2:23" ht="27" thickBot="1" x14ac:dyDescent="0.3">
      <c r="B11" s="63" t="s">
        <v>376</v>
      </c>
      <c r="C11" s="5"/>
      <c r="D11" s="48"/>
      <c r="J11" s="257" t="s">
        <v>361</v>
      </c>
      <c r="K11" s="258" t="s">
        <v>363</v>
      </c>
      <c r="L11" s="259">
        <v>8397.402957087801</v>
      </c>
      <c r="O11" s="98" t="s">
        <v>372</v>
      </c>
      <c r="Q11" s="115">
        <v>2.2000000000000001E-3</v>
      </c>
      <c r="R11" s="1">
        <v>7.4800000000000005E-2</v>
      </c>
      <c r="T11" s="98" t="s">
        <v>372</v>
      </c>
      <c r="V11" s="115">
        <v>2.4250000000000001E-2</v>
      </c>
      <c r="W11" s="1">
        <v>0.82450000000000001</v>
      </c>
    </row>
    <row r="12" spans="2:23" ht="13.8" thickBot="1" x14ac:dyDescent="0.3">
      <c r="B12" s="47" t="s">
        <v>379</v>
      </c>
      <c r="C12" s="69">
        <f>(R16)*(1/1000000)*(C10)*(1000)</f>
        <v>1049.3465050289465</v>
      </c>
      <c r="D12" s="229">
        <f>(W16)*(1/1000000)*(L16)*(1000)</f>
        <v>2422.5337169785444</v>
      </c>
      <c r="O12" s="98" t="s">
        <v>373</v>
      </c>
      <c r="Q12" s="115">
        <v>2.2000000000000001E-3</v>
      </c>
      <c r="R12" s="1">
        <v>0.65560000000000007</v>
      </c>
      <c r="T12" s="98" t="s">
        <v>373</v>
      </c>
      <c r="V12" s="115">
        <v>3.5300000000000002E-3</v>
      </c>
      <c r="W12" s="1">
        <v>1.0519400000000001</v>
      </c>
    </row>
    <row r="13" spans="2:23" ht="13.8" thickBot="1" x14ac:dyDescent="0.3">
      <c r="B13" s="65" t="s">
        <v>382</v>
      </c>
      <c r="C13" s="198">
        <f>D12/C12</f>
        <v>2.308611793500678</v>
      </c>
      <c r="D13" s="12"/>
      <c r="J13" s="250" t="s">
        <v>364</v>
      </c>
      <c r="K13" s="251" t="s">
        <v>355</v>
      </c>
      <c r="L13" s="252" t="s">
        <v>356</v>
      </c>
      <c r="O13" s="119" t="s">
        <v>140</v>
      </c>
      <c r="P13" s="120"/>
      <c r="Q13" s="120"/>
      <c r="R13" s="121">
        <v>117.6104</v>
      </c>
      <c r="T13" s="119" t="s">
        <v>140</v>
      </c>
      <c r="U13" s="120"/>
      <c r="V13" s="120"/>
      <c r="W13" s="121">
        <v>215.77644000000001</v>
      </c>
    </row>
    <row r="14" spans="2:23" x14ac:dyDescent="0.25">
      <c r="J14" s="253" t="s">
        <v>357</v>
      </c>
      <c r="K14" s="260" t="s">
        <v>365</v>
      </c>
      <c r="L14" s="255">
        <v>10101.811095564501</v>
      </c>
      <c r="O14" s="115" t="s">
        <v>138</v>
      </c>
      <c r="R14" s="1"/>
      <c r="T14" s="115" t="s">
        <v>138</v>
      </c>
      <c r="W14" s="1"/>
    </row>
    <row r="15" spans="2:23" ht="53.4" thickBot="1" x14ac:dyDescent="0.3">
      <c r="B15" s="3" t="s">
        <v>453</v>
      </c>
      <c r="C15" s="278">
        <f>(D12)/(C10*1000*(1/1000000))</f>
        <v>313.94511990221559</v>
      </c>
      <c r="J15" s="253" t="s">
        <v>359</v>
      </c>
      <c r="K15" s="254" t="s">
        <v>366</v>
      </c>
      <c r="L15" s="255">
        <v>14214.924162445999</v>
      </c>
      <c r="O15" s="122" t="s">
        <v>372</v>
      </c>
      <c r="P15" s="120"/>
      <c r="Q15" s="123">
        <v>0.54053827732841764</v>
      </c>
      <c r="R15" s="124">
        <v>18.3783014291662</v>
      </c>
      <c r="T15" s="122" t="s">
        <v>372</v>
      </c>
      <c r="U15" s="120"/>
      <c r="V15" s="123">
        <v>0.10328604327896253</v>
      </c>
      <c r="W15" s="124">
        <v>3.5117254714847261</v>
      </c>
    </row>
    <row r="16" spans="2:23" ht="13.8" thickBot="1" x14ac:dyDescent="0.3">
      <c r="B16" t="s">
        <v>454</v>
      </c>
      <c r="C16" s="278">
        <f>C15-R13</f>
        <v>196.3347199022156</v>
      </c>
      <c r="J16" s="253" t="s">
        <v>361</v>
      </c>
      <c r="K16" t="s">
        <v>362</v>
      </c>
      <c r="L16" s="256">
        <v>11047.261541770526</v>
      </c>
      <c r="O16" s="116" t="s">
        <v>141</v>
      </c>
      <c r="P16" s="117"/>
      <c r="Q16" s="117"/>
      <c r="R16" s="163">
        <v>135.98870142916621</v>
      </c>
      <c r="T16" s="116" t="s">
        <v>141</v>
      </c>
      <c r="U16" s="117"/>
      <c r="V16" s="117"/>
      <c r="W16" s="163">
        <v>219.28816547148475</v>
      </c>
    </row>
    <row r="17" spans="2:12" ht="13.8" thickBot="1" x14ac:dyDescent="0.3">
      <c r="B17" t="s">
        <v>452</v>
      </c>
      <c r="J17" s="257" t="s">
        <v>361</v>
      </c>
      <c r="K17" s="258" t="s">
        <v>363</v>
      </c>
      <c r="L17" s="259">
        <v>11044.685108446272</v>
      </c>
    </row>
  </sheetData>
  <hyperlinks>
    <hyperlink ref="H7" r:id="rId1" xr:uid="{DE21E8E1-E714-490E-93B4-501379EE7787}"/>
  </hyperlinks>
  <pageMargins left="0.7" right="0.7" top="0.75" bottom="0.75" header="0.3" footer="0.3"/>
  <pageSetup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B3244-6CB8-4402-B403-246C30D8A0BE}">
  <dimension ref="B1:AG112"/>
  <sheetViews>
    <sheetView workbookViewId="0">
      <selection activeCell="D11" sqref="D11"/>
    </sheetView>
  </sheetViews>
  <sheetFormatPr defaultRowHeight="13.2" x14ac:dyDescent="0.25"/>
  <cols>
    <col min="2" max="2" width="38.6640625" bestFit="1" customWidth="1"/>
    <col min="3" max="3" width="10.44140625" bestFit="1" customWidth="1"/>
    <col min="4" max="4" width="10.109375" bestFit="1" customWidth="1"/>
    <col min="8" max="8" width="26.6640625" customWidth="1"/>
    <col min="9" max="9" width="23" customWidth="1"/>
    <col min="10" max="10" width="14" bestFit="1" customWidth="1"/>
    <col min="11" max="11" width="12.44140625" customWidth="1"/>
    <col min="16" max="16" width="8.77734375" bestFit="1" customWidth="1"/>
    <col min="17" max="17" width="21.33203125" bestFit="1" customWidth="1"/>
    <col min="18" max="18" width="11.88671875" bestFit="1" customWidth="1"/>
    <col min="19" max="19" width="12" customWidth="1"/>
    <col min="20" max="20" width="5.6640625" bestFit="1" customWidth="1"/>
    <col min="21" max="21" width="15.77734375" bestFit="1" customWidth="1"/>
    <col min="22" max="22" width="18" bestFit="1" customWidth="1"/>
    <col min="23" max="23" width="19.44140625" bestFit="1" customWidth="1"/>
    <col min="27" max="27" width="9.33203125" bestFit="1" customWidth="1"/>
    <col min="28" max="28" width="11.109375" bestFit="1" customWidth="1"/>
    <col min="29" max="29" width="10.109375" bestFit="1" customWidth="1"/>
    <col min="31" max="31" width="15.33203125" bestFit="1" customWidth="1"/>
    <col min="32" max="32" width="10.109375" bestFit="1" customWidth="1"/>
    <col min="33" max="33" width="20.44140625" bestFit="1" customWidth="1"/>
  </cols>
  <sheetData>
    <row r="1" spans="2:33" ht="13.8" thickBot="1" x14ac:dyDescent="0.3"/>
    <row r="2" spans="2:33" ht="13.8" thickBot="1" x14ac:dyDescent="0.3">
      <c r="B2" s="275" t="s">
        <v>385</v>
      </c>
      <c r="C2" s="67"/>
      <c r="D2" s="62"/>
    </row>
    <row r="3" spans="2:33" x14ac:dyDescent="0.25">
      <c r="B3" s="276" t="s">
        <v>386</v>
      </c>
      <c r="C3" s="5"/>
      <c r="D3" s="48"/>
      <c r="T3" s="70"/>
      <c r="U3" s="67" t="s">
        <v>387</v>
      </c>
      <c r="V3" s="67" t="s">
        <v>387</v>
      </c>
      <c r="W3" s="62" t="s">
        <v>387</v>
      </c>
      <c r="AD3" s="70"/>
      <c r="AE3" s="67" t="s">
        <v>387</v>
      </c>
      <c r="AF3" s="67" t="s">
        <v>387</v>
      </c>
      <c r="AG3" s="62" t="s">
        <v>387</v>
      </c>
    </row>
    <row r="4" spans="2:33" x14ac:dyDescent="0.25">
      <c r="B4" s="47"/>
      <c r="C4" s="5"/>
      <c r="D4" s="48"/>
      <c r="T4" s="47" t="s">
        <v>388</v>
      </c>
      <c r="U4" t="s">
        <v>389</v>
      </c>
      <c r="V4" t="s">
        <v>390</v>
      </c>
      <c r="W4" s="48" t="s">
        <v>65</v>
      </c>
      <c r="AD4" s="47" t="s">
        <v>388</v>
      </c>
      <c r="AE4" t="s">
        <v>389</v>
      </c>
      <c r="AF4" t="s">
        <v>390</v>
      </c>
      <c r="AG4" s="48" t="s">
        <v>65</v>
      </c>
    </row>
    <row r="5" spans="2:33" x14ac:dyDescent="0.25">
      <c r="B5" s="47"/>
      <c r="C5" s="129" t="s">
        <v>185</v>
      </c>
      <c r="D5" s="277" t="s">
        <v>166</v>
      </c>
      <c r="S5" s="4">
        <f>SUM(S8:S38)</f>
        <v>29916767.997000005</v>
      </c>
      <c r="T5" s="47"/>
      <c r="U5" s="4">
        <f>SUM(U8:U38)/2204.62</f>
        <v>12315236.356424836</v>
      </c>
      <c r="V5" s="4">
        <f>SUM(V8:V38)/2204.62</f>
        <v>1924431.2231724588</v>
      </c>
      <c r="W5" s="229">
        <f>SUM(W8:W38)/2204.62</f>
        <v>14239667.579597292</v>
      </c>
      <c r="AC5" s="4">
        <f>SUM(AC8:AC15)</f>
        <v>38245497</v>
      </c>
      <c r="AD5" s="47"/>
      <c r="AE5" s="4">
        <f>SUM(AE8:AE15)/2204.62</f>
        <v>41352829.000445016</v>
      </c>
      <c r="AF5" s="4">
        <f>SUM(AF8:AF15)/2204.62</f>
        <v>673010.37554802105</v>
      </c>
      <c r="AG5" s="4">
        <f>SUM(AG8:AG15)/2204.62</f>
        <v>42025839.375993043</v>
      </c>
    </row>
    <row r="6" spans="2:33" ht="13.8" thickBot="1" x14ac:dyDescent="0.3">
      <c r="B6" s="47" t="s">
        <v>391</v>
      </c>
      <c r="C6" s="69">
        <f>S5</f>
        <v>29916767.997000005</v>
      </c>
      <c r="D6" s="229">
        <f>AC5</f>
        <v>38245497</v>
      </c>
      <c r="O6" s="266" t="s">
        <v>392</v>
      </c>
      <c r="P6" s="266" t="s">
        <v>393</v>
      </c>
      <c r="Q6" s="266" t="s">
        <v>394</v>
      </c>
      <c r="R6" s="267" t="s">
        <v>395</v>
      </c>
      <c r="S6" s="267" t="s">
        <v>396</v>
      </c>
      <c r="T6" s="65"/>
      <c r="U6" s="66"/>
      <c r="V6" s="66"/>
      <c r="W6" s="12"/>
      <c r="Y6" s="266" t="s">
        <v>392</v>
      </c>
      <c r="Z6" s="266" t="s">
        <v>393</v>
      </c>
      <c r="AA6" s="266" t="s">
        <v>394</v>
      </c>
      <c r="AB6" s="267" t="s">
        <v>395</v>
      </c>
      <c r="AC6" s="267" t="s">
        <v>396</v>
      </c>
      <c r="AD6" s="65"/>
      <c r="AE6" s="66"/>
      <c r="AF6" s="66"/>
      <c r="AG6" s="12"/>
    </row>
    <row r="7" spans="2:33" ht="43.2" x14ac:dyDescent="0.25">
      <c r="B7" s="47" t="s">
        <v>397</v>
      </c>
      <c r="C7" s="69">
        <f>U5</f>
        <v>12315236.356424836</v>
      </c>
      <c r="D7" s="229">
        <f>AE5</f>
        <v>41352829.000445016</v>
      </c>
      <c r="H7" s="162" t="s">
        <v>185</v>
      </c>
      <c r="O7" s="268" t="s">
        <v>398</v>
      </c>
      <c r="P7" s="268" t="s">
        <v>399</v>
      </c>
      <c r="Q7" s="268" t="s">
        <v>400</v>
      </c>
      <c r="R7" s="269" t="s">
        <v>401</v>
      </c>
      <c r="S7" s="269" t="s">
        <v>402</v>
      </c>
      <c r="U7" s="3" t="s">
        <v>403</v>
      </c>
      <c r="V7" s="3" t="s">
        <v>404</v>
      </c>
      <c r="W7" t="s">
        <v>405</v>
      </c>
      <c r="Y7" s="268" t="s">
        <v>398</v>
      </c>
      <c r="Z7" s="268" t="s">
        <v>399</v>
      </c>
      <c r="AA7" s="268" t="s">
        <v>400</v>
      </c>
      <c r="AB7" s="269" t="s">
        <v>401</v>
      </c>
      <c r="AC7" s="269" t="s">
        <v>402</v>
      </c>
      <c r="AE7" s="3" t="s">
        <v>403</v>
      </c>
      <c r="AF7" s="3" t="s">
        <v>404</v>
      </c>
      <c r="AG7" t="s">
        <v>405</v>
      </c>
    </row>
    <row r="8" spans="2:33" x14ac:dyDescent="0.25">
      <c r="B8" s="47" t="s">
        <v>406</v>
      </c>
      <c r="C8" s="69">
        <f>V5</f>
        <v>1924431.2231724588</v>
      </c>
      <c r="D8" s="229">
        <f>AF5</f>
        <v>673010.37554802105</v>
      </c>
      <c r="O8">
        <v>7624</v>
      </c>
      <c r="P8" t="s">
        <v>409</v>
      </c>
      <c r="Q8" t="s">
        <v>358</v>
      </c>
      <c r="R8" s="4">
        <v>7212148.9189999998</v>
      </c>
      <c r="S8" s="4">
        <v>1362782</v>
      </c>
      <c r="U8" s="270">
        <f>(R8)*$K$17</f>
        <v>848223719.22315753</v>
      </c>
      <c r="V8" s="4">
        <f>R8*$K$19</f>
        <v>132547046.78541715</v>
      </c>
      <c r="W8" s="271">
        <f>V8+U8</f>
        <v>980770766.00857472</v>
      </c>
      <c r="Y8">
        <v>7619</v>
      </c>
      <c r="Z8" t="s">
        <v>409</v>
      </c>
      <c r="AA8" t="s">
        <v>365</v>
      </c>
      <c r="AB8" s="4">
        <v>19224271.607000001</v>
      </c>
      <c r="AC8" s="4">
        <v>1903052</v>
      </c>
      <c r="AE8" s="270">
        <f>(AB8)*$K$32</f>
        <v>4148144888.9515395</v>
      </c>
      <c r="AF8" s="4">
        <f>AB8*$K$34</f>
        <v>67510364.273042515</v>
      </c>
      <c r="AG8" s="271">
        <f>AF8+AE8</f>
        <v>4215655253.2245822</v>
      </c>
    </row>
    <row r="9" spans="2:33" x14ac:dyDescent="0.25">
      <c r="B9" s="47" t="s">
        <v>407</v>
      </c>
      <c r="C9" s="69">
        <f>C7+C8</f>
        <v>14239667.579597294</v>
      </c>
      <c r="D9" s="229">
        <f>D7+D8</f>
        <v>42025839.375993036</v>
      </c>
      <c r="O9">
        <v>9306</v>
      </c>
      <c r="P9" t="s">
        <v>410</v>
      </c>
      <c r="Q9" t="s">
        <v>411</v>
      </c>
      <c r="R9" s="4">
        <v>5865351.9630000005</v>
      </c>
      <c r="S9" s="4">
        <v>1026266.001</v>
      </c>
      <c r="U9" s="270">
        <f t="shared" ref="U9:U38" si="0">(R9)*$K$17</f>
        <v>689826390.50921524</v>
      </c>
      <c r="V9" s="4">
        <f t="shared" ref="V9:V38" si="1">R9*$K$19</f>
        <v>107795206.36416568</v>
      </c>
      <c r="W9" s="271">
        <f t="shared" ref="W9:W38" si="2">V9+U9</f>
        <v>797621596.8733809</v>
      </c>
      <c r="Y9">
        <v>9670</v>
      </c>
      <c r="Z9" t="s">
        <v>442</v>
      </c>
      <c r="AA9" t="s">
        <v>443</v>
      </c>
      <c r="AB9" s="4">
        <v>122366505.98899999</v>
      </c>
      <c r="AC9" s="4">
        <v>11685771</v>
      </c>
      <c r="AE9" s="270">
        <f t="shared" ref="AE9:AE15" si="3">(AB9)*$K$32</f>
        <v>26403809037.545097</v>
      </c>
      <c r="AF9" s="4">
        <f t="shared" ref="AF9:AF15" si="4">AB9*$K$34</f>
        <v>429717575.93815958</v>
      </c>
      <c r="AG9" s="271">
        <f t="shared" ref="AG9:AG15" si="5">AF9+AE9</f>
        <v>26833526613.483257</v>
      </c>
    </row>
    <row r="10" spans="2:33" ht="93" thickBot="1" x14ac:dyDescent="0.3">
      <c r="B10" s="65" t="s">
        <v>408</v>
      </c>
      <c r="C10" s="66">
        <f>C9/C6</f>
        <v>0.47597613422095664</v>
      </c>
      <c r="D10" s="12">
        <f>D9/D6</f>
        <v>1.0988441168902325</v>
      </c>
      <c r="H10" s="164" t="s">
        <v>369</v>
      </c>
      <c r="I10" s="237" t="s">
        <v>319</v>
      </c>
      <c r="J10" s="3" t="s">
        <v>183</v>
      </c>
      <c r="K10" s="3" t="s">
        <v>184</v>
      </c>
      <c r="O10">
        <v>9275</v>
      </c>
      <c r="P10" t="s">
        <v>410</v>
      </c>
      <c r="Q10" t="s">
        <v>412</v>
      </c>
      <c r="R10" s="4">
        <v>1427167.9140000001</v>
      </c>
      <c r="S10" s="4">
        <v>245804</v>
      </c>
      <c r="U10" s="270">
        <f t="shared" si="0"/>
        <v>167849789.23270562</v>
      </c>
      <c r="V10" s="4">
        <f t="shared" si="1"/>
        <v>26228922.113526348</v>
      </c>
      <c r="W10" s="271">
        <f t="shared" si="2"/>
        <v>194078711.34623197</v>
      </c>
      <c r="Y10">
        <v>6813</v>
      </c>
      <c r="Z10" t="s">
        <v>444</v>
      </c>
      <c r="AA10" t="s">
        <v>445</v>
      </c>
      <c r="AB10" s="4">
        <v>10376330.321</v>
      </c>
      <c r="AC10" s="4">
        <v>970557</v>
      </c>
      <c r="AE10" s="270">
        <f t="shared" si="3"/>
        <v>2238967616.9294376</v>
      </c>
      <c r="AF10" s="4">
        <f t="shared" si="4"/>
        <v>36438823.48879499</v>
      </c>
      <c r="AG10" s="271">
        <f t="shared" si="5"/>
        <v>2275406440.4182324</v>
      </c>
    </row>
    <row r="11" spans="2:33" x14ac:dyDescent="0.25">
      <c r="O11">
        <v>7737</v>
      </c>
      <c r="P11" t="s">
        <v>409</v>
      </c>
      <c r="Q11" t="s">
        <v>413</v>
      </c>
      <c r="R11" s="4">
        <v>16648306.455</v>
      </c>
      <c r="S11" s="4">
        <v>2400517</v>
      </c>
      <c r="U11" s="270">
        <f t="shared" si="0"/>
        <v>1958013981.495132</v>
      </c>
      <c r="V11" s="4">
        <f t="shared" si="1"/>
        <v>305967594.31512338</v>
      </c>
      <c r="W11" s="271">
        <f t="shared" si="2"/>
        <v>2263981575.8102555</v>
      </c>
      <c r="Y11">
        <v>5308</v>
      </c>
      <c r="Z11" t="s">
        <v>431</v>
      </c>
      <c r="AA11" t="s">
        <v>446</v>
      </c>
      <c r="AB11" s="4">
        <v>150122372.759</v>
      </c>
      <c r="AC11" s="4">
        <v>13358656</v>
      </c>
      <c r="AE11" s="270">
        <f t="shared" si="3"/>
        <v>32392871158.290001</v>
      </c>
      <c r="AF11" s="4">
        <f t="shared" si="4"/>
        <v>527188560.25750512</v>
      </c>
      <c r="AG11" s="271">
        <f t="shared" si="5"/>
        <v>32920059718.547504</v>
      </c>
    </row>
    <row r="12" spans="2:33" ht="40.200000000000003" thickBot="1" x14ac:dyDescent="0.3">
      <c r="H12" s="3" t="s">
        <v>182</v>
      </c>
      <c r="J12" s="102" t="s">
        <v>139</v>
      </c>
      <c r="K12" s="102" t="s">
        <v>370</v>
      </c>
      <c r="O12">
        <v>7639</v>
      </c>
      <c r="P12" t="s">
        <v>409</v>
      </c>
      <c r="Q12" t="s">
        <v>414</v>
      </c>
      <c r="R12" s="4">
        <v>12273306.305</v>
      </c>
      <c r="S12" s="4">
        <v>1765406</v>
      </c>
      <c r="U12" s="270">
        <f t="shared" si="0"/>
        <v>1443468463.8535719</v>
      </c>
      <c r="V12" s="4">
        <f t="shared" si="1"/>
        <v>225562522.80577603</v>
      </c>
      <c r="W12" s="271">
        <f t="shared" si="2"/>
        <v>1669030986.659348</v>
      </c>
      <c r="Y12">
        <v>9651</v>
      </c>
      <c r="Z12" t="s">
        <v>442</v>
      </c>
      <c r="AA12" t="s">
        <v>447</v>
      </c>
      <c r="AB12" s="4">
        <v>58231591.82</v>
      </c>
      <c r="AC12" s="4">
        <v>5088504</v>
      </c>
      <c r="AE12" s="270">
        <f t="shared" si="3"/>
        <v>12565005578.452721</v>
      </c>
      <c r="AF12" s="4">
        <f t="shared" si="4"/>
        <v>204493364.23939562</v>
      </c>
      <c r="AG12" s="271">
        <f t="shared" si="5"/>
        <v>12769498942.692116</v>
      </c>
    </row>
    <row r="13" spans="2:33" ht="13.8" thickTop="1" x14ac:dyDescent="0.25">
      <c r="H13" s="115" t="s">
        <v>137</v>
      </c>
      <c r="O13">
        <v>3092</v>
      </c>
      <c r="P13" t="s">
        <v>415</v>
      </c>
      <c r="Q13" t="s">
        <v>416</v>
      </c>
      <c r="R13" s="4">
        <v>9966036.8049999997</v>
      </c>
      <c r="S13" s="4">
        <v>1420178</v>
      </c>
      <c r="U13" s="270">
        <f t="shared" si="0"/>
        <v>1172109575.050772</v>
      </c>
      <c r="V13" s="4">
        <f t="shared" si="1"/>
        <v>183158828.45645446</v>
      </c>
      <c r="W13" s="271">
        <f t="shared" si="2"/>
        <v>1355268403.5072265</v>
      </c>
      <c r="Y13">
        <v>9244</v>
      </c>
      <c r="Z13" t="s">
        <v>410</v>
      </c>
      <c r="AA13" t="s">
        <v>448</v>
      </c>
      <c r="AB13" s="4">
        <v>53116406.487999998</v>
      </c>
      <c r="AC13" s="4">
        <v>4576835</v>
      </c>
      <c r="AE13" s="270">
        <f t="shared" si="3"/>
        <v>11461269097.573544</v>
      </c>
      <c r="AF13" s="4">
        <f t="shared" si="4"/>
        <v>186530237.61764616</v>
      </c>
      <c r="AG13" s="271">
        <f t="shared" si="5"/>
        <v>11647799335.191189</v>
      </c>
    </row>
    <row r="14" spans="2:33" x14ac:dyDescent="0.25">
      <c r="H14" s="2" t="s">
        <v>371</v>
      </c>
      <c r="J14" s="115">
        <v>116.88</v>
      </c>
      <c r="K14" s="1">
        <v>116.88</v>
      </c>
      <c r="O14">
        <v>3132</v>
      </c>
      <c r="P14" t="s">
        <v>415</v>
      </c>
      <c r="Q14" t="s">
        <v>417</v>
      </c>
      <c r="R14" s="4">
        <v>9301340.8870000001</v>
      </c>
      <c r="S14" s="4">
        <v>1314104</v>
      </c>
      <c r="U14" s="270">
        <f t="shared" si="0"/>
        <v>1093934422.2564249</v>
      </c>
      <c r="V14" s="4">
        <f t="shared" si="1"/>
        <v>170942846.51671413</v>
      </c>
      <c r="W14" s="271">
        <f t="shared" si="2"/>
        <v>1264877268.773139</v>
      </c>
      <c r="Y14">
        <v>5321</v>
      </c>
      <c r="Z14" t="s">
        <v>431</v>
      </c>
      <c r="AA14" t="s">
        <v>449</v>
      </c>
      <c r="AB14" s="4">
        <v>4621073.17</v>
      </c>
      <c r="AC14" s="4">
        <v>349109</v>
      </c>
      <c r="AE14" s="270">
        <f t="shared" si="3"/>
        <v>997118717.6021148</v>
      </c>
      <c r="AF14" s="4">
        <f t="shared" si="4"/>
        <v>16227940.356683668</v>
      </c>
      <c r="AG14" s="271">
        <f t="shared" si="5"/>
        <v>1013346657.9587984</v>
      </c>
    </row>
    <row r="15" spans="2:33" x14ac:dyDescent="0.25">
      <c r="H15" s="2" t="s">
        <v>372</v>
      </c>
      <c r="J15" s="115">
        <v>2.2000000000000001E-3</v>
      </c>
      <c r="K15" s="1">
        <v>7.4800000000000005E-2</v>
      </c>
      <c r="O15">
        <v>9282</v>
      </c>
      <c r="P15" t="s">
        <v>410</v>
      </c>
      <c r="Q15" t="s">
        <v>418</v>
      </c>
      <c r="R15" s="4">
        <v>20037233.609000001</v>
      </c>
      <c r="S15" s="4">
        <v>2818292</v>
      </c>
      <c r="U15" s="270">
        <f t="shared" si="0"/>
        <v>2356587059.6479335</v>
      </c>
      <c r="V15" s="4">
        <f t="shared" si="1"/>
        <v>368250319.07282174</v>
      </c>
      <c r="W15" s="271">
        <f t="shared" si="2"/>
        <v>2724837378.7207551</v>
      </c>
      <c r="Y15">
        <v>5309</v>
      </c>
      <c r="Z15" t="s">
        <v>431</v>
      </c>
      <c r="AA15" t="s">
        <v>366</v>
      </c>
      <c r="AB15" s="4">
        <v>4449456</v>
      </c>
      <c r="AC15" s="4">
        <v>313013</v>
      </c>
      <c r="AE15" s="270">
        <f t="shared" si="3"/>
        <v>960087775.61664009</v>
      </c>
      <c r="AF15" s="4">
        <f t="shared" si="4"/>
        <v>15625267.969450543</v>
      </c>
      <c r="AG15" s="271">
        <f t="shared" si="5"/>
        <v>975713043.58609068</v>
      </c>
    </row>
    <row r="16" spans="2:33" x14ac:dyDescent="0.25">
      <c r="H16" s="2" t="s">
        <v>373</v>
      </c>
      <c r="J16" s="115">
        <v>2.2000000000000001E-3</v>
      </c>
      <c r="K16" s="1">
        <v>0.65560000000000007</v>
      </c>
      <c r="O16">
        <v>9278</v>
      </c>
      <c r="P16" t="s">
        <v>410</v>
      </c>
      <c r="Q16" t="s">
        <v>419</v>
      </c>
      <c r="R16" s="4">
        <v>7139109.324</v>
      </c>
      <c r="S16" s="4">
        <v>1004047</v>
      </c>
      <c r="U16" s="270">
        <f t="shared" si="0"/>
        <v>839633503.23936963</v>
      </c>
      <c r="V16" s="4">
        <f t="shared" si="1"/>
        <v>131204703.09224294</v>
      </c>
      <c r="W16" s="271">
        <f t="shared" si="2"/>
        <v>970838206.33161259</v>
      </c>
      <c r="AB16" s="4"/>
      <c r="AC16" s="4"/>
    </row>
    <row r="17" spans="8:23" ht="13.8" thickBot="1" x14ac:dyDescent="0.3">
      <c r="H17" s="272" t="s">
        <v>140</v>
      </c>
      <c r="I17" s="66"/>
      <c r="J17" s="66"/>
      <c r="K17" s="273">
        <v>117.6104</v>
      </c>
      <c r="O17">
        <v>7672</v>
      </c>
      <c r="P17" t="s">
        <v>409</v>
      </c>
      <c r="Q17" t="s">
        <v>420</v>
      </c>
      <c r="R17" s="4">
        <v>23201383.690000001</v>
      </c>
      <c r="S17" s="4">
        <v>3179734</v>
      </c>
      <c r="U17" s="270">
        <f t="shared" si="0"/>
        <v>2728724016.3343763</v>
      </c>
      <c r="V17" s="4">
        <f t="shared" si="1"/>
        <v>426402023.0285604</v>
      </c>
      <c r="W17" s="271">
        <f t="shared" si="2"/>
        <v>3155126039.362937</v>
      </c>
    </row>
    <row r="18" spans="8:23" x14ac:dyDescent="0.25">
      <c r="H18" s="115" t="s">
        <v>138</v>
      </c>
      <c r="K18" s="1"/>
      <c r="O18">
        <v>9274</v>
      </c>
      <c r="P18" t="s">
        <v>410</v>
      </c>
      <c r="Q18" t="s">
        <v>421</v>
      </c>
      <c r="R18" s="4">
        <v>6121804.4510000004</v>
      </c>
      <c r="S18" s="4">
        <v>837562</v>
      </c>
      <c r="U18" s="270">
        <f t="shared" si="0"/>
        <v>719987870.20389044</v>
      </c>
      <c r="V18" s="4">
        <f t="shared" si="1"/>
        <v>112508367.49088931</v>
      </c>
      <c r="W18" s="271">
        <f t="shared" si="2"/>
        <v>832496237.69477975</v>
      </c>
    </row>
    <row r="19" spans="8:23" ht="13.8" thickBot="1" x14ac:dyDescent="0.3">
      <c r="H19" s="8" t="s">
        <v>372</v>
      </c>
      <c r="I19" s="66"/>
      <c r="J19" s="274">
        <v>0.54053827732841764</v>
      </c>
      <c r="K19" s="138">
        <v>18.3783014291662</v>
      </c>
      <c r="O19">
        <v>9333</v>
      </c>
      <c r="P19" t="s">
        <v>410</v>
      </c>
      <c r="Q19" t="s">
        <v>422</v>
      </c>
      <c r="R19" s="4">
        <v>10543880.822000001</v>
      </c>
      <c r="S19" s="4">
        <v>1440649</v>
      </c>
      <c r="U19" s="270">
        <f t="shared" si="0"/>
        <v>1240070041.0277488</v>
      </c>
      <c r="V19" s="4">
        <f t="shared" si="1"/>
        <v>193778619.97992069</v>
      </c>
      <c r="W19" s="271">
        <f t="shared" si="2"/>
        <v>1433848661.0076694</v>
      </c>
    </row>
    <row r="20" spans="8:23" ht="13.8" thickBot="1" x14ac:dyDescent="0.3">
      <c r="H20" s="116" t="s">
        <v>141</v>
      </c>
      <c r="I20" s="117"/>
      <c r="J20" s="117"/>
      <c r="K20" s="163">
        <v>135.98870142916621</v>
      </c>
      <c r="O20">
        <v>7671</v>
      </c>
      <c r="P20" t="s">
        <v>409</v>
      </c>
      <c r="Q20" t="s">
        <v>423</v>
      </c>
      <c r="R20" s="4">
        <v>14515550.721999999</v>
      </c>
      <c r="S20" s="4">
        <v>1956261</v>
      </c>
      <c r="U20" s="270">
        <f t="shared" si="0"/>
        <v>1707179726.6347086</v>
      </c>
      <c r="V20" s="4">
        <f t="shared" si="1"/>
        <v>266771166.57926705</v>
      </c>
      <c r="W20" s="271">
        <f t="shared" si="2"/>
        <v>1973950893.2139757</v>
      </c>
    </row>
    <row r="21" spans="8:23" x14ac:dyDescent="0.25">
      <c r="O21">
        <v>9270</v>
      </c>
      <c r="P21" t="s">
        <v>410</v>
      </c>
      <c r="Q21" t="s">
        <v>424</v>
      </c>
      <c r="R21" s="4">
        <v>5553343.5499999998</v>
      </c>
      <c r="S21" s="4">
        <v>742347</v>
      </c>
      <c r="U21" s="270">
        <f t="shared" si="0"/>
        <v>653130956.25291991</v>
      </c>
      <c r="V21" s="4">
        <f t="shared" si="1"/>
        <v>102061021.7016159</v>
      </c>
      <c r="W21" s="271">
        <f t="shared" si="2"/>
        <v>755191977.95453584</v>
      </c>
    </row>
    <row r="22" spans="8:23" x14ac:dyDescent="0.25">
      <c r="H22" s="161" t="s">
        <v>166</v>
      </c>
      <c r="O22">
        <v>9314</v>
      </c>
      <c r="P22" t="s">
        <v>410</v>
      </c>
      <c r="Q22" t="s">
        <v>425</v>
      </c>
      <c r="R22" s="4">
        <v>8031588.4450000003</v>
      </c>
      <c r="S22" s="4">
        <v>1057948</v>
      </c>
      <c r="U22" s="270">
        <f t="shared" si="0"/>
        <v>944598329.65182805</v>
      </c>
      <c r="V22" s="4">
        <f t="shared" si="1"/>
        <v>147606953.39721826</v>
      </c>
      <c r="W22" s="271">
        <f t="shared" si="2"/>
        <v>1092205283.0490463</v>
      </c>
    </row>
    <row r="23" spans="8:23" x14ac:dyDescent="0.25">
      <c r="O23">
        <v>7682</v>
      </c>
      <c r="P23" t="s">
        <v>409</v>
      </c>
      <c r="Q23" t="s">
        <v>426</v>
      </c>
      <c r="R23" s="4">
        <v>18576394.497000001</v>
      </c>
      <c r="S23" s="4">
        <v>2427619</v>
      </c>
      <c r="U23" s="270">
        <f t="shared" si="0"/>
        <v>2184777187.3499689</v>
      </c>
      <c r="V23" s="4">
        <f t="shared" si="1"/>
        <v>341402577.53297025</v>
      </c>
      <c r="W23" s="271">
        <f t="shared" si="2"/>
        <v>2526179764.8829393</v>
      </c>
    </row>
    <row r="24" spans="8:23" x14ac:dyDescent="0.25">
      <c r="O24">
        <v>9246</v>
      </c>
      <c r="P24" t="s">
        <v>410</v>
      </c>
      <c r="Q24" t="s">
        <v>427</v>
      </c>
      <c r="R24" s="4">
        <v>10944449.356000001</v>
      </c>
      <c r="S24" s="4">
        <v>1420028</v>
      </c>
      <c r="U24" s="270">
        <f t="shared" si="0"/>
        <v>1287181066.5389025</v>
      </c>
      <c r="V24" s="4">
        <f t="shared" si="1"/>
        <v>201140389.24081191</v>
      </c>
      <c r="W24" s="271">
        <f t="shared" si="2"/>
        <v>1488321455.7797143</v>
      </c>
    </row>
    <row r="25" spans="8:23" ht="39.6" x14ac:dyDescent="0.25">
      <c r="H25" s="164" t="s">
        <v>186</v>
      </c>
      <c r="J25" s="3" t="s">
        <v>183</v>
      </c>
      <c r="K25" s="3" t="s">
        <v>184</v>
      </c>
      <c r="O25">
        <v>9354</v>
      </c>
      <c r="P25" t="s">
        <v>410</v>
      </c>
      <c r="Q25" t="s">
        <v>428</v>
      </c>
      <c r="R25" s="4">
        <v>3436382.6349999998</v>
      </c>
      <c r="S25" s="4">
        <v>394995</v>
      </c>
      <c r="U25" s="270">
        <f t="shared" si="0"/>
        <v>404154336.255404</v>
      </c>
      <c r="V25" s="4">
        <f t="shared" si="1"/>
        <v>63154875.891982406</v>
      </c>
      <c r="W25" s="271">
        <f t="shared" si="2"/>
        <v>467309212.14738643</v>
      </c>
    </row>
    <row r="26" spans="8:23" x14ac:dyDescent="0.25">
      <c r="O26">
        <v>9268</v>
      </c>
      <c r="P26" t="s">
        <v>410</v>
      </c>
      <c r="Q26" t="s">
        <v>429</v>
      </c>
      <c r="R26" s="4">
        <v>1921437.6839999999</v>
      </c>
      <c r="S26" s="4">
        <v>212717</v>
      </c>
      <c r="U26" s="270">
        <f t="shared" si="0"/>
        <v>225981054.59031358</v>
      </c>
      <c r="V26" s="4">
        <f t="shared" si="1"/>
        <v>35312760.933910988</v>
      </c>
      <c r="W26" s="271">
        <f t="shared" si="2"/>
        <v>261293815.52422458</v>
      </c>
    </row>
    <row r="27" spans="8:23" ht="40.200000000000003" thickBot="1" x14ac:dyDescent="0.3">
      <c r="H27" s="3" t="s">
        <v>182</v>
      </c>
      <c r="J27" s="102" t="s">
        <v>139</v>
      </c>
      <c r="K27" s="102" t="s">
        <v>370</v>
      </c>
      <c r="O27">
        <v>9238</v>
      </c>
      <c r="P27" t="s">
        <v>410</v>
      </c>
      <c r="Q27" t="s">
        <v>430</v>
      </c>
      <c r="R27" s="4">
        <v>168610.00200000001</v>
      </c>
      <c r="S27" s="4">
        <v>18358.002</v>
      </c>
      <c r="U27" s="270">
        <f t="shared" si="0"/>
        <v>19830289.779220801</v>
      </c>
      <c r="V27" s="4">
        <f t="shared" si="1"/>
        <v>3098765.4407283161</v>
      </c>
      <c r="W27" s="271">
        <f t="shared" si="2"/>
        <v>22929055.219949119</v>
      </c>
    </row>
    <row r="28" spans="8:23" ht="13.8" thickTop="1" x14ac:dyDescent="0.25">
      <c r="H28" s="115" t="s">
        <v>137</v>
      </c>
      <c r="O28">
        <v>5299</v>
      </c>
      <c r="P28" t="s">
        <v>431</v>
      </c>
      <c r="Q28" t="s">
        <v>432</v>
      </c>
      <c r="R28" s="4">
        <v>863853.00300000003</v>
      </c>
      <c r="S28" s="4">
        <v>92241.998999999996</v>
      </c>
      <c r="U28" s="270">
        <f t="shared" si="0"/>
        <v>101598097.2240312</v>
      </c>
      <c r="V28" s="4">
        <f t="shared" si="1"/>
        <v>15876150.879624413</v>
      </c>
      <c r="W28" s="271">
        <f t="shared" si="2"/>
        <v>117474248.10365561</v>
      </c>
    </row>
    <row r="29" spans="8:23" x14ac:dyDescent="0.25">
      <c r="H29" s="2" t="s">
        <v>371</v>
      </c>
      <c r="J29" s="115">
        <v>213.9</v>
      </c>
      <c r="K29" s="1">
        <v>213.9</v>
      </c>
      <c r="O29">
        <v>7738</v>
      </c>
      <c r="P29" t="s">
        <v>409</v>
      </c>
      <c r="Q29" t="s">
        <v>433</v>
      </c>
      <c r="R29" s="4">
        <v>1392597</v>
      </c>
      <c r="S29" s="4">
        <v>146364.99600000001</v>
      </c>
      <c r="U29" s="270">
        <f t="shared" si="0"/>
        <v>163783890.20879999</v>
      </c>
      <c r="V29" s="4">
        <f t="shared" si="1"/>
        <v>25593567.435352564</v>
      </c>
      <c r="W29" s="271">
        <f t="shared" si="2"/>
        <v>189377457.64415255</v>
      </c>
    </row>
    <row r="30" spans="8:23" x14ac:dyDescent="0.25">
      <c r="H30" s="2" t="s">
        <v>372</v>
      </c>
      <c r="J30" s="115">
        <v>2.4250000000000001E-2</v>
      </c>
      <c r="K30" s="1">
        <v>0.82450000000000001</v>
      </c>
      <c r="O30">
        <v>3131</v>
      </c>
      <c r="P30" t="s">
        <v>415</v>
      </c>
      <c r="Q30" t="s">
        <v>434</v>
      </c>
      <c r="R30" s="4">
        <v>425458.23599999998</v>
      </c>
      <c r="S30" s="4">
        <v>40615</v>
      </c>
      <c r="U30" s="270">
        <f t="shared" si="0"/>
        <v>50038313.319254398</v>
      </c>
      <c r="V30" s="4">
        <f t="shared" si="1"/>
        <v>7819199.7067293301</v>
      </c>
      <c r="W30" s="271">
        <f t="shared" si="2"/>
        <v>57857513.025983728</v>
      </c>
    </row>
    <row r="31" spans="8:23" x14ac:dyDescent="0.25">
      <c r="H31" s="2" t="s">
        <v>373</v>
      </c>
      <c r="J31" s="115">
        <v>3.5300000000000002E-3</v>
      </c>
      <c r="K31" s="1">
        <v>1.0519400000000001</v>
      </c>
      <c r="O31">
        <v>3137</v>
      </c>
      <c r="P31" t="s">
        <v>415</v>
      </c>
      <c r="Q31" t="s">
        <v>435</v>
      </c>
      <c r="R31" s="4">
        <v>702166.50100000005</v>
      </c>
      <c r="S31" s="4">
        <v>65841</v>
      </c>
      <c r="U31" s="270">
        <f t="shared" si="0"/>
        <v>82582083.049210399</v>
      </c>
      <c r="V31" s="4">
        <f t="shared" si="1"/>
        <v>12904627.608840931</v>
      </c>
      <c r="W31" s="271">
        <f t="shared" si="2"/>
        <v>95486710.658051327</v>
      </c>
    </row>
    <row r="32" spans="8:23" ht="13.8" thickBot="1" x14ac:dyDescent="0.3">
      <c r="H32" s="272" t="s">
        <v>140</v>
      </c>
      <c r="I32" s="66"/>
      <c r="J32" s="66"/>
      <c r="K32" s="273">
        <v>215.77644000000001</v>
      </c>
      <c r="O32">
        <v>3025</v>
      </c>
      <c r="P32" t="s">
        <v>415</v>
      </c>
      <c r="Q32" t="s">
        <v>436</v>
      </c>
      <c r="R32" s="4">
        <v>1102280.3500000001</v>
      </c>
      <c r="S32" s="4">
        <v>103240</v>
      </c>
      <c r="U32" s="270">
        <f t="shared" si="0"/>
        <v>129639632.87564</v>
      </c>
      <c r="V32" s="4">
        <f t="shared" si="1"/>
        <v>20258040.53174682</v>
      </c>
      <c r="W32" s="271">
        <f t="shared" si="2"/>
        <v>149897673.40738684</v>
      </c>
    </row>
    <row r="33" spans="8:23" x14ac:dyDescent="0.25">
      <c r="H33" s="115" t="s">
        <v>138</v>
      </c>
      <c r="K33" s="1"/>
      <c r="O33">
        <v>3059</v>
      </c>
      <c r="P33" t="s">
        <v>415</v>
      </c>
      <c r="Q33" t="s">
        <v>437</v>
      </c>
      <c r="R33" s="4">
        <v>2118517.0389999999</v>
      </c>
      <c r="S33" s="4">
        <v>198102</v>
      </c>
      <c r="U33" s="270">
        <f t="shared" si="0"/>
        <v>249159636.36360559</v>
      </c>
      <c r="V33" s="4">
        <f t="shared" si="1"/>
        <v>38934744.72556664</v>
      </c>
      <c r="W33" s="271">
        <f t="shared" si="2"/>
        <v>288094381.08917224</v>
      </c>
    </row>
    <row r="34" spans="8:23" ht="13.8" thickBot="1" x14ac:dyDescent="0.3">
      <c r="H34" s="8" t="s">
        <v>372</v>
      </c>
      <c r="I34" s="66"/>
      <c r="J34" s="274">
        <v>0.10328604327896253</v>
      </c>
      <c r="K34" s="138">
        <v>3.5117254714847261</v>
      </c>
      <c r="O34">
        <v>7683</v>
      </c>
      <c r="P34" t="s">
        <v>409</v>
      </c>
      <c r="Q34" t="s">
        <v>438</v>
      </c>
      <c r="R34" s="4">
        <v>523563.576</v>
      </c>
      <c r="S34" s="4">
        <v>48603</v>
      </c>
      <c r="U34" s="270">
        <f t="shared" si="0"/>
        <v>61576521.5987904</v>
      </c>
      <c r="V34" s="4">
        <f t="shared" si="1"/>
        <v>9622209.2170601655</v>
      </c>
      <c r="W34" s="271">
        <f t="shared" si="2"/>
        <v>71198730.815850571</v>
      </c>
    </row>
    <row r="35" spans="8:23" ht="13.8" thickBot="1" x14ac:dyDescent="0.3">
      <c r="H35" s="116" t="s">
        <v>141</v>
      </c>
      <c r="I35" s="117"/>
      <c r="J35" s="117"/>
      <c r="K35" s="163">
        <v>219.28816547148475</v>
      </c>
      <c r="O35">
        <v>5337</v>
      </c>
      <c r="P35" t="s">
        <v>431</v>
      </c>
      <c r="Q35" t="s">
        <v>439</v>
      </c>
      <c r="R35" s="4">
        <v>3285523.6510000001</v>
      </c>
      <c r="S35" s="4">
        <v>262920.99900000001</v>
      </c>
      <c r="U35" s="270">
        <f t="shared" si="0"/>
        <v>386411750.80357039</v>
      </c>
      <c r="V35" s="4">
        <f t="shared" si="1"/>
        <v>60382344.010732651</v>
      </c>
      <c r="W35" s="271">
        <f t="shared" si="2"/>
        <v>446794094.81430304</v>
      </c>
    </row>
    <row r="36" spans="8:23" x14ac:dyDescent="0.25">
      <c r="O36">
        <v>9322</v>
      </c>
      <c r="P36" t="s">
        <v>410</v>
      </c>
      <c r="Q36" t="s">
        <v>440</v>
      </c>
      <c r="R36" s="4">
        <v>14301</v>
      </c>
      <c r="S36" s="4">
        <v>1087</v>
      </c>
      <c r="U36" s="270">
        <f t="shared" si="0"/>
        <v>1681946.3304000001</v>
      </c>
      <c r="V36" s="4">
        <f t="shared" si="1"/>
        <v>262828.08873850584</v>
      </c>
      <c r="W36" s="271">
        <f t="shared" si="2"/>
        <v>1944774.4191385061</v>
      </c>
    </row>
    <row r="37" spans="8:23" x14ac:dyDescent="0.25">
      <c r="O37">
        <v>7638</v>
      </c>
      <c r="P37" t="s">
        <v>409</v>
      </c>
      <c r="Q37" t="s">
        <v>441</v>
      </c>
      <c r="R37" s="4">
        <v>20499091.447000001</v>
      </c>
      <c r="S37" s="4">
        <v>1454664</v>
      </c>
      <c r="U37" s="270">
        <f t="shared" si="0"/>
        <v>2410906344.7182488</v>
      </c>
      <c r="V37" s="4">
        <f t="shared" si="1"/>
        <v>376738481.63700873</v>
      </c>
      <c r="W37" s="271">
        <f t="shared" si="2"/>
        <v>2787644826.3552575</v>
      </c>
    </row>
    <row r="38" spans="8:23" x14ac:dyDescent="0.25">
      <c r="O38">
        <v>7610</v>
      </c>
      <c r="P38" t="s">
        <v>409</v>
      </c>
      <c r="Q38" t="s">
        <v>360</v>
      </c>
      <c r="R38" s="4">
        <v>7038292.3660000004</v>
      </c>
      <c r="S38" s="4">
        <v>457474</v>
      </c>
      <c r="U38" s="270">
        <f t="shared" si="0"/>
        <v>827776380.48220646</v>
      </c>
      <c r="V38" s="4">
        <f t="shared" si="1"/>
        <v>129351858.64894736</v>
      </c>
      <c r="W38" s="271">
        <f t="shared" si="2"/>
        <v>957128239.13115382</v>
      </c>
    </row>
    <row r="39" spans="8:23" x14ac:dyDescent="0.25">
      <c r="R39" s="4"/>
      <c r="S39" s="4"/>
    </row>
    <row r="40" spans="8:23" x14ac:dyDescent="0.25">
      <c r="R40" s="4"/>
      <c r="S40" s="4"/>
    </row>
    <row r="41" spans="8:23" x14ac:dyDescent="0.25">
      <c r="R41" s="4"/>
      <c r="S41" s="4"/>
    </row>
    <row r="42" spans="8:23" x14ac:dyDescent="0.25">
      <c r="R42" s="4"/>
      <c r="S42" s="4"/>
    </row>
    <row r="43" spans="8:23" x14ac:dyDescent="0.25">
      <c r="R43" s="4"/>
      <c r="S43" s="4"/>
    </row>
    <row r="44" spans="8:23" x14ac:dyDescent="0.25">
      <c r="R44" s="4"/>
      <c r="S44" s="4"/>
    </row>
    <row r="45" spans="8:23" x14ac:dyDescent="0.25">
      <c r="R45" s="4"/>
      <c r="S45" s="4"/>
    </row>
    <row r="46" spans="8:23" x14ac:dyDescent="0.25">
      <c r="R46" s="4"/>
      <c r="S46" s="4"/>
    </row>
    <row r="47" spans="8:23" x14ac:dyDescent="0.25">
      <c r="R47" s="4"/>
      <c r="S47" s="4"/>
    </row>
    <row r="48" spans="8:23" x14ac:dyDescent="0.25">
      <c r="R48" s="4"/>
      <c r="S48" s="4"/>
    </row>
    <row r="49" spans="18:19" x14ac:dyDescent="0.25">
      <c r="R49" s="4"/>
      <c r="S49" s="4"/>
    </row>
    <row r="50" spans="18:19" x14ac:dyDescent="0.25">
      <c r="R50" s="4"/>
      <c r="S50" s="4"/>
    </row>
    <row r="51" spans="18:19" x14ac:dyDescent="0.25">
      <c r="R51" s="4"/>
      <c r="S51" s="4"/>
    </row>
    <row r="52" spans="18:19" x14ac:dyDescent="0.25">
      <c r="R52" s="4"/>
      <c r="S52" s="4"/>
    </row>
    <row r="53" spans="18:19" x14ac:dyDescent="0.25">
      <c r="R53" s="4"/>
      <c r="S53" s="4"/>
    </row>
    <row r="54" spans="18:19" x14ac:dyDescent="0.25">
      <c r="R54" s="4"/>
      <c r="S54" s="4"/>
    </row>
    <row r="55" spans="18:19" x14ac:dyDescent="0.25">
      <c r="R55" s="4"/>
      <c r="S55" s="4"/>
    </row>
    <row r="56" spans="18:19" x14ac:dyDescent="0.25">
      <c r="R56" s="4"/>
      <c r="S56" s="4"/>
    </row>
    <row r="57" spans="18:19" x14ac:dyDescent="0.25">
      <c r="R57" s="4"/>
      <c r="S57" s="4"/>
    </row>
    <row r="58" spans="18:19" x14ac:dyDescent="0.25">
      <c r="R58" s="4"/>
      <c r="S58" s="4"/>
    </row>
    <row r="59" spans="18:19" x14ac:dyDescent="0.25">
      <c r="R59" s="4"/>
      <c r="S59" s="4"/>
    </row>
    <row r="60" spans="18:19" x14ac:dyDescent="0.25">
      <c r="R60" s="4"/>
      <c r="S60" s="4"/>
    </row>
    <row r="61" spans="18:19" x14ac:dyDescent="0.25">
      <c r="R61" s="4"/>
      <c r="S61" s="4"/>
    </row>
    <row r="62" spans="18:19" x14ac:dyDescent="0.25">
      <c r="R62" s="4"/>
      <c r="S62" s="4"/>
    </row>
    <row r="63" spans="18:19" x14ac:dyDescent="0.25">
      <c r="R63" s="4"/>
      <c r="S63" s="4"/>
    </row>
    <row r="64" spans="18:19" x14ac:dyDescent="0.25">
      <c r="R64" s="4"/>
      <c r="S64" s="4"/>
    </row>
    <row r="65" spans="18:19" x14ac:dyDescent="0.25">
      <c r="R65" s="4"/>
      <c r="S65" s="4"/>
    </row>
    <row r="66" spans="18:19" x14ac:dyDescent="0.25">
      <c r="R66" s="4"/>
      <c r="S66" s="4"/>
    </row>
    <row r="67" spans="18:19" x14ac:dyDescent="0.25">
      <c r="R67" s="4"/>
      <c r="S67" s="4"/>
    </row>
    <row r="68" spans="18:19" x14ac:dyDescent="0.25">
      <c r="R68" s="4"/>
      <c r="S68" s="4"/>
    </row>
    <row r="69" spans="18:19" x14ac:dyDescent="0.25">
      <c r="R69" s="4"/>
      <c r="S69" s="4"/>
    </row>
    <row r="70" spans="18:19" x14ac:dyDescent="0.25">
      <c r="R70" s="4"/>
      <c r="S70" s="4"/>
    </row>
    <row r="71" spans="18:19" x14ac:dyDescent="0.25">
      <c r="R71" s="4"/>
      <c r="S71" s="4"/>
    </row>
    <row r="72" spans="18:19" x14ac:dyDescent="0.25">
      <c r="R72" s="4"/>
      <c r="S72" s="4"/>
    </row>
    <row r="73" spans="18:19" x14ac:dyDescent="0.25">
      <c r="R73" s="4"/>
      <c r="S73" s="4"/>
    </row>
    <row r="74" spans="18:19" x14ac:dyDescent="0.25">
      <c r="R74" s="4"/>
      <c r="S74" s="4"/>
    </row>
    <row r="75" spans="18:19" x14ac:dyDescent="0.25">
      <c r="R75" s="4"/>
      <c r="S75" s="4"/>
    </row>
    <row r="76" spans="18:19" x14ac:dyDescent="0.25">
      <c r="R76" s="4"/>
      <c r="S76" s="4"/>
    </row>
    <row r="77" spans="18:19" x14ac:dyDescent="0.25">
      <c r="R77" s="4"/>
      <c r="S77" s="4"/>
    </row>
    <row r="78" spans="18:19" x14ac:dyDescent="0.25">
      <c r="R78" s="4"/>
      <c r="S78" s="4"/>
    </row>
    <row r="79" spans="18:19" x14ac:dyDescent="0.25">
      <c r="R79" s="4"/>
      <c r="S79" s="4"/>
    </row>
    <row r="80" spans="18:19" x14ac:dyDescent="0.25">
      <c r="R80" s="4"/>
      <c r="S80" s="4"/>
    </row>
    <row r="81" spans="18:19" x14ac:dyDescent="0.25">
      <c r="R81" s="4"/>
      <c r="S81" s="4"/>
    </row>
    <row r="82" spans="18:19" x14ac:dyDescent="0.25">
      <c r="R82" s="4"/>
      <c r="S82" s="4"/>
    </row>
    <row r="83" spans="18:19" x14ac:dyDescent="0.25">
      <c r="R83" s="4"/>
      <c r="S83" s="4"/>
    </row>
    <row r="84" spans="18:19" x14ac:dyDescent="0.25">
      <c r="R84" s="4"/>
      <c r="S84" s="4"/>
    </row>
    <row r="85" spans="18:19" x14ac:dyDescent="0.25">
      <c r="R85" s="4"/>
      <c r="S85" s="4"/>
    </row>
    <row r="86" spans="18:19" x14ac:dyDescent="0.25">
      <c r="R86" s="4"/>
      <c r="S86" s="4"/>
    </row>
    <row r="87" spans="18:19" x14ac:dyDescent="0.25">
      <c r="R87" s="4"/>
      <c r="S87" s="4"/>
    </row>
    <row r="88" spans="18:19" x14ac:dyDescent="0.25">
      <c r="R88" s="4"/>
      <c r="S88" s="4"/>
    </row>
    <row r="89" spans="18:19" x14ac:dyDescent="0.25">
      <c r="R89" s="4"/>
      <c r="S89" s="4"/>
    </row>
    <row r="90" spans="18:19" x14ac:dyDescent="0.25">
      <c r="R90" s="4"/>
      <c r="S90" s="4"/>
    </row>
    <row r="91" spans="18:19" x14ac:dyDescent="0.25">
      <c r="R91" s="4"/>
      <c r="S91" s="4"/>
    </row>
    <row r="92" spans="18:19" x14ac:dyDescent="0.25">
      <c r="R92" s="4"/>
      <c r="S92" s="4"/>
    </row>
    <row r="93" spans="18:19" x14ac:dyDescent="0.25">
      <c r="R93" s="4"/>
      <c r="S93" s="4"/>
    </row>
    <row r="94" spans="18:19" x14ac:dyDescent="0.25">
      <c r="R94" s="4"/>
      <c r="S94" s="4"/>
    </row>
    <row r="95" spans="18:19" x14ac:dyDescent="0.25">
      <c r="R95" s="4"/>
      <c r="S95" s="4"/>
    </row>
    <row r="96" spans="18:19" x14ac:dyDescent="0.25">
      <c r="R96" s="4"/>
      <c r="S96" s="4"/>
    </row>
    <row r="97" spans="18:19" x14ac:dyDescent="0.25">
      <c r="R97" s="4"/>
      <c r="S97" s="4"/>
    </row>
    <row r="98" spans="18:19" x14ac:dyDescent="0.25">
      <c r="R98" s="4"/>
      <c r="S98" s="4"/>
    </row>
    <row r="99" spans="18:19" x14ac:dyDescent="0.25">
      <c r="R99" s="4"/>
      <c r="S99" s="4"/>
    </row>
    <row r="100" spans="18:19" x14ac:dyDescent="0.25">
      <c r="R100" s="4"/>
      <c r="S100" s="4"/>
    </row>
    <row r="101" spans="18:19" x14ac:dyDescent="0.25">
      <c r="R101" s="4"/>
      <c r="S101" s="4"/>
    </row>
    <row r="102" spans="18:19" x14ac:dyDescent="0.25">
      <c r="R102" s="4"/>
      <c r="S102" s="4"/>
    </row>
    <row r="103" spans="18:19" x14ac:dyDescent="0.25">
      <c r="R103" s="4"/>
      <c r="S103" s="4"/>
    </row>
    <row r="104" spans="18:19" x14ac:dyDescent="0.25">
      <c r="R104" s="4"/>
      <c r="S104" s="4"/>
    </row>
    <row r="105" spans="18:19" x14ac:dyDescent="0.25">
      <c r="R105" s="4"/>
      <c r="S105" s="4"/>
    </row>
    <row r="106" spans="18:19" x14ac:dyDescent="0.25">
      <c r="R106" s="4"/>
      <c r="S106" s="4"/>
    </row>
    <row r="107" spans="18:19" x14ac:dyDescent="0.25">
      <c r="R107" s="4"/>
      <c r="S107" s="4"/>
    </row>
    <row r="108" spans="18:19" x14ac:dyDescent="0.25">
      <c r="R108" s="4"/>
      <c r="S108" s="4"/>
    </row>
    <row r="109" spans="18:19" x14ac:dyDescent="0.25">
      <c r="R109" s="4"/>
      <c r="S109" s="4"/>
    </row>
    <row r="110" spans="18:19" x14ac:dyDescent="0.25">
      <c r="R110" s="4"/>
      <c r="S110" s="4"/>
    </row>
    <row r="111" spans="18:19" x14ac:dyDescent="0.25">
      <c r="R111" s="4"/>
      <c r="S111" s="4"/>
    </row>
    <row r="112" spans="18:19" x14ac:dyDescent="0.25">
      <c r="R112" s="4"/>
      <c r="S112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AB68-5D3F-4700-909C-474D3031184E}">
  <dimension ref="B1:AJ185"/>
  <sheetViews>
    <sheetView zoomScale="90" zoomScaleNormal="90" workbookViewId="0">
      <selection activeCell="G145" sqref="G145"/>
    </sheetView>
  </sheetViews>
  <sheetFormatPr defaultRowHeight="13.2" x14ac:dyDescent="0.25"/>
  <cols>
    <col min="2" max="2" width="3.77734375" customWidth="1"/>
    <col min="3" max="3" width="10.6640625" customWidth="1"/>
    <col min="4" max="4" width="2.6640625" bestFit="1" customWidth="1"/>
    <col min="5" max="5" width="41.33203125" customWidth="1"/>
    <col min="6" max="6" width="2.44140625" customWidth="1"/>
    <col min="7" max="7" width="14.21875" bestFit="1" customWidth="1"/>
    <col min="8" max="8" width="14.44140625" bestFit="1" customWidth="1"/>
    <col min="9" max="9" width="13.77734375" bestFit="1" customWidth="1"/>
    <col min="10" max="10" width="10.77734375" bestFit="1" customWidth="1"/>
    <col min="11" max="11" width="12.33203125" customWidth="1"/>
    <col min="12" max="14" width="3.33203125" customWidth="1"/>
    <col min="16" max="16" width="24.21875" customWidth="1"/>
    <col min="17" max="17" width="22.6640625" customWidth="1"/>
    <col min="18" max="18" width="25.44140625" customWidth="1"/>
    <col min="19" max="19" width="27.44140625" bestFit="1" customWidth="1"/>
    <col min="22" max="22" width="37.33203125" customWidth="1"/>
    <col min="23" max="23" width="7.88671875" bestFit="1" customWidth="1"/>
    <col min="24" max="25" width="7.5546875" bestFit="1" customWidth="1"/>
    <col min="26" max="26" width="17.21875" bestFit="1" customWidth="1"/>
    <col min="28" max="28" width="50.5546875" bestFit="1" customWidth="1"/>
    <col min="29" max="29" width="38.6640625" bestFit="1" customWidth="1"/>
    <col min="30" max="30" width="15.77734375" customWidth="1"/>
    <col min="31" max="31" width="12.44140625" customWidth="1"/>
    <col min="32" max="32" width="6.5546875" bestFit="1" customWidth="1"/>
  </cols>
  <sheetData>
    <row r="1" spans="4:32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4:32" x14ac:dyDescent="0.2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4:32" x14ac:dyDescent="0.2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4:32" x14ac:dyDescent="0.25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4:32" x14ac:dyDescent="0.2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AB5" s="5"/>
      <c r="AC5" s="5"/>
      <c r="AD5" s="129"/>
      <c r="AE5" s="129"/>
      <c r="AF5" s="129"/>
    </row>
    <row r="6" spans="4:32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AB6" s="5"/>
      <c r="AC6" s="5"/>
      <c r="AD6" s="129"/>
      <c r="AE6" s="129"/>
      <c r="AF6" s="129"/>
    </row>
    <row r="7" spans="4:32" x14ac:dyDescent="0.25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AB7" s="5"/>
      <c r="AC7" s="5"/>
      <c r="AD7" s="129"/>
      <c r="AE7" s="129"/>
      <c r="AF7" s="129"/>
    </row>
    <row r="8" spans="4:32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AB8" s="5"/>
      <c r="AC8" s="5"/>
      <c r="AD8" s="129"/>
      <c r="AE8" s="129"/>
      <c r="AF8" s="129"/>
    </row>
    <row r="9" spans="4:32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AB9" s="5"/>
      <c r="AC9" s="5"/>
      <c r="AD9" s="129"/>
      <c r="AE9" s="129"/>
      <c r="AF9" s="129"/>
    </row>
    <row r="10" spans="4:32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AB10" s="5"/>
      <c r="AC10" s="5"/>
      <c r="AD10" s="129"/>
      <c r="AE10" s="129"/>
      <c r="AF10" s="129"/>
    </row>
    <row r="11" spans="4:32" x14ac:dyDescent="0.2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B11" s="5"/>
      <c r="AC11" s="5"/>
      <c r="AD11" s="129"/>
      <c r="AE11" s="129"/>
      <c r="AF11" s="129"/>
    </row>
    <row r="12" spans="4:32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AB12" s="5"/>
      <c r="AC12" s="5"/>
      <c r="AD12" s="129"/>
      <c r="AE12" s="129"/>
      <c r="AF12" s="129"/>
    </row>
    <row r="13" spans="4:32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AB13" s="5"/>
      <c r="AC13" s="5"/>
      <c r="AD13" s="129"/>
      <c r="AE13" s="129"/>
      <c r="AF13" s="129"/>
    </row>
    <row r="14" spans="4:32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AB14" s="5"/>
      <c r="AC14" s="5"/>
      <c r="AD14" s="129"/>
      <c r="AE14" s="129"/>
      <c r="AF14" s="129"/>
    </row>
    <row r="15" spans="4:32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AB15" s="5"/>
      <c r="AC15" s="5"/>
      <c r="AD15" s="129"/>
      <c r="AE15" s="129"/>
      <c r="AF15" s="129"/>
    </row>
    <row r="16" spans="4:32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AB16" s="5"/>
      <c r="AC16" s="5"/>
      <c r="AD16" s="129"/>
      <c r="AE16" s="129"/>
      <c r="AF16" s="129"/>
    </row>
    <row r="17" spans="2:36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AB17" s="5"/>
      <c r="AC17" s="5"/>
      <c r="AD17" s="129"/>
      <c r="AE17" s="129"/>
      <c r="AF17" s="129"/>
    </row>
    <row r="18" spans="2:36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AB18" s="5"/>
      <c r="AC18" s="5"/>
      <c r="AD18" s="129"/>
      <c r="AE18" s="129"/>
      <c r="AF18" s="129"/>
    </row>
    <row r="19" spans="2:36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AB19" s="5"/>
      <c r="AC19" s="5"/>
      <c r="AD19" s="129"/>
      <c r="AE19" s="129"/>
      <c r="AF19" s="129"/>
    </row>
    <row r="20" spans="2:36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AB20" s="5"/>
      <c r="AC20" s="5"/>
      <c r="AD20" s="129"/>
      <c r="AE20" s="129"/>
      <c r="AF20" s="129"/>
    </row>
    <row r="21" spans="2:36" ht="13.8" thickBot="1" x14ac:dyDescent="0.3">
      <c r="B21" s="131"/>
      <c r="C21" s="131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"/>
      <c r="AB21" s="5"/>
      <c r="AC21" s="5"/>
      <c r="AD21" s="129"/>
      <c r="AE21" s="129"/>
      <c r="AF21" s="129"/>
    </row>
    <row r="22" spans="2:36" ht="55.8" thickBot="1" x14ac:dyDescent="0.3">
      <c r="B22" s="131"/>
      <c r="D22" s="1"/>
      <c r="E22" s="1"/>
      <c r="F22" s="1"/>
      <c r="G22" s="102" t="s">
        <v>9</v>
      </c>
      <c r="H22" s="102" t="s">
        <v>107</v>
      </c>
      <c r="I22" s="1"/>
      <c r="J22" s="1"/>
      <c r="K22" s="1"/>
      <c r="L22" s="133"/>
      <c r="M22" s="133"/>
      <c r="N22" s="132"/>
      <c r="O22" s="1"/>
      <c r="P22" s="13" t="s">
        <v>5</v>
      </c>
      <c r="Q22" s="14" t="s">
        <v>6</v>
      </c>
      <c r="R22" s="14" t="s">
        <v>7</v>
      </c>
      <c r="S22" s="15" t="s">
        <v>108</v>
      </c>
      <c r="T22" s="210"/>
      <c r="V22" s="139" t="s">
        <v>159</v>
      </c>
      <c r="W22" s="140" t="s">
        <v>160</v>
      </c>
      <c r="X22" s="140" t="s">
        <v>161</v>
      </c>
      <c r="Y22" s="140" t="s">
        <v>162</v>
      </c>
      <c r="Z22" s="207" t="s">
        <v>158</v>
      </c>
      <c r="AB22" s="49" t="s">
        <v>135</v>
      </c>
      <c r="AC22" s="51"/>
      <c r="AD22" s="39" t="s">
        <v>129</v>
      </c>
      <c r="AE22" s="39" t="s">
        <v>130</v>
      </c>
      <c r="AF22" s="148" t="s">
        <v>131</v>
      </c>
    </row>
    <row r="23" spans="2:36" ht="27.6" thickTop="1" thickBot="1" x14ac:dyDescent="0.3">
      <c r="B23" s="131"/>
      <c r="D23" s="135" t="s">
        <v>104</v>
      </c>
      <c r="E23" s="2" t="s">
        <v>145</v>
      </c>
      <c r="F23" s="2"/>
      <c r="G23" s="2">
        <v>1</v>
      </c>
      <c r="H23" s="103">
        <f>G23/R23</f>
        <v>0.96525096525096521</v>
      </c>
      <c r="I23" s="1"/>
      <c r="J23" s="1"/>
      <c r="K23" s="1"/>
      <c r="L23" s="133"/>
      <c r="M23" s="133"/>
      <c r="N23" s="132"/>
      <c r="O23" s="1"/>
      <c r="P23" s="11" t="s">
        <v>8</v>
      </c>
      <c r="Q23" s="8">
        <v>1</v>
      </c>
      <c r="R23" s="8">
        <v>1.036</v>
      </c>
      <c r="S23" s="45">
        <v>1.9175739000000001E-2</v>
      </c>
      <c r="V23" s="41" t="s">
        <v>156</v>
      </c>
      <c r="W23" s="137">
        <f>100*AD24/$Y$31</f>
        <v>2.8385647508289198</v>
      </c>
      <c r="X23" s="137">
        <f>100*AE24/$Y$31</f>
        <v>2.4728257727775964</v>
      </c>
      <c r="Y23" s="137">
        <f>100*AF24/$Y$31</f>
        <v>3.2903599590099666</v>
      </c>
      <c r="Z23" s="208">
        <f>Y23-X23</f>
        <v>0.81753418623237017</v>
      </c>
    </row>
    <row r="24" spans="2:36" ht="13.8" thickBot="1" x14ac:dyDescent="0.3">
      <c r="B24" s="131"/>
      <c r="D24" s="2"/>
      <c r="E24" s="2"/>
      <c r="F24" s="2"/>
      <c r="G24" s="2"/>
      <c r="H24" s="103"/>
      <c r="I24" s="1"/>
      <c r="J24" s="1"/>
      <c r="K24" s="1"/>
      <c r="L24" s="133"/>
      <c r="M24" s="133"/>
      <c r="N24" s="132"/>
      <c r="O24" s="1"/>
      <c r="V24" s="41" t="s">
        <v>257</v>
      </c>
      <c r="W24" s="137">
        <f t="shared" ref="W24:Y25" si="0">100*AD27/$X$31</f>
        <v>1.8202078362314227</v>
      </c>
      <c r="X24" s="137">
        <f t="shared" si="0"/>
        <v>1.4933928739591935</v>
      </c>
      <c r="Y24" s="137">
        <f t="shared" si="0"/>
        <v>2.1751591859840431</v>
      </c>
      <c r="Z24" s="208">
        <f>Y24-X24</f>
        <v>0.68176631202484961</v>
      </c>
      <c r="AB24" s="57" t="s">
        <v>128</v>
      </c>
      <c r="AC24" s="144" t="s">
        <v>163</v>
      </c>
      <c r="AD24" s="149">
        <v>13.194000000000001</v>
      </c>
      <c r="AE24" s="149">
        <v>11.494000000000002</v>
      </c>
      <c r="AF24" s="150">
        <v>15.294</v>
      </c>
    </row>
    <row r="25" spans="2:36" ht="53.4" thickBot="1" x14ac:dyDescent="0.3">
      <c r="B25" s="131"/>
      <c r="D25" s="2"/>
      <c r="E25" s="2"/>
      <c r="F25" s="2"/>
      <c r="G25" s="104" t="s">
        <v>120</v>
      </c>
      <c r="H25" s="105" t="s">
        <v>119</v>
      </c>
      <c r="I25" s="1"/>
      <c r="J25" s="1"/>
      <c r="K25" s="1"/>
      <c r="L25" s="133"/>
      <c r="M25" s="133"/>
      <c r="N25" s="132"/>
      <c r="O25" s="1"/>
      <c r="P25" s="106" t="s">
        <v>0</v>
      </c>
      <c r="Q25" s="107">
        <v>97</v>
      </c>
      <c r="V25" s="41" t="s">
        <v>258</v>
      </c>
      <c r="W25" s="137">
        <f t="shared" si="0"/>
        <v>1.432791424001429</v>
      </c>
      <c r="X25" s="137">
        <f t="shared" si="0"/>
        <v>1.2033716491613211</v>
      </c>
      <c r="Y25" s="137">
        <f t="shared" si="0"/>
        <v>1.6773615613309782</v>
      </c>
      <c r="Z25" s="208">
        <f>Y25-X25</f>
        <v>0.47398991216965713</v>
      </c>
      <c r="AB25" s="58" t="s">
        <v>127</v>
      </c>
      <c r="AC25" s="145"/>
      <c r="AD25" s="146"/>
      <c r="AE25" s="146"/>
      <c r="AF25" s="147"/>
      <c r="AH25" s="76"/>
      <c r="AI25" s="76"/>
      <c r="AJ25" s="76"/>
    </row>
    <row r="26" spans="2:36" ht="27.6" thickTop="1" thickBot="1" x14ac:dyDescent="0.3">
      <c r="B26" s="131"/>
      <c r="D26" s="136" t="s">
        <v>105</v>
      </c>
      <c r="E26" s="2" t="s">
        <v>146</v>
      </c>
      <c r="F26" s="1"/>
      <c r="G26" s="1">
        <f>Q25</f>
        <v>97</v>
      </c>
      <c r="H26" s="17">
        <f>(G26/100)*H23</f>
        <v>0.9362934362934362</v>
      </c>
      <c r="I26" s="1"/>
      <c r="J26" s="1"/>
      <c r="K26" s="1"/>
      <c r="L26" s="133"/>
      <c r="M26" s="133"/>
      <c r="N26" s="132"/>
      <c r="O26" s="1"/>
      <c r="V26" s="41" t="s">
        <v>157</v>
      </c>
      <c r="W26" s="137">
        <f>100*AD30/$Z$31</f>
        <v>1.6876274909429869</v>
      </c>
      <c r="X26" s="137">
        <f>100*AE30/$Z$31</f>
        <v>1.2905923177198411</v>
      </c>
      <c r="Y26" s="137">
        <f>100*AF30/$Z$31</f>
        <v>2.1839214574719192</v>
      </c>
      <c r="Z26" s="208">
        <f>Y26-X26</f>
        <v>0.89332913975207817</v>
      </c>
      <c r="AD26" s="76"/>
      <c r="AE26" s="76"/>
      <c r="AF26" s="76"/>
    </row>
    <row r="27" spans="2:36" ht="26.4" x14ac:dyDescent="0.25">
      <c r="B27" s="131"/>
      <c r="D27" s="1"/>
      <c r="E27" s="1"/>
      <c r="F27" s="1"/>
      <c r="G27" s="1"/>
      <c r="H27" s="1"/>
      <c r="I27" s="1"/>
      <c r="J27" s="1"/>
      <c r="K27" s="1"/>
      <c r="L27" s="133"/>
      <c r="M27" s="133"/>
      <c r="N27" s="132"/>
      <c r="O27" s="1"/>
      <c r="P27" s="13" t="s">
        <v>3</v>
      </c>
      <c r="Q27" s="14" t="s">
        <v>2</v>
      </c>
      <c r="R27" s="14" t="s">
        <v>4</v>
      </c>
      <c r="S27" s="16" t="s">
        <v>1</v>
      </c>
      <c r="V27" s="41" t="s">
        <v>275</v>
      </c>
      <c r="W27" s="137">
        <f>100*AE34/$W$31</f>
        <v>2.1638596041843905</v>
      </c>
      <c r="X27" s="205"/>
      <c r="Y27" s="205"/>
      <c r="Z27" s="209"/>
      <c r="AB27" s="192" t="s">
        <v>68</v>
      </c>
      <c r="AC27" s="193" t="s">
        <v>255</v>
      </c>
      <c r="AD27" s="196">
        <v>8.41</v>
      </c>
      <c r="AE27" s="196">
        <v>6.9</v>
      </c>
      <c r="AF27" s="197">
        <v>10.050000000000001</v>
      </c>
    </row>
    <row r="28" spans="2:36" ht="27" thickBot="1" x14ac:dyDescent="0.3">
      <c r="B28" s="131"/>
      <c r="D28" s="1"/>
      <c r="E28" s="1"/>
      <c r="F28" s="1"/>
      <c r="G28" s="102" t="s">
        <v>103</v>
      </c>
      <c r="H28" s="102" t="s">
        <v>111</v>
      </c>
      <c r="I28" s="102" t="s">
        <v>109</v>
      </c>
      <c r="J28" s="102" t="s">
        <v>110</v>
      </c>
      <c r="K28" s="1"/>
      <c r="L28" s="133"/>
      <c r="M28" s="133"/>
      <c r="N28" s="132"/>
      <c r="O28" s="1"/>
      <c r="P28" s="7">
        <v>1</v>
      </c>
      <c r="Q28" s="10">
        <v>1000000</v>
      </c>
      <c r="R28" s="8">
        <v>1.1023099999999999</v>
      </c>
      <c r="S28" s="9">
        <v>2204.62</v>
      </c>
      <c r="V28" s="43" t="s">
        <v>276</v>
      </c>
      <c r="W28" s="138">
        <f>100*AC34/$W$31</f>
        <v>1.5115749560714291</v>
      </c>
      <c r="X28" s="97"/>
      <c r="Y28" s="97"/>
      <c r="Z28" s="154"/>
      <c r="AB28" s="194" t="s">
        <v>72</v>
      </c>
      <c r="AC28" s="195" t="s">
        <v>256</v>
      </c>
      <c r="AD28" s="198">
        <v>6.62</v>
      </c>
      <c r="AE28" s="198">
        <v>5.56</v>
      </c>
      <c r="AF28" s="78">
        <v>7.75</v>
      </c>
    </row>
    <row r="29" spans="2:36" ht="30" thickTop="1" thickBot="1" x14ac:dyDescent="0.3">
      <c r="B29" s="131"/>
      <c r="D29" s="136" t="s">
        <v>106</v>
      </c>
      <c r="E29" s="2" t="s">
        <v>155</v>
      </c>
      <c r="F29" s="1"/>
      <c r="G29" s="17">
        <f>(H26/G23)*(S23/Q23)*(S28/P28)</f>
        <v>39.582008863662736</v>
      </c>
      <c r="H29" s="21">
        <f>(H26/G23)*(S23/Q23)*(Q28/P28)</f>
        <v>17954.11856177606</v>
      </c>
      <c r="I29" s="17">
        <f>G29*(G23/H23)</f>
        <v>41.006961182754594</v>
      </c>
      <c r="J29" s="21">
        <f>H29*(G23/H23)</f>
        <v>18600.466829999998</v>
      </c>
      <c r="K29" s="1"/>
      <c r="L29" s="133"/>
      <c r="M29" s="133"/>
      <c r="N29" s="132"/>
      <c r="O29" s="1"/>
      <c r="V29" s="235" t="s">
        <v>318</v>
      </c>
      <c r="W29" s="198">
        <f>'8-BC Related Studies'!N11</f>
        <v>0.76942624348100841</v>
      </c>
      <c r="X29" s="66"/>
      <c r="Y29" s="66"/>
      <c r="Z29" s="236"/>
      <c r="AE29" s="76"/>
      <c r="AF29" s="76"/>
      <c r="AG29" s="76"/>
    </row>
    <row r="30" spans="2:36" ht="40.200000000000003" thickBot="1" x14ac:dyDescent="0.3">
      <c r="B30" s="131"/>
      <c r="D30" s="1"/>
      <c r="E30" s="1"/>
      <c r="F30" s="1"/>
      <c r="G30" s="1"/>
      <c r="H30" s="1"/>
      <c r="I30" s="1"/>
      <c r="J30" s="1"/>
      <c r="K30" s="1"/>
      <c r="L30" s="133"/>
      <c r="M30" s="133"/>
      <c r="N30" s="132"/>
      <c r="O30" s="1"/>
      <c r="P30" s="81" t="s">
        <v>90</v>
      </c>
      <c r="Q30" s="82" t="s">
        <v>91</v>
      </c>
      <c r="R30" s="83" t="s">
        <v>92</v>
      </c>
      <c r="V30" s="143" t="s">
        <v>134</v>
      </c>
      <c r="W30" s="170">
        <v>2019</v>
      </c>
      <c r="X30" s="108">
        <v>2017</v>
      </c>
      <c r="Y30" s="108">
        <v>2015</v>
      </c>
      <c r="Z30" s="204">
        <v>2012</v>
      </c>
      <c r="AB30" s="59" t="s">
        <v>75</v>
      </c>
      <c r="AC30" s="144" t="s">
        <v>164</v>
      </c>
      <c r="AD30" s="149">
        <v>7.3490000000000002</v>
      </c>
      <c r="AE30" s="149">
        <v>5.6200571475779126</v>
      </c>
      <c r="AF30" s="150">
        <v>9.5101785655276103</v>
      </c>
    </row>
    <row r="31" spans="2:36" ht="67.2" thickTop="1" thickBot="1" x14ac:dyDescent="0.3">
      <c r="B31" s="131"/>
      <c r="D31" s="1"/>
      <c r="E31" s="1"/>
      <c r="F31" s="1"/>
      <c r="G31" s="102" t="s">
        <v>113</v>
      </c>
      <c r="H31" s="1"/>
      <c r="I31" s="238" t="s">
        <v>326</v>
      </c>
      <c r="J31" s="1"/>
      <c r="K31" s="1"/>
      <c r="L31" s="133"/>
      <c r="M31" s="133"/>
      <c r="N31" s="132"/>
      <c r="O31" s="1"/>
      <c r="P31" s="87"/>
      <c r="Q31" s="85" t="s">
        <v>96</v>
      </c>
      <c r="R31" s="88" t="s">
        <v>97</v>
      </c>
      <c r="V31" s="101" t="s">
        <v>133</v>
      </c>
      <c r="W31" s="141">
        <f>($AC37*1000*$J$29)/1000000000000</f>
        <v>525.78272536717247</v>
      </c>
      <c r="X31" s="141">
        <f>($AC38*1000*$J$29)/1000000000000</f>
        <v>462.035149645996</v>
      </c>
      <c r="Y31" s="141">
        <f>($AC39*1000*$J$29)/1000000000000</f>
        <v>464.81236674791649</v>
      </c>
      <c r="Z31" s="142">
        <f>($AC40*1000*$J$29)/1000000000000</f>
        <v>435.46339695459909</v>
      </c>
      <c r="AB31" s="60" t="s">
        <v>76</v>
      </c>
      <c r="AC31" s="145"/>
      <c r="AD31" s="146"/>
      <c r="AE31" s="146"/>
      <c r="AF31" s="147"/>
    </row>
    <row r="32" spans="2:36" ht="16.8" thickTop="1" thickBot="1" x14ac:dyDescent="0.3">
      <c r="B32" s="131"/>
      <c r="D32" s="136" t="s">
        <v>112</v>
      </c>
      <c r="E32" s="1" t="s">
        <v>147</v>
      </c>
      <c r="F32" s="1"/>
      <c r="G32" s="130">
        <f>I32</f>
        <v>1.3656160787348142</v>
      </c>
      <c r="H32" s="1"/>
      <c r="I32" s="80">
        <f>0.65*W29 + 0.35*X23</f>
        <v>1.3656160787348142</v>
      </c>
      <c r="J32" s="1"/>
      <c r="K32" s="1"/>
      <c r="L32" s="133"/>
      <c r="M32" s="133"/>
      <c r="N32" s="132"/>
      <c r="O32" s="1"/>
      <c r="P32" s="89" t="s">
        <v>98</v>
      </c>
      <c r="Q32" s="2">
        <v>1</v>
      </c>
      <c r="R32" s="91">
        <v>1</v>
      </c>
      <c r="AB32" s="114"/>
      <c r="AC32" s="110"/>
      <c r="AD32" s="76"/>
      <c r="AE32" s="76"/>
      <c r="AF32" s="76"/>
    </row>
    <row r="33" spans="2:31" ht="66" x14ac:dyDescent="0.25">
      <c r="B33" s="131"/>
      <c r="D33" s="1"/>
      <c r="E33" s="2" t="s">
        <v>148</v>
      </c>
      <c r="F33" s="1"/>
      <c r="G33" s="80"/>
      <c r="H33" s="1"/>
      <c r="I33" s="1"/>
      <c r="J33" s="1"/>
      <c r="K33" s="1"/>
      <c r="L33" s="133"/>
      <c r="M33" s="133"/>
      <c r="N33" s="132"/>
      <c r="O33" s="1"/>
      <c r="P33" s="89" t="s">
        <v>100</v>
      </c>
      <c r="Q33" s="2">
        <v>34</v>
      </c>
      <c r="R33" s="91">
        <v>86</v>
      </c>
      <c r="AB33" s="202" t="s">
        <v>267</v>
      </c>
      <c r="AC33" s="167" t="s">
        <v>277</v>
      </c>
      <c r="AD33" s="61" t="s">
        <v>273</v>
      </c>
      <c r="AE33" s="201" t="s">
        <v>274</v>
      </c>
    </row>
    <row r="34" spans="2:31" ht="79.8" thickBot="1" x14ac:dyDescent="0.3">
      <c r="B34" s="131"/>
      <c r="D34" s="1"/>
      <c r="E34" s="2" t="s">
        <v>149</v>
      </c>
      <c r="F34" s="1"/>
      <c r="G34" s="1"/>
      <c r="H34" s="1"/>
      <c r="I34" s="1"/>
      <c r="J34" s="1"/>
      <c r="K34" s="1"/>
      <c r="L34" s="133"/>
      <c r="M34" s="133"/>
      <c r="N34" s="132"/>
      <c r="O34" s="1"/>
      <c r="P34" s="92" t="s">
        <v>102</v>
      </c>
      <c r="Q34" s="95">
        <v>298</v>
      </c>
      <c r="R34" s="96">
        <v>268</v>
      </c>
      <c r="AB34" s="203" t="s">
        <v>268</v>
      </c>
      <c r="AC34" s="206">
        <f>'5-MethaneEmissionStudies'!AJ8/1000</f>
        <v>7.9476000000000004</v>
      </c>
      <c r="AD34" s="146">
        <f>'5-MethaneEmissionStudies'!AJ9/1000</f>
        <v>3.4295999999999998</v>
      </c>
      <c r="AE34" s="147">
        <f>AD34+AC34</f>
        <v>11.3772</v>
      </c>
    </row>
    <row r="35" spans="2:31" ht="13.8" thickBot="1" x14ac:dyDescent="0.3">
      <c r="B35" s="131"/>
      <c r="D35" s="1"/>
      <c r="E35" s="1"/>
      <c r="F35" s="1"/>
      <c r="G35" s="1"/>
      <c r="H35" s="1"/>
      <c r="I35" s="1"/>
      <c r="J35" s="1"/>
      <c r="K35" s="1"/>
      <c r="L35" s="133"/>
      <c r="M35" s="133"/>
      <c r="N35" s="132"/>
      <c r="O35" s="1"/>
    </row>
    <row r="36" spans="2:31" ht="53.4" thickBot="1" x14ac:dyDescent="0.3">
      <c r="B36" s="131"/>
      <c r="D36" s="1"/>
      <c r="E36" s="1"/>
      <c r="F36" s="1"/>
      <c r="G36" s="102" t="s">
        <v>115</v>
      </c>
      <c r="H36" s="102" t="s">
        <v>116</v>
      </c>
      <c r="I36" s="102" t="s">
        <v>121</v>
      </c>
      <c r="J36" s="102" t="s">
        <v>122</v>
      </c>
      <c r="K36" s="1"/>
      <c r="L36" s="133"/>
      <c r="M36" s="133"/>
      <c r="N36" s="132"/>
      <c r="O36" s="1"/>
      <c r="P36" s="84" t="s">
        <v>93</v>
      </c>
      <c r="Q36" s="85" t="s">
        <v>94</v>
      </c>
      <c r="R36" s="86" t="s">
        <v>95</v>
      </c>
      <c r="AB36" s="113" t="s">
        <v>165</v>
      </c>
      <c r="AC36" s="111" t="s">
        <v>132</v>
      </c>
    </row>
    <row r="37" spans="2:31" ht="16.2" thickTop="1" x14ac:dyDescent="0.25">
      <c r="B37" s="131"/>
      <c r="D37" s="136" t="s">
        <v>114</v>
      </c>
      <c r="E37" s="2" t="s">
        <v>150</v>
      </c>
      <c r="F37" s="1"/>
      <c r="G37" s="17">
        <f>(G32/100)*G29</f>
        <v>0.54053827732841764</v>
      </c>
      <c r="H37" s="17">
        <f>(G32/100)*I29</f>
        <v>0.55999765531224066</v>
      </c>
      <c r="I37" s="17">
        <f>(G32/100)*H29</f>
        <v>245.18432987472565</v>
      </c>
      <c r="J37" s="17">
        <f>(G32/100)*J29</f>
        <v>254.01096575021577</v>
      </c>
      <c r="K37" s="1"/>
      <c r="L37" s="133"/>
      <c r="M37" s="133"/>
      <c r="N37" s="132"/>
      <c r="O37" s="1"/>
      <c r="P37" s="89" t="s">
        <v>98</v>
      </c>
      <c r="Q37" s="1">
        <v>5.8439999999999999E-2</v>
      </c>
      <c r="R37" s="90" t="s">
        <v>99</v>
      </c>
      <c r="AB37" s="41">
        <v>2019</v>
      </c>
      <c r="AC37" s="187">
        <v>28267179</v>
      </c>
    </row>
    <row r="38" spans="2:31" ht="39.6" x14ac:dyDescent="0.25">
      <c r="B38" s="131"/>
      <c r="D38" s="1"/>
      <c r="E38" s="2" t="s">
        <v>151</v>
      </c>
      <c r="F38" s="1"/>
      <c r="G38" s="1"/>
      <c r="H38" s="1"/>
      <c r="I38" s="1"/>
      <c r="J38" s="1"/>
      <c r="K38" s="1"/>
      <c r="L38" s="133"/>
      <c r="M38" s="133"/>
      <c r="N38" s="132"/>
      <c r="O38" s="1"/>
      <c r="P38" s="89" t="s">
        <v>100</v>
      </c>
      <c r="Q38" s="1">
        <v>2.2000000000000001E-3</v>
      </c>
      <c r="R38" s="90" t="s">
        <v>101</v>
      </c>
      <c r="AB38" s="41">
        <v>2017</v>
      </c>
      <c r="AC38" s="187">
        <v>24839976</v>
      </c>
    </row>
    <row r="39" spans="2:31" ht="16.2" thickBot="1" x14ac:dyDescent="0.3">
      <c r="B39" s="131"/>
      <c r="D39" s="1"/>
      <c r="E39" s="1"/>
      <c r="F39" s="1"/>
      <c r="G39" s="1"/>
      <c r="H39" s="1"/>
      <c r="I39" s="1"/>
      <c r="J39" s="1"/>
      <c r="K39" s="1"/>
      <c r="L39" s="133"/>
      <c r="M39" s="133"/>
      <c r="N39" s="132"/>
      <c r="O39" s="1"/>
      <c r="P39" s="92" t="s">
        <v>102</v>
      </c>
      <c r="Q39" s="93">
        <v>2.2000000000000001E-3</v>
      </c>
      <c r="R39" s="94" t="s">
        <v>101</v>
      </c>
      <c r="AB39" s="41">
        <v>2015</v>
      </c>
      <c r="AC39" s="112">
        <v>24989285</v>
      </c>
    </row>
    <row r="40" spans="2:31" ht="16.2" thickBot="1" x14ac:dyDescent="0.3">
      <c r="B40" s="131"/>
      <c r="D40" s="1"/>
      <c r="E40" s="1"/>
      <c r="F40" s="1"/>
      <c r="G40" s="102" t="s">
        <v>123</v>
      </c>
      <c r="H40" s="102" t="s">
        <v>124</v>
      </c>
      <c r="I40" s="102" t="s">
        <v>125</v>
      </c>
      <c r="J40" s="102" t="s">
        <v>126</v>
      </c>
      <c r="K40" s="1"/>
      <c r="L40" s="133"/>
      <c r="M40" s="133"/>
      <c r="N40" s="132"/>
      <c r="O40" s="1"/>
      <c r="AB40" s="43">
        <v>2012</v>
      </c>
      <c r="AC40" s="20">
        <v>23411423</v>
      </c>
    </row>
    <row r="41" spans="2:31" ht="29.4" thickTop="1" x14ac:dyDescent="0.25">
      <c r="B41" s="131"/>
      <c r="D41" s="136" t="s">
        <v>117</v>
      </c>
      <c r="E41" s="2" t="s">
        <v>152</v>
      </c>
      <c r="F41" s="1"/>
      <c r="G41" s="22">
        <f>G37*$Q$33</f>
        <v>18.3783014291662</v>
      </c>
      <c r="H41" s="22">
        <f>H37*$Q$33</f>
        <v>19.039920280616183</v>
      </c>
      <c r="I41" s="21">
        <f>I37*$Q$33</f>
        <v>8336.2672157406723</v>
      </c>
      <c r="J41" s="21">
        <f>J37*$Q$33</f>
        <v>8636.3728355073363</v>
      </c>
      <c r="K41" s="1"/>
      <c r="L41" s="133"/>
      <c r="M41" s="133"/>
      <c r="N41" s="132"/>
      <c r="O41" s="1"/>
    </row>
    <row r="42" spans="2:31" x14ac:dyDescent="0.25">
      <c r="B42" s="131"/>
      <c r="D42" s="1"/>
      <c r="E42" s="2" t="s">
        <v>153</v>
      </c>
      <c r="F42" s="1"/>
      <c r="G42" s="1"/>
      <c r="H42" s="1"/>
      <c r="I42" s="1"/>
      <c r="J42" s="1"/>
      <c r="K42" s="1"/>
      <c r="L42" s="133"/>
      <c r="M42" s="133"/>
      <c r="N42" s="132"/>
      <c r="O42" s="1"/>
    </row>
    <row r="43" spans="2:31" x14ac:dyDescent="0.25">
      <c r="B43" s="131"/>
      <c r="D43" s="1"/>
      <c r="E43" s="1"/>
      <c r="F43" s="1"/>
      <c r="G43" s="1"/>
      <c r="H43" s="1"/>
      <c r="I43" s="1"/>
      <c r="J43" s="1"/>
      <c r="K43" s="1"/>
      <c r="L43" s="133"/>
      <c r="M43" s="133"/>
      <c r="N43" s="132"/>
      <c r="O43" s="1"/>
    </row>
    <row r="44" spans="2:31" ht="42.6" thickBot="1" x14ac:dyDescent="0.4">
      <c r="B44" s="131"/>
      <c r="D44" s="136" t="s">
        <v>136</v>
      </c>
      <c r="E44" s="114" t="s">
        <v>154</v>
      </c>
      <c r="G44" s="102" t="s">
        <v>139</v>
      </c>
      <c r="H44" s="102" t="s">
        <v>123</v>
      </c>
      <c r="L44" s="134"/>
      <c r="M44" s="134"/>
      <c r="N44" s="131"/>
      <c r="AD44" s="4"/>
    </row>
    <row r="45" spans="2:31" ht="13.8" thickTop="1" x14ac:dyDescent="0.25">
      <c r="B45" s="131"/>
      <c r="E45" s="115" t="s">
        <v>137</v>
      </c>
      <c r="L45" s="134"/>
      <c r="M45" s="134"/>
      <c r="N45" s="131"/>
    </row>
    <row r="46" spans="2:31" ht="15.6" x14ac:dyDescent="0.25">
      <c r="B46" s="131"/>
      <c r="E46" s="98" t="s">
        <v>98</v>
      </c>
      <c r="G46" s="115">
        <f>Q37*2000</f>
        <v>116.88</v>
      </c>
      <c r="H46" s="1">
        <f>G46*Q32</f>
        <v>116.88</v>
      </c>
      <c r="L46" s="134"/>
      <c r="M46" s="134"/>
      <c r="N46" s="131"/>
    </row>
    <row r="47" spans="2:31" ht="15.6" x14ac:dyDescent="0.25">
      <c r="B47" s="131"/>
      <c r="E47" s="98" t="s">
        <v>100</v>
      </c>
      <c r="G47" s="115">
        <f>Q38</f>
        <v>2.2000000000000001E-3</v>
      </c>
      <c r="H47" s="1">
        <f>G47*Q33</f>
        <v>7.4800000000000005E-2</v>
      </c>
      <c r="L47" s="134"/>
      <c r="M47" s="134"/>
      <c r="N47" s="131"/>
    </row>
    <row r="48" spans="2:31" ht="15.6" x14ac:dyDescent="0.25">
      <c r="B48" s="131"/>
      <c r="E48" s="98" t="s">
        <v>102</v>
      </c>
      <c r="G48" s="115">
        <f>Q39</f>
        <v>2.2000000000000001E-3</v>
      </c>
      <c r="H48" s="1">
        <f>G48*Q34</f>
        <v>0.65560000000000007</v>
      </c>
      <c r="L48" s="134"/>
      <c r="M48" s="134"/>
      <c r="N48" s="131"/>
    </row>
    <row r="49" spans="2:16" ht="13.8" thickBot="1" x14ac:dyDescent="0.3">
      <c r="B49" s="131"/>
      <c r="E49" s="119" t="s">
        <v>140</v>
      </c>
      <c r="F49" s="120"/>
      <c r="G49" s="120"/>
      <c r="H49" s="121">
        <f>SUM(H46:H48)</f>
        <v>117.6104</v>
      </c>
      <c r="L49" s="134"/>
      <c r="M49" s="134"/>
      <c r="N49" s="131"/>
    </row>
    <row r="50" spans="2:16" x14ac:dyDescent="0.25">
      <c r="B50" s="131"/>
      <c r="E50" s="115" t="s">
        <v>138</v>
      </c>
      <c r="H50" s="1"/>
      <c r="L50" s="134"/>
      <c r="M50" s="134"/>
      <c r="N50" s="131"/>
    </row>
    <row r="51" spans="2:16" ht="16.2" thickBot="1" x14ac:dyDescent="0.3">
      <c r="B51" s="131"/>
      <c r="E51" s="122" t="s">
        <v>100</v>
      </c>
      <c r="F51" s="120"/>
      <c r="G51" s="123">
        <f>G37</f>
        <v>0.54053827732841764</v>
      </c>
      <c r="H51" s="124">
        <f>G51*Q33</f>
        <v>18.3783014291662</v>
      </c>
      <c r="L51" s="134"/>
      <c r="M51" s="134"/>
      <c r="N51" s="131"/>
    </row>
    <row r="52" spans="2:16" ht="13.8" thickBot="1" x14ac:dyDescent="0.3">
      <c r="B52" s="131"/>
      <c r="E52" s="116" t="s">
        <v>141</v>
      </c>
      <c r="F52" s="117"/>
      <c r="G52" s="117"/>
      <c r="H52" s="118">
        <f>H51+H49</f>
        <v>135.98870142916621</v>
      </c>
      <c r="L52" s="134"/>
      <c r="M52" s="134"/>
      <c r="N52" s="131"/>
    </row>
    <row r="53" spans="2:16" x14ac:dyDescent="0.25">
      <c r="B53" s="131"/>
      <c r="L53" s="134"/>
      <c r="M53" s="134"/>
      <c r="N53" s="131"/>
    </row>
    <row r="54" spans="2:16" ht="53.4" thickBot="1" x14ac:dyDescent="0.4">
      <c r="B54" s="131"/>
      <c r="D54" s="136" t="s">
        <v>142</v>
      </c>
      <c r="E54" s="3" t="s">
        <v>143</v>
      </c>
      <c r="G54" s="102" t="s">
        <v>115</v>
      </c>
      <c r="H54" s="102" t="s">
        <v>123</v>
      </c>
      <c r="I54" s="102" t="s">
        <v>121</v>
      </c>
      <c r="K54" s="248" t="s">
        <v>353</v>
      </c>
      <c r="L54" s="134"/>
      <c r="M54" s="134"/>
      <c r="N54" s="131"/>
      <c r="P54" s="2"/>
    </row>
    <row r="55" spans="2:16" ht="40.200000000000003" thickTop="1" x14ac:dyDescent="0.25">
      <c r="B55" s="131"/>
      <c r="E55" s="2" t="s">
        <v>118</v>
      </c>
      <c r="G55" s="125"/>
      <c r="H55" s="125"/>
      <c r="L55" s="134"/>
      <c r="M55" s="134"/>
      <c r="N55" s="131"/>
      <c r="P55" s="2"/>
    </row>
    <row r="56" spans="2:16" ht="15.6" x14ac:dyDescent="0.25">
      <c r="B56" s="131"/>
      <c r="E56" s="126" t="s">
        <v>144</v>
      </c>
      <c r="L56" s="134"/>
      <c r="M56" s="134"/>
      <c r="N56" s="131"/>
    </row>
    <row r="57" spans="2:16" x14ac:dyDescent="0.25">
      <c r="B57" s="131"/>
      <c r="E57" s="1">
        <v>0</v>
      </c>
      <c r="G57" s="127">
        <f>(E57/100)*$G$29</f>
        <v>0</v>
      </c>
      <c r="H57" s="17">
        <f>G57*$Q$33</f>
        <v>0</v>
      </c>
      <c r="I57" s="127">
        <f>(E57/100)*$H$29</f>
        <v>0</v>
      </c>
      <c r="K57" s="249">
        <f>100*($H57/$H$49)</f>
        <v>0</v>
      </c>
      <c r="L57" s="134"/>
      <c r="M57" s="134"/>
      <c r="N57" s="131"/>
    </row>
    <row r="58" spans="2:16" x14ac:dyDescent="0.25">
      <c r="B58" s="131"/>
      <c r="E58" s="1">
        <v>0.05</v>
      </c>
      <c r="G58" s="127">
        <f t="shared" ref="G58:G121" si="1">(E58/100)*$G$29</f>
        <v>1.9791004431831367E-2</v>
      </c>
      <c r="H58" s="17">
        <f t="shared" ref="H58:H121" si="2">G58*$Q$33</f>
        <v>0.67289415068226643</v>
      </c>
      <c r="I58" s="127">
        <f t="shared" ref="I58:I121" si="3">(E58/100)*$H$29</f>
        <v>8.9770592808880298</v>
      </c>
      <c r="K58" s="249">
        <f t="shared" ref="K58:K121" si="4">100*($H58/$H$49)</f>
        <v>0.57213830637619334</v>
      </c>
      <c r="L58" s="134"/>
      <c r="M58" s="134"/>
      <c r="N58" s="131"/>
    </row>
    <row r="59" spans="2:16" x14ac:dyDescent="0.25">
      <c r="B59" s="131"/>
      <c r="E59" s="1">
        <v>0.1</v>
      </c>
      <c r="G59" s="127">
        <f t="shared" si="1"/>
        <v>3.9582008863662733E-2</v>
      </c>
      <c r="H59" s="17">
        <f t="shared" si="2"/>
        <v>1.3457883013645329</v>
      </c>
      <c r="I59" s="127">
        <f t="shared" si="3"/>
        <v>17.95411856177606</v>
      </c>
      <c r="K59" s="249">
        <f t="shared" si="4"/>
        <v>1.1442766127523867</v>
      </c>
      <c r="L59" s="134"/>
      <c r="M59" s="134"/>
      <c r="N59" s="131"/>
    </row>
    <row r="60" spans="2:16" x14ac:dyDescent="0.25">
      <c r="B60" s="131"/>
      <c r="E60" s="1">
        <v>0.15</v>
      </c>
      <c r="G60" s="127">
        <f t="shared" si="1"/>
        <v>5.9373013295494104E-2</v>
      </c>
      <c r="H60" s="17">
        <f t="shared" si="2"/>
        <v>2.0186824520467996</v>
      </c>
      <c r="I60" s="127">
        <f t="shared" si="3"/>
        <v>26.931177842664091</v>
      </c>
      <c r="K60" s="249">
        <f t="shared" si="4"/>
        <v>1.7164149191285802</v>
      </c>
      <c r="L60" s="134"/>
      <c r="M60" s="134"/>
      <c r="N60" s="131"/>
    </row>
    <row r="61" spans="2:16" x14ac:dyDescent="0.25">
      <c r="B61" s="131"/>
      <c r="E61" s="1">
        <v>0.2</v>
      </c>
      <c r="G61" s="127">
        <f t="shared" si="1"/>
        <v>7.9164017727325467E-2</v>
      </c>
      <c r="H61" s="17">
        <f t="shared" si="2"/>
        <v>2.6915766027290657</v>
      </c>
      <c r="I61" s="127">
        <f t="shared" si="3"/>
        <v>35.908237123552119</v>
      </c>
      <c r="K61" s="249">
        <f t="shared" si="4"/>
        <v>2.2885532255047734</v>
      </c>
      <c r="L61" s="134"/>
      <c r="M61" s="134"/>
      <c r="N61" s="131"/>
    </row>
    <row r="62" spans="2:16" x14ac:dyDescent="0.25">
      <c r="B62" s="131"/>
      <c r="E62" s="1">
        <v>0.25</v>
      </c>
      <c r="G62" s="127">
        <f t="shared" si="1"/>
        <v>9.8955022159156844E-2</v>
      </c>
      <c r="H62" s="17">
        <f t="shared" si="2"/>
        <v>3.3644707534113327</v>
      </c>
      <c r="I62" s="127">
        <f t="shared" si="3"/>
        <v>44.885296404440155</v>
      </c>
      <c r="K62" s="249">
        <f t="shared" si="4"/>
        <v>2.8606915318809669</v>
      </c>
      <c r="L62" s="134"/>
      <c r="M62" s="134"/>
      <c r="N62" s="131"/>
    </row>
    <row r="63" spans="2:16" x14ac:dyDescent="0.25">
      <c r="B63" s="131"/>
      <c r="E63" s="1">
        <v>0.3</v>
      </c>
      <c r="G63" s="127">
        <f t="shared" si="1"/>
        <v>0.11874602659098821</v>
      </c>
      <c r="H63" s="17">
        <f t="shared" si="2"/>
        <v>4.0373649040935993</v>
      </c>
      <c r="I63" s="127">
        <f t="shared" si="3"/>
        <v>53.862355685328183</v>
      </c>
      <c r="K63" s="249">
        <f t="shared" si="4"/>
        <v>3.4328298382571605</v>
      </c>
      <c r="L63" s="134"/>
      <c r="M63" s="134"/>
      <c r="N63" s="131"/>
    </row>
    <row r="64" spans="2:16" x14ac:dyDescent="0.25">
      <c r="B64" s="131"/>
      <c r="E64" s="1">
        <v>0.35</v>
      </c>
      <c r="G64" s="127">
        <f t="shared" si="1"/>
        <v>0.13853703102281956</v>
      </c>
      <c r="H64" s="17">
        <f t="shared" si="2"/>
        <v>4.7102590547758645</v>
      </c>
      <c r="I64" s="127">
        <f t="shared" si="3"/>
        <v>62.839414966216204</v>
      </c>
      <c r="K64" s="249">
        <f t="shared" si="4"/>
        <v>4.0049681446333532</v>
      </c>
      <c r="L64" s="134"/>
      <c r="M64" s="134"/>
      <c r="N64" s="131"/>
    </row>
    <row r="65" spans="2:14" x14ac:dyDescent="0.25">
      <c r="B65" s="131"/>
      <c r="E65" s="1">
        <v>0.4</v>
      </c>
      <c r="G65" s="127">
        <f t="shared" si="1"/>
        <v>0.15832803545465093</v>
      </c>
      <c r="H65" s="17">
        <f t="shared" si="2"/>
        <v>5.3831532054581315</v>
      </c>
      <c r="I65" s="127">
        <f t="shared" si="3"/>
        <v>71.816474247104239</v>
      </c>
      <c r="K65" s="249">
        <f t="shared" si="4"/>
        <v>4.5771064510095467</v>
      </c>
      <c r="L65" s="134"/>
      <c r="M65" s="134"/>
      <c r="N65" s="131"/>
    </row>
    <row r="66" spans="2:14" x14ac:dyDescent="0.25">
      <c r="B66" s="131"/>
      <c r="E66" s="1">
        <v>0.45</v>
      </c>
      <c r="G66" s="127">
        <f t="shared" si="1"/>
        <v>0.17811903988648234</v>
      </c>
      <c r="H66" s="17">
        <f t="shared" si="2"/>
        <v>6.0560473561403994</v>
      </c>
      <c r="I66" s="127">
        <f t="shared" si="3"/>
        <v>80.793533527992281</v>
      </c>
      <c r="K66" s="249">
        <f t="shared" si="4"/>
        <v>5.1492447573857412</v>
      </c>
      <c r="L66" s="134"/>
      <c r="M66" s="134"/>
      <c r="N66" s="131"/>
    </row>
    <row r="67" spans="2:14" x14ac:dyDescent="0.25">
      <c r="B67" s="131"/>
      <c r="E67" s="1">
        <v>0.5</v>
      </c>
      <c r="G67" s="127">
        <f t="shared" si="1"/>
        <v>0.19791004431831369</v>
      </c>
      <c r="H67" s="17">
        <f t="shared" si="2"/>
        <v>6.7289415068226655</v>
      </c>
      <c r="I67" s="127">
        <f t="shared" si="3"/>
        <v>89.770592808880309</v>
      </c>
      <c r="K67" s="249">
        <f t="shared" si="4"/>
        <v>5.7213830637619338</v>
      </c>
      <c r="L67" s="134"/>
      <c r="M67" s="134"/>
      <c r="N67" s="131"/>
    </row>
    <row r="68" spans="2:14" x14ac:dyDescent="0.25">
      <c r="B68" s="131"/>
      <c r="E68" s="1">
        <v>0.55000000000000004</v>
      </c>
      <c r="G68" s="127">
        <f t="shared" si="1"/>
        <v>0.21770104875014507</v>
      </c>
      <c r="H68" s="17">
        <f t="shared" si="2"/>
        <v>7.4018356575049324</v>
      </c>
      <c r="I68" s="127">
        <f t="shared" si="3"/>
        <v>98.747652089768337</v>
      </c>
      <c r="K68" s="249">
        <f t="shared" si="4"/>
        <v>6.2935213701381274</v>
      </c>
      <c r="L68" s="134"/>
      <c r="M68" s="134"/>
      <c r="N68" s="131"/>
    </row>
    <row r="69" spans="2:14" x14ac:dyDescent="0.25">
      <c r="B69" s="131"/>
      <c r="E69" s="1">
        <v>0.6</v>
      </c>
      <c r="G69" s="127">
        <f t="shared" si="1"/>
        <v>0.23749205318197641</v>
      </c>
      <c r="H69" s="17">
        <f t="shared" si="2"/>
        <v>8.0747298081871985</v>
      </c>
      <c r="I69" s="127">
        <f t="shared" si="3"/>
        <v>107.72471137065637</v>
      </c>
      <c r="K69" s="249">
        <f t="shared" si="4"/>
        <v>6.865659676514321</v>
      </c>
      <c r="N69" s="131"/>
    </row>
    <row r="70" spans="2:14" x14ac:dyDescent="0.25">
      <c r="B70" s="131"/>
      <c r="E70" s="1">
        <v>0.65</v>
      </c>
      <c r="G70" s="127">
        <f t="shared" si="1"/>
        <v>0.25728305761380782</v>
      </c>
      <c r="H70" s="17">
        <f t="shared" si="2"/>
        <v>8.7476239588694664</v>
      </c>
      <c r="I70" s="127">
        <f t="shared" si="3"/>
        <v>116.70177065154441</v>
      </c>
      <c r="K70" s="249">
        <f t="shared" si="4"/>
        <v>7.4377979828905154</v>
      </c>
      <c r="N70" s="131"/>
    </row>
    <row r="71" spans="2:14" x14ac:dyDescent="0.25">
      <c r="B71" s="131"/>
      <c r="E71" s="1">
        <v>0.7</v>
      </c>
      <c r="G71" s="127">
        <f t="shared" si="1"/>
        <v>0.27707406204563911</v>
      </c>
      <c r="H71" s="17">
        <f t="shared" si="2"/>
        <v>9.420518109551729</v>
      </c>
      <c r="I71" s="127">
        <f t="shared" si="3"/>
        <v>125.67882993243241</v>
      </c>
      <c r="K71" s="249">
        <f t="shared" si="4"/>
        <v>8.0099362892667063</v>
      </c>
      <c r="N71" s="131"/>
    </row>
    <row r="72" spans="2:14" x14ac:dyDescent="0.25">
      <c r="B72" s="131"/>
      <c r="E72" s="1">
        <v>0.75</v>
      </c>
      <c r="G72" s="127">
        <f t="shared" si="1"/>
        <v>0.29686506647747052</v>
      </c>
      <c r="H72" s="17">
        <f t="shared" si="2"/>
        <v>10.093412260233997</v>
      </c>
      <c r="I72" s="127">
        <f t="shared" si="3"/>
        <v>134.65588921332045</v>
      </c>
      <c r="K72" s="249">
        <f t="shared" si="4"/>
        <v>8.582074595642899</v>
      </c>
      <c r="N72" s="131"/>
    </row>
    <row r="73" spans="2:14" x14ac:dyDescent="0.25">
      <c r="B73" s="131"/>
      <c r="E73" s="1">
        <v>0.8</v>
      </c>
      <c r="G73" s="127">
        <f t="shared" si="1"/>
        <v>0.31665607090930187</v>
      </c>
      <c r="H73" s="17">
        <f t="shared" si="2"/>
        <v>10.766306410916263</v>
      </c>
      <c r="I73" s="127">
        <f t="shared" si="3"/>
        <v>143.63294849420848</v>
      </c>
      <c r="K73" s="249">
        <f t="shared" si="4"/>
        <v>9.1542129020190934</v>
      </c>
      <c r="N73" s="131"/>
    </row>
    <row r="74" spans="2:14" x14ac:dyDescent="0.25">
      <c r="B74" s="131"/>
      <c r="E74" s="1">
        <v>0.85</v>
      </c>
      <c r="G74" s="127">
        <f t="shared" si="1"/>
        <v>0.33644707534113327</v>
      </c>
      <c r="H74" s="17">
        <f t="shared" si="2"/>
        <v>11.439200561598531</v>
      </c>
      <c r="I74" s="127">
        <f t="shared" si="3"/>
        <v>152.61000777509653</v>
      </c>
      <c r="K74" s="249">
        <f t="shared" si="4"/>
        <v>9.7263512083952861</v>
      </c>
      <c r="N74" s="131"/>
    </row>
    <row r="75" spans="2:14" x14ac:dyDescent="0.25">
      <c r="B75" s="131"/>
      <c r="E75" s="1">
        <v>0.9</v>
      </c>
      <c r="G75" s="127">
        <f t="shared" si="1"/>
        <v>0.35623807977296468</v>
      </c>
      <c r="H75" s="17">
        <f t="shared" si="2"/>
        <v>12.112094712280799</v>
      </c>
      <c r="I75" s="127">
        <f t="shared" si="3"/>
        <v>161.58706705598456</v>
      </c>
      <c r="K75" s="249">
        <f t="shared" si="4"/>
        <v>10.298489514771482</v>
      </c>
      <c r="N75" s="131"/>
    </row>
    <row r="76" spans="2:14" x14ac:dyDescent="0.25">
      <c r="B76" s="131"/>
      <c r="E76" s="1">
        <v>0.95</v>
      </c>
      <c r="G76" s="127">
        <f t="shared" si="1"/>
        <v>0.37602908420479597</v>
      </c>
      <c r="H76" s="17">
        <f t="shared" si="2"/>
        <v>12.784988862963063</v>
      </c>
      <c r="I76" s="127">
        <f t="shared" si="3"/>
        <v>170.56412633687256</v>
      </c>
      <c r="K76" s="249">
        <f t="shared" si="4"/>
        <v>10.870627821147673</v>
      </c>
      <c r="N76" s="131"/>
    </row>
    <row r="77" spans="2:14" x14ac:dyDescent="0.25">
      <c r="B77" s="131"/>
      <c r="E77" s="1">
        <v>1</v>
      </c>
      <c r="G77" s="127">
        <f t="shared" si="1"/>
        <v>0.39582008863662738</v>
      </c>
      <c r="H77" s="17">
        <f t="shared" si="2"/>
        <v>13.457883013645331</v>
      </c>
      <c r="I77" s="127">
        <f t="shared" si="3"/>
        <v>179.54118561776062</v>
      </c>
      <c r="K77" s="249">
        <f t="shared" si="4"/>
        <v>11.442766127523868</v>
      </c>
      <c r="N77" s="131"/>
    </row>
    <row r="78" spans="2:14" x14ac:dyDescent="0.25">
      <c r="B78" s="131"/>
      <c r="E78" s="1">
        <v>1.05</v>
      </c>
      <c r="G78" s="127">
        <f t="shared" si="1"/>
        <v>0.41561109306845878</v>
      </c>
      <c r="H78" s="17">
        <f t="shared" si="2"/>
        <v>14.130777164327599</v>
      </c>
      <c r="I78" s="127">
        <f t="shared" si="3"/>
        <v>188.51824489864865</v>
      </c>
      <c r="K78" s="249">
        <f t="shared" si="4"/>
        <v>12.014904433900062</v>
      </c>
      <c r="N78" s="131"/>
    </row>
    <row r="79" spans="2:14" x14ac:dyDescent="0.25">
      <c r="B79" s="131"/>
      <c r="E79" s="1">
        <v>1.1000000000000001</v>
      </c>
      <c r="G79" s="127">
        <f t="shared" si="1"/>
        <v>0.43540209750029013</v>
      </c>
      <c r="H79" s="17">
        <f t="shared" si="2"/>
        <v>14.803671315009865</v>
      </c>
      <c r="I79" s="127">
        <f t="shared" si="3"/>
        <v>197.49530417953667</v>
      </c>
      <c r="K79" s="249">
        <f t="shared" si="4"/>
        <v>12.587042740276255</v>
      </c>
      <c r="N79" s="131"/>
    </row>
    <row r="80" spans="2:14" x14ac:dyDescent="0.25">
      <c r="B80" s="131"/>
      <c r="E80" s="1">
        <v>1.1499999999999999</v>
      </c>
      <c r="G80" s="127">
        <f t="shared" si="1"/>
        <v>0.45519310193212148</v>
      </c>
      <c r="H80" s="17">
        <f t="shared" si="2"/>
        <v>15.476565465692131</v>
      </c>
      <c r="I80" s="127">
        <f t="shared" si="3"/>
        <v>206.4723634604247</v>
      </c>
      <c r="K80" s="249">
        <f t="shared" si="4"/>
        <v>13.159181046652449</v>
      </c>
      <c r="N80" s="131"/>
    </row>
    <row r="81" spans="2:14" x14ac:dyDescent="0.25">
      <c r="B81" s="131"/>
      <c r="E81" s="1">
        <v>1.2</v>
      </c>
      <c r="G81" s="127">
        <f t="shared" si="1"/>
        <v>0.47498410636395283</v>
      </c>
      <c r="H81" s="17">
        <f t="shared" si="2"/>
        <v>16.149459616374397</v>
      </c>
      <c r="I81" s="127">
        <f t="shared" si="3"/>
        <v>215.44942274131273</v>
      </c>
      <c r="K81" s="249">
        <f t="shared" si="4"/>
        <v>13.731319353028642</v>
      </c>
      <c r="N81" s="131"/>
    </row>
    <row r="82" spans="2:14" x14ac:dyDescent="0.25">
      <c r="B82" s="131"/>
      <c r="E82" s="1">
        <v>1.25</v>
      </c>
      <c r="G82" s="127">
        <f t="shared" si="1"/>
        <v>0.49477511079578423</v>
      </c>
      <c r="H82" s="17">
        <f t="shared" si="2"/>
        <v>16.822353767056665</v>
      </c>
      <c r="I82" s="127">
        <f t="shared" si="3"/>
        <v>224.42648202220076</v>
      </c>
      <c r="K82" s="249">
        <f t="shared" si="4"/>
        <v>14.303457659404836</v>
      </c>
      <c r="N82" s="131"/>
    </row>
    <row r="83" spans="2:14" x14ac:dyDescent="0.25">
      <c r="B83" s="131"/>
      <c r="E83" s="1">
        <v>1.3</v>
      </c>
      <c r="G83" s="127">
        <f t="shared" si="1"/>
        <v>0.51456611522761564</v>
      </c>
      <c r="H83" s="17">
        <f t="shared" si="2"/>
        <v>17.495247917738933</v>
      </c>
      <c r="I83" s="127">
        <f t="shared" si="3"/>
        <v>233.40354130308882</v>
      </c>
      <c r="K83" s="249">
        <f t="shared" si="4"/>
        <v>14.875595965781031</v>
      </c>
      <c r="N83" s="131"/>
    </row>
    <row r="84" spans="2:14" x14ac:dyDescent="0.25">
      <c r="B84" s="131"/>
      <c r="E84" s="1">
        <v>1.35</v>
      </c>
      <c r="G84" s="127">
        <f t="shared" si="1"/>
        <v>0.53435711965944699</v>
      </c>
      <c r="H84" s="17">
        <f t="shared" si="2"/>
        <v>18.168142068421197</v>
      </c>
      <c r="I84" s="127">
        <f t="shared" si="3"/>
        <v>242.38060058397684</v>
      </c>
      <c r="K84" s="249">
        <f t="shared" si="4"/>
        <v>15.44773427215722</v>
      </c>
      <c r="N84" s="131"/>
    </row>
    <row r="85" spans="2:14" x14ac:dyDescent="0.25">
      <c r="B85" s="131"/>
      <c r="E85" s="1">
        <v>1.4</v>
      </c>
      <c r="G85" s="127">
        <f t="shared" si="1"/>
        <v>0.55414812409127823</v>
      </c>
      <c r="H85" s="17">
        <f t="shared" si="2"/>
        <v>18.841036219103458</v>
      </c>
      <c r="I85" s="127">
        <f t="shared" si="3"/>
        <v>251.35765986486481</v>
      </c>
      <c r="K85" s="249">
        <f t="shared" si="4"/>
        <v>16.019872578533413</v>
      </c>
      <c r="N85" s="131"/>
    </row>
    <row r="86" spans="2:14" x14ac:dyDescent="0.25">
      <c r="B86" s="131"/>
      <c r="E86" s="1">
        <v>1.45</v>
      </c>
      <c r="G86" s="127">
        <f t="shared" si="1"/>
        <v>0.57393912852310969</v>
      </c>
      <c r="H86" s="17">
        <f t="shared" si="2"/>
        <v>19.513930369785729</v>
      </c>
      <c r="I86" s="127">
        <f t="shared" si="3"/>
        <v>260.33471914575284</v>
      </c>
      <c r="K86" s="249">
        <f t="shared" si="4"/>
        <v>16.592010884909609</v>
      </c>
      <c r="N86" s="131"/>
    </row>
    <row r="87" spans="2:14" x14ac:dyDescent="0.25">
      <c r="B87" s="131"/>
      <c r="E87" s="1">
        <v>1.5</v>
      </c>
      <c r="G87" s="127">
        <f t="shared" si="1"/>
        <v>0.59373013295494104</v>
      </c>
      <c r="H87" s="17">
        <f t="shared" si="2"/>
        <v>20.186824520467994</v>
      </c>
      <c r="I87" s="127">
        <f t="shared" si="3"/>
        <v>269.3117784266409</v>
      </c>
      <c r="K87" s="249">
        <f t="shared" si="4"/>
        <v>17.164149191285798</v>
      </c>
      <c r="N87" s="131"/>
    </row>
    <row r="88" spans="2:14" x14ac:dyDescent="0.25">
      <c r="B88" s="131"/>
      <c r="E88" s="1">
        <v>1.55</v>
      </c>
      <c r="G88" s="127">
        <f t="shared" si="1"/>
        <v>0.61352113738677239</v>
      </c>
      <c r="H88" s="17">
        <f t="shared" si="2"/>
        <v>20.859718671150262</v>
      </c>
      <c r="I88" s="127">
        <f t="shared" si="3"/>
        <v>278.28883770752896</v>
      </c>
      <c r="K88" s="249">
        <f t="shared" si="4"/>
        <v>17.736287497661994</v>
      </c>
      <c r="N88" s="131"/>
    </row>
    <row r="89" spans="2:14" x14ac:dyDescent="0.25">
      <c r="B89" s="131"/>
      <c r="E89" s="1">
        <v>1.6</v>
      </c>
      <c r="G89" s="127">
        <f t="shared" si="1"/>
        <v>0.63331214181860374</v>
      </c>
      <c r="H89" s="17">
        <f t="shared" si="2"/>
        <v>21.532612821832526</v>
      </c>
      <c r="I89" s="127">
        <f t="shared" si="3"/>
        <v>287.26589698841696</v>
      </c>
      <c r="K89" s="249">
        <f t="shared" si="4"/>
        <v>18.308425804038187</v>
      </c>
      <c r="N89" s="131"/>
    </row>
    <row r="90" spans="2:14" x14ac:dyDescent="0.25">
      <c r="B90" s="131"/>
      <c r="E90" s="1">
        <v>1.65</v>
      </c>
      <c r="G90" s="127">
        <f t="shared" si="1"/>
        <v>0.6531031462504352</v>
      </c>
      <c r="H90" s="17">
        <f t="shared" si="2"/>
        <v>22.205506972514797</v>
      </c>
      <c r="I90" s="127">
        <f t="shared" si="3"/>
        <v>296.24295626930501</v>
      </c>
      <c r="K90" s="249">
        <f t="shared" si="4"/>
        <v>18.880564110414383</v>
      </c>
      <c r="N90" s="131"/>
    </row>
    <row r="91" spans="2:14" x14ac:dyDescent="0.25">
      <c r="B91" s="131"/>
      <c r="E91" s="1">
        <v>1.7</v>
      </c>
      <c r="G91" s="127">
        <f t="shared" si="1"/>
        <v>0.67289415068226655</v>
      </c>
      <c r="H91" s="17">
        <f t="shared" si="2"/>
        <v>22.878401123197062</v>
      </c>
      <c r="I91" s="127">
        <f t="shared" si="3"/>
        <v>305.22001555019307</v>
      </c>
      <c r="K91" s="249">
        <f t="shared" si="4"/>
        <v>19.452702416790572</v>
      </c>
      <c r="N91" s="131"/>
    </row>
    <row r="92" spans="2:14" x14ac:dyDescent="0.25">
      <c r="B92" s="131"/>
      <c r="E92" s="1">
        <v>1.75</v>
      </c>
      <c r="G92" s="127">
        <f t="shared" si="1"/>
        <v>0.69268515511409789</v>
      </c>
      <c r="H92" s="17">
        <f t="shared" si="2"/>
        <v>23.55129527387933</v>
      </c>
      <c r="I92" s="127">
        <f t="shared" si="3"/>
        <v>314.19707483108107</v>
      </c>
      <c r="K92" s="249">
        <f t="shared" si="4"/>
        <v>20.024840723166768</v>
      </c>
      <c r="N92" s="131"/>
    </row>
    <row r="93" spans="2:14" x14ac:dyDescent="0.25">
      <c r="B93" s="131"/>
      <c r="E93" s="1">
        <v>1.8</v>
      </c>
      <c r="G93" s="127">
        <f t="shared" si="1"/>
        <v>0.71247615954592936</v>
      </c>
      <c r="H93" s="17">
        <f t="shared" si="2"/>
        <v>24.224189424561597</v>
      </c>
      <c r="I93" s="127">
        <f t="shared" si="3"/>
        <v>323.17413411196912</v>
      </c>
      <c r="K93" s="249">
        <f t="shared" si="4"/>
        <v>20.596979029542965</v>
      </c>
      <c r="N93" s="131"/>
    </row>
    <row r="94" spans="2:14" x14ac:dyDescent="0.25">
      <c r="B94" s="131"/>
      <c r="E94" s="1">
        <v>1.85</v>
      </c>
      <c r="G94" s="127">
        <f t="shared" si="1"/>
        <v>0.7322671639777607</v>
      </c>
      <c r="H94" s="17">
        <f t="shared" si="2"/>
        <v>24.897083575243865</v>
      </c>
      <c r="I94" s="127">
        <f t="shared" si="3"/>
        <v>332.15119339285718</v>
      </c>
      <c r="K94" s="249">
        <f t="shared" si="4"/>
        <v>21.169117335919157</v>
      </c>
      <c r="N94" s="131"/>
    </row>
    <row r="95" spans="2:14" x14ac:dyDescent="0.25">
      <c r="B95" s="131"/>
      <c r="E95" s="1">
        <v>1.9</v>
      </c>
      <c r="G95" s="127">
        <f t="shared" si="1"/>
        <v>0.75205816840959194</v>
      </c>
      <c r="H95" s="17">
        <f t="shared" si="2"/>
        <v>25.569977725926126</v>
      </c>
      <c r="I95" s="127">
        <f t="shared" si="3"/>
        <v>341.12825267374512</v>
      </c>
      <c r="K95" s="249">
        <f t="shared" si="4"/>
        <v>21.741255642295346</v>
      </c>
      <c r="N95" s="131"/>
    </row>
    <row r="96" spans="2:14" x14ac:dyDescent="0.25">
      <c r="B96" s="131"/>
      <c r="E96" s="1">
        <v>1.95</v>
      </c>
      <c r="G96" s="127">
        <f t="shared" si="1"/>
        <v>0.7718491728414234</v>
      </c>
      <c r="H96" s="17">
        <f t="shared" si="2"/>
        <v>26.242871876608397</v>
      </c>
      <c r="I96" s="127">
        <f t="shared" si="3"/>
        <v>350.10531195463318</v>
      </c>
      <c r="K96" s="249">
        <f t="shared" si="4"/>
        <v>22.313393948671546</v>
      </c>
      <c r="N96" s="131"/>
    </row>
    <row r="97" spans="2:14" x14ac:dyDescent="0.25">
      <c r="B97" s="131"/>
      <c r="E97" s="1">
        <v>2</v>
      </c>
      <c r="G97" s="127">
        <f t="shared" si="1"/>
        <v>0.79164017727325475</v>
      </c>
      <c r="H97" s="17">
        <f t="shared" si="2"/>
        <v>26.915766027290662</v>
      </c>
      <c r="I97" s="127">
        <f t="shared" si="3"/>
        <v>359.08237123552124</v>
      </c>
      <c r="K97" s="249">
        <f t="shared" si="4"/>
        <v>22.885532255047735</v>
      </c>
      <c r="N97" s="131"/>
    </row>
    <row r="98" spans="2:14" x14ac:dyDescent="0.25">
      <c r="B98" s="131"/>
      <c r="E98" s="1">
        <v>2.0499999999999998</v>
      </c>
      <c r="G98" s="127">
        <f t="shared" si="1"/>
        <v>0.81143118170508599</v>
      </c>
      <c r="H98" s="17">
        <f t="shared" si="2"/>
        <v>27.588660177972923</v>
      </c>
      <c r="I98" s="127">
        <f t="shared" si="3"/>
        <v>368.05943051640918</v>
      </c>
      <c r="K98" s="249">
        <f t="shared" si="4"/>
        <v>23.457670561423924</v>
      </c>
      <c r="N98" s="131"/>
    </row>
    <row r="99" spans="2:14" x14ac:dyDescent="0.25">
      <c r="B99" s="131"/>
      <c r="E99" s="1">
        <v>2.1</v>
      </c>
      <c r="G99" s="127">
        <f t="shared" si="1"/>
        <v>0.83122218613691756</v>
      </c>
      <c r="H99" s="17">
        <f t="shared" si="2"/>
        <v>28.261554328655198</v>
      </c>
      <c r="I99" s="127">
        <f t="shared" si="3"/>
        <v>377.03648979729729</v>
      </c>
      <c r="K99" s="249">
        <f t="shared" si="4"/>
        <v>24.029808867800124</v>
      </c>
      <c r="N99" s="131"/>
    </row>
    <row r="100" spans="2:14" x14ac:dyDescent="0.25">
      <c r="B100" s="131"/>
      <c r="E100" s="1">
        <v>2.15</v>
      </c>
      <c r="G100" s="127">
        <f t="shared" si="1"/>
        <v>0.8510131905687488</v>
      </c>
      <c r="H100" s="17">
        <f t="shared" si="2"/>
        <v>28.934448479337458</v>
      </c>
      <c r="I100" s="127">
        <f t="shared" si="3"/>
        <v>386.01354907818529</v>
      </c>
      <c r="K100" s="249">
        <f t="shared" si="4"/>
        <v>24.601947174176313</v>
      </c>
      <c r="N100" s="131"/>
    </row>
    <row r="101" spans="2:14" x14ac:dyDescent="0.25">
      <c r="B101" s="131"/>
      <c r="E101" s="1">
        <v>2.2000000000000002</v>
      </c>
      <c r="G101" s="127">
        <f t="shared" si="1"/>
        <v>0.87080419500058026</v>
      </c>
      <c r="H101" s="17">
        <f t="shared" si="2"/>
        <v>29.60734263001973</v>
      </c>
      <c r="I101" s="127">
        <f t="shared" si="3"/>
        <v>394.99060835907335</v>
      </c>
      <c r="K101" s="249">
        <f t="shared" si="4"/>
        <v>25.17408548055251</v>
      </c>
      <c r="N101" s="131"/>
    </row>
    <row r="102" spans="2:14" x14ac:dyDescent="0.25">
      <c r="B102" s="131"/>
      <c r="E102" s="1">
        <v>2.25</v>
      </c>
      <c r="G102" s="127">
        <f t="shared" si="1"/>
        <v>0.8905951994324115</v>
      </c>
      <c r="H102" s="17">
        <f t="shared" si="2"/>
        <v>30.280236780701991</v>
      </c>
      <c r="I102" s="127">
        <f t="shared" si="3"/>
        <v>403.96766763996135</v>
      </c>
      <c r="K102" s="249">
        <f t="shared" si="4"/>
        <v>25.746223786928702</v>
      </c>
      <c r="N102" s="131"/>
    </row>
    <row r="103" spans="2:14" x14ac:dyDescent="0.25">
      <c r="B103" s="131"/>
      <c r="E103" s="1">
        <v>2.2999999999999998</v>
      </c>
      <c r="G103" s="127">
        <f t="shared" si="1"/>
        <v>0.91038620386424296</v>
      </c>
      <c r="H103" s="17">
        <f t="shared" si="2"/>
        <v>30.953130931384262</v>
      </c>
      <c r="I103" s="127">
        <f t="shared" si="3"/>
        <v>412.9447269208494</v>
      </c>
      <c r="K103" s="249">
        <f t="shared" si="4"/>
        <v>26.318362093304899</v>
      </c>
      <c r="N103" s="131"/>
    </row>
    <row r="104" spans="2:14" x14ac:dyDescent="0.25">
      <c r="B104" s="131"/>
      <c r="E104" s="1">
        <v>2.35</v>
      </c>
      <c r="G104" s="127">
        <f t="shared" si="1"/>
        <v>0.93017720829607431</v>
      </c>
      <c r="H104" s="17">
        <f t="shared" si="2"/>
        <v>31.626025082066526</v>
      </c>
      <c r="I104" s="127">
        <f t="shared" si="3"/>
        <v>421.9217862017374</v>
      </c>
      <c r="K104" s="249">
        <f t="shared" si="4"/>
        <v>26.890500399681088</v>
      </c>
      <c r="N104" s="131"/>
    </row>
    <row r="105" spans="2:14" x14ac:dyDescent="0.25">
      <c r="B105" s="131"/>
      <c r="E105" s="1">
        <v>2.4</v>
      </c>
      <c r="G105" s="127">
        <f t="shared" si="1"/>
        <v>0.94996821272790566</v>
      </c>
      <c r="H105" s="17">
        <f t="shared" si="2"/>
        <v>32.298919232748794</v>
      </c>
      <c r="I105" s="127">
        <f t="shared" si="3"/>
        <v>430.89884548262546</v>
      </c>
      <c r="K105" s="249">
        <f t="shared" si="4"/>
        <v>27.462638706057284</v>
      </c>
      <c r="N105" s="131"/>
    </row>
    <row r="106" spans="2:14" x14ac:dyDescent="0.25">
      <c r="B106" s="131"/>
      <c r="E106" s="1">
        <v>2.4500000000000002</v>
      </c>
      <c r="G106" s="127">
        <f t="shared" si="1"/>
        <v>0.96975921715973712</v>
      </c>
      <c r="H106" s="17">
        <f t="shared" si="2"/>
        <v>32.971813383431062</v>
      </c>
      <c r="I106" s="127">
        <f t="shared" si="3"/>
        <v>439.87590476351352</v>
      </c>
      <c r="K106" s="249">
        <f t="shared" si="4"/>
        <v>28.034777012433477</v>
      </c>
      <c r="N106" s="131"/>
    </row>
    <row r="107" spans="2:14" x14ac:dyDescent="0.25">
      <c r="B107" s="131"/>
      <c r="E107" s="1">
        <v>2.5</v>
      </c>
      <c r="G107" s="127">
        <f t="shared" si="1"/>
        <v>0.98955022159156847</v>
      </c>
      <c r="H107" s="17">
        <f t="shared" si="2"/>
        <v>33.64470753411333</v>
      </c>
      <c r="I107" s="127">
        <f t="shared" si="3"/>
        <v>448.85296404440152</v>
      </c>
      <c r="K107" s="249">
        <f t="shared" si="4"/>
        <v>28.606915318809673</v>
      </c>
      <c r="N107" s="131"/>
    </row>
    <row r="108" spans="2:14" x14ac:dyDescent="0.25">
      <c r="B108" s="131"/>
      <c r="E108" s="1">
        <v>2.5499999999999998</v>
      </c>
      <c r="G108" s="127">
        <f t="shared" si="1"/>
        <v>1.0093412260233996</v>
      </c>
      <c r="H108" s="17">
        <f t="shared" si="2"/>
        <v>34.317601684795584</v>
      </c>
      <c r="I108" s="127">
        <f t="shared" si="3"/>
        <v>457.83002332528952</v>
      </c>
      <c r="K108" s="249">
        <f t="shared" si="4"/>
        <v>29.179053625185851</v>
      </c>
      <c r="N108" s="131"/>
    </row>
    <row r="109" spans="2:14" x14ac:dyDescent="0.25">
      <c r="B109" s="131"/>
      <c r="E109" s="1">
        <v>2.6</v>
      </c>
      <c r="G109" s="127">
        <f t="shared" si="1"/>
        <v>1.0291322304552313</v>
      </c>
      <c r="H109" s="17">
        <f t="shared" si="2"/>
        <v>34.990495835477866</v>
      </c>
      <c r="I109" s="127">
        <f t="shared" si="3"/>
        <v>466.80708260617763</v>
      </c>
      <c r="K109" s="249">
        <f t="shared" si="4"/>
        <v>29.751191931562062</v>
      </c>
      <c r="N109" s="131"/>
    </row>
    <row r="110" spans="2:14" x14ac:dyDescent="0.25">
      <c r="B110" s="131"/>
      <c r="E110" s="1">
        <v>2.65</v>
      </c>
      <c r="G110" s="127">
        <f t="shared" si="1"/>
        <v>1.0489232348870625</v>
      </c>
      <c r="H110" s="17">
        <f t="shared" si="2"/>
        <v>35.663389986160126</v>
      </c>
      <c r="I110" s="127">
        <f t="shared" si="3"/>
        <v>475.78414188706557</v>
      </c>
      <c r="K110" s="249">
        <f t="shared" si="4"/>
        <v>30.323330237938251</v>
      </c>
      <c r="N110" s="131"/>
    </row>
    <row r="111" spans="2:14" x14ac:dyDescent="0.25">
      <c r="B111" s="131"/>
      <c r="E111" s="1">
        <v>2.7</v>
      </c>
      <c r="G111" s="127">
        <f t="shared" si="1"/>
        <v>1.068714239318894</v>
      </c>
      <c r="H111" s="17">
        <f t="shared" si="2"/>
        <v>36.336284136842394</v>
      </c>
      <c r="I111" s="127">
        <f t="shared" si="3"/>
        <v>484.76120116795369</v>
      </c>
      <c r="K111" s="249">
        <f t="shared" si="4"/>
        <v>30.89546854431444</v>
      </c>
      <c r="N111" s="131"/>
    </row>
    <row r="112" spans="2:14" x14ac:dyDescent="0.25">
      <c r="B112" s="131"/>
      <c r="E112" s="1">
        <v>2.75</v>
      </c>
      <c r="G112" s="127">
        <f t="shared" si="1"/>
        <v>1.0885052437507252</v>
      </c>
      <c r="H112" s="17">
        <f t="shared" si="2"/>
        <v>37.009178287524655</v>
      </c>
      <c r="I112" s="127">
        <f t="shared" si="3"/>
        <v>493.73826044884169</v>
      </c>
      <c r="K112" s="249">
        <f t="shared" si="4"/>
        <v>31.467606850690633</v>
      </c>
      <c r="N112" s="131"/>
    </row>
    <row r="113" spans="2:14" x14ac:dyDescent="0.25">
      <c r="B113" s="131"/>
      <c r="E113" s="1">
        <v>2.8</v>
      </c>
      <c r="G113" s="127">
        <f t="shared" si="1"/>
        <v>1.1082962481825565</v>
      </c>
      <c r="H113" s="17">
        <f t="shared" si="2"/>
        <v>37.682072438206916</v>
      </c>
      <c r="I113" s="127">
        <f t="shared" si="3"/>
        <v>502.71531972972963</v>
      </c>
      <c r="K113" s="249">
        <f t="shared" si="4"/>
        <v>32.039745157066825</v>
      </c>
      <c r="N113" s="131"/>
    </row>
    <row r="114" spans="2:14" x14ac:dyDescent="0.25">
      <c r="B114" s="131"/>
      <c r="E114" s="1">
        <v>2.85</v>
      </c>
      <c r="G114" s="127">
        <f t="shared" si="1"/>
        <v>1.1280872526143879</v>
      </c>
      <c r="H114" s="17">
        <f t="shared" si="2"/>
        <v>38.354966588889191</v>
      </c>
      <c r="I114" s="127">
        <f t="shared" si="3"/>
        <v>511.69237901061774</v>
      </c>
      <c r="K114" s="249">
        <f t="shared" si="4"/>
        <v>32.611883463443021</v>
      </c>
      <c r="N114" s="131"/>
    </row>
    <row r="115" spans="2:14" x14ac:dyDescent="0.25">
      <c r="B115" s="131"/>
      <c r="E115" s="1">
        <v>2.9</v>
      </c>
      <c r="G115" s="127">
        <f t="shared" si="1"/>
        <v>1.1478782570462194</v>
      </c>
      <c r="H115" s="17">
        <f t="shared" si="2"/>
        <v>39.027860739571459</v>
      </c>
      <c r="I115" s="127">
        <f t="shared" si="3"/>
        <v>520.66943829150568</v>
      </c>
      <c r="K115" s="249">
        <f t="shared" si="4"/>
        <v>33.184021769819218</v>
      </c>
      <c r="N115" s="131"/>
    </row>
    <row r="116" spans="2:14" x14ac:dyDescent="0.25">
      <c r="B116" s="131"/>
      <c r="E116" s="1">
        <v>2.95</v>
      </c>
      <c r="G116" s="127">
        <f t="shared" si="1"/>
        <v>1.1676692614780508</v>
      </c>
      <c r="H116" s="17">
        <f t="shared" si="2"/>
        <v>39.700754890253727</v>
      </c>
      <c r="I116" s="127">
        <f t="shared" si="3"/>
        <v>529.64649757239386</v>
      </c>
      <c r="K116" s="249">
        <f t="shared" si="4"/>
        <v>33.756160076195414</v>
      </c>
      <c r="N116" s="131"/>
    </row>
    <row r="117" spans="2:14" x14ac:dyDescent="0.25">
      <c r="B117" s="131"/>
      <c r="E117" s="1">
        <v>3</v>
      </c>
      <c r="G117" s="127">
        <f t="shared" si="1"/>
        <v>1.1874602659098821</v>
      </c>
      <c r="H117" s="17">
        <f t="shared" si="2"/>
        <v>40.373649040935987</v>
      </c>
      <c r="I117" s="127">
        <f t="shared" si="3"/>
        <v>538.6235568532818</v>
      </c>
      <c r="K117" s="249">
        <f t="shared" si="4"/>
        <v>34.328298382571596</v>
      </c>
      <c r="N117" s="131"/>
    </row>
    <row r="118" spans="2:14" x14ac:dyDescent="0.25">
      <c r="B118" s="131"/>
      <c r="E118" s="1">
        <v>3.05</v>
      </c>
      <c r="G118" s="127">
        <f t="shared" si="1"/>
        <v>1.2072512703417135</v>
      </c>
      <c r="H118" s="17">
        <f t="shared" si="2"/>
        <v>41.046543191618262</v>
      </c>
      <c r="I118" s="127">
        <f t="shared" si="3"/>
        <v>547.60061613416985</v>
      </c>
      <c r="K118" s="249">
        <f t="shared" si="4"/>
        <v>34.900436688947799</v>
      </c>
      <c r="N118" s="131"/>
    </row>
    <row r="119" spans="2:14" x14ac:dyDescent="0.25">
      <c r="B119" s="131"/>
      <c r="E119" s="1">
        <v>3.1</v>
      </c>
      <c r="G119" s="127">
        <f t="shared" si="1"/>
        <v>1.2270422747735448</v>
      </c>
      <c r="H119" s="17">
        <f t="shared" si="2"/>
        <v>41.719437342300523</v>
      </c>
      <c r="I119" s="127">
        <f t="shared" si="3"/>
        <v>556.57767541505791</v>
      </c>
      <c r="K119" s="249">
        <f t="shared" si="4"/>
        <v>35.472574995323988</v>
      </c>
      <c r="N119" s="131"/>
    </row>
    <row r="120" spans="2:14" x14ac:dyDescent="0.25">
      <c r="B120" s="131"/>
      <c r="E120" s="1">
        <v>3.15</v>
      </c>
      <c r="G120" s="127">
        <f t="shared" si="1"/>
        <v>1.2468332792053762</v>
      </c>
      <c r="H120" s="17">
        <f t="shared" si="2"/>
        <v>42.392331492982791</v>
      </c>
      <c r="I120" s="127">
        <f t="shared" si="3"/>
        <v>565.55473469594585</v>
      </c>
      <c r="K120" s="249">
        <f t="shared" si="4"/>
        <v>36.044713301700185</v>
      </c>
      <c r="N120" s="131"/>
    </row>
    <row r="121" spans="2:14" x14ac:dyDescent="0.25">
      <c r="B121" s="131"/>
      <c r="E121" s="1">
        <v>3.2</v>
      </c>
      <c r="G121" s="127">
        <f t="shared" si="1"/>
        <v>1.2666242836372075</v>
      </c>
      <c r="H121" s="17">
        <f t="shared" si="2"/>
        <v>43.065225643665052</v>
      </c>
      <c r="I121" s="127">
        <f t="shared" si="3"/>
        <v>574.53179397683391</v>
      </c>
      <c r="K121" s="249">
        <f t="shared" si="4"/>
        <v>36.616851608076374</v>
      </c>
      <c r="N121" s="131"/>
    </row>
    <row r="122" spans="2:14" x14ac:dyDescent="0.25">
      <c r="B122" s="131"/>
      <c r="E122" s="1">
        <v>3.25</v>
      </c>
      <c r="G122" s="127">
        <f t="shared" ref="G122:G127" si="5">(E122/100)*$G$29</f>
        <v>1.2864152880690389</v>
      </c>
      <c r="H122" s="17">
        <f t="shared" ref="H122:H127" si="6">G122*$Q$33</f>
        <v>43.738119794347327</v>
      </c>
      <c r="I122" s="127">
        <f t="shared" ref="I122:I127" si="7">(E122/100)*$H$29</f>
        <v>583.50885325772197</v>
      </c>
      <c r="K122" s="249">
        <f t="shared" ref="K122:K141" si="8">100*($H122/$H$49)</f>
        <v>37.18898991445257</v>
      </c>
      <c r="N122" s="131"/>
    </row>
    <row r="123" spans="2:14" x14ac:dyDescent="0.25">
      <c r="B123" s="131"/>
      <c r="E123" s="1">
        <v>3.3</v>
      </c>
      <c r="G123" s="127">
        <f t="shared" si="5"/>
        <v>1.3062062925008704</v>
      </c>
      <c r="H123" s="17">
        <f t="shared" si="6"/>
        <v>44.411013945029595</v>
      </c>
      <c r="I123" s="127">
        <f t="shared" si="7"/>
        <v>592.48591253861002</v>
      </c>
      <c r="K123" s="249">
        <f t="shared" si="8"/>
        <v>37.761128220828766</v>
      </c>
      <c r="N123" s="131"/>
    </row>
    <row r="124" spans="2:14" x14ac:dyDescent="0.25">
      <c r="B124" s="131"/>
      <c r="E124" s="1">
        <v>3.35</v>
      </c>
      <c r="G124" s="127">
        <f t="shared" si="5"/>
        <v>1.3259972969327016</v>
      </c>
      <c r="H124" s="17">
        <f t="shared" si="6"/>
        <v>45.083908095711855</v>
      </c>
      <c r="I124" s="127">
        <f t="shared" si="7"/>
        <v>601.46297181949808</v>
      </c>
      <c r="K124" s="249">
        <f t="shared" si="8"/>
        <v>38.333266527204955</v>
      </c>
      <c r="N124" s="131"/>
    </row>
    <row r="125" spans="2:14" x14ac:dyDescent="0.25">
      <c r="B125" s="131"/>
      <c r="E125" s="1">
        <v>3.4</v>
      </c>
      <c r="G125" s="127">
        <f t="shared" si="5"/>
        <v>1.3457883013645331</v>
      </c>
      <c r="H125" s="17">
        <f t="shared" si="6"/>
        <v>45.756802246394123</v>
      </c>
      <c r="I125" s="127">
        <f t="shared" si="7"/>
        <v>610.44003110038614</v>
      </c>
      <c r="K125" s="249">
        <f t="shared" si="8"/>
        <v>38.905404833581144</v>
      </c>
      <c r="N125" s="131"/>
    </row>
    <row r="126" spans="2:14" x14ac:dyDescent="0.25">
      <c r="B126" s="131"/>
      <c r="E126" s="1">
        <v>3.45</v>
      </c>
      <c r="G126" s="127">
        <f t="shared" si="5"/>
        <v>1.3655793057963646</v>
      </c>
      <c r="H126" s="17">
        <f t="shared" si="6"/>
        <v>46.429696397076398</v>
      </c>
      <c r="I126" s="127">
        <f t="shared" si="7"/>
        <v>619.41709038127408</v>
      </c>
      <c r="K126" s="249">
        <f t="shared" si="8"/>
        <v>39.477543139957348</v>
      </c>
      <c r="N126" s="131"/>
    </row>
    <row r="127" spans="2:14" x14ac:dyDescent="0.25">
      <c r="B127" s="131"/>
      <c r="E127" s="1">
        <v>3.5</v>
      </c>
      <c r="G127" s="127">
        <f t="shared" si="5"/>
        <v>1.3853703102281958</v>
      </c>
      <c r="H127" s="17">
        <f t="shared" si="6"/>
        <v>47.102590547758659</v>
      </c>
      <c r="I127" s="127">
        <f t="shared" si="7"/>
        <v>628.39414966216214</v>
      </c>
      <c r="K127" s="249">
        <f t="shared" si="8"/>
        <v>40.049681446333537</v>
      </c>
      <c r="N127" s="131"/>
    </row>
    <row r="128" spans="2:14" x14ac:dyDescent="0.25">
      <c r="B128" s="131"/>
      <c r="E128" s="1">
        <v>4.5</v>
      </c>
      <c r="G128" s="127">
        <f t="shared" ref="G128:G141" si="9">(E128/100)*$G$29</f>
        <v>1.781190398864823</v>
      </c>
      <c r="H128" s="17">
        <f t="shared" ref="H128:H141" si="10">G128*$Q$33</f>
        <v>60.560473561403981</v>
      </c>
      <c r="I128" s="127">
        <f t="shared" ref="I128:I141" si="11">(E128/100)*$H$29</f>
        <v>807.9353352799227</v>
      </c>
      <c r="K128" s="249">
        <f t="shared" si="8"/>
        <v>51.492447573857405</v>
      </c>
      <c r="N128" s="131"/>
    </row>
    <row r="129" spans="2:14" x14ac:dyDescent="0.25">
      <c r="B129" s="131"/>
      <c r="E129" s="1">
        <v>5.5</v>
      </c>
      <c r="G129" s="127">
        <f t="shared" si="9"/>
        <v>2.1770104875014504</v>
      </c>
      <c r="H129" s="17">
        <f t="shared" si="10"/>
        <v>74.01835657504931</v>
      </c>
      <c r="I129" s="127">
        <f t="shared" si="11"/>
        <v>987.47652089768337</v>
      </c>
      <c r="K129" s="249">
        <f t="shared" si="8"/>
        <v>62.935213701381265</v>
      </c>
      <c r="N129" s="131"/>
    </row>
    <row r="130" spans="2:14" x14ac:dyDescent="0.25">
      <c r="B130" s="131"/>
      <c r="E130" s="1">
        <v>6.5</v>
      </c>
      <c r="G130" s="127">
        <f t="shared" si="9"/>
        <v>2.5728305761380779</v>
      </c>
      <c r="H130" s="17">
        <f t="shared" si="10"/>
        <v>87.476239588694654</v>
      </c>
      <c r="I130" s="127">
        <f t="shared" si="11"/>
        <v>1167.0177065154439</v>
      </c>
      <c r="K130" s="249">
        <f t="shared" si="8"/>
        <v>74.37797982890514</v>
      </c>
      <c r="N130" s="131"/>
    </row>
    <row r="131" spans="2:14" x14ac:dyDescent="0.25">
      <c r="B131" s="131"/>
      <c r="E131" s="1">
        <v>7.5</v>
      </c>
      <c r="G131" s="127">
        <f t="shared" si="9"/>
        <v>2.9686506647747053</v>
      </c>
      <c r="H131" s="17">
        <f t="shared" si="10"/>
        <v>100.93412260233998</v>
      </c>
      <c r="I131" s="127">
        <f t="shared" si="11"/>
        <v>1346.5588921332044</v>
      </c>
      <c r="K131" s="249">
        <f t="shared" si="8"/>
        <v>85.820745956429008</v>
      </c>
      <c r="N131" s="131"/>
    </row>
    <row r="132" spans="2:14" x14ac:dyDescent="0.25">
      <c r="B132" s="131"/>
      <c r="E132" s="1">
        <v>8.5</v>
      </c>
      <c r="G132" s="127">
        <f t="shared" si="9"/>
        <v>3.3644707534113327</v>
      </c>
      <c r="H132" s="17">
        <f t="shared" si="10"/>
        <v>114.39200561598531</v>
      </c>
      <c r="I132" s="127">
        <f t="shared" si="11"/>
        <v>1526.1000777509653</v>
      </c>
      <c r="K132" s="249">
        <f t="shared" si="8"/>
        <v>97.263512083952875</v>
      </c>
      <c r="N132" s="131"/>
    </row>
    <row r="133" spans="2:14" x14ac:dyDescent="0.25">
      <c r="B133" s="131"/>
      <c r="E133" s="1">
        <v>9.5</v>
      </c>
      <c r="G133" s="127">
        <f t="shared" si="9"/>
        <v>3.7602908420479602</v>
      </c>
      <c r="H133" s="17">
        <f t="shared" si="10"/>
        <v>127.84988862963064</v>
      </c>
      <c r="I133" s="127">
        <f t="shared" si="11"/>
        <v>1705.6412633687257</v>
      </c>
      <c r="K133" s="249">
        <f t="shared" si="8"/>
        <v>108.70627821147674</v>
      </c>
      <c r="N133" s="131"/>
    </row>
    <row r="134" spans="2:14" x14ac:dyDescent="0.25">
      <c r="B134" s="131"/>
      <c r="E134" s="1">
        <v>10.5</v>
      </c>
      <c r="G134" s="127">
        <f t="shared" si="9"/>
        <v>4.1561109306845871</v>
      </c>
      <c r="H134" s="17">
        <f t="shared" si="10"/>
        <v>141.30777164327597</v>
      </c>
      <c r="I134" s="127">
        <f t="shared" si="11"/>
        <v>1885.1824489864862</v>
      </c>
      <c r="K134" s="249">
        <f t="shared" si="8"/>
        <v>120.1490443390006</v>
      </c>
      <c r="N134" s="131"/>
    </row>
    <row r="135" spans="2:14" x14ac:dyDescent="0.25">
      <c r="B135" s="131"/>
      <c r="E135" s="1">
        <v>11.5</v>
      </c>
      <c r="G135" s="127">
        <f t="shared" si="9"/>
        <v>4.5519310193212146</v>
      </c>
      <c r="H135" s="17">
        <f t="shared" si="10"/>
        <v>154.7656546569213</v>
      </c>
      <c r="I135" s="127">
        <f t="shared" si="11"/>
        <v>2064.7236346042469</v>
      </c>
      <c r="K135" s="249">
        <f t="shared" si="8"/>
        <v>131.59181046652449</v>
      </c>
      <c r="N135" s="131"/>
    </row>
    <row r="136" spans="2:14" x14ac:dyDescent="0.25">
      <c r="B136" s="131"/>
      <c r="E136" s="1">
        <v>12.5</v>
      </c>
      <c r="G136" s="127">
        <f t="shared" si="9"/>
        <v>4.947751107957842</v>
      </c>
      <c r="H136" s="17">
        <f t="shared" si="10"/>
        <v>168.22353767056663</v>
      </c>
      <c r="I136" s="127">
        <f t="shared" si="11"/>
        <v>2244.2648202220075</v>
      </c>
      <c r="K136" s="249">
        <f t="shared" si="8"/>
        <v>143.03457659404836</v>
      </c>
      <c r="N136" s="131"/>
    </row>
    <row r="137" spans="2:14" x14ac:dyDescent="0.25">
      <c r="B137" s="131"/>
      <c r="E137" s="1">
        <v>13.5</v>
      </c>
      <c r="G137" s="127">
        <f t="shared" si="9"/>
        <v>5.3435711965944694</v>
      </c>
      <c r="H137" s="17">
        <f t="shared" si="10"/>
        <v>181.68142068421196</v>
      </c>
      <c r="I137" s="127">
        <f t="shared" si="11"/>
        <v>2423.8060058397682</v>
      </c>
      <c r="K137" s="249">
        <f t="shared" si="8"/>
        <v>154.4773427215722</v>
      </c>
      <c r="N137" s="131"/>
    </row>
    <row r="138" spans="2:14" x14ac:dyDescent="0.25">
      <c r="B138" s="131"/>
      <c r="E138" s="1">
        <v>14.5</v>
      </c>
      <c r="G138" s="127">
        <f t="shared" si="9"/>
        <v>5.739391285231096</v>
      </c>
      <c r="H138" s="17">
        <f t="shared" si="10"/>
        <v>195.13930369785726</v>
      </c>
      <c r="I138" s="127">
        <f t="shared" si="11"/>
        <v>2603.3471914575284</v>
      </c>
      <c r="K138" s="249">
        <f t="shared" si="8"/>
        <v>165.92010884909604</v>
      </c>
      <c r="N138" s="131"/>
    </row>
    <row r="139" spans="2:14" x14ac:dyDescent="0.25">
      <c r="B139" s="131"/>
      <c r="E139" s="1">
        <v>15.5</v>
      </c>
      <c r="G139" s="127">
        <f t="shared" si="9"/>
        <v>6.1352113738677243</v>
      </c>
      <c r="H139" s="17">
        <f t="shared" si="10"/>
        <v>208.59718671150262</v>
      </c>
      <c r="I139" s="127">
        <f t="shared" si="11"/>
        <v>2782.8883770752891</v>
      </c>
      <c r="K139" s="249">
        <f t="shared" si="8"/>
        <v>177.36287497661993</v>
      </c>
      <c r="N139" s="131"/>
    </row>
    <row r="140" spans="2:14" x14ac:dyDescent="0.25">
      <c r="B140" s="131"/>
      <c r="E140" s="1">
        <v>16.5</v>
      </c>
      <c r="G140" s="127">
        <f t="shared" si="9"/>
        <v>6.5310314625043517</v>
      </c>
      <c r="H140" s="17">
        <f t="shared" si="10"/>
        <v>222.05506972514797</v>
      </c>
      <c r="I140" s="127">
        <f t="shared" si="11"/>
        <v>2962.4295626930502</v>
      </c>
      <c r="K140" s="249">
        <f t="shared" si="8"/>
        <v>188.80564110414383</v>
      </c>
      <c r="N140" s="131"/>
    </row>
    <row r="141" spans="2:14" x14ac:dyDescent="0.25">
      <c r="B141" s="131"/>
      <c r="E141" s="1">
        <v>17.5</v>
      </c>
      <c r="G141" s="127">
        <f t="shared" si="9"/>
        <v>6.9268515511409783</v>
      </c>
      <c r="H141" s="17">
        <f t="shared" si="10"/>
        <v>235.51295273879327</v>
      </c>
      <c r="I141" s="127">
        <f t="shared" si="11"/>
        <v>3141.9707483108104</v>
      </c>
      <c r="K141" s="249">
        <f t="shared" si="8"/>
        <v>200.24840723166767</v>
      </c>
      <c r="N141" s="131"/>
    </row>
    <row r="142" spans="2:14" x14ac:dyDescent="0.25">
      <c r="B142" s="131"/>
      <c r="C142" s="131"/>
      <c r="D142" s="131"/>
      <c r="E142" s="132"/>
      <c r="F142" s="131"/>
      <c r="G142" s="279"/>
      <c r="H142" s="280"/>
      <c r="I142" s="279"/>
      <c r="J142" s="131"/>
      <c r="K142" s="281"/>
      <c r="L142" s="131"/>
      <c r="M142" s="131"/>
      <c r="N142" s="131"/>
    </row>
    <row r="143" spans="2:14" x14ac:dyDescent="0.25">
      <c r="E143" s="1"/>
      <c r="G143" s="127"/>
      <c r="H143" s="17"/>
      <c r="I143" s="127"/>
      <c r="K143" s="249"/>
    </row>
    <row r="144" spans="2:14" x14ac:dyDescent="0.25">
      <c r="E144" s="1"/>
      <c r="G144" s="127"/>
      <c r="H144" s="17"/>
      <c r="I144" s="127"/>
      <c r="K144" s="249"/>
    </row>
    <row r="145" spans="5:11" x14ac:dyDescent="0.25">
      <c r="E145" s="1"/>
      <c r="G145" s="127"/>
      <c r="H145" s="17"/>
      <c r="I145" s="127"/>
      <c r="K145" s="249"/>
    </row>
    <row r="146" spans="5:11" x14ac:dyDescent="0.25">
      <c r="E146" s="1"/>
      <c r="G146" s="127"/>
      <c r="H146" s="17"/>
      <c r="I146" s="127"/>
      <c r="K146" s="249"/>
    </row>
    <row r="147" spans="5:11" x14ac:dyDescent="0.25">
      <c r="E147" s="1"/>
      <c r="G147" s="127"/>
      <c r="H147" s="17"/>
      <c r="I147" s="127"/>
      <c r="K147" s="249"/>
    </row>
    <row r="148" spans="5:11" x14ac:dyDescent="0.25">
      <c r="E148" s="1"/>
      <c r="G148" s="127"/>
      <c r="H148" s="17"/>
      <c r="I148" s="127"/>
      <c r="K148" s="249"/>
    </row>
    <row r="149" spans="5:11" x14ac:dyDescent="0.25">
      <c r="E149" s="1"/>
      <c r="G149" s="127"/>
      <c r="H149" s="17"/>
      <c r="I149" s="127"/>
      <c r="K149" s="249"/>
    </row>
    <row r="150" spans="5:11" x14ac:dyDescent="0.25">
      <c r="E150" s="1"/>
      <c r="G150" s="127"/>
      <c r="H150" s="17"/>
      <c r="I150" s="127"/>
      <c r="K150" s="249"/>
    </row>
    <row r="151" spans="5:11" x14ac:dyDescent="0.25">
      <c r="E151" s="1"/>
      <c r="G151" s="127"/>
      <c r="H151" s="17"/>
      <c r="I151" s="127"/>
      <c r="K151" s="249"/>
    </row>
    <row r="152" spans="5:11" x14ac:dyDescent="0.25">
      <c r="E152" s="1"/>
      <c r="G152" s="127"/>
      <c r="H152" s="17"/>
      <c r="I152" s="127"/>
      <c r="K152" s="249"/>
    </row>
    <row r="153" spans="5:11" x14ac:dyDescent="0.25">
      <c r="E153" s="1"/>
      <c r="G153" s="127"/>
      <c r="H153" s="17"/>
      <c r="I153" s="127"/>
      <c r="K153" s="249"/>
    </row>
    <row r="154" spans="5:11" x14ac:dyDescent="0.25">
      <c r="E154" s="1"/>
      <c r="G154" s="127"/>
      <c r="H154" s="17"/>
      <c r="I154" s="127"/>
      <c r="K154" s="249"/>
    </row>
    <row r="155" spans="5:11" x14ac:dyDescent="0.25">
      <c r="E155" s="1"/>
      <c r="G155" s="127"/>
      <c r="H155" s="17"/>
      <c r="I155" s="127"/>
      <c r="K155" s="249"/>
    </row>
    <row r="156" spans="5:11" x14ac:dyDescent="0.25">
      <c r="E156" s="1"/>
      <c r="G156" s="127"/>
      <c r="H156" s="17"/>
      <c r="I156" s="127"/>
      <c r="K156" s="249"/>
    </row>
    <row r="157" spans="5:11" x14ac:dyDescent="0.25">
      <c r="E157" s="1"/>
      <c r="G157" s="127"/>
      <c r="H157" s="17"/>
      <c r="I157" s="127"/>
      <c r="K157" s="249"/>
    </row>
    <row r="158" spans="5:11" x14ac:dyDescent="0.25">
      <c r="E158" s="1"/>
      <c r="G158" s="127"/>
      <c r="H158" s="17"/>
      <c r="I158" s="127"/>
      <c r="K158" s="249"/>
    </row>
    <row r="159" spans="5:11" x14ac:dyDescent="0.25">
      <c r="E159" s="1"/>
      <c r="G159" s="127"/>
      <c r="H159" s="17"/>
      <c r="I159" s="127"/>
      <c r="K159" s="249"/>
    </row>
    <row r="160" spans="5:11" x14ac:dyDescent="0.25">
      <c r="E160" s="1"/>
      <c r="G160" s="127"/>
      <c r="H160" s="17"/>
      <c r="I160" s="127"/>
      <c r="K160" s="249"/>
    </row>
    <row r="161" spans="5:11" x14ac:dyDescent="0.25">
      <c r="E161" s="1"/>
      <c r="G161" s="127"/>
      <c r="H161" s="17"/>
      <c r="I161" s="127"/>
      <c r="K161" s="249"/>
    </row>
    <row r="162" spans="5:11" x14ac:dyDescent="0.25">
      <c r="E162" s="1"/>
      <c r="G162" s="127"/>
      <c r="H162" s="17"/>
      <c r="I162" s="127"/>
      <c r="K162" s="249"/>
    </row>
    <row r="163" spans="5:11" x14ac:dyDescent="0.25">
      <c r="E163" s="1"/>
      <c r="G163" s="127"/>
      <c r="H163" s="17"/>
      <c r="I163" s="127"/>
      <c r="K163" s="249"/>
    </row>
    <row r="164" spans="5:11" x14ac:dyDescent="0.25">
      <c r="E164" s="1"/>
      <c r="G164" s="127"/>
      <c r="H164" s="17"/>
      <c r="I164" s="127"/>
      <c r="K164" s="249"/>
    </row>
    <row r="165" spans="5:11" x14ac:dyDescent="0.25">
      <c r="E165" s="1"/>
      <c r="G165" s="127"/>
      <c r="H165" s="17"/>
      <c r="I165" s="127"/>
      <c r="K165" s="249"/>
    </row>
    <row r="166" spans="5:11" x14ac:dyDescent="0.25">
      <c r="E166" s="1"/>
      <c r="G166" s="127"/>
      <c r="H166" s="17"/>
      <c r="I166" s="127"/>
      <c r="K166" s="249"/>
    </row>
    <row r="167" spans="5:11" x14ac:dyDescent="0.25">
      <c r="E167" s="1"/>
      <c r="G167" s="127"/>
      <c r="H167" s="17"/>
      <c r="I167" s="127"/>
      <c r="K167" s="249"/>
    </row>
    <row r="168" spans="5:11" x14ac:dyDescent="0.25">
      <c r="E168" s="1"/>
      <c r="G168" s="127"/>
      <c r="H168" s="17"/>
      <c r="I168" s="127"/>
      <c r="K168" s="249"/>
    </row>
    <row r="169" spans="5:11" x14ac:dyDescent="0.25">
      <c r="E169" s="1"/>
      <c r="G169" s="127"/>
      <c r="H169" s="17"/>
      <c r="I169" s="127"/>
      <c r="K169" s="249"/>
    </row>
    <row r="170" spans="5:11" x14ac:dyDescent="0.25">
      <c r="E170" s="1"/>
      <c r="G170" s="127"/>
      <c r="H170" s="17"/>
      <c r="I170" s="127"/>
      <c r="K170" s="249"/>
    </row>
    <row r="171" spans="5:11" x14ac:dyDescent="0.25">
      <c r="E171" s="1"/>
      <c r="G171" s="127"/>
      <c r="H171" s="17"/>
      <c r="I171" s="127"/>
      <c r="K171" s="249"/>
    </row>
    <row r="172" spans="5:11" x14ac:dyDescent="0.25">
      <c r="E172" s="1"/>
      <c r="G172" s="127"/>
      <c r="H172" s="17"/>
      <c r="I172" s="127"/>
      <c r="K172" s="249"/>
    </row>
    <row r="173" spans="5:11" x14ac:dyDescent="0.25">
      <c r="E173" s="1"/>
      <c r="G173" s="127"/>
      <c r="H173" s="17"/>
      <c r="I173" s="127"/>
      <c r="K173" s="249"/>
    </row>
    <row r="174" spans="5:11" x14ac:dyDescent="0.25">
      <c r="E174" s="1"/>
      <c r="G174" s="127"/>
      <c r="H174" s="17"/>
      <c r="I174" s="127"/>
      <c r="K174" s="249"/>
    </row>
    <row r="175" spans="5:11" x14ac:dyDescent="0.25">
      <c r="E175" s="1"/>
      <c r="G175" s="127"/>
      <c r="H175" s="17"/>
      <c r="I175" s="127"/>
      <c r="K175" s="249"/>
    </row>
    <row r="176" spans="5:11" x14ac:dyDescent="0.25">
      <c r="E176" s="1"/>
      <c r="G176" s="127"/>
      <c r="H176" s="17"/>
      <c r="I176" s="127"/>
      <c r="K176" s="249"/>
    </row>
    <row r="177" spans="5:11" x14ac:dyDescent="0.25">
      <c r="E177" s="1"/>
      <c r="G177" s="127"/>
      <c r="H177" s="17"/>
      <c r="I177" s="127"/>
      <c r="K177" s="249"/>
    </row>
    <row r="178" spans="5:11" x14ac:dyDescent="0.25">
      <c r="E178" s="1"/>
      <c r="G178" s="127"/>
      <c r="H178" s="17"/>
      <c r="I178" s="127"/>
      <c r="K178" s="249"/>
    </row>
    <row r="179" spans="5:11" x14ac:dyDescent="0.25">
      <c r="E179" s="1"/>
      <c r="G179" s="127"/>
      <c r="H179" s="17"/>
      <c r="I179" s="127"/>
      <c r="K179" s="249"/>
    </row>
    <row r="180" spans="5:11" x14ac:dyDescent="0.25">
      <c r="E180" s="1"/>
      <c r="G180" s="127"/>
      <c r="H180" s="17"/>
      <c r="I180" s="127"/>
      <c r="K180" s="249"/>
    </row>
    <row r="181" spans="5:11" x14ac:dyDescent="0.25">
      <c r="E181" s="1"/>
      <c r="G181" s="127"/>
      <c r="H181" s="17"/>
      <c r="I181" s="127"/>
      <c r="K181" s="249"/>
    </row>
    <row r="182" spans="5:11" x14ac:dyDescent="0.25">
      <c r="E182" s="1"/>
      <c r="G182" s="127"/>
      <c r="H182" s="17"/>
      <c r="I182" s="127"/>
      <c r="K182" s="249"/>
    </row>
    <row r="183" spans="5:11" x14ac:dyDescent="0.25">
      <c r="E183" s="1"/>
      <c r="G183" s="127"/>
      <c r="H183" s="17"/>
      <c r="I183" s="127"/>
      <c r="K183" s="249"/>
    </row>
    <row r="184" spans="5:11" x14ac:dyDescent="0.25">
      <c r="E184" s="1"/>
      <c r="G184" s="127"/>
      <c r="H184" s="17"/>
      <c r="I184" s="127"/>
      <c r="K184" s="249"/>
    </row>
    <row r="185" spans="5:11" x14ac:dyDescent="0.25">
      <c r="E185" s="1"/>
      <c r="G185" s="127"/>
      <c r="H185" s="17"/>
      <c r="I185" s="127"/>
      <c r="K185" s="249"/>
    </row>
  </sheetData>
  <hyperlinks>
    <hyperlink ref="P23" r:id="rId1" xr:uid="{AF4F7B31-D512-40FB-A945-57B0E2580B79}"/>
    <hyperlink ref="R30" r:id="rId2" xr:uid="{D812153C-D82D-4479-83C2-BCBB5031A579}"/>
    <hyperlink ref="AB34" r:id="rId3" location="sources" display="https://www.iea.org/reports/methane-tracker-2020/interactive-country-and-regional-estimates - sources" xr:uid="{30279378-F898-4ED7-9BD9-95117262999D}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21643-B390-4759-8FEA-025EC83508B1}">
  <dimension ref="B21:S51"/>
  <sheetViews>
    <sheetView topLeftCell="A37" zoomScale="110" zoomScaleNormal="110" workbookViewId="0">
      <selection activeCell="M39" sqref="M39"/>
    </sheetView>
  </sheetViews>
  <sheetFormatPr defaultRowHeight="13.2" x14ac:dyDescent="0.25"/>
  <cols>
    <col min="2" max="2" width="4.44140625" customWidth="1"/>
    <col min="3" max="3" width="4.88671875" customWidth="1"/>
    <col min="5" max="5" width="15" customWidth="1"/>
    <col min="7" max="7" width="29.88671875" bestFit="1" customWidth="1"/>
    <col min="8" max="8" width="14.44140625" bestFit="1" customWidth="1"/>
    <col min="11" max="11" width="3.77734375" customWidth="1"/>
    <col min="13" max="13" width="27.44140625" bestFit="1" customWidth="1"/>
    <col min="14" max="14" width="15.77734375" customWidth="1"/>
    <col min="15" max="15" width="18.5546875" customWidth="1"/>
    <col min="16" max="16" width="22.33203125" customWidth="1"/>
    <col min="17" max="17" width="19.21875" customWidth="1"/>
    <col min="18" max="18" width="16.21875" customWidth="1"/>
    <col min="19" max="19" width="16.6640625" customWidth="1"/>
  </cols>
  <sheetData>
    <row r="21" spans="2:19" x14ac:dyDescent="0.25">
      <c r="B21" s="131"/>
      <c r="C21" s="131"/>
      <c r="D21" s="131"/>
      <c r="E21" s="131"/>
      <c r="F21" s="131"/>
      <c r="G21" s="131"/>
      <c r="H21" s="131"/>
      <c r="I21" s="131"/>
      <c r="J21" s="131"/>
      <c r="K21" s="131"/>
    </row>
    <row r="22" spans="2:19" x14ac:dyDescent="0.25">
      <c r="B22" s="131"/>
      <c r="K22" s="131"/>
    </row>
    <row r="23" spans="2:19" ht="13.8" thickBot="1" x14ac:dyDescent="0.3">
      <c r="B23" s="131"/>
      <c r="D23" s="1"/>
      <c r="E23" s="1"/>
      <c r="F23" s="1"/>
      <c r="G23" s="102" t="s">
        <v>9</v>
      </c>
      <c r="H23" s="102" t="s">
        <v>169</v>
      </c>
      <c r="K23" s="131"/>
    </row>
    <row r="24" spans="2:19" ht="40.799999999999997" thickTop="1" thickBot="1" x14ac:dyDescent="0.3">
      <c r="B24" s="131"/>
      <c r="D24" s="135" t="s">
        <v>104</v>
      </c>
      <c r="E24" s="2" t="s">
        <v>170</v>
      </c>
      <c r="F24" s="2"/>
      <c r="G24" s="2">
        <v>1</v>
      </c>
      <c r="H24" s="103">
        <f>(1/N26)*1000000</f>
        <v>113.63636363636364</v>
      </c>
      <c r="K24" s="131"/>
    </row>
    <row r="25" spans="2:19" ht="66" x14ac:dyDescent="0.25">
      <c r="B25" s="131"/>
      <c r="K25" s="131"/>
      <c r="M25" s="151" t="s">
        <v>166</v>
      </c>
      <c r="N25" s="19" t="s">
        <v>167</v>
      </c>
      <c r="O25" s="19" t="s">
        <v>172</v>
      </c>
      <c r="P25" s="6" t="s">
        <v>176</v>
      </c>
    </row>
    <row r="26" spans="2:19" ht="13.8" thickBot="1" x14ac:dyDescent="0.3">
      <c r="B26" s="131"/>
      <c r="G26" s="102" t="s">
        <v>169</v>
      </c>
      <c r="K26" s="131"/>
      <c r="M26" s="100" t="s">
        <v>168</v>
      </c>
      <c r="N26" s="152">
        <v>8800</v>
      </c>
      <c r="O26" s="98">
        <v>10</v>
      </c>
      <c r="P26" s="99">
        <v>38.700000000000003</v>
      </c>
    </row>
    <row r="27" spans="2:19" ht="80.400000000000006" thickTop="1" thickBot="1" x14ac:dyDescent="0.3">
      <c r="B27" s="131"/>
      <c r="D27" s="135" t="s">
        <v>105</v>
      </c>
      <c r="E27" s="2" t="s">
        <v>171</v>
      </c>
      <c r="F27" s="1"/>
      <c r="G27" s="17">
        <f>(H24)/(1-O26/100)</f>
        <v>126.26262626262627</v>
      </c>
      <c r="H27" s="1"/>
      <c r="K27" s="131"/>
      <c r="M27" s="43"/>
      <c r="N27" s="97"/>
      <c r="O27" s="155" t="s">
        <v>173</v>
      </c>
      <c r="P27" s="12"/>
    </row>
    <row r="28" spans="2:19" ht="13.8" thickBot="1" x14ac:dyDescent="0.3">
      <c r="B28" s="131"/>
      <c r="K28" s="131"/>
    </row>
    <row r="29" spans="2:19" ht="16.2" thickBot="1" x14ac:dyDescent="0.3">
      <c r="B29" s="131"/>
      <c r="G29" s="104" t="s">
        <v>174</v>
      </c>
      <c r="K29" s="131"/>
      <c r="M29" s="153" t="s">
        <v>108</v>
      </c>
      <c r="O29" s="13" t="s">
        <v>3</v>
      </c>
      <c r="P29" s="14" t="s">
        <v>2</v>
      </c>
      <c r="Q29" s="14" t="s">
        <v>4</v>
      </c>
      <c r="R29" s="16" t="s">
        <v>1</v>
      </c>
    </row>
    <row r="30" spans="2:19" ht="69.599999999999994" thickTop="1" thickBot="1" x14ac:dyDescent="0.3">
      <c r="B30" s="131"/>
      <c r="D30" s="135" t="s">
        <v>106</v>
      </c>
      <c r="E30" s="2" t="s">
        <v>175</v>
      </c>
      <c r="F30" s="1"/>
      <c r="G30" s="156">
        <f>(P26)*(Q30/R30)*(1/1000)*(M30)*(R30)</f>
        <v>8.1802546276938315E-4</v>
      </c>
      <c r="K30" s="131"/>
      <c r="M30" s="154">
        <v>1.9175739000000001E-2</v>
      </c>
      <c r="O30" s="7">
        <v>1</v>
      </c>
      <c r="P30" s="10">
        <v>1000000</v>
      </c>
      <c r="Q30" s="8">
        <v>1.1023099999999999</v>
      </c>
      <c r="R30" s="9">
        <v>2204.62</v>
      </c>
    </row>
    <row r="31" spans="2:19" ht="13.8" thickBot="1" x14ac:dyDescent="0.3">
      <c r="B31" s="131"/>
      <c r="K31" s="131"/>
    </row>
    <row r="32" spans="2:19" ht="79.8" thickBot="1" x14ac:dyDescent="0.3">
      <c r="B32" s="131"/>
      <c r="G32" s="104" t="s">
        <v>178</v>
      </c>
      <c r="K32" s="131"/>
      <c r="M32" s="81" t="s">
        <v>90</v>
      </c>
      <c r="N32" s="82" t="s">
        <v>91</v>
      </c>
      <c r="O32" s="83" t="s">
        <v>92</v>
      </c>
      <c r="Q32" s="158" t="s">
        <v>180</v>
      </c>
      <c r="R32" s="85" t="s">
        <v>181</v>
      </c>
      <c r="S32" s="86" t="s">
        <v>95</v>
      </c>
    </row>
    <row r="33" spans="2:19" ht="67.2" thickTop="1" thickBot="1" x14ac:dyDescent="0.3">
      <c r="B33" s="131"/>
      <c r="D33" s="135" t="s">
        <v>112</v>
      </c>
      <c r="E33" s="2" t="s">
        <v>177</v>
      </c>
      <c r="F33" s="1"/>
      <c r="G33" s="156">
        <f>G30*G27</f>
        <v>0.10328604327896253</v>
      </c>
      <c r="K33" s="131"/>
      <c r="M33" s="87"/>
      <c r="N33" s="85" t="s">
        <v>96</v>
      </c>
      <c r="O33" s="88" t="s">
        <v>97</v>
      </c>
      <c r="Q33" s="89" t="s">
        <v>98</v>
      </c>
      <c r="R33" s="1">
        <v>0.10695</v>
      </c>
      <c r="S33" s="90" t="s">
        <v>99</v>
      </c>
    </row>
    <row r="34" spans="2:19" ht="15.6" x14ac:dyDescent="0.25">
      <c r="B34" s="131"/>
      <c r="K34" s="131"/>
      <c r="M34" s="89" t="s">
        <v>98</v>
      </c>
      <c r="N34" s="2">
        <v>1</v>
      </c>
      <c r="O34" s="91">
        <v>1</v>
      </c>
      <c r="Q34" s="89" t="s">
        <v>100</v>
      </c>
      <c r="R34" s="1">
        <v>2.4250000000000001E-2</v>
      </c>
      <c r="S34" s="90" t="s">
        <v>101</v>
      </c>
    </row>
    <row r="35" spans="2:19" ht="16.2" thickBot="1" x14ac:dyDescent="0.3">
      <c r="B35" s="131"/>
      <c r="D35" s="1"/>
      <c r="E35" s="1"/>
      <c r="F35" s="1"/>
      <c r="G35" s="102" t="s">
        <v>123</v>
      </c>
      <c r="K35" s="131"/>
      <c r="M35" s="89" t="s">
        <v>100</v>
      </c>
      <c r="N35" s="2">
        <v>34</v>
      </c>
      <c r="O35" s="91">
        <v>86</v>
      </c>
      <c r="Q35" s="92" t="s">
        <v>102</v>
      </c>
      <c r="R35" s="93">
        <v>3.5300000000000002E-3</v>
      </c>
      <c r="S35" s="94" t="s">
        <v>101</v>
      </c>
    </row>
    <row r="36" spans="2:19" ht="96" thickTop="1" thickBot="1" x14ac:dyDescent="0.3">
      <c r="B36" s="131"/>
      <c r="D36" s="136" t="s">
        <v>117</v>
      </c>
      <c r="E36" s="2" t="s">
        <v>152</v>
      </c>
      <c r="F36" s="1"/>
      <c r="G36" s="157">
        <f>G33*N35</f>
        <v>3.5117254714847261</v>
      </c>
      <c r="K36" s="131"/>
      <c r="M36" s="92" t="s">
        <v>102</v>
      </c>
      <c r="N36" s="95">
        <v>298</v>
      </c>
      <c r="O36" s="96">
        <v>268</v>
      </c>
    </row>
    <row r="37" spans="2:19" ht="39.6" x14ac:dyDescent="0.25">
      <c r="B37" s="131"/>
      <c r="D37" s="1"/>
      <c r="E37" s="2" t="s">
        <v>153</v>
      </c>
      <c r="F37" s="1"/>
      <c r="G37" s="1"/>
      <c r="K37" s="131"/>
    </row>
    <row r="38" spans="2:19" x14ac:dyDescent="0.25">
      <c r="B38" s="131"/>
      <c r="K38" s="131"/>
    </row>
    <row r="39" spans="2:19" ht="95.4" thickBot="1" x14ac:dyDescent="0.3">
      <c r="B39" s="131"/>
      <c r="D39" s="136" t="s">
        <v>136</v>
      </c>
      <c r="E39" s="114" t="s">
        <v>179</v>
      </c>
      <c r="G39" s="102" t="s">
        <v>139</v>
      </c>
      <c r="H39" s="102" t="s">
        <v>123</v>
      </c>
      <c r="K39" s="131"/>
    </row>
    <row r="40" spans="2:19" ht="13.8" thickTop="1" x14ac:dyDescent="0.25">
      <c r="B40" s="131"/>
      <c r="E40" s="115" t="s">
        <v>137</v>
      </c>
      <c r="K40" s="131"/>
    </row>
    <row r="41" spans="2:19" ht="15.6" x14ac:dyDescent="0.25">
      <c r="B41" s="131"/>
      <c r="E41" s="98" t="s">
        <v>98</v>
      </c>
      <c r="G41" s="115">
        <f>R33*2000</f>
        <v>213.9</v>
      </c>
      <c r="H41" s="46">
        <f>G41*N34</f>
        <v>213.9</v>
      </c>
      <c r="K41" s="131"/>
    </row>
    <row r="42" spans="2:19" ht="15.6" x14ac:dyDescent="0.25">
      <c r="B42" s="131"/>
      <c r="E42" s="98" t="s">
        <v>100</v>
      </c>
      <c r="G42" s="115">
        <f>R34</f>
        <v>2.4250000000000001E-2</v>
      </c>
      <c r="H42" s="46">
        <f>G42*N35</f>
        <v>0.82450000000000001</v>
      </c>
      <c r="K42" s="131"/>
    </row>
    <row r="43" spans="2:19" ht="15.6" x14ac:dyDescent="0.25">
      <c r="B43" s="131"/>
      <c r="E43" s="98" t="s">
        <v>102</v>
      </c>
      <c r="G43" s="115">
        <f>R35</f>
        <v>3.5300000000000002E-3</v>
      </c>
      <c r="H43" s="46">
        <f>G43*N36</f>
        <v>1.0519400000000001</v>
      </c>
      <c r="K43" s="131"/>
    </row>
    <row r="44" spans="2:19" ht="13.8" thickBot="1" x14ac:dyDescent="0.3">
      <c r="B44" s="131"/>
      <c r="E44" s="119" t="s">
        <v>140</v>
      </c>
      <c r="F44" s="120"/>
      <c r="G44" s="120"/>
      <c r="H44" s="159">
        <f>SUM(H41:H43)</f>
        <v>215.77644000000001</v>
      </c>
      <c r="K44" s="131"/>
    </row>
    <row r="45" spans="2:19" x14ac:dyDescent="0.25">
      <c r="B45" s="131"/>
      <c r="E45" s="115" t="s">
        <v>138</v>
      </c>
      <c r="H45" s="46"/>
      <c r="K45" s="131"/>
    </row>
    <row r="46" spans="2:19" ht="16.2" thickBot="1" x14ac:dyDescent="0.3">
      <c r="B46" s="131"/>
      <c r="E46" s="122" t="s">
        <v>100</v>
      </c>
      <c r="F46" s="120"/>
      <c r="G46" s="123">
        <f>G33</f>
        <v>0.10328604327896253</v>
      </c>
      <c r="H46" s="159">
        <f>G46*N35</f>
        <v>3.5117254714847261</v>
      </c>
      <c r="K46" s="131"/>
    </row>
    <row r="47" spans="2:19" ht="13.8" thickBot="1" x14ac:dyDescent="0.3">
      <c r="B47" s="131"/>
      <c r="E47" s="116" t="s">
        <v>141</v>
      </c>
      <c r="F47" s="117"/>
      <c r="G47" s="117"/>
      <c r="H47" s="160">
        <f>H46+H44</f>
        <v>219.28816547148475</v>
      </c>
      <c r="K47" s="131"/>
    </row>
    <row r="48" spans="2:19" x14ac:dyDescent="0.25">
      <c r="B48" s="131"/>
      <c r="K48" s="131"/>
    </row>
    <row r="49" spans="2:11" x14ac:dyDescent="0.25">
      <c r="B49" s="131"/>
      <c r="K49" s="131"/>
    </row>
    <row r="50" spans="2:11" x14ac:dyDescent="0.25">
      <c r="B50" s="131"/>
      <c r="K50" s="131"/>
    </row>
    <row r="51" spans="2:11" x14ac:dyDescent="0.25"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</sheetData>
  <hyperlinks>
    <hyperlink ref="O27" r:id="rId1" display="https://www.usea.org/sites/default/files/122012_Losses in the coal supply chain_ccc212.pdf" xr:uid="{24903776-2CB3-45C3-8DBB-93EA0A925302}"/>
    <hyperlink ref="O32" r:id="rId2" xr:uid="{0EFB27E5-F2C8-4310-A354-BA151E2A2F2E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182C-385C-480C-9618-7193F876C8EC}">
  <dimension ref="B1:T12"/>
  <sheetViews>
    <sheetView topLeftCell="N82" zoomScale="90" zoomScaleNormal="90" workbookViewId="0">
      <selection activeCell="AI109" sqref="AI109"/>
    </sheetView>
  </sheetViews>
  <sheetFormatPr defaultRowHeight="13.2" x14ac:dyDescent="0.25"/>
  <cols>
    <col min="2" max="2" width="15.5546875" customWidth="1"/>
    <col min="3" max="3" width="18.77734375" customWidth="1"/>
    <col min="4" max="4" width="7" customWidth="1"/>
    <col min="8" max="8" width="11.33203125" customWidth="1"/>
    <col min="9" max="9" width="12.5546875" customWidth="1"/>
    <col min="11" max="11" width="11.33203125" customWidth="1"/>
    <col min="12" max="13" width="12.5546875" customWidth="1"/>
    <col min="14" max="14" width="11.21875" customWidth="1"/>
    <col min="15" max="15" width="11.44140625" customWidth="1"/>
    <col min="16" max="16" width="11.88671875" customWidth="1"/>
    <col min="17" max="18" width="12.33203125" customWidth="1"/>
    <col min="19" max="19" width="11.109375" customWidth="1"/>
    <col min="20" max="20" width="12" customWidth="1"/>
  </cols>
  <sheetData>
    <row r="1" spans="2:20" ht="13.8" thickBot="1" x14ac:dyDescent="0.3"/>
    <row r="2" spans="2:20" ht="13.8" thickBot="1" x14ac:dyDescent="0.3">
      <c r="E2" s="282" t="s">
        <v>185</v>
      </c>
      <c r="F2" s="283"/>
      <c r="G2" s="283"/>
      <c r="H2" s="283"/>
      <c r="I2" s="283"/>
      <c r="J2" s="283"/>
      <c r="K2" s="283"/>
      <c r="L2" s="283"/>
      <c r="M2" s="283"/>
      <c r="N2" s="283"/>
      <c r="O2" s="284"/>
    </row>
    <row r="4" spans="2:20" ht="53.4" thickBot="1" x14ac:dyDescent="0.3">
      <c r="B4" s="1"/>
      <c r="C4" s="102" t="s">
        <v>207</v>
      </c>
      <c r="D4" s="102" t="s">
        <v>166</v>
      </c>
      <c r="E4" s="104" t="s">
        <v>278</v>
      </c>
      <c r="F4" s="104" t="s">
        <v>279</v>
      </c>
      <c r="G4" s="104" t="s">
        <v>280</v>
      </c>
      <c r="H4" s="104" t="s">
        <v>281</v>
      </c>
      <c r="I4" s="104" t="s">
        <v>282</v>
      </c>
      <c r="J4" s="104" t="s">
        <v>283</v>
      </c>
      <c r="K4" s="104" t="s">
        <v>284</v>
      </c>
      <c r="L4" s="104" t="s">
        <v>285</v>
      </c>
      <c r="M4" s="104" t="s">
        <v>286</v>
      </c>
      <c r="N4" s="104" t="s">
        <v>287</v>
      </c>
      <c r="O4" s="104" t="s">
        <v>288</v>
      </c>
      <c r="P4" s="104" t="s">
        <v>289</v>
      </c>
      <c r="Q4" s="247" t="s">
        <v>342</v>
      </c>
      <c r="R4" s="104" t="s">
        <v>290</v>
      </c>
      <c r="S4" s="104" t="s">
        <v>291</v>
      </c>
      <c r="T4" s="248" t="s">
        <v>343</v>
      </c>
    </row>
    <row r="5" spans="2:20" ht="13.8" thickTop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20" ht="94.8" x14ac:dyDescent="0.25">
      <c r="B6" s="176" t="s">
        <v>202</v>
      </c>
      <c r="C6" s="178" t="s">
        <v>205</v>
      </c>
      <c r="D6" s="178"/>
      <c r="E6" s="80">
        <f>'1-MethaneCalculator_NG'!Y23</f>
        <v>3.2903599590099666</v>
      </c>
      <c r="F6" s="80">
        <f>'1-MethaneCalculator_NG'!W23</f>
        <v>2.8385647508289198</v>
      </c>
      <c r="G6" s="80">
        <f>'1-MethaneCalculator_NG'!X23</f>
        <v>2.4728257727775964</v>
      </c>
      <c r="H6" s="80">
        <f>'1-MethaneCalculator_NG'!Y26</f>
        <v>2.1839214574719192</v>
      </c>
      <c r="I6" s="80">
        <f>'1-MethaneCalculator_NG'!Y24</f>
        <v>2.1751591859840431</v>
      </c>
      <c r="J6" s="80">
        <f>'1-MethaneCalculator_NG'!W27</f>
        <v>2.1638596041843905</v>
      </c>
      <c r="K6" s="80">
        <f>'1-MethaneCalculator_NG'!W24</f>
        <v>1.8202078362314227</v>
      </c>
      <c r="L6" s="80">
        <f>'1-MethaneCalculator_NG'!W26</f>
        <v>1.6876274909429869</v>
      </c>
      <c r="M6" s="80">
        <f>'1-MethaneCalculator_NG'!Y25</f>
        <v>1.6773615613309782</v>
      </c>
      <c r="N6" s="80">
        <f>'1-MethaneCalculator_NG'!W28</f>
        <v>1.5115749560714291</v>
      </c>
      <c r="O6" s="80">
        <f>'1-MethaneCalculator_NG'!X24</f>
        <v>1.4933928739591935</v>
      </c>
      <c r="P6" s="80">
        <f>'1-MethaneCalculator_NG'!W25</f>
        <v>1.432791424001429</v>
      </c>
      <c r="Q6" s="80">
        <f>'1-MethaneCalculator_NG'!I32</f>
        <v>1.3656160787348142</v>
      </c>
      <c r="R6" s="80">
        <f>'1-MethaneCalculator_NG'!X26</f>
        <v>1.2905923177198411</v>
      </c>
      <c r="S6" s="80">
        <f>'1-MethaneCalculator_NG'!X25</f>
        <v>1.2033716491613211</v>
      </c>
      <c r="T6" s="80">
        <f>'1-MethaneCalculator_NG'!W29</f>
        <v>0.76942624348100841</v>
      </c>
    </row>
    <row r="8" spans="2:20" ht="39.6" x14ac:dyDescent="0.25">
      <c r="C8" s="128" t="s">
        <v>203</v>
      </c>
      <c r="D8" s="180">
        <f>'2-MethaneCalculator_Coal'!G46</f>
        <v>0.10328604327896253</v>
      </c>
      <c r="E8" s="80">
        <f>(E6/100)*'1-MethaneCalculator_NG'!$G$29</f>
        <v>1.3023905706217347</v>
      </c>
      <c r="F8" s="80">
        <f>(F6/100)*'1-MethaneCalculator_NG'!$G$29</f>
        <v>1.1235609512739091</v>
      </c>
      <c r="G8" s="80">
        <f>(G6/100)*'1-MethaneCalculator_NG'!$G$29</f>
        <v>0.9787941165637648</v>
      </c>
      <c r="H8" s="80">
        <f>(H6/100)*'1-MethaneCalculator_NG'!$G$29</f>
        <v>0.86443998487196749</v>
      </c>
      <c r="I8" s="80">
        <f>(I6/100)*'1-MethaneCalculator_NG'!$G$29</f>
        <v>0.86097170179497817</v>
      </c>
      <c r="J8" s="80">
        <f>(J6/100)*'1-MethaneCalculator_NG'!$G$29</f>
        <v>0.85649910032548293</v>
      </c>
      <c r="K8" s="80">
        <f>(K6/100)*'1-MethaneCalculator_NG'!$G$29</f>
        <v>0.7204748270742054</v>
      </c>
      <c r="L8" s="80">
        <f>(L6/100)*'1-MethaneCalculator_NG'!$G$29</f>
        <v>0.66799686305066208</v>
      </c>
      <c r="M8" s="80">
        <f>(M6/100)*'1-MethaneCalculator_NG'!$G$29</f>
        <v>0.66393340188169947</v>
      </c>
      <c r="N8" s="80">
        <f>(N6/100)*'1-MethaneCalculator_NG'!$G$29</f>
        <v>0.59831173309309915</v>
      </c>
      <c r="O8" s="80">
        <f>(O6/100)*'1-MethaneCalculator_NG'!$G$29</f>
        <v>0.59111489973983566</v>
      </c>
      <c r="P8" s="80">
        <f>(P6/100)*'1-MethaneCalculator_NG'!$G$29</f>
        <v>0.56712762844604514</v>
      </c>
      <c r="Q8" s="80">
        <f>(Q6/100)*'1-MethaneCalculator_NG'!$G$29</f>
        <v>0.54053827732841764</v>
      </c>
      <c r="R8" s="80">
        <f>(R6/100)*'1-MethaneCalculator_NG'!$G$29</f>
        <v>0.51084236559361784</v>
      </c>
      <c r="S8" s="80">
        <f>(S6/100)*'1-MethaneCalculator_NG'!$G$29</f>
        <v>0.47631867283383861</v>
      </c>
      <c r="T8" s="80">
        <f>(T6/100)*'1-MethaneCalculator_NG'!$G$29</f>
        <v>0.30455436389399998</v>
      </c>
    </row>
    <row r="9" spans="2:20" ht="42" x14ac:dyDescent="0.35">
      <c r="C9" s="128" t="s">
        <v>206</v>
      </c>
      <c r="D9" s="181">
        <f>'2-MethaneCalculator_Coal'!H46</f>
        <v>3.5117254714847261</v>
      </c>
      <c r="E9" s="80">
        <f>E8*'1-MethaneCalculator_NG'!$Q$33</f>
        <v>44.281279401138981</v>
      </c>
      <c r="F9" s="80">
        <f>F8*'1-MethaneCalculator_NG'!$Q$33</f>
        <v>38.201072343312909</v>
      </c>
      <c r="G9" s="80">
        <f>G8*'1-MethaneCalculator_NG'!$Q$33</f>
        <v>33.278999963168005</v>
      </c>
      <c r="H9" s="80">
        <f>H8*'1-MethaneCalculator_NG'!$Q$33</f>
        <v>29.390959485646896</v>
      </c>
      <c r="I9" s="80">
        <f>I8*'1-MethaneCalculator_NG'!$Q$33</f>
        <v>29.273037861029259</v>
      </c>
      <c r="J9" s="80">
        <f>J8*'1-MethaneCalculator_NG'!$Q$33</f>
        <v>29.120969411066419</v>
      </c>
      <c r="K9" s="80">
        <f>K8*'1-MethaneCalculator_NG'!$Q$33</f>
        <v>24.496144120522985</v>
      </c>
      <c r="L9" s="80">
        <f>L8*'1-MethaneCalculator_NG'!$Q$33</f>
        <v>22.711893343722512</v>
      </c>
      <c r="M9" s="80">
        <f>M8*'1-MethaneCalculator_NG'!$Q$33</f>
        <v>22.573735663977782</v>
      </c>
      <c r="N9" s="80">
        <f>N8*'1-MethaneCalculator_NG'!$Q$33</f>
        <v>20.342598925165372</v>
      </c>
      <c r="O9" s="80">
        <f>O8*'1-MethaneCalculator_NG'!$Q$33</f>
        <v>20.097906591154413</v>
      </c>
      <c r="P9" s="80">
        <f>P8*'1-MethaneCalculator_NG'!$Q$33</f>
        <v>19.282339367165534</v>
      </c>
      <c r="Q9" s="80">
        <f>Q8*'1-MethaneCalculator_NG'!$Q$33</f>
        <v>18.3783014291662</v>
      </c>
      <c r="R9" s="80">
        <f>R8*'1-MethaneCalculator_NG'!$Q$33</f>
        <v>17.368640430183007</v>
      </c>
      <c r="S9" s="80">
        <f>S8*'1-MethaneCalculator_NG'!$Q$33</f>
        <v>16.194834876350512</v>
      </c>
      <c r="T9" s="80">
        <f>T8*'1-MethaneCalculator_NG'!$Q$33</f>
        <v>10.354848372395999</v>
      </c>
    </row>
    <row r="10" spans="2:20" ht="52.8" x14ac:dyDescent="0.25">
      <c r="C10" s="128" t="s">
        <v>204</v>
      </c>
      <c r="D10" s="182">
        <f>'2-MethaneCalculator_Coal'!H47</f>
        <v>219.28816547148475</v>
      </c>
      <c r="E10" s="177">
        <f>E9+'1-MethaneCalculator_NG'!$H$49</f>
        <v>161.89167940113899</v>
      </c>
      <c r="F10" s="177">
        <f>F9+'1-MethaneCalculator_NG'!$H$49</f>
        <v>155.81147234331291</v>
      </c>
      <c r="G10" s="177">
        <f>G9+'1-MethaneCalculator_NG'!$H$49</f>
        <v>150.88939996316799</v>
      </c>
      <c r="H10" s="177">
        <f>H9+'1-MethaneCalculator_NG'!$H$49</f>
        <v>147.0013594856469</v>
      </c>
      <c r="I10" s="177">
        <f>I9+'1-MethaneCalculator_NG'!$H$49</f>
        <v>146.88343786102925</v>
      </c>
      <c r="J10" s="177">
        <f>J9+'1-MethaneCalculator_NG'!$H$49</f>
        <v>146.73136941106642</v>
      </c>
      <c r="K10" s="177">
        <f>K9+'1-MethaneCalculator_NG'!$H$49</f>
        <v>142.10654412052298</v>
      </c>
      <c r="L10" s="177">
        <f>L9+'1-MethaneCalculator_NG'!$H$49</f>
        <v>140.32229334372252</v>
      </c>
      <c r="M10" s="177">
        <f>M9+'1-MethaneCalculator_NG'!$H$49</f>
        <v>140.18413566397777</v>
      </c>
      <c r="N10" s="177">
        <f>N9+'1-MethaneCalculator_NG'!$H$49</f>
        <v>137.95299892516536</v>
      </c>
      <c r="O10" s="177">
        <f>O9+'1-MethaneCalculator_NG'!$H$49</f>
        <v>137.70830659115441</v>
      </c>
      <c r="P10" s="177">
        <f>P9+'1-MethaneCalculator_NG'!$H$49</f>
        <v>136.89273936716552</v>
      </c>
      <c r="Q10" s="177">
        <f>Q9+'1-MethaneCalculator_NG'!$H$49</f>
        <v>135.98870142916621</v>
      </c>
      <c r="R10" s="177">
        <f>R9+'1-MethaneCalculator_NG'!$H$49</f>
        <v>134.97904043018301</v>
      </c>
      <c r="S10" s="177">
        <f>S9+'1-MethaneCalculator_NG'!$H$49</f>
        <v>133.80523487635051</v>
      </c>
      <c r="T10" s="177">
        <f>T9+'1-MethaneCalculator_NG'!$H$49</f>
        <v>127.96524837239599</v>
      </c>
    </row>
    <row r="12" spans="2:20" x14ac:dyDescent="0.25">
      <c r="C12" s="128" t="s">
        <v>259</v>
      </c>
      <c r="D12" s="177">
        <f t="shared" ref="D12:R12" si="0">100*D9/(D10-D9)</f>
        <v>1.6274832745802674</v>
      </c>
      <c r="E12" s="177">
        <f t="shared" si="0"/>
        <v>37.650819486320074</v>
      </c>
      <c r="F12" s="177">
        <f t="shared" si="0"/>
        <v>32.481032581568385</v>
      </c>
      <c r="G12" s="177">
        <f t="shared" si="0"/>
        <v>28.295966992007514</v>
      </c>
      <c r="H12" s="177">
        <f t="shared" si="0"/>
        <v>24.990102478732233</v>
      </c>
      <c r="I12" s="177">
        <f t="shared" si="0"/>
        <v>24.889837855350599</v>
      </c>
      <c r="J12" s="177">
        <f t="shared" si="0"/>
        <v>24.760539383478346</v>
      </c>
      <c r="K12" s="177">
        <f t="shared" si="0"/>
        <v>20.828212573482435</v>
      </c>
      <c r="L12" s="177">
        <f t="shared" si="0"/>
        <v>19.311126689240503</v>
      </c>
      <c r="M12" s="177">
        <f t="shared" si="0"/>
        <v>19.193656057608667</v>
      </c>
      <c r="N12" s="177">
        <f t="shared" si="0"/>
        <v>17.296598706547531</v>
      </c>
      <c r="O12" s="177">
        <f t="shared" si="0"/>
        <v>17.088545393225779</v>
      </c>
      <c r="P12" s="177">
        <f t="shared" si="0"/>
        <v>16.395097174370239</v>
      </c>
      <c r="Q12" s="177">
        <f t="shared" si="0"/>
        <v>15.626425408948696</v>
      </c>
      <c r="R12" s="177">
        <f t="shared" si="0"/>
        <v>14.767946057647119</v>
      </c>
      <c r="S12" s="177">
        <f>100*S9/(S10-S9)</f>
        <v>13.7699003458457</v>
      </c>
      <c r="T12" s="177">
        <f>100*T9/(T10-T9)</f>
        <v>8.8043645565324162</v>
      </c>
    </row>
  </sheetData>
  <mergeCells count="1">
    <mergeCell ref="E2:O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5E824-E0E0-4099-ADEF-275F21D60DA4}">
  <dimension ref="B14:L41"/>
  <sheetViews>
    <sheetView topLeftCell="F12" workbookViewId="0">
      <selection activeCell="K27" sqref="K27"/>
    </sheetView>
  </sheetViews>
  <sheetFormatPr defaultRowHeight="13.2" x14ac:dyDescent="0.25"/>
  <cols>
    <col min="3" max="3" width="29.33203125" customWidth="1"/>
    <col min="4" max="4" width="22.33203125" customWidth="1"/>
    <col min="5" max="5" width="18.6640625" customWidth="1"/>
    <col min="6" max="6" width="14.21875" bestFit="1" customWidth="1"/>
    <col min="7" max="7" width="16.88671875" customWidth="1"/>
    <col min="8" max="8" width="22.44140625" customWidth="1"/>
    <col min="9" max="9" width="15.21875" customWidth="1"/>
    <col min="10" max="10" width="14" bestFit="1" customWidth="1"/>
    <col min="11" max="11" width="14.21875" bestFit="1" customWidth="1"/>
  </cols>
  <sheetData>
    <row r="14" spans="3:8" x14ac:dyDescent="0.25">
      <c r="C14" s="162" t="s">
        <v>185</v>
      </c>
      <c r="H14" s="161" t="s">
        <v>166</v>
      </c>
    </row>
    <row r="17" spans="2:12" ht="86.4" x14ac:dyDescent="0.25">
      <c r="C17" s="164" t="s">
        <v>320</v>
      </c>
      <c r="D17" s="237" t="s">
        <v>319</v>
      </c>
      <c r="E17" s="3" t="s">
        <v>183</v>
      </c>
      <c r="F17" s="3" t="s">
        <v>184</v>
      </c>
      <c r="H17" s="164" t="s">
        <v>186</v>
      </c>
      <c r="J17" s="3" t="s">
        <v>183</v>
      </c>
      <c r="K17" s="3" t="s">
        <v>184</v>
      </c>
    </row>
    <row r="19" spans="2:12" ht="40.200000000000003" thickBot="1" x14ac:dyDescent="0.3">
      <c r="C19" s="114" t="s">
        <v>182</v>
      </c>
      <c r="E19" s="102" t="s">
        <v>139</v>
      </c>
      <c r="F19" s="102" t="s">
        <v>123</v>
      </c>
      <c r="H19" s="114" t="s">
        <v>182</v>
      </c>
      <c r="J19" s="102" t="s">
        <v>139</v>
      </c>
      <c r="K19" s="102" t="s">
        <v>123</v>
      </c>
    </row>
    <row r="20" spans="2:12" ht="13.8" thickTop="1" x14ac:dyDescent="0.25">
      <c r="C20" s="115" t="s">
        <v>137</v>
      </c>
      <c r="H20" s="115" t="s">
        <v>137</v>
      </c>
    </row>
    <row r="21" spans="2:12" ht="15.6" x14ac:dyDescent="0.25">
      <c r="C21" s="98" t="s">
        <v>98</v>
      </c>
      <c r="E21" s="115">
        <v>116.88</v>
      </c>
      <c r="F21" s="1">
        <v>116.88</v>
      </c>
      <c r="H21" s="98" t="s">
        <v>98</v>
      </c>
      <c r="J21" s="115">
        <v>213.9</v>
      </c>
      <c r="K21" s="1">
        <v>213.9</v>
      </c>
    </row>
    <row r="22" spans="2:12" ht="15.6" x14ac:dyDescent="0.25">
      <c r="C22" s="98" t="s">
        <v>100</v>
      </c>
      <c r="E22" s="115">
        <v>2.2000000000000001E-3</v>
      </c>
      <c r="F22" s="1">
        <v>7.4800000000000005E-2</v>
      </c>
      <c r="H22" s="98" t="s">
        <v>100</v>
      </c>
      <c r="J22" s="115">
        <v>2.4250000000000001E-2</v>
      </c>
      <c r="K22" s="1">
        <v>0.82450000000000001</v>
      </c>
    </row>
    <row r="23" spans="2:12" ht="15.6" x14ac:dyDescent="0.25">
      <c r="C23" s="98" t="s">
        <v>102</v>
      </c>
      <c r="E23" s="115">
        <v>2.2000000000000001E-3</v>
      </c>
      <c r="F23" s="1">
        <v>0.65560000000000007</v>
      </c>
      <c r="H23" s="98" t="s">
        <v>102</v>
      </c>
      <c r="J23" s="115">
        <v>3.5300000000000002E-3</v>
      </c>
      <c r="K23" s="1">
        <v>1.0519400000000001</v>
      </c>
    </row>
    <row r="24" spans="2:12" ht="13.8" thickBot="1" x14ac:dyDescent="0.3">
      <c r="C24" s="119" t="s">
        <v>140</v>
      </c>
      <c r="D24" s="120"/>
      <c r="E24" s="120"/>
      <c r="F24" s="121">
        <f>SUM(F21:F23)</f>
        <v>117.6104</v>
      </c>
      <c r="H24" s="119" t="s">
        <v>140</v>
      </c>
      <c r="I24" s="120"/>
      <c r="J24" s="120"/>
      <c r="K24" s="121">
        <f>SUM(K21:K23)</f>
        <v>215.77644000000001</v>
      </c>
    </row>
    <row r="25" spans="2:12" x14ac:dyDescent="0.25">
      <c r="C25" s="115" t="s">
        <v>138</v>
      </c>
      <c r="F25" s="1"/>
      <c r="H25" s="115" t="s">
        <v>138</v>
      </c>
      <c r="K25" s="1"/>
    </row>
    <row r="26" spans="2:12" ht="16.2" thickBot="1" x14ac:dyDescent="0.3">
      <c r="C26" s="122" t="s">
        <v>100</v>
      </c>
      <c r="D26" s="120"/>
      <c r="E26" s="123">
        <v>0.54053827732841764</v>
      </c>
      <c r="F26" s="124">
        <v>18.3783014291662</v>
      </c>
      <c r="H26" s="122" t="s">
        <v>100</v>
      </c>
      <c r="I26" s="120"/>
      <c r="J26" s="123">
        <v>0.10328604327896253</v>
      </c>
      <c r="K26" s="124">
        <v>3.5117254714847261</v>
      </c>
    </row>
    <row r="27" spans="2:12" ht="13.8" thickBot="1" x14ac:dyDescent="0.3">
      <c r="C27" s="116" t="s">
        <v>141</v>
      </c>
      <c r="D27" s="117"/>
      <c r="E27" s="117"/>
      <c r="F27" s="163">
        <f>F24+F26</f>
        <v>135.98870142916621</v>
      </c>
      <c r="H27" s="116" t="s">
        <v>141</v>
      </c>
      <c r="I27" s="117"/>
      <c r="J27" s="117"/>
      <c r="K27" s="163">
        <f>K24+K26</f>
        <v>219.28816547148475</v>
      </c>
    </row>
    <row r="30" spans="2:12" x14ac:dyDescent="0.25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2:12" ht="13.8" thickBot="1" x14ac:dyDescent="0.3"/>
    <row r="32" spans="2:12" ht="40.200000000000003" thickBot="1" x14ac:dyDescent="0.3">
      <c r="C32" s="81" t="s">
        <v>90</v>
      </c>
      <c r="D32" s="82" t="s">
        <v>91</v>
      </c>
      <c r="E32" s="83" t="s">
        <v>92</v>
      </c>
    </row>
    <row r="33" spans="3:9" ht="13.8" thickBot="1" x14ac:dyDescent="0.3">
      <c r="C33" s="87"/>
      <c r="D33" s="85" t="s">
        <v>96</v>
      </c>
      <c r="E33" s="88" t="s">
        <v>97</v>
      </c>
    </row>
    <row r="34" spans="3:9" ht="15.6" x14ac:dyDescent="0.25">
      <c r="C34" s="89" t="s">
        <v>98</v>
      </c>
      <c r="D34" s="2">
        <v>1</v>
      </c>
      <c r="E34" s="91">
        <v>1</v>
      </c>
    </row>
    <row r="35" spans="3:9" ht="15.6" x14ac:dyDescent="0.25">
      <c r="C35" s="89" t="s">
        <v>100</v>
      </c>
      <c r="D35" s="2">
        <v>34</v>
      </c>
      <c r="E35" s="91">
        <v>86</v>
      </c>
    </row>
    <row r="36" spans="3:9" ht="16.2" thickBot="1" x14ac:dyDescent="0.3">
      <c r="C36" s="92" t="s">
        <v>102</v>
      </c>
      <c r="D36" s="95">
        <v>298</v>
      </c>
      <c r="E36" s="96">
        <v>268</v>
      </c>
    </row>
    <row r="37" spans="3:9" ht="13.8" thickBot="1" x14ac:dyDescent="0.3"/>
    <row r="38" spans="3:9" ht="79.8" thickBot="1" x14ac:dyDescent="0.3">
      <c r="C38" s="84" t="s">
        <v>93</v>
      </c>
      <c r="D38" s="85" t="s">
        <v>94</v>
      </c>
      <c r="E38" s="86" t="s">
        <v>95</v>
      </c>
      <c r="G38" s="158" t="s">
        <v>180</v>
      </c>
      <c r="H38" s="85" t="s">
        <v>181</v>
      </c>
      <c r="I38" s="86" t="s">
        <v>95</v>
      </c>
    </row>
    <row r="39" spans="3:9" ht="15.6" x14ac:dyDescent="0.25">
      <c r="C39" s="89" t="s">
        <v>98</v>
      </c>
      <c r="D39" s="1">
        <v>5.8439999999999999E-2</v>
      </c>
      <c r="E39" s="90" t="s">
        <v>99</v>
      </c>
      <c r="G39" s="89" t="s">
        <v>98</v>
      </c>
      <c r="H39" s="1">
        <v>0.10695</v>
      </c>
      <c r="I39" s="90" t="s">
        <v>99</v>
      </c>
    </row>
    <row r="40" spans="3:9" ht="15.6" x14ac:dyDescent="0.25">
      <c r="C40" s="89" t="s">
        <v>100</v>
      </c>
      <c r="D40" s="1">
        <v>2.2000000000000001E-3</v>
      </c>
      <c r="E40" s="90" t="s">
        <v>101</v>
      </c>
      <c r="G40" s="89" t="s">
        <v>100</v>
      </c>
      <c r="H40" s="1">
        <v>2.4250000000000001E-2</v>
      </c>
      <c r="I40" s="90" t="s">
        <v>101</v>
      </c>
    </row>
    <row r="41" spans="3:9" ht="16.2" thickBot="1" x14ac:dyDescent="0.3">
      <c r="C41" s="92" t="s">
        <v>102</v>
      </c>
      <c r="D41" s="93">
        <v>2.2000000000000001E-3</v>
      </c>
      <c r="E41" s="94" t="s">
        <v>101</v>
      </c>
      <c r="G41" s="92" t="s">
        <v>102</v>
      </c>
      <c r="H41" s="93">
        <v>3.5300000000000002E-3</v>
      </c>
      <c r="I41" s="94" t="s">
        <v>101</v>
      </c>
    </row>
  </sheetData>
  <hyperlinks>
    <hyperlink ref="E32" r:id="rId1" xr:uid="{2DFF2393-843C-48AE-A738-D9BFB68CCAE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67F82-E15C-4722-8FF7-1C0B8408B30D}">
  <dimension ref="G1:AJ29"/>
  <sheetViews>
    <sheetView topLeftCell="W1" zoomScale="90" zoomScaleNormal="90" workbookViewId="0">
      <selection activeCell="AI2" sqref="AI2:AI3"/>
    </sheetView>
  </sheetViews>
  <sheetFormatPr defaultRowHeight="13.2" x14ac:dyDescent="0.25"/>
  <cols>
    <col min="7" max="7" width="22.6640625" bestFit="1" customWidth="1"/>
    <col min="8" max="8" width="7.6640625" bestFit="1" customWidth="1"/>
    <col min="9" max="9" width="9.77734375" bestFit="1" customWidth="1"/>
    <col min="10" max="10" width="8.5546875" bestFit="1" customWidth="1"/>
    <col min="11" max="11" width="9.77734375" bestFit="1" customWidth="1"/>
    <col min="12" max="12" width="2.44140625" customWidth="1"/>
    <col min="13" max="13" width="36.109375" bestFit="1" customWidth="1"/>
    <col min="14" max="14" width="13.5546875" bestFit="1" customWidth="1"/>
    <col min="15" max="15" width="11.33203125" bestFit="1" customWidth="1"/>
    <col min="16" max="16" width="8.21875" bestFit="1" customWidth="1"/>
    <col min="17" max="17" width="9.77734375" bestFit="1" customWidth="1"/>
    <col min="18" max="18" width="10.33203125" bestFit="1" customWidth="1"/>
    <col min="19" max="19" width="12.21875" bestFit="1" customWidth="1"/>
    <col min="20" max="20" width="5" customWidth="1"/>
    <col min="21" max="21" width="22.6640625" bestFit="1" customWidth="1"/>
    <col min="22" max="22" width="14.33203125" bestFit="1" customWidth="1"/>
    <col min="23" max="23" width="10.44140625" bestFit="1" customWidth="1"/>
    <col min="24" max="24" width="4.5546875" bestFit="1" customWidth="1"/>
    <col min="25" max="25" width="9.77734375" bestFit="1" customWidth="1"/>
    <col min="28" max="28" width="20.88671875" customWidth="1"/>
    <col min="29" max="29" width="14.33203125" bestFit="1" customWidth="1"/>
    <col min="30" max="30" width="16.44140625" bestFit="1" customWidth="1"/>
    <col min="31" max="31" width="12.77734375" bestFit="1" customWidth="1"/>
    <col min="32" max="32" width="17.88671875" bestFit="1" customWidth="1"/>
    <col min="33" max="33" width="20.21875" bestFit="1" customWidth="1"/>
    <col min="35" max="35" width="28.5546875" customWidth="1"/>
  </cols>
  <sheetData>
    <row r="1" spans="7:36" ht="13.8" thickBot="1" x14ac:dyDescent="0.3"/>
    <row r="2" spans="7:36" ht="39.6" x14ac:dyDescent="0.25">
      <c r="G2" s="57" t="s">
        <v>74</v>
      </c>
      <c r="M2" s="59" t="s">
        <v>75</v>
      </c>
      <c r="U2" s="55" t="s">
        <v>68</v>
      </c>
      <c r="AB2" s="165" t="s">
        <v>266</v>
      </c>
      <c r="AI2" s="59" t="s">
        <v>267</v>
      </c>
    </row>
    <row r="3" spans="7:36" ht="79.8" thickBot="1" x14ac:dyDescent="0.3">
      <c r="G3" s="58" t="s">
        <v>71</v>
      </c>
      <c r="M3" s="60" t="s">
        <v>76</v>
      </c>
      <c r="U3" s="56" t="s">
        <v>72</v>
      </c>
      <c r="AB3" s="166" t="s">
        <v>187</v>
      </c>
      <c r="AI3" s="199" t="s">
        <v>268</v>
      </c>
    </row>
    <row r="4" spans="7:36" x14ac:dyDescent="0.25">
      <c r="O4" s="76"/>
    </row>
    <row r="6" spans="7:36" ht="13.8" thickBot="1" x14ac:dyDescent="0.3"/>
    <row r="7" spans="7:36" ht="55.8" thickBot="1" x14ac:dyDescent="0.3">
      <c r="G7" s="49" t="s">
        <v>73</v>
      </c>
      <c r="H7" s="53" t="s">
        <v>69</v>
      </c>
      <c r="I7" s="51" t="s">
        <v>53</v>
      </c>
      <c r="J7" s="51" t="s">
        <v>54</v>
      </c>
      <c r="K7" s="54" t="s">
        <v>70</v>
      </c>
      <c r="M7" s="49" t="s">
        <v>77</v>
      </c>
      <c r="N7" s="53" t="s">
        <v>69</v>
      </c>
      <c r="O7" s="51" t="s">
        <v>131</v>
      </c>
      <c r="P7" s="51" t="s">
        <v>130</v>
      </c>
      <c r="Q7" s="54"/>
      <c r="U7" s="49" t="s">
        <v>250</v>
      </c>
      <c r="V7" s="191" t="s">
        <v>252</v>
      </c>
      <c r="W7" s="51" t="s">
        <v>253</v>
      </c>
      <c r="X7" s="51" t="s">
        <v>130</v>
      </c>
      <c r="Y7" s="54"/>
      <c r="AB7" s="167" t="s">
        <v>188</v>
      </c>
      <c r="AC7" s="170" t="s">
        <v>189</v>
      </c>
      <c r="AD7" s="171" t="s">
        <v>190</v>
      </c>
      <c r="AE7" s="172" t="s">
        <v>191</v>
      </c>
      <c r="AI7" s="200" t="s">
        <v>269</v>
      </c>
      <c r="AJ7" s="109">
        <v>2019</v>
      </c>
    </row>
    <row r="8" spans="7:36" ht="13.8" thickBot="1" x14ac:dyDescent="0.3">
      <c r="G8" s="49"/>
      <c r="H8" s="72">
        <f>H19</f>
        <v>13.194000000000001</v>
      </c>
      <c r="I8" s="50">
        <f>H20</f>
        <v>2.1</v>
      </c>
      <c r="J8" s="50">
        <f>-H21</f>
        <v>-1.7</v>
      </c>
      <c r="K8" s="52">
        <f>H19-H17</f>
        <v>12.754000000000001</v>
      </c>
      <c r="M8" s="49"/>
      <c r="N8" s="72">
        <f>P18/1000</f>
        <v>7.3490000000000002</v>
      </c>
      <c r="O8" s="75">
        <v>9.5</v>
      </c>
      <c r="P8" s="75">
        <v>5.6</v>
      </c>
      <c r="Q8" s="77"/>
      <c r="U8" s="49"/>
      <c r="V8" s="74">
        <f>'6-EPA GHGI'!G7</f>
        <v>8.4079999999999995</v>
      </c>
      <c r="W8" s="74">
        <f>'6-EPA GHGI'!H7</f>
        <v>10.046799999999999</v>
      </c>
      <c r="X8" s="74">
        <f>'6-EPA GHGI'!I7</f>
        <v>6.8957599999999992</v>
      </c>
      <c r="Y8" s="52"/>
      <c r="AB8" s="63"/>
      <c r="AC8" s="68">
        <v>172</v>
      </c>
      <c r="AD8" s="5">
        <v>40</v>
      </c>
      <c r="AE8" s="48">
        <f>AC8-AD8</f>
        <v>132</v>
      </c>
      <c r="AI8" s="47" t="s">
        <v>270</v>
      </c>
      <c r="AJ8" s="48">
        <v>7947.6</v>
      </c>
    </row>
    <row r="9" spans="7:36" ht="13.8" thickBot="1" x14ac:dyDescent="0.3">
      <c r="AB9" s="168"/>
      <c r="AC9" s="169">
        <v>195</v>
      </c>
      <c r="AD9" s="66">
        <v>60</v>
      </c>
      <c r="AE9" s="12">
        <f>AC9-AD9</f>
        <v>135</v>
      </c>
      <c r="AI9" s="47" t="s">
        <v>271</v>
      </c>
      <c r="AJ9" s="48">
        <v>3429.6</v>
      </c>
    </row>
    <row r="10" spans="7:36" ht="42.6" thickBot="1" x14ac:dyDescent="0.3">
      <c r="M10" s="49" t="s">
        <v>89</v>
      </c>
      <c r="N10" s="74">
        <v>1.7</v>
      </c>
      <c r="O10" s="51" t="s">
        <v>88</v>
      </c>
      <c r="P10" s="51">
        <f>0.5</f>
        <v>0.5</v>
      </c>
      <c r="Q10" s="71">
        <v>-0.4</v>
      </c>
      <c r="U10" s="49" t="s">
        <v>250</v>
      </c>
      <c r="V10" s="191" t="s">
        <v>254</v>
      </c>
      <c r="W10" s="51" t="s">
        <v>253</v>
      </c>
      <c r="X10" s="51" t="s">
        <v>130</v>
      </c>
      <c r="Y10" s="54"/>
      <c r="AB10" s="3"/>
      <c r="AC10" s="3"/>
      <c r="AI10" s="65" t="s">
        <v>272</v>
      </c>
      <c r="AJ10" s="12">
        <f>AJ8+AJ9</f>
        <v>11377.2</v>
      </c>
    </row>
    <row r="11" spans="7:36" ht="53.4" thickBot="1" x14ac:dyDescent="0.3">
      <c r="G11" s="18" t="s">
        <v>55</v>
      </c>
      <c r="H11" s="40"/>
      <c r="I11" s="40"/>
      <c r="J11" s="6" t="s">
        <v>56</v>
      </c>
      <c r="M11" s="70"/>
      <c r="N11" s="61" t="s">
        <v>78</v>
      </c>
      <c r="O11" s="61">
        <v>25.4</v>
      </c>
      <c r="P11" s="61" t="s">
        <v>79</v>
      </c>
      <c r="Q11" s="61"/>
      <c r="R11" s="67"/>
      <c r="S11" s="62"/>
      <c r="T11" s="5"/>
      <c r="U11" s="49"/>
      <c r="V11" s="74">
        <f>'6-EPA GHGI'!D7</f>
        <v>6.6239999999999997</v>
      </c>
      <c r="W11" s="74">
        <f>'6-EPA GHGI'!E7</f>
        <v>7.7500799999999996</v>
      </c>
      <c r="X11" s="74">
        <f>'6-EPA GHGI'!F7</f>
        <v>5.5641599999999993</v>
      </c>
      <c r="Y11" s="52"/>
      <c r="AB11" s="167" t="s">
        <v>192</v>
      </c>
      <c r="AC11" s="67"/>
      <c r="AD11" s="171" t="s">
        <v>190</v>
      </c>
      <c r="AE11" s="171" t="s">
        <v>191</v>
      </c>
      <c r="AF11" s="171" t="s">
        <v>193</v>
      </c>
      <c r="AG11" s="172" t="s">
        <v>194</v>
      </c>
    </row>
    <row r="12" spans="7:36" ht="52.8" x14ac:dyDescent="0.25">
      <c r="G12" s="41" t="s">
        <v>57</v>
      </c>
      <c r="H12" s="1" t="s">
        <v>58</v>
      </c>
      <c r="I12" s="1" t="s">
        <v>68</v>
      </c>
      <c r="J12" s="42"/>
      <c r="M12" s="63" t="s">
        <v>80</v>
      </c>
      <c r="N12" s="68"/>
      <c r="O12" s="68" t="s">
        <v>81</v>
      </c>
      <c r="P12" s="68" t="s">
        <v>82</v>
      </c>
      <c r="Q12" s="68" t="s">
        <v>83</v>
      </c>
      <c r="R12" s="68" t="s">
        <v>84</v>
      </c>
      <c r="S12" s="64" t="s">
        <v>85</v>
      </c>
      <c r="T12" s="68"/>
      <c r="AB12" s="47"/>
      <c r="AC12" s="5"/>
      <c r="AD12" s="5">
        <v>1.6</v>
      </c>
      <c r="AE12" s="5">
        <f>AC8-AD12</f>
        <v>170.4</v>
      </c>
      <c r="AF12" s="5">
        <f>AE12-AE8</f>
        <v>38.400000000000006</v>
      </c>
      <c r="AG12" s="173">
        <f>100*AF12/AE8</f>
        <v>29.090909090909093</v>
      </c>
    </row>
    <row r="13" spans="7:36" ht="13.8" thickBot="1" x14ac:dyDescent="0.3">
      <c r="G13" s="41" t="s">
        <v>59</v>
      </c>
      <c r="H13" s="1">
        <v>7.6</v>
      </c>
      <c r="I13" s="1">
        <v>3.5</v>
      </c>
      <c r="J13" s="42"/>
      <c r="M13" s="47"/>
      <c r="N13" s="68" t="s">
        <v>59</v>
      </c>
      <c r="O13" s="5">
        <v>0.124</v>
      </c>
      <c r="P13" s="69">
        <v>3146</v>
      </c>
      <c r="Q13" s="69"/>
      <c r="R13" s="5"/>
      <c r="S13" s="48"/>
      <c r="T13" s="5"/>
      <c r="AB13" s="65"/>
      <c r="AC13" s="66"/>
      <c r="AD13" s="66">
        <v>5.4</v>
      </c>
      <c r="AE13" s="66">
        <f>AC9-AD13</f>
        <v>189.6</v>
      </c>
      <c r="AF13" s="66">
        <f>AE13-AE9</f>
        <v>54.599999999999994</v>
      </c>
      <c r="AG13" s="174">
        <f>100*AF13/AE9</f>
        <v>40.444444444444436</v>
      </c>
    </row>
    <row r="14" spans="7:36" x14ac:dyDescent="0.25">
      <c r="G14" s="41" t="s">
        <v>60</v>
      </c>
      <c r="H14" s="1">
        <v>2.6</v>
      </c>
      <c r="I14" s="1">
        <v>2.2999999999999998</v>
      </c>
      <c r="J14" s="42"/>
      <c r="M14" s="47"/>
      <c r="N14" s="68" t="s">
        <v>60</v>
      </c>
      <c r="O14" s="5">
        <v>7.1800000000000003E-2</v>
      </c>
      <c r="P14" s="69">
        <v>1821</v>
      </c>
      <c r="Q14" s="69"/>
      <c r="R14" s="5"/>
      <c r="S14" s="48"/>
      <c r="T14" s="5"/>
    </row>
    <row r="15" spans="7:36" ht="13.8" thickBot="1" x14ac:dyDescent="0.3">
      <c r="G15" s="41" t="s">
        <v>61</v>
      </c>
      <c r="H15" s="1">
        <v>0.72</v>
      </c>
      <c r="I15" s="1">
        <v>0.44</v>
      </c>
      <c r="J15" s="42"/>
      <c r="M15" s="47"/>
      <c r="N15" s="68" t="s">
        <v>61</v>
      </c>
      <c r="O15" s="5">
        <v>0.02</v>
      </c>
      <c r="P15" s="69">
        <v>501</v>
      </c>
      <c r="Q15" s="69"/>
      <c r="R15" s="5"/>
      <c r="S15" s="48"/>
      <c r="T15" s="5"/>
    </row>
    <row r="16" spans="7:36" ht="53.4" thickBot="1" x14ac:dyDescent="0.3">
      <c r="G16" s="41" t="s">
        <v>62</v>
      </c>
      <c r="H16" s="1">
        <v>1.8</v>
      </c>
      <c r="I16" s="1">
        <v>1.4</v>
      </c>
      <c r="J16" s="42"/>
      <c r="M16" s="47"/>
      <c r="N16" s="68" t="s">
        <v>86</v>
      </c>
      <c r="O16" s="5">
        <v>5.9900000000000002E-2</v>
      </c>
      <c r="P16" s="69">
        <v>1519</v>
      </c>
      <c r="Q16" s="69"/>
      <c r="R16" s="5"/>
      <c r="S16" s="48"/>
      <c r="T16" s="5"/>
      <c r="AB16" s="167" t="s">
        <v>195</v>
      </c>
      <c r="AC16" s="108" t="s">
        <v>196</v>
      </c>
      <c r="AD16" s="108" t="s">
        <v>197</v>
      </c>
      <c r="AE16" s="109" t="s">
        <v>198</v>
      </c>
    </row>
    <row r="17" spans="7:31" ht="14.4" thickTop="1" thickBot="1" x14ac:dyDescent="0.3">
      <c r="G17" s="41" t="s">
        <v>63</v>
      </c>
      <c r="H17" s="1">
        <v>0.44</v>
      </c>
      <c r="I17" s="1">
        <v>0.44</v>
      </c>
      <c r="J17" s="42"/>
      <c r="M17" s="47"/>
      <c r="N17" s="68" t="s">
        <v>87</v>
      </c>
      <c r="O17" s="5">
        <v>1.43E-2</v>
      </c>
      <c r="P17" s="69">
        <v>363</v>
      </c>
      <c r="Q17" s="69"/>
      <c r="R17" s="5"/>
      <c r="S17" s="48"/>
      <c r="T17" s="5"/>
      <c r="AB17" s="65"/>
      <c r="AC17" s="66">
        <v>177</v>
      </c>
      <c r="AD17" s="66">
        <f>AC17-37</f>
        <v>140</v>
      </c>
      <c r="AE17" s="12">
        <f>AC17+37</f>
        <v>214</v>
      </c>
    </row>
    <row r="18" spans="7:31" ht="13.8" thickBot="1" x14ac:dyDescent="0.3">
      <c r="G18" s="41" t="s">
        <v>64</v>
      </c>
      <c r="H18" s="1">
        <v>3.4000000000000002E-2</v>
      </c>
      <c r="I18" s="1">
        <v>3.4000000000000002E-2</v>
      </c>
      <c r="J18" s="42"/>
      <c r="M18" s="47"/>
      <c r="N18" s="68" t="s">
        <v>65</v>
      </c>
      <c r="O18" s="5">
        <f>SUM(O13:O17)</f>
        <v>0.28999999999999998</v>
      </c>
      <c r="P18" s="69">
        <v>7349</v>
      </c>
      <c r="Q18" s="69">
        <v>6909</v>
      </c>
      <c r="R18" s="5">
        <v>6719</v>
      </c>
      <c r="S18" s="48"/>
      <c r="T18" s="5"/>
    </row>
    <row r="19" spans="7:31" ht="66.599999999999994" thickBot="1" x14ac:dyDescent="0.3">
      <c r="G19" s="43" t="s">
        <v>65</v>
      </c>
      <c r="H19" s="44">
        <f>SUM(H13:H18)</f>
        <v>13.194000000000001</v>
      </c>
      <c r="I19" s="44">
        <f>SUM(I13:I18)</f>
        <v>8.1140000000000008</v>
      </c>
      <c r="J19" s="45"/>
      <c r="M19" s="47"/>
      <c r="N19" s="5"/>
      <c r="O19" s="5"/>
      <c r="P19" s="5"/>
      <c r="Q19" s="5"/>
      <c r="R19" s="5"/>
      <c r="S19" s="48"/>
      <c r="AB19" s="167" t="s">
        <v>199</v>
      </c>
      <c r="AC19" s="108" t="s">
        <v>196</v>
      </c>
      <c r="AD19" s="108" t="s">
        <v>197</v>
      </c>
      <c r="AE19" s="109" t="s">
        <v>198</v>
      </c>
    </row>
    <row r="20" spans="7:31" ht="13.8" thickBot="1" x14ac:dyDescent="0.3">
      <c r="G20" s="41" t="s">
        <v>66</v>
      </c>
      <c r="H20" s="46">
        <v>2.1</v>
      </c>
      <c r="I20" s="46">
        <v>2.1</v>
      </c>
      <c r="J20" s="42"/>
      <c r="M20" s="47"/>
      <c r="N20" s="5"/>
      <c r="O20" s="5"/>
      <c r="P20" s="5"/>
      <c r="Q20" s="5"/>
      <c r="R20" s="5"/>
      <c r="S20" s="48"/>
      <c r="AB20" s="65"/>
      <c r="AC20" s="66"/>
      <c r="AD20" s="66">
        <v>114</v>
      </c>
      <c r="AE20" s="12">
        <v>133</v>
      </c>
    </row>
    <row r="21" spans="7:31" ht="13.8" thickBot="1" x14ac:dyDescent="0.3">
      <c r="G21" s="41" t="s">
        <v>67</v>
      </c>
      <c r="H21" s="46">
        <v>1.7</v>
      </c>
      <c r="I21" s="46">
        <v>1.4</v>
      </c>
      <c r="J21" s="42"/>
      <c r="M21" s="47"/>
      <c r="N21" s="5"/>
      <c r="O21" s="5"/>
      <c r="P21" s="5"/>
      <c r="Q21" s="5"/>
      <c r="R21" s="5"/>
      <c r="S21" s="48"/>
    </row>
    <row r="22" spans="7:31" ht="13.8" thickBot="1" x14ac:dyDescent="0.3">
      <c r="G22" s="7"/>
      <c r="H22" s="44"/>
      <c r="I22" s="44"/>
      <c r="J22" s="45"/>
      <c r="M22" s="65"/>
      <c r="N22" s="66"/>
      <c r="O22" s="66"/>
      <c r="P22" s="66"/>
      <c r="Q22" s="66"/>
      <c r="R22" s="66"/>
      <c r="S22" s="12"/>
      <c r="AC22" s="70" t="s">
        <v>200</v>
      </c>
      <c r="AD22" s="67">
        <f>AC17-AD20</f>
        <v>63</v>
      </c>
      <c r="AE22" s="62">
        <f>AC17-AE20</f>
        <v>44</v>
      </c>
    </row>
    <row r="23" spans="7:31" ht="13.8" thickBot="1" x14ac:dyDescent="0.3">
      <c r="U23" s="3"/>
      <c r="AC23" s="65" t="s">
        <v>201</v>
      </c>
      <c r="AD23" s="175">
        <f>100*AD22/AD20</f>
        <v>55.263157894736842</v>
      </c>
      <c r="AE23" s="174">
        <f>100*(AE22/AE20)</f>
        <v>33.082706766917291</v>
      </c>
    </row>
    <row r="28" spans="7:31" x14ac:dyDescent="0.25">
      <c r="M28" s="5"/>
      <c r="N28" s="5"/>
    </row>
    <row r="29" spans="7:31" x14ac:dyDescent="0.25">
      <c r="M29" s="79"/>
      <c r="N29" s="73"/>
    </row>
  </sheetData>
  <hyperlinks>
    <hyperlink ref="AI3" r:id="rId1" location="sources" display="https://www.iea.org/reports/methane-tracker-2020/interactive-country-and-regional-estimates - sources" xr:uid="{B5E8C4BF-F6D1-47CE-A794-5C22E308D03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F4B1-655F-425E-B425-283D6BE0B952}">
  <dimension ref="B2:AB27"/>
  <sheetViews>
    <sheetView topLeftCell="N4" zoomScaleNormal="100" workbookViewId="0">
      <selection activeCell="AD9" sqref="AD9"/>
    </sheetView>
  </sheetViews>
  <sheetFormatPr defaultRowHeight="13.2" x14ac:dyDescent="0.25"/>
  <cols>
    <col min="2" max="2" width="15.33203125" customWidth="1"/>
    <col min="4" max="4" width="10.109375" bestFit="1" customWidth="1"/>
    <col min="5" max="5" width="14.33203125" bestFit="1" customWidth="1"/>
    <col min="6" max="6" width="14.33203125" customWidth="1"/>
    <col min="7" max="7" width="19.33203125" customWidth="1"/>
    <col min="8" max="8" width="9.6640625" bestFit="1" customWidth="1"/>
    <col min="9" max="9" width="9.5546875" bestFit="1" customWidth="1"/>
    <col min="10" max="10" width="4.21875" customWidth="1"/>
    <col min="11" max="11" width="10.109375" bestFit="1" customWidth="1"/>
    <col min="12" max="12" width="12.6640625" bestFit="1" customWidth="1"/>
    <col min="13" max="13" width="12.33203125" bestFit="1" customWidth="1"/>
    <col min="16" max="16" width="20" customWidth="1"/>
    <col min="17" max="17" width="13.21875" bestFit="1" customWidth="1"/>
    <col min="18" max="18" width="21" customWidth="1"/>
    <col min="19" max="19" width="4.77734375" bestFit="1" customWidth="1"/>
    <col min="20" max="21" width="13.5546875" customWidth="1"/>
    <col min="22" max="22" width="10.21875" bestFit="1" customWidth="1"/>
    <col min="23" max="23" width="10.21875" customWidth="1"/>
    <col min="24" max="25" width="10.21875" bestFit="1" customWidth="1"/>
    <col min="26" max="26" width="10.21875" customWidth="1"/>
    <col min="27" max="28" width="10.21875" bestFit="1" customWidth="1"/>
  </cols>
  <sheetData>
    <row r="2" spans="2:28" ht="39.6" x14ac:dyDescent="0.25">
      <c r="G2" s="188" t="s">
        <v>251</v>
      </c>
    </row>
    <row r="4" spans="2:28" ht="13.8" thickBot="1" x14ac:dyDescent="0.3"/>
    <row r="5" spans="2:28" ht="26.4" x14ac:dyDescent="0.25">
      <c r="B5" s="1" t="s">
        <v>218</v>
      </c>
      <c r="C5" s="1" t="s">
        <v>220</v>
      </c>
      <c r="D5" s="18" t="s">
        <v>238</v>
      </c>
      <c r="E5" s="40" t="s">
        <v>241</v>
      </c>
      <c r="F5" s="190" t="s">
        <v>242</v>
      </c>
      <c r="G5" s="18" t="s">
        <v>247</v>
      </c>
      <c r="H5" s="40" t="s">
        <v>248</v>
      </c>
      <c r="I5" s="190" t="s">
        <v>249</v>
      </c>
      <c r="J5" s="5"/>
      <c r="K5" t="s">
        <v>240</v>
      </c>
      <c r="L5" t="s">
        <v>244</v>
      </c>
      <c r="M5" t="s">
        <v>245</v>
      </c>
      <c r="N5" t="s">
        <v>246</v>
      </c>
      <c r="P5" t="s">
        <v>218</v>
      </c>
      <c r="Q5" t="s">
        <v>220</v>
      </c>
      <c r="R5" t="s">
        <v>219</v>
      </c>
      <c r="T5" t="s">
        <v>223</v>
      </c>
      <c r="U5" s="3" t="s">
        <v>232</v>
      </c>
      <c r="V5" t="s">
        <v>227</v>
      </c>
      <c r="X5">
        <v>2013</v>
      </c>
      <c r="Y5">
        <v>2014</v>
      </c>
      <c r="Z5">
        <v>2015</v>
      </c>
      <c r="AA5">
        <v>2016</v>
      </c>
      <c r="AB5">
        <v>2017</v>
      </c>
    </row>
    <row r="6" spans="2:28" ht="13.8" thickBot="1" x14ac:dyDescent="0.3">
      <c r="B6" s="1"/>
      <c r="C6" s="1"/>
      <c r="D6" s="43" t="s">
        <v>239</v>
      </c>
      <c r="E6" s="97" t="s">
        <v>239</v>
      </c>
      <c r="F6" s="45" t="s">
        <v>239</v>
      </c>
      <c r="G6" s="43" t="s">
        <v>239</v>
      </c>
      <c r="H6" s="97" t="s">
        <v>239</v>
      </c>
      <c r="I6" s="45" t="s">
        <v>239</v>
      </c>
      <c r="J6" s="5"/>
      <c r="K6" t="s">
        <v>239</v>
      </c>
      <c r="L6" t="s">
        <v>239</v>
      </c>
      <c r="M6" t="s">
        <v>239</v>
      </c>
      <c r="N6" t="s">
        <v>239</v>
      </c>
    </row>
    <row r="7" spans="2:28" ht="52.8" x14ac:dyDescent="0.25">
      <c r="B7" s="189" t="s">
        <v>226</v>
      </c>
      <c r="C7" s="1">
        <v>2017</v>
      </c>
      <c r="D7" s="80">
        <f>AB13</f>
        <v>6.6239999999999997</v>
      </c>
      <c r="E7" s="80">
        <f>AB13 + (AB18/100)*AB13</f>
        <v>7.7500799999999996</v>
      </c>
      <c r="F7" s="80">
        <f>AB13 + (AB19/100)*AB13</f>
        <v>5.5641599999999993</v>
      </c>
      <c r="G7" s="80">
        <f>D7+K7+N7</f>
        <v>8.4079999999999995</v>
      </c>
      <c r="H7" s="80">
        <f>E7+L7+N7</f>
        <v>10.046799999999999</v>
      </c>
      <c r="I7" s="80">
        <f>F7+M7+N7</f>
        <v>6.8957599999999992</v>
      </c>
      <c r="J7" s="73"/>
      <c r="K7" s="73">
        <f>AB14</f>
        <v>1.508</v>
      </c>
      <c r="L7" s="73">
        <f>AB14+(AB21/100)*AB14</f>
        <v>2.0207199999999998</v>
      </c>
      <c r="M7" s="73">
        <f>AB14 + (AB22/100)*AB14</f>
        <v>1.0556000000000001</v>
      </c>
      <c r="N7" s="73">
        <f>AB15</f>
        <v>0.27600000000000002</v>
      </c>
      <c r="P7" s="186" t="s">
        <v>222</v>
      </c>
      <c r="Q7">
        <v>2018</v>
      </c>
      <c r="R7" s="185" t="s">
        <v>221</v>
      </c>
      <c r="T7" s="3" t="s">
        <v>224</v>
      </c>
      <c r="U7" s="3"/>
    </row>
    <row r="9" spans="2:28" ht="67.2" x14ac:dyDescent="0.35">
      <c r="P9" s="186" t="s">
        <v>265</v>
      </c>
      <c r="Q9">
        <v>2017</v>
      </c>
      <c r="R9" s="185" t="s">
        <v>225</v>
      </c>
      <c r="S9" s="3"/>
      <c r="T9" s="3" t="s">
        <v>233</v>
      </c>
      <c r="V9" t="s">
        <v>228</v>
      </c>
      <c r="W9" t="s">
        <v>229</v>
      </c>
      <c r="X9">
        <v>165.6</v>
      </c>
      <c r="Y9">
        <v>165.1</v>
      </c>
      <c r="Z9">
        <v>167.2</v>
      </c>
      <c r="AA9">
        <v>165.7</v>
      </c>
      <c r="AB9">
        <v>165.6</v>
      </c>
    </row>
    <row r="10" spans="2:28" x14ac:dyDescent="0.25">
      <c r="W10" t="s">
        <v>230</v>
      </c>
      <c r="X10">
        <v>41.6</v>
      </c>
      <c r="Y10">
        <v>42.1</v>
      </c>
      <c r="Z10">
        <v>39.5</v>
      </c>
      <c r="AA10">
        <v>38.200000000000003</v>
      </c>
      <c r="AB10">
        <v>37.700000000000003</v>
      </c>
    </row>
    <row r="11" spans="2:28" x14ac:dyDescent="0.25">
      <c r="W11" t="s">
        <v>231</v>
      </c>
      <c r="X11">
        <v>7</v>
      </c>
      <c r="Y11">
        <v>7.1</v>
      </c>
      <c r="Z11">
        <v>7.1</v>
      </c>
      <c r="AA11">
        <v>7.2</v>
      </c>
      <c r="AB11">
        <v>6.9</v>
      </c>
    </row>
    <row r="13" spans="2:28" ht="15.6" x14ac:dyDescent="0.35">
      <c r="U13">
        <v>25</v>
      </c>
      <c r="V13" t="s">
        <v>243</v>
      </c>
      <c r="W13" t="s">
        <v>229</v>
      </c>
      <c r="X13">
        <f>X9/$U$13</f>
        <v>6.6239999999999997</v>
      </c>
      <c r="Y13">
        <f t="shared" ref="Y13:AB13" si="0">Y9/$U$13</f>
        <v>6.6040000000000001</v>
      </c>
      <c r="Z13">
        <f t="shared" si="0"/>
        <v>6.6879999999999997</v>
      </c>
      <c r="AA13">
        <f t="shared" si="0"/>
        <v>6.6279999999999992</v>
      </c>
      <c r="AB13">
        <f t="shared" si="0"/>
        <v>6.6239999999999997</v>
      </c>
    </row>
    <row r="14" spans="2:28" x14ac:dyDescent="0.25">
      <c r="W14" t="s">
        <v>230</v>
      </c>
      <c r="X14">
        <f t="shared" ref="X14:AB15" si="1">X10/$U$13</f>
        <v>1.6640000000000001</v>
      </c>
      <c r="Y14">
        <f t="shared" si="1"/>
        <v>1.6840000000000002</v>
      </c>
      <c r="Z14">
        <f t="shared" si="1"/>
        <v>1.58</v>
      </c>
      <c r="AA14">
        <f t="shared" si="1"/>
        <v>1.528</v>
      </c>
      <c r="AB14">
        <f t="shared" si="1"/>
        <v>1.508</v>
      </c>
    </row>
    <row r="15" spans="2:28" x14ac:dyDescent="0.25">
      <c r="W15" t="s">
        <v>231</v>
      </c>
      <c r="X15">
        <f t="shared" si="1"/>
        <v>0.28000000000000003</v>
      </c>
      <c r="Y15">
        <f t="shared" si="1"/>
        <v>0.28399999999999997</v>
      </c>
      <c r="Z15">
        <f t="shared" si="1"/>
        <v>0.28399999999999997</v>
      </c>
      <c r="AA15">
        <f t="shared" si="1"/>
        <v>0.28800000000000003</v>
      </c>
      <c r="AB15">
        <f t="shared" si="1"/>
        <v>0.27600000000000002</v>
      </c>
    </row>
    <row r="16" spans="2:28" ht="39.6" x14ac:dyDescent="0.25">
      <c r="S16" s="3"/>
      <c r="T16" s="3" t="s">
        <v>235</v>
      </c>
      <c r="V16" t="s">
        <v>234</v>
      </c>
    </row>
    <row r="17" spans="16:28" x14ac:dyDescent="0.25">
      <c r="W17" s="184" t="s">
        <v>229</v>
      </c>
    </row>
    <row r="18" spans="16:28" x14ac:dyDescent="0.25">
      <c r="W18" t="s">
        <v>236</v>
      </c>
      <c r="AB18">
        <v>17</v>
      </c>
    </row>
    <row r="19" spans="16:28" x14ac:dyDescent="0.25">
      <c r="W19" t="s">
        <v>237</v>
      </c>
      <c r="AB19">
        <v>-16</v>
      </c>
    </row>
    <row r="20" spans="16:28" x14ac:dyDescent="0.25">
      <c r="W20" s="184" t="s">
        <v>230</v>
      </c>
    </row>
    <row r="21" spans="16:28" x14ac:dyDescent="0.25">
      <c r="W21" t="s">
        <v>236</v>
      </c>
      <c r="AB21">
        <v>34</v>
      </c>
    </row>
    <row r="22" spans="16:28" x14ac:dyDescent="0.25">
      <c r="W22" t="s">
        <v>237</v>
      </c>
      <c r="AB22">
        <v>-30</v>
      </c>
    </row>
    <row r="23" spans="16:28" x14ac:dyDescent="0.25">
      <c r="W23" s="184" t="s">
        <v>231</v>
      </c>
    </row>
    <row r="24" spans="16:28" x14ac:dyDescent="0.25">
      <c r="W24" t="s">
        <v>236</v>
      </c>
      <c r="AB24">
        <v>215</v>
      </c>
    </row>
    <row r="25" spans="16:28" x14ac:dyDescent="0.25">
      <c r="W25" t="s">
        <v>237</v>
      </c>
      <c r="AB25">
        <v>-83</v>
      </c>
    </row>
    <row r="27" spans="16:28" x14ac:dyDescent="0.25">
      <c r="P27" s="186"/>
      <c r="R27" s="185"/>
    </row>
  </sheetData>
  <hyperlinks>
    <hyperlink ref="R7" r:id="rId1" xr:uid="{F934F7BD-313D-4E67-B94D-E8D266BA3A90}"/>
    <hyperlink ref="R9" r:id="rId2" xr:uid="{EB8ADBEB-8B02-4EE7-8229-8059C819B4B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D90F-1AE7-4D45-9568-4CC72CBAFF6A}">
  <dimension ref="B3:T34"/>
  <sheetViews>
    <sheetView workbookViewId="0"/>
  </sheetViews>
  <sheetFormatPr defaultRowHeight="13.2" x14ac:dyDescent="0.25"/>
  <cols>
    <col min="12" max="12" width="14.5546875" customWidth="1"/>
    <col min="13" max="13" width="14.33203125" customWidth="1"/>
    <col min="14" max="14" width="15.109375" customWidth="1"/>
    <col min="15" max="15" width="17.109375" customWidth="1"/>
    <col min="16" max="16" width="19.21875" customWidth="1"/>
    <col min="17" max="17" width="16.44140625" customWidth="1"/>
    <col min="18" max="18" width="18.77734375" customWidth="1"/>
    <col min="19" max="19" width="16.77734375" customWidth="1"/>
    <col min="20" max="20" width="16.6640625" customWidth="1"/>
  </cols>
  <sheetData>
    <row r="3" spans="2:20" ht="17.399999999999999" x14ac:dyDescent="0.3">
      <c r="B3" s="23" t="s">
        <v>10</v>
      </c>
    </row>
    <row r="4" spans="2:20" ht="66.599999999999994" x14ac:dyDescent="0.3">
      <c r="B4" s="24" t="s">
        <v>11</v>
      </c>
      <c r="C4" s="25"/>
      <c r="D4" s="25"/>
      <c r="E4" s="25"/>
      <c r="F4" s="25"/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</row>
    <row r="5" spans="2:20" x14ac:dyDescent="0.25">
      <c r="B5" s="27"/>
      <c r="C5" s="25"/>
      <c r="D5" s="25"/>
      <c r="E5" s="25"/>
      <c r="F5" s="25"/>
      <c r="K5">
        <v>2012</v>
      </c>
      <c r="L5" s="4">
        <v>29542313</v>
      </c>
      <c r="M5" s="4">
        <v>12504227</v>
      </c>
      <c r="N5" s="4">
        <v>4965833</v>
      </c>
      <c r="O5" s="4">
        <v>10532858</v>
      </c>
      <c r="P5" s="4">
        <v>1539395</v>
      </c>
      <c r="Q5" s="4">
        <v>3277588</v>
      </c>
      <c r="R5" s="4">
        <v>212848</v>
      </c>
      <c r="S5" s="4">
        <v>768598</v>
      </c>
      <c r="T5" s="4">
        <v>25283278</v>
      </c>
    </row>
    <row r="6" spans="2:20" x14ac:dyDescent="0.25">
      <c r="B6" s="28" t="s">
        <v>21</v>
      </c>
      <c r="C6" s="25"/>
      <c r="D6" s="25"/>
      <c r="E6" s="25"/>
      <c r="F6" s="25"/>
      <c r="K6">
        <v>2013</v>
      </c>
      <c r="L6" s="4">
        <v>29522551</v>
      </c>
      <c r="M6" s="4">
        <v>10759545</v>
      </c>
      <c r="N6" s="4">
        <v>5404699</v>
      </c>
      <c r="O6" s="4">
        <v>11932524</v>
      </c>
      <c r="P6" s="4">
        <v>1425783</v>
      </c>
      <c r="Q6" s="4">
        <v>3331456</v>
      </c>
      <c r="R6" s="4">
        <v>260394</v>
      </c>
      <c r="S6" s="4">
        <v>368469</v>
      </c>
      <c r="T6" s="4">
        <v>25562232</v>
      </c>
    </row>
    <row r="7" spans="2:20" x14ac:dyDescent="0.25">
      <c r="B7" s="29" t="s">
        <v>22</v>
      </c>
      <c r="C7" s="30" t="s">
        <v>23</v>
      </c>
      <c r="D7" s="31" t="s">
        <v>24</v>
      </c>
      <c r="E7" s="30" t="s">
        <v>25</v>
      </c>
      <c r="F7" s="30" t="s">
        <v>26</v>
      </c>
      <c r="K7">
        <v>2014</v>
      </c>
      <c r="L7" s="4">
        <v>31405381</v>
      </c>
      <c r="M7" s="4">
        <v>10123418</v>
      </c>
      <c r="N7" s="4">
        <v>5999955</v>
      </c>
      <c r="O7" s="4">
        <v>13974936</v>
      </c>
      <c r="P7" s="4">
        <v>1307072</v>
      </c>
      <c r="Q7" s="4">
        <v>3291091</v>
      </c>
      <c r="R7" s="4">
        <v>293916</v>
      </c>
      <c r="S7" s="4">
        <v>322620</v>
      </c>
      <c r="T7" s="4">
        <v>27497754</v>
      </c>
    </row>
    <row r="8" spans="2:20" x14ac:dyDescent="0.25">
      <c r="B8" s="32" t="s">
        <v>27</v>
      </c>
      <c r="C8" s="33" t="s">
        <v>11</v>
      </c>
      <c r="D8" s="34">
        <v>11</v>
      </c>
      <c r="E8" s="33" t="s">
        <v>28</v>
      </c>
      <c r="F8" s="33">
        <v>2018</v>
      </c>
      <c r="K8">
        <v>2015</v>
      </c>
      <c r="L8" s="4">
        <v>32914647</v>
      </c>
      <c r="M8" s="4">
        <v>9371281</v>
      </c>
      <c r="N8" s="4">
        <v>6537627</v>
      </c>
      <c r="O8" s="4">
        <v>15819319</v>
      </c>
      <c r="P8" s="4">
        <v>1186420</v>
      </c>
      <c r="Q8" s="4">
        <v>3412269</v>
      </c>
      <c r="R8" s="4">
        <v>289545</v>
      </c>
      <c r="S8" s="4">
        <v>440789</v>
      </c>
      <c r="T8" s="4">
        <v>28772044</v>
      </c>
    </row>
    <row r="9" spans="2:20" x14ac:dyDescent="0.25">
      <c r="K9">
        <v>2016</v>
      </c>
      <c r="L9" s="4">
        <v>32591578</v>
      </c>
      <c r="M9" s="4">
        <v>7287858</v>
      </c>
      <c r="N9" s="4">
        <v>6385120</v>
      </c>
      <c r="O9" s="4">
        <v>17847539</v>
      </c>
      <c r="P9" s="4">
        <v>1071062</v>
      </c>
      <c r="Q9" s="4">
        <v>3548106</v>
      </c>
      <c r="R9" s="4">
        <v>230410</v>
      </c>
      <c r="S9" s="4">
        <v>413013</v>
      </c>
      <c r="T9" s="4">
        <v>28400049</v>
      </c>
    </row>
    <row r="10" spans="2:20" x14ac:dyDescent="0.25">
      <c r="B10" t="s">
        <v>29</v>
      </c>
      <c r="C10" s="25" t="s">
        <v>30</v>
      </c>
      <c r="K10">
        <v>2017</v>
      </c>
      <c r="L10" s="4">
        <v>33292113</v>
      </c>
      <c r="M10" s="4">
        <v>6161420</v>
      </c>
      <c r="N10" s="4">
        <v>6217438</v>
      </c>
      <c r="O10" s="4">
        <v>19927602</v>
      </c>
      <c r="P10" s="4">
        <v>985653</v>
      </c>
      <c r="Q10" s="4">
        <v>3542034</v>
      </c>
      <c r="R10" s="4">
        <v>281947</v>
      </c>
      <c r="S10" s="4">
        <v>264582</v>
      </c>
      <c r="T10" s="4">
        <v>29203550</v>
      </c>
    </row>
    <row r="11" spans="2:20" x14ac:dyDescent="0.25">
      <c r="B11" t="s">
        <v>31</v>
      </c>
      <c r="C11" s="25" t="s">
        <v>32</v>
      </c>
      <c r="K11">
        <v>2018</v>
      </c>
      <c r="L11" s="4">
        <v>37129374</v>
      </c>
      <c r="M11" s="4">
        <v>6350001</v>
      </c>
      <c r="N11" s="4">
        <v>6275713</v>
      </c>
      <c r="O11" s="4">
        <v>23550471</v>
      </c>
      <c r="P11" s="4">
        <v>953189</v>
      </c>
      <c r="Q11" s="4">
        <v>3584274</v>
      </c>
      <c r="R11" s="4">
        <v>468347</v>
      </c>
      <c r="S11" s="4">
        <v>253459</v>
      </c>
      <c r="T11" s="4">
        <v>32823295</v>
      </c>
    </row>
    <row r="13" spans="2:20" x14ac:dyDescent="0.25">
      <c r="B13" t="s">
        <v>33</v>
      </c>
      <c r="C13" s="35" t="s">
        <v>34</v>
      </c>
    </row>
    <row r="14" spans="2:20" x14ac:dyDescent="0.25">
      <c r="B14" t="s">
        <v>35</v>
      </c>
      <c r="C14" s="36" t="s">
        <v>36</v>
      </c>
    </row>
    <row r="15" spans="2:20" x14ac:dyDescent="0.25">
      <c r="B15" t="s">
        <v>37</v>
      </c>
      <c r="C15" s="36" t="s">
        <v>38</v>
      </c>
    </row>
    <row r="16" spans="2:20" x14ac:dyDescent="0.25">
      <c r="B16" t="s">
        <v>39</v>
      </c>
      <c r="C16" s="36" t="s">
        <v>40</v>
      </c>
    </row>
    <row r="17" spans="2:17" x14ac:dyDescent="0.25">
      <c r="C17" t="s">
        <v>41</v>
      </c>
      <c r="F17" s="37" t="s">
        <v>42</v>
      </c>
    </row>
    <row r="20" spans="2:17" ht="66.599999999999994" x14ac:dyDescent="0.3">
      <c r="B20" s="23" t="s">
        <v>10</v>
      </c>
      <c r="L20" s="26" t="s">
        <v>43</v>
      </c>
      <c r="M20" s="26" t="s">
        <v>44</v>
      </c>
      <c r="N20" s="26" t="s">
        <v>45</v>
      </c>
      <c r="O20" s="26" t="s">
        <v>46</v>
      </c>
      <c r="P20" s="26" t="s">
        <v>47</v>
      </c>
      <c r="Q20" s="26" t="s">
        <v>48</v>
      </c>
    </row>
    <row r="21" spans="2:17" ht="15.6" x14ac:dyDescent="0.3">
      <c r="B21" s="24" t="s">
        <v>49</v>
      </c>
      <c r="C21" s="25"/>
      <c r="D21" s="25"/>
      <c r="E21" s="25"/>
      <c r="F21" s="25"/>
      <c r="K21" s="38">
        <v>41090</v>
      </c>
      <c r="L21" s="4">
        <v>25538487</v>
      </c>
      <c r="M21" s="4">
        <v>1396273</v>
      </c>
      <c r="N21" s="4">
        <v>987957</v>
      </c>
      <c r="O21" s="4">
        <v>408316</v>
      </c>
      <c r="P21" s="4">
        <v>730790</v>
      </c>
      <c r="Q21" s="4">
        <v>23411423</v>
      </c>
    </row>
    <row r="22" spans="2:17" x14ac:dyDescent="0.25">
      <c r="B22" s="27"/>
      <c r="C22" s="25"/>
      <c r="D22" s="25"/>
      <c r="E22" s="25"/>
      <c r="F22" s="25"/>
      <c r="K22" s="38">
        <v>41455</v>
      </c>
      <c r="L22" s="4">
        <v>26155071</v>
      </c>
      <c r="M22" s="4">
        <v>1483085</v>
      </c>
      <c r="N22" s="4">
        <v>1068289</v>
      </c>
      <c r="O22" s="4">
        <v>414796</v>
      </c>
      <c r="P22" s="4">
        <v>833061</v>
      </c>
      <c r="Q22" s="4">
        <v>23838925</v>
      </c>
    </row>
    <row r="23" spans="2:17" x14ac:dyDescent="0.25">
      <c r="B23" s="28" t="s">
        <v>21</v>
      </c>
      <c r="C23" s="25"/>
      <c r="D23" s="25"/>
      <c r="E23" s="25"/>
      <c r="F23" s="25"/>
      <c r="K23" s="38">
        <v>41820</v>
      </c>
      <c r="L23" s="4">
        <v>26593375</v>
      </c>
      <c r="M23" s="4">
        <v>1512143</v>
      </c>
      <c r="N23" s="4">
        <v>1086905</v>
      </c>
      <c r="O23" s="4">
        <v>425238</v>
      </c>
      <c r="P23" s="4">
        <v>700150</v>
      </c>
      <c r="Q23" s="4">
        <v>24381082</v>
      </c>
    </row>
    <row r="24" spans="2:17" x14ac:dyDescent="0.25">
      <c r="B24" s="29" t="s">
        <v>22</v>
      </c>
      <c r="C24" s="30" t="s">
        <v>23</v>
      </c>
      <c r="D24" s="31" t="s">
        <v>24</v>
      </c>
      <c r="E24" s="30" t="s">
        <v>25</v>
      </c>
      <c r="F24" s="30" t="s">
        <v>26</v>
      </c>
      <c r="K24" s="38">
        <v>42185</v>
      </c>
      <c r="L24" s="4">
        <v>27243858</v>
      </c>
      <c r="M24" s="4">
        <v>1576390</v>
      </c>
      <c r="N24" s="4">
        <v>1139255</v>
      </c>
      <c r="O24" s="4">
        <v>437135</v>
      </c>
      <c r="P24" s="4">
        <v>678183</v>
      </c>
      <c r="Q24" s="4">
        <v>24989285</v>
      </c>
    </row>
    <row r="25" spans="2:17" x14ac:dyDescent="0.25">
      <c r="B25" s="32" t="s">
        <v>27</v>
      </c>
      <c r="C25" s="33" t="s">
        <v>49</v>
      </c>
      <c r="D25" s="34">
        <v>11</v>
      </c>
      <c r="E25" s="33" t="s">
        <v>28</v>
      </c>
      <c r="F25" s="33">
        <v>2018</v>
      </c>
      <c r="K25" s="38">
        <v>42551</v>
      </c>
      <c r="L25" s="4">
        <v>27444220</v>
      </c>
      <c r="M25" s="4">
        <v>1545330</v>
      </c>
      <c r="N25" s="4">
        <v>1126088</v>
      </c>
      <c r="O25" s="4">
        <v>419242</v>
      </c>
      <c r="P25" s="4">
        <v>686732</v>
      </c>
      <c r="Q25" s="4">
        <v>25212159</v>
      </c>
    </row>
    <row r="26" spans="2:17" x14ac:dyDescent="0.25">
      <c r="K26" s="38">
        <v>42916</v>
      </c>
      <c r="L26" s="4">
        <v>27145883</v>
      </c>
      <c r="M26" s="4">
        <v>1584044</v>
      </c>
      <c r="N26" s="4">
        <v>1160973</v>
      </c>
      <c r="O26" s="4">
        <v>423071</v>
      </c>
      <c r="P26" s="4">
        <v>721864</v>
      </c>
      <c r="Q26" s="4">
        <v>24839976</v>
      </c>
    </row>
    <row r="27" spans="2:17" x14ac:dyDescent="0.25">
      <c r="B27" t="s">
        <v>29</v>
      </c>
      <c r="C27" s="25" t="s">
        <v>30</v>
      </c>
      <c r="K27" s="38">
        <v>43281</v>
      </c>
      <c r="L27" s="4">
        <v>30075334</v>
      </c>
      <c r="M27" s="4">
        <v>1684220</v>
      </c>
      <c r="N27" s="4">
        <v>1238028</v>
      </c>
      <c r="O27" s="4">
        <v>446192</v>
      </c>
      <c r="P27" s="4">
        <v>862891</v>
      </c>
      <c r="Q27" s="4">
        <v>27528222</v>
      </c>
    </row>
    <row r="28" spans="2:17" x14ac:dyDescent="0.25">
      <c r="B28" t="s">
        <v>31</v>
      </c>
      <c r="C28" s="25" t="s">
        <v>32</v>
      </c>
      <c r="K28" s="38">
        <v>43646</v>
      </c>
      <c r="Q28" s="4">
        <v>28267179</v>
      </c>
    </row>
    <row r="30" spans="2:17" x14ac:dyDescent="0.25">
      <c r="B30" t="s">
        <v>33</v>
      </c>
      <c r="C30" s="35" t="s">
        <v>50</v>
      </c>
    </row>
    <row r="31" spans="2:17" x14ac:dyDescent="0.25">
      <c r="B31" t="s">
        <v>35</v>
      </c>
      <c r="C31" s="179" t="s">
        <v>51</v>
      </c>
    </row>
    <row r="32" spans="2:17" x14ac:dyDescent="0.25">
      <c r="B32" t="s">
        <v>37</v>
      </c>
      <c r="C32" s="36" t="s">
        <v>38</v>
      </c>
    </row>
    <row r="33" spans="2:6" x14ac:dyDescent="0.25">
      <c r="B33" t="s">
        <v>39</v>
      </c>
      <c r="C33" s="36" t="s">
        <v>40</v>
      </c>
    </row>
    <row r="34" spans="2:6" x14ac:dyDescent="0.25">
      <c r="C34" t="s">
        <v>41</v>
      </c>
      <c r="F34" s="37" t="s">
        <v>52</v>
      </c>
    </row>
  </sheetData>
  <hyperlinks>
    <hyperlink ref="B8" location="'Data 1'!A1" display="Data 1" xr:uid="{E1F594C2-B81B-4C8B-A86C-25CDBDAFA85D}"/>
    <hyperlink ref="C14" r:id="rId1" xr:uid="{449D05D7-0833-4E5E-A629-5151BC0B9A0E}"/>
    <hyperlink ref="C15" r:id="rId2" display="http://www.eia.gov/" xr:uid="{6EF751DB-D370-488A-B2E3-C05B2639404B}"/>
    <hyperlink ref="C16" r:id="rId3" display="mailto:infoctr@eia.gov" xr:uid="{648DC716-4E53-469F-A939-FDA7F016A936}"/>
    <hyperlink ref="B25" location="'Data 1'!A1" display="Data 1" xr:uid="{3C96070A-58BE-46C4-A743-B87D90417FB8}"/>
    <hyperlink ref="C31" r:id="rId4" xr:uid="{2A764CCC-5E27-4F70-851A-A480BE7C5CB1}"/>
    <hyperlink ref="C32" r:id="rId5" display="http://www.eia.gov/" xr:uid="{BCC5DBD0-77DA-4982-8D6F-47322CF53BB9}"/>
    <hyperlink ref="C33" r:id="rId6" display="mailto:infoctr@eia.gov" xr:uid="{D2C83B9A-3603-42C3-BA8C-29D7A900810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94F0-8FEF-4339-9DC2-A44FD4F98792}">
  <dimension ref="C1:T20"/>
  <sheetViews>
    <sheetView workbookViewId="0">
      <selection activeCell="K18" sqref="K18"/>
    </sheetView>
  </sheetViews>
  <sheetFormatPr defaultRowHeight="13.2" x14ac:dyDescent="0.25"/>
  <cols>
    <col min="3" max="3" width="26.77734375" bestFit="1" customWidth="1"/>
    <col min="4" max="4" width="24.44140625" bestFit="1" customWidth="1"/>
    <col min="5" max="5" width="16.21875" bestFit="1" customWidth="1"/>
    <col min="6" max="6" width="14.33203125" bestFit="1" customWidth="1"/>
    <col min="7" max="7" width="14" bestFit="1" customWidth="1"/>
    <col min="8" max="8" width="15.88671875" bestFit="1" customWidth="1"/>
    <col min="9" max="9" width="10" bestFit="1" customWidth="1"/>
    <col min="12" max="12" width="21.88671875" bestFit="1" customWidth="1"/>
    <col min="18" max="18" width="28.44140625" customWidth="1"/>
    <col min="19" max="19" width="8.5546875" bestFit="1" customWidth="1"/>
    <col min="20" max="20" width="16.33203125" bestFit="1" customWidth="1"/>
  </cols>
  <sheetData>
    <row r="1" spans="3:20" ht="13.8" thickBot="1" x14ac:dyDescent="0.3"/>
    <row r="2" spans="3:20" ht="13.8" x14ac:dyDescent="0.25">
      <c r="C2" s="212" t="s">
        <v>294</v>
      </c>
      <c r="D2" s="213"/>
      <c r="E2" s="211"/>
    </row>
    <row r="3" spans="3:20" ht="27.6" x14ac:dyDescent="0.25">
      <c r="C3" s="214" t="s">
        <v>292</v>
      </c>
      <c r="D3" s="215" t="s">
        <v>295</v>
      </c>
      <c r="E3" s="211"/>
      <c r="R3" s="3" t="s">
        <v>349</v>
      </c>
      <c r="S3" t="s">
        <v>351</v>
      </c>
      <c r="T3" t="s">
        <v>352</v>
      </c>
    </row>
    <row r="4" spans="3:20" ht="53.4" thickBot="1" x14ac:dyDescent="0.3">
      <c r="C4" s="216" t="s">
        <v>293</v>
      </c>
      <c r="D4" s="217" t="s">
        <v>296</v>
      </c>
      <c r="E4" s="211"/>
      <c r="R4" s="185" t="s">
        <v>350</v>
      </c>
    </row>
    <row r="5" spans="3:20" ht="14.4" thickBot="1" x14ac:dyDescent="0.3">
      <c r="C5" s="211"/>
      <c r="D5" s="211"/>
      <c r="E5" s="211"/>
    </row>
    <row r="6" spans="3:20" ht="27" thickBot="1" x14ac:dyDescent="0.3">
      <c r="C6" s="70" t="s">
        <v>308</v>
      </c>
      <c r="D6" s="61" t="s">
        <v>297</v>
      </c>
      <c r="E6" s="62"/>
    </row>
    <row r="7" spans="3:20" ht="39.6" x14ac:dyDescent="0.25">
      <c r="C7" s="47"/>
      <c r="D7" s="218" t="s">
        <v>298</v>
      </c>
      <c r="E7" s="64" t="s">
        <v>301</v>
      </c>
      <c r="L7" s="167" t="s">
        <v>310</v>
      </c>
      <c r="M7" s="67"/>
      <c r="N7" s="62"/>
    </row>
    <row r="8" spans="3:20" x14ac:dyDescent="0.25">
      <c r="C8" s="47" t="s">
        <v>299</v>
      </c>
      <c r="D8" s="5">
        <v>153</v>
      </c>
      <c r="E8" s="173">
        <f>D8*0.9029</f>
        <v>138.1437</v>
      </c>
      <c r="L8" s="222">
        <f>'1-MethaneCalculator_NG'!H29</f>
        <v>17954.11856177606</v>
      </c>
      <c r="M8" s="5"/>
      <c r="N8" s="48"/>
    </row>
    <row r="9" spans="3:20" ht="55.8" thickBot="1" x14ac:dyDescent="0.4">
      <c r="C9" s="65" t="s">
        <v>309</v>
      </c>
      <c r="D9" s="66">
        <v>221</v>
      </c>
      <c r="E9" s="174">
        <f>D9*0.9029</f>
        <v>199.54090000000002</v>
      </c>
      <c r="L9" s="47"/>
      <c r="M9" s="68" t="s">
        <v>311</v>
      </c>
      <c r="N9" s="48"/>
    </row>
    <row r="10" spans="3:20" ht="26.4" x14ac:dyDescent="0.25">
      <c r="L10" s="47"/>
      <c r="M10" s="110" t="s">
        <v>312</v>
      </c>
      <c r="N10" s="223" t="s">
        <v>313</v>
      </c>
    </row>
    <row r="11" spans="3:20" ht="13.8" thickBot="1" x14ac:dyDescent="0.3">
      <c r="L11" s="47" t="s">
        <v>299</v>
      </c>
      <c r="M11" s="221">
        <f>100*(D8/L8)</f>
        <v>0.85217216024034603</v>
      </c>
      <c r="N11" s="224">
        <f>100*(E8/L8)</f>
        <v>0.76942624348100841</v>
      </c>
    </row>
    <row r="12" spans="3:20" ht="13.8" thickBot="1" x14ac:dyDescent="0.3">
      <c r="C12" s="70" t="s">
        <v>303</v>
      </c>
      <c r="D12" s="67" t="s">
        <v>305</v>
      </c>
      <c r="E12" s="67" t="s">
        <v>306</v>
      </c>
      <c r="F12" s="67" t="s">
        <v>307</v>
      </c>
      <c r="G12" s="225" t="s">
        <v>314</v>
      </c>
      <c r="H12" s="226" t="s">
        <v>315</v>
      </c>
      <c r="I12" s="227" t="s">
        <v>316</v>
      </c>
      <c r="L12" s="65" t="s">
        <v>309</v>
      </c>
      <c r="M12" s="198">
        <f>100*(D9/L8)</f>
        <v>1.2309153425693888</v>
      </c>
      <c r="N12" s="78">
        <f>100*(E9/L8)</f>
        <v>1.1113934628059012</v>
      </c>
    </row>
    <row r="13" spans="3:20" ht="13.8" x14ac:dyDescent="0.25">
      <c r="C13" s="219" t="s">
        <v>302</v>
      </c>
      <c r="D13" s="5"/>
      <c r="E13" s="218" t="s">
        <v>298</v>
      </c>
      <c r="F13" s="218" t="s">
        <v>298</v>
      </c>
      <c r="G13" s="228" t="s">
        <v>111</v>
      </c>
      <c r="H13" s="218" t="s">
        <v>111</v>
      </c>
      <c r="I13" s="220" t="s">
        <v>111</v>
      </c>
    </row>
    <row r="14" spans="3:20" x14ac:dyDescent="0.25">
      <c r="C14" s="47" t="s">
        <v>304</v>
      </c>
      <c r="D14" s="5" t="s">
        <v>299</v>
      </c>
      <c r="E14" s="5">
        <v>153</v>
      </c>
      <c r="F14" s="5">
        <v>6925</v>
      </c>
      <c r="G14" s="222">
        <v>10803</v>
      </c>
      <c r="H14" s="69">
        <v>54400</v>
      </c>
      <c r="I14" s="229">
        <f>H14+G14</f>
        <v>65203</v>
      </c>
    </row>
    <row r="15" spans="3:20" ht="13.8" thickBot="1" x14ac:dyDescent="0.3">
      <c r="C15" s="65"/>
      <c r="D15" s="66" t="s">
        <v>300</v>
      </c>
      <c r="E15" s="66">
        <v>221</v>
      </c>
      <c r="F15" s="66">
        <v>6172</v>
      </c>
      <c r="G15" s="222">
        <v>12121</v>
      </c>
      <c r="H15" s="69">
        <v>54400</v>
      </c>
      <c r="I15" s="229">
        <f>H15+G15</f>
        <v>66521</v>
      </c>
    </row>
    <row r="16" spans="3:20" x14ac:dyDescent="0.25">
      <c r="G16" s="47"/>
      <c r="H16" s="5"/>
      <c r="I16" s="48"/>
    </row>
    <row r="17" spans="7:9" x14ac:dyDescent="0.25">
      <c r="G17" s="230" t="s">
        <v>314</v>
      </c>
      <c r="H17" s="79" t="s">
        <v>315</v>
      </c>
      <c r="I17" s="231" t="s">
        <v>316</v>
      </c>
    </row>
    <row r="18" spans="7:9" ht="13.8" x14ac:dyDescent="0.25">
      <c r="G18" s="228" t="s">
        <v>101</v>
      </c>
      <c r="H18" s="218" t="s">
        <v>101</v>
      </c>
      <c r="I18" s="220" t="s">
        <v>101</v>
      </c>
    </row>
    <row r="19" spans="7:9" x14ac:dyDescent="0.25">
      <c r="G19" s="222">
        <f>(G14)*('1-MethaneCalculator_NG'!$S$28/'1-MethaneCalculator_NG'!$Q$28)</f>
        <v>23.81650986</v>
      </c>
      <c r="H19" s="69">
        <f>(H14)*('1-MethaneCalculator_NG'!$S$28/'1-MethaneCalculator_NG'!$Q$28)</f>
        <v>119.93132800000001</v>
      </c>
      <c r="I19" s="229">
        <f>H19+G19</f>
        <v>143.74783786</v>
      </c>
    </row>
    <row r="20" spans="7:9" ht="13.8" thickBot="1" x14ac:dyDescent="0.3">
      <c r="G20" s="232">
        <f>(G15)*('1-MethaneCalculator_NG'!$S$28/'1-MethaneCalculator_NG'!$Q$28)</f>
        <v>26.722199020000001</v>
      </c>
      <c r="H20" s="233">
        <f>(H15)*('1-MethaneCalculator_NG'!$S$28/'1-MethaneCalculator_NG'!$Q$28)</f>
        <v>119.93132800000001</v>
      </c>
      <c r="I20" s="234">
        <f>H20+G20</f>
        <v>146.65352702000001</v>
      </c>
    </row>
  </sheetData>
  <hyperlinks>
    <hyperlink ref="C3" r:id="rId1" xr:uid="{F7071ACF-BC62-40DD-955E-A44149D63F0D}"/>
    <hyperlink ref="C13" r:id="rId2" xr:uid="{5E087B1B-8C0B-4022-8E6B-F09B36F144DA}"/>
    <hyperlink ref="R4" r:id="rId3" xr:uid="{E7D8416E-254D-4E80-BC1F-0EB5E1AEF91B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Information</vt:lpstr>
      <vt:lpstr>1-MethaneCalculator_NG</vt:lpstr>
      <vt:lpstr>2-MethaneCalculator_Coal</vt:lpstr>
      <vt:lpstr>3-StudyResults</vt:lpstr>
      <vt:lpstr>4-FuelEmissionRates_Proposed</vt:lpstr>
      <vt:lpstr>5-MethaneEmissionStudies</vt:lpstr>
      <vt:lpstr>6-EPA GHGI</vt:lpstr>
      <vt:lpstr>7-Historic_NG_Delivered</vt:lpstr>
      <vt:lpstr>8-BC Related Studies</vt:lpstr>
      <vt:lpstr>9-IPCC CO2e</vt:lpstr>
      <vt:lpstr>10-Em Rate Over Time</vt:lpstr>
      <vt:lpstr>11-NW GenerationEmissionRate</vt:lpstr>
      <vt:lpstr>12-NW Generation2016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Simmons</dc:creator>
  <cp:lastModifiedBy>Steven Simmons</cp:lastModifiedBy>
  <dcterms:created xsi:type="dcterms:W3CDTF">2020-02-27T04:13:24Z</dcterms:created>
  <dcterms:modified xsi:type="dcterms:W3CDTF">2020-07-27T20:32:35Z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{57A89104-21D0-452B-AB29-38912F763885}</vt:lpwstr>
  </property>
</Properties>
</file>