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44" windowWidth="16752" windowHeight="1004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Sheet1!$A$1:$S$18</definedName>
  </definedNames>
  <calcPr calcId="145621"/>
</workbook>
</file>

<file path=xl/calcChain.xml><?xml version="1.0" encoding="utf-8"?>
<calcChain xmlns="http://schemas.openxmlformats.org/spreadsheetml/2006/main">
  <c r="S4" i="1" l="1"/>
  <c r="R4" i="1"/>
  <c r="Q4" i="1"/>
  <c r="C1" i="1"/>
  <c r="C9" i="1" s="1"/>
  <c r="L9" i="1" s="1"/>
  <c r="C8" i="1"/>
  <c r="G18" i="1"/>
  <c r="K14" i="1"/>
  <c r="K15" i="1" s="1"/>
  <c r="K18" i="1" s="1"/>
  <c r="M3" i="1"/>
  <c r="L8" i="1"/>
  <c r="L7" i="1"/>
  <c r="L6" i="1"/>
  <c r="D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C5" i="1"/>
  <c r="L5" i="1" s="1"/>
  <c r="C4" i="1"/>
  <c r="L4" i="1" s="1"/>
  <c r="M4" i="1" s="1"/>
  <c r="C10" i="1" l="1"/>
  <c r="C11" i="1" s="1"/>
  <c r="C12" i="1" s="1"/>
  <c r="C13" i="1" s="1"/>
  <c r="C14" i="1" s="1"/>
  <c r="C15" i="1" s="1"/>
  <c r="C16" i="1" s="1"/>
  <c r="C17" i="1" s="1"/>
  <c r="C18" i="1" s="1"/>
  <c r="M5" i="1"/>
  <c r="M6" i="1" s="1"/>
  <c r="M7" i="1" s="1"/>
  <c r="M8" i="1" s="1"/>
  <c r="M9" i="1" s="1"/>
  <c r="U4" i="1"/>
  <c r="U5" i="1"/>
  <c r="U6" i="1"/>
  <c r="U7" i="1"/>
  <c r="U8" i="1"/>
  <c r="U9" i="1"/>
  <c r="T4" i="1"/>
  <c r="T5" i="1"/>
  <c r="T6" i="1"/>
  <c r="T7" i="1"/>
  <c r="T8" i="1"/>
  <c r="T9" i="1"/>
  <c r="D4" i="1"/>
  <c r="D5" i="1"/>
  <c r="D6" i="1" s="1"/>
  <c r="D7" i="1" s="1"/>
  <c r="D8" i="1" s="1"/>
  <c r="D9" i="1" s="1"/>
  <c r="H9" i="1" s="1"/>
  <c r="H5" i="1"/>
  <c r="N5" i="1" s="1"/>
  <c r="H7" i="1"/>
  <c r="H6" i="1"/>
  <c r="N6" i="1" s="1"/>
  <c r="H8" i="1"/>
  <c r="N8" i="1" l="1"/>
  <c r="R8" i="1" s="1"/>
  <c r="D10" i="1"/>
  <c r="R6" i="1"/>
  <c r="R5" i="1"/>
  <c r="L10" i="1"/>
  <c r="M10" i="1" s="1"/>
  <c r="T10" i="1"/>
  <c r="U10" i="1"/>
  <c r="T11" i="1"/>
  <c r="U11" i="1"/>
  <c r="V4" i="1"/>
  <c r="V5" i="1" s="1"/>
  <c r="W4" i="1"/>
  <c r="W5" i="1" s="1"/>
  <c r="N7" i="1"/>
  <c r="R7" i="1" s="1"/>
  <c r="D11" i="1"/>
  <c r="H11" i="1" s="1"/>
  <c r="H10" i="1"/>
  <c r="N10" i="1" s="1"/>
  <c r="N9" i="1"/>
  <c r="R9" i="1" s="1"/>
  <c r="L11" i="1"/>
  <c r="O5" i="1" l="1"/>
  <c r="V6" i="1"/>
  <c r="P5" i="1"/>
  <c r="W6" i="1"/>
  <c r="T12" i="1"/>
  <c r="U12" i="1"/>
  <c r="R10" i="1"/>
  <c r="D12" i="1"/>
  <c r="H12" i="1" s="1"/>
  <c r="N12" i="1" s="1"/>
  <c r="M11" i="1"/>
  <c r="N11" i="1"/>
  <c r="L12" i="1"/>
  <c r="T13" i="1" l="1"/>
  <c r="U13" i="1"/>
  <c r="W7" i="1"/>
  <c r="P6" i="1"/>
  <c r="V7" i="1"/>
  <c r="O6" i="1"/>
  <c r="Q6" i="1" s="1"/>
  <c r="S6" i="1" s="1"/>
  <c r="Q5" i="1"/>
  <c r="S5" i="1" s="1"/>
  <c r="R11" i="1"/>
  <c r="M12" i="1"/>
  <c r="R12" i="1" s="1"/>
  <c r="L13" i="1"/>
  <c r="D13" i="1"/>
  <c r="V8" i="1" l="1"/>
  <c r="O7" i="1"/>
  <c r="W8" i="1"/>
  <c r="P7" i="1"/>
  <c r="T14" i="1"/>
  <c r="U14" i="1"/>
  <c r="M13" i="1"/>
  <c r="D14" i="1"/>
  <c r="H14" i="1" s="1"/>
  <c r="H13" i="1"/>
  <c r="N13" i="1" s="1"/>
  <c r="L14" i="1"/>
  <c r="M14" i="1" l="1"/>
  <c r="D15" i="1"/>
  <c r="H15" i="1" s="1"/>
  <c r="N15" i="1" s="1"/>
  <c r="T15" i="1"/>
  <c r="U15" i="1"/>
  <c r="W9" i="1"/>
  <c r="P8" i="1"/>
  <c r="V9" i="1"/>
  <c r="O8" i="1"/>
  <c r="Q8" i="1" s="1"/>
  <c r="S8" i="1" s="1"/>
  <c r="Q7" i="1"/>
  <c r="S7" i="1" s="1"/>
  <c r="R13" i="1"/>
  <c r="N14" i="1"/>
  <c r="L15" i="1"/>
  <c r="M15" i="1" s="1"/>
  <c r="R14" i="1" l="1"/>
  <c r="T16" i="1"/>
  <c r="U16" i="1"/>
  <c r="V10" i="1"/>
  <c r="O9" i="1"/>
  <c r="W10" i="1"/>
  <c r="P9" i="1"/>
  <c r="R15" i="1"/>
  <c r="L16" i="1"/>
  <c r="M16" i="1" s="1"/>
  <c r="D16" i="1"/>
  <c r="T17" i="1" l="1"/>
  <c r="U17" i="1"/>
  <c r="W11" i="1"/>
  <c r="P10" i="1"/>
  <c r="V11" i="1"/>
  <c r="O10" i="1"/>
  <c r="Q10" i="1" s="1"/>
  <c r="S10" i="1" s="1"/>
  <c r="Q9" i="1"/>
  <c r="S9" i="1" s="1"/>
  <c r="D17" i="1"/>
  <c r="H17" i="1" s="1"/>
  <c r="H16" i="1"/>
  <c r="N16" i="1" s="1"/>
  <c r="R16" i="1" s="1"/>
  <c r="L17" i="1"/>
  <c r="M17" i="1" s="1"/>
  <c r="L18" i="1" l="1"/>
  <c r="M18" i="1" s="1"/>
  <c r="T18" i="1"/>
  <c r="U18" i="1"/>
  <c r="V12" i="1"/>
  <c r="O11" i="1"/>
  <c r="W12" i="1"/>
  <c r="P11" i="1"/>
  <c r="D18" i="1"/>
  <c r="H18" i="1" s="1"/>
  <c r="N18" i="1" s="1"/>
  <c r="N17" i="1"/>
  <c r="R17" i="1" s="1"/>
  <c r="Q11" i="1" l="1"/>
  <c r="S11" i="1" s="1"/>
  <c r="W13" i="1"/>
  <c r="P12" i="1"/>
  <c r="V13" i="1"/>
  <c r="O12" i="1"/>
  <c r="Q12" i="1" s="1"/>
  <c r="S12" i="1" s="1"/>
  <c r="R18" i="1"/>
  <c r="V14" i="1" l="1"/>
  <c r="O13" i="1"/>
  <c r="W14" i="1"/>
  <c r="P13" i="1"/>
  <c r="W15" i="1" l="1"/>
  <c r="P14" i="1"/>
  <c r="V15" i="1"/>
  <c r="O14" i="1"/>
  <c r="Q14" i="1" s="1"/>
  <c r="S14" i="1" s="1"/>
  <c r="Q13" i="1"/>
  <c r="S13" i="1" s="1"/>
  <c r="V16" i="1" l="1"/>
  <c r="O15" i="1"/>
  <c r="W16" i="1"/>
  <c r="P15" i="1"/>
  <c r="Q15" i="1" l="1"/>
  <c r="S15" i="1" s="1"/>
  <c r="W17" i="1"/>
  <c r="P16" i="1"/>
  <c r="V17" i="1"/>
  <c r="O16" i="1"/>
  <c r="Q16" i="1" s="1"/>
  <c r="S16" i="1" s="1"/>
  <c r="V18" i="1" l="1"/>
  <c r="O18" i="1" s="1"/>
  <c r="O17" i="1"/>
  <c r="W18" i="1"/>
  <c r="P18" i="1" s="1"/>
  <c r="P17" i="1"/>
  <c r="Q17" i="1" l="1"/>
  <c r="S17" i="1" s="1"/>
  <c r="S3" i="1" s="1"/>
  <c r="Q18" i="1"/>
  <c r="S18" i="1" s="1"/>
</calcChain>
</file>

<file path=xl/sharedStrings.xml><?xml version="1.0" encoding="utf-8"?>
<sst xmlns="http://schemas.openxmlformats.org/spreadsheetml/2006/main" count="23" uniqueCount="21">
  <si>
    <t>Smrt WH  (1000s)</t>
  </si>
  <si>
    <t>Increm &amp; Rebate</t>
  </si>
  <si>
    <t>Comm Device</t>
  </si>
  <si>
    <t>Cum'l</t>
  </si>
  <si>
    <t>Sunk Cst</t>
  </si>
  <si>
    <t>Prgrm Cst</t>
  </si>
  <si>
    <t>Cum'l Carrying cost</t>
  </si>
  <si>
    <t>MW</t>
  </si>
  <si>
    <t>Res</t>
  </si>
  <si>
    <t>HtP</t>
  </si>
  <si>
    <t>Yr</t>
  </si>
  <si>
    <t>MWh</t>
  </si>
  <si>
    <t>Value $1000s</t>
  </si>
  <si>
    <t>Annual Cost</t>
  </si>
  <si>
    <t>Net Benefit</t>
  </si>
  <si>
    <t>Year</t>
  </si>
  <si>
    <t>Customers on Prgm</t>
  </si>
  <si>
    <t>PV=&gt;</t>
  </si>
  <si>
    <t>% HtP WH</t>
  </si>
  <si>
    <t>Prgm Sign-up Incnt</t>
  </si>
  <si>
    <t>Ann'l Cust 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</si>
</sst>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0.0%"/>
    <numFmt numFmtId="165" formatCode="&quot;$&quot;#,##0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9" fontId="5" fillId="0" borderId="0" xfId="1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6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>
      <selection activeCell="O23" sqref="O23"/>
    </sheetView>
  </sheetViews>
  <sheetFormatPr defaultRowHeight="14.4" x14ac:dyDescent="0.3"/>
  <cols>
    <col min="1" max="1" width="3.5546875" style="5" customWidth="1"/>
    <col min="2" max="2" width="4.109375" customWidth="1"/>
    <col min="3" max="3" width="7.5546875" style="5" customWidth="1"/>
    <col min="4" max="4" width="6.6640625" style="5" customWidth="1"/>
    <col min="5" max="5" width="6.109375" style="5" customWidth="1"/>
    <col min="6" max="6" width="7.44140625" customWidth="1"/>
    <col min="7" max="7" width="4.21875" customWidth="1"/>
    <col min="8" max="8" width="5.6640625" customWidth="1"/>
    <col min="9" max="9" width="7.21875" customWidth="1"/>
    <col min="10" max="11" width="6" customWidth="1"/>
    <col min="12" max="12" width="6.44140625" customWidth="1"/>
    <col min="13" max="13" width="7.5546875" style="5" customWidth="1"/>
    <col min="14" max="14" width="7.5546875" customWidth="1"/>
    <col min="15" max="15" width="5.33203125" style="5" customWidth="1"/>
    <col min="16" max="16" width="6.88671875" customWidth="1"/>
    <col min="17" max="17" width="6.77734375" customWidth="1"/>
    <col min="18" max="18" width="6.33203125" customWidth="1"/>
    <col min="19" max="19" width="9.44140625" customWidth="1"/>
    <col min="20" max="20" width="6.33203125" style="5" customWidth="1"/>
    <col min="21" max="21" width="7.33203125" style="5" customWidth="1"/>
  </cols>
  <sheetData>
    <row r="1" spans="1:23" x14ac:dyDescent="0.3">
      <c r="C1" s="5">
        <f>1+0.06/16</f>
        <v>1.0037499999999999</v>
      </c>
      <c r="E1" s="5">
        <v>1.6</v>
      </c>
      <c r="M1" s="7">
        <v>0.12</v>
      </c>
      <c r="O1" s="5">
        <v>150</v>
      </c>
      <c r="P1" s="5">
        <v>6</v>
      </c>
      <c r="S1" s="6">
        <v>7.0000000000000007E-2</v>
      </c>
      <c r="T1">
        <v>0.6</v>
      </c>
      <c r="U1">
        <v>0.3</v>
      </c>
      <c r="V1">
        <v>6</v>
      </c>
      <c r="W1">
        <v>3</v>
      </c>
    </row>
    <row r="2" spans="1:23" ht="57.6" x14ac:dyDescent="0.3">
      <c r="A2" s="13" t="s">
        <v>10</v>
      </c>
      <c r="B2" s="13" t="s">
        <v>15</v>
      </c>
      <c r="C2" s="4" t="s">
        <v>0</v>
      </c>
      <c r="D2" s="4" t="s">
        <v>3</v>
      </c>
      <c r="E2" s="4" t="s">
        <v>18</v>
      </c>
      <c r="F2" s="4" t="s">
        <v>1</v>
      </c>
      <c r="G2" s="11" t="s">
        <v>16</v>
      </c>
      <c r="H2" s="11"/>
      <c r="I2" s="4" t="s">
        <v>19</v>
      </c>
      <c r="J2" s="15" t="s">
        <v>2</v>
      </c>
      <c r="K2" s="4" t="s">
        <v>20</v>
      </c>
      <c r="L2" s="16" t="s">
        <v>4</v>
      </c>
      <c r="M2" s="4" t="s">
        <v>6</v>
      </c>
      <c r="N2" s="4" t="s">
        <v>5</v>
      </c>
      <c r="O2" s="4" t="s">
        <v>7</v>
      </c>
      <c r="P2" s="4" t="s">
        <v>11</v>
      </c>
      <c r="Q2" s="18" t="s">
        <v>12</v>
      </c>
      <c r="R2" s="18" t="s">
        <v>13</v>
      </c>
      <c r="S2" s="4" t="s">
        <v>14</v>
      </c>
      <c r="T2" s="4" t="s">
        <v>8</v>
      </c>
      <c r="U2" s="4" t="s">
        <v>9</v>
      </c>
      <c r="V2" s="4" t="s">
        <v>7</v>
      </c>
      <c r="W2" s="4" t="s">
        <v>11</v>
      </c>
    </row>
    <row r="3" spans="1:23" x14ac:dyDescent="0.3">
      <c r="A3" s="13">
        <v>0</v>
      </c>
      <c r="B3" s="13">
        <v>2013</v>
      </c>
      <c r="C3" s="9">
        <v>0</v>
      </c>
      <c r="D3" s="5">
        <f>+C3</f>
        <v>0</v>
      </c>
      <c r="E3" s="6">
        <v>5.0000000000000001E-3</v>
      </c>
      <c r="F3" s="3">
        <v>0</v>
      </c>
      <c r="G3" s="1"/>
      <c r="H3" s="3"/>
      <c r="I3" s="3">
        <v>0</v>
      </c>
      <c r="J3" s="3"/>
      <c r="K3" s="3"/>
      <c r="L3" s="17">
        <v>500</v>
      </c>
      <c r="M3" s="3">
        <f>+L3*M$1</f>
        <v>60</v>
      </c>
      <c r="Q3" s="12"/>
      <c r="R3" s="20" t="s">
        <v>17</v>
      </c>
      <c r="S3" s="21">
        <f>NPV(S1,S4:S18)-L3</f>
        <v>132199.20677190632</v>
      </c>
    </row>
    <row r="4" spans="1:23" x14ac:dyDescent="0.3">
      <c r="A4" s="13">
        <v>1</v>
      </c>
      <c r="B4" s="13">
        <v>2014</v>
      </c>
      <c r="C4" s="9">
        <f>200*0.45*0.5</f>
        <v>45</v>
      </c>
      <c r="D4" s="8">
        <f>+C4+D3</f>
        <v>45</v>
      </c>
      <c r="E4" s="6">
        <f>+E3*E$1</f>
        <v>8.0000000000000002E-3</v>
      </c>
      <c r="F4" s="3">
        <v>70</v>
      </c>
      <c r="G4" s="1"/>
      <c r="H4" s="3"/>
      <c r="I4" s="3">
        <v>75</v>
      </c>
      <c r="J4" s="3"/>
      <c r="K4" s="3"/>
      <c r="L4" s="17">
        <f t="shared" ref="L4:L18" si="0">+C4*F4</f>
        <v>3150</v>
      </c>
      <c r="M4" s="3">
        <f>+L4*M$1+M3</f>
        <v>438</v>
      </c>
      <c r="Q4" s="19">
        <f>+O4*O$1+P4*$P$1</f>
        <v>0</v>
      </c>
      <c r="R4" s="19">
        <f>+N4+M4</f>
        <v>438</v>
      </c>
      <c r="S4" s="3">
        <f>+Q4-R4</f>
        <v>-438</v>
      </c>
      <c r="T4" s="9">
        <f>+C4*(1-E4)</f>
        <v>44.64</v>
      </c>
      <c r="U4" s="9">
        <f>+C4*(E4)</f>
        <v>0.36</v>
      </c>
      <c r="V4" s="10">
        <f>(T4*T$1+U4*U$1)</f>
        <v>26.891999999999999</v>
      </c>
      <c r="W4" s="8">
        <f>+T4*V$1+U4*W$1</f>
        <v>268.92</v>
      </c>
    </row>
    <row r="5" spans="1:23" x14ac:dyDescent="0.3">
      <c r="A5" s="13">
        <v>2</v>
      </c>
      <c r="B5" s="13">
        <v>2015</v>
      </c>
      <c r="C5" s="9">
        <f>200*0.5</f>
        <v>100</v>
      </c>
      <c r="D5" s="8">
        <f t="shared" ref="D5:D18" si="1">+C5+D4</f>
        <v>145</v>
      </c>
      <c r="E5" s="6">
        <f>+E4*E$1</f>
        <v>1.2800000000000001E-2</v>
      </c>
      <c r="F5" s="3">
        <v>60</v>
      </c>
      <c r="G5" s="14">
        <v>0.02</v>
      </c>
      <c r="H5" s="8">
        <f>+G5*D5</f>
        <v>2.9</v>
      </c>
      <c r="I5" s="3">
        <v>50</v>
      </c>
      <c r="J5" s="3">
        <v>65</v>
      </c>
      <c r="K5" s="3">
        <v>50</v>
      </c>
      <c r="L5" s="17">
        <f t="shared" si="0"/>
        <v>6000</v>
      </c>
      <c r="M5" s="3">
        <f>+L5*M$1+M4</f>
        <v>1158</v>
      </c>
      <c r="N5" s="2">
        <f>H5*(I5+J5)</f>
        <v>333.5</v>
      </c>
      <c r="O5" s="9">
        <f>+G5*V5</f>
        <v>1.7301599999999999</v>
      </c>
      <c r="P5" s="8">
        <f>+G5*W5</f>
        <v>17.301600000000001</v>
      </c>
      <c r="Q5" s="19">
        <f>+O5*O$1+P5*$P$1</f>
        <v>363.33359999999999</v>
      </c>
      <c r="R5" s="19">
        <f>+N5+M5</f>
        <v>1491.5</v>
      </c>
      <c r="S5" s="3">
        <f>+Q5-R5</f>
        <v>-1128.1664000000001</v>
      </c>
      <c r="T5" s="9">
        <f>+C5*(1-E5)</f>
        <v>98.72</v>
      </c>
      <c r="U5" s="9">
        <f>+C5*(E5)</f>
        <v>1.28</v>
      </c>
      <c r="V5" s="10">
        <f>(T5*T$1+U5*U$1)+V4</f>
        <v>86.507999999999996</v>
      </c>
      <c r="W5" s="8">
        <f>+T5*V$1+U5*W$1+W4</f>
        <v>865.07999999999993</v>
      </c>
    </row>
    <row r="6" spans="1:23" x14ac:dyDescent="0.3">
      <c r="A6" s="13">
        <v>3</v>
      </c>
      <c r="B6" s="13">
        <v>2016</v>
      </c>
      <c r="C6" s="9">
        <v>120</v>
      </c>
      <c r="D6" s="8">
        <f t="shared" si="1"/>
        <v>265</v>
      </c>
      <c r="E6" s="6">
        <f>+E5*E$1</f>
        <v>2.0480000000000002E-2</v>
      </c>
      <c r="F6" s="3">
        <v>50</v>
      </c>
      <c r="G6" s="14">
        <v>0.03</v>
      </c>
      <c r="H6" s="8">
        <f>+G6*D6</f>
        <v>7.9499999999999993</v>
      </c>
      <c r="I6" s="3">
        <v>40</v>
      </c>
      <c r="J6" s="3">
        <v>45</v>
      </c>
      <c r="K6" s="3">
        <v>50</v>
      </c>
      <c r="L6" s="17">
        <f t="shared" si="0"/>
        <v>6000</v>
      </c>
      <c r="M6" s="3">
        <f>+L6*M$1+M5</f>
        <v>1878</v>
      </c>
      <c r="N6" s="2">
        <f>(H6-H5)*(I6+J6)+H5*K6</f>
        <v>574.24999999999989</v>
      </c>
      <c r="O6" s="9">
        <f>+G6*V6</f>
        <v>4.7331215999999996</v>
      </c>
      <c r="P6" s="8">
        <f>+G6*W6</f>
        <v>47.331215999999991</v>
      </c>
      <c r="Q6" s="19">
        <f t="shared" ref="Q6:Q18" si="2">+O6*O$1+P6*$P$1</f>
        <v>993.95553599999994</v>
      </c>
      <c r="R6" s="19">
        <f>+N6+M6</f>
        <v>2452.25</v>
      </c>
      <c r="S6" s="3">
        <f t="shared" ref="S6:S18" si="3">+Q6-R6</f>
        <v>-1458.2944640000001</v>
      </c>
      <c r="T6" s="9">
        <f>+C6*(1-E6)</f>
        <v>117.54239999999999</v>
      </c>
      <c r="U6" s="9">
        <f>+C6*(E6)</f>
        <v>2.4576000000000002</v>
      </c>
      <c r="V6" s="10">
        <f t="shared" ref="V6:V18" si="4">(T6*T$1+U6*U$1)+V5</f>
        <v>157.77071999999998</v>
      </c>
      <c r="W6" s="8">
        <f t="shared" ref="W6:W18" si="5">+T6*V$1+U6*W$1+W5</f>
        <v>1577.7071999999998</v>
      </c>
    </row>
    <row r="7" spans="1:23" x14ac:dyDescent="0.3">
      <c r="A7" s="13">
        <v>4</v>
      </c>
      <c r="B7" s="13">
        <v>2017</v>
      </c>
      <c r="C7" s="9">
        <v>180</v>
      </c>
      <c r="D7" s="8">
        <f t="shared" si="1"/>
        <v>445</v>
      </c>
      <c r="E7" s="6">
        <f>+E6*E$1</f>
        <v>3.2768000000000005E-2</v>
      </c>
      <c r="F7" s="3">
        <v>40</v>
      </c>
      <c r="G7" s="14">
        <v>0.05</v>
      </c>
      <c r="H7" s="8">
        <f>+G7*D7</f>
        <v>22.25</v>
      </c>
      <c r="I7" s="3">
        <v>25</v>
      </c>
      <c r="J7" s="3">
        <v>35</v>
      </c>
      <c r="K7" s="3">
        <v>50</v>
      </c>
      <c r="L7" s="17">
        <f t="shared" si="0"/>
        <v>7200</v>
      </c>
      <c r="M7" s="3">
        <f>+L7*M$1+M6</f>
        <v>2742</v>
      </c>
      <c r="N7" s="2">
        <f>(H7-H6)*(I7+J7)+H6*K7</f>
        <v>1255.5</v>
      </c>
      <c r="O7" s="9">
        <f>+G7*V7</f>
        <v>13.2000624</v>
      </c>
      <c r="P7" s="8">
        <f>+G7*W7</f>
        <v>132.00062399999999</v>
      </c>
      <c r="Q7" s="19">
        <f t="shared" si="2"/>
        <v>2772.0131039999997</v>
      </c>
      <c r="R7" s="19">
        <f>+N7+M7</f>
        <v>3997.5</v>
      </c>
      <c r="S7" s="3">
        <f t="shared" si="3"/>
        <v>-1225.4868960000003</v>
      </c>
      <c r="T7" s="9">
        <f>+C7*(1-E7)</f>
        <v>174.10175999999998</v>
      </c>
      <c r="U7" s="9">
        <f>+C7*(E7)</f>
        <v>5.8982400000000013</v>
      </c>
      <c r="V7" s="10">
        <f t="shared" si="4"/>
        <v>264.00124799999998</v>
      </c>
      <c r="W7" s="8">
        <f t="shared" si="5"/>
        <v>2640.0124799999994</v>
      </c>
    </row>
    <row r="8" spans="1:23" x14ac:dyDescent="0.3">
      <c r="A8" s="13">
        <v>5</v>
      </c>
      <c r="B8" s="13">
        <v>2018</v>
      </c>
      <c r="C8" s="9">
        <f>3400/16</f>
        <v>212.5</v>
      </c>
      <c r="D8" s="8">
        <f t="shared" si="1"/>
        <v>657.5</v>
      </c>
      <c r="E8" s="6">
        <f>+E7*E$1</f>
        <v>5.2428800000000012E-2</v>
      </c>
      <c r="F8" s="3">
        <v>20</v>
      </c>
      <c r="G8" s="14">
        <v>0.09</v>
      </c>
      <c r="H8" s="8">
        <f>+G8*D8</f>
        <v>59.174999999999997</v>
      </c>
      <c r="I8" s="3">
        <v>25</v>
      </c>
      <c r="J8" s="3">
        <v>30</v>
      </c>
      <c r="K8" s="3">
        <v>50</v>
      </c>
      <c r="L8" s="17">
        <f t="shared" si="0"/>
        <v>4250</v>
      </c>
      <c r="M8" s="3">
        <f>+L8*M$1+M7</f>
        <v>3252</v>
      </c>
      <c r="N8" s="2">
        <f>(H8-H7)*(I8+J8)+H7*K8</f>
        <v>3143.375</v>
      </c>
      <c r="O8" s="9">
        <f>+G8*V8</f>
        <v>34.934302079999995</v>
      </c>
      <c r="P8" s="8">
        <f>+G8*W8</f>
        <v>349.34302079999998</v>
      </c>
      <c r="Q8" s="19">
        <f t="shared" si="2"/>
        <v>7336.2034367999995</v>
      </c>
      <c r="R8" s="19">
        <f>+N8+M8</f>
        <v>6395.375</v>
      </c>
      <c r="S8" s="3">
        <f t="shared" si="3"/>
        <v>940.82843679999951</v>
      </c>
      <c r="T8" s="9">
        <f>+C8*(1-E8)</f>
        <v>201.35888</v>
      </c>
      <c r="U8" s="9">
        <f>+C8*(E8)</f>
        <v>11.141120000000003</v>
      </c>
      <c r="V8" s="10">
        <f t="shared" si="4"/>
        <v>388.15891199999999</v>
      </c>
      <c r="W8" s="8">
        <f t="shared" si="5"/>
        <v>3881.5891199999996</v>
      </c>
    </row>
    <row r="9" spans="1:23" x14ac:dyDescent="0.3">
      <c r="A9" s="13">
        <v>6</v>
      </c>
      <c r="B9" s="13">
        <v>2019</v>
      </c>
      <c r="C9" s="9">
        <f>+C8*C$1</f>
        <v>213.29687499999997</v>
      </c>
      <c r="D9" s="8">
        <f t="shared" si="1"/>
        <v>870.796875</v>
      </c>
      <c r="E9" s="6">
        <f>+E8*E$1</f>
        <v>8.388608000000003E-2</v>
      </c>
      <c r="F9" s="3">
        <v>20</v>
      </c>
      <c r="G9" s="14">
        <v>0.14000000000000001</v>
      </c>
      <c r="H9" s="8">
        <f>+G9*D9</f>
        <v>121.91156250000002</v>
      </c>
      <c r="I9" s="3">
        <v>25</v>
      </c>
      <c r="J9" s="3">
        <v>25</v>
      </c>
      <c r="K9" s="3">
        <v>50</v>
      </c>
      <c r="L9" s="17">
        <f t="shared" si="0"/>
        <v>4265.9374999999991</v>
      </c>
      <c r="M9" s="3">
        <f>+L9*M$1+M8</f>
        <v>3763.9124999999999</v>
      </c>
      <c r="N9" s="2">
        <f>(H9-H8)*(I9+J9)+H8*K9</f>
        <v>6095.5781250000009</v>
      </c>
      <c r="O9" s="9">
        <f>+G9*V9</f>
        <v>71.507694353760002</v>
      </c>
      <c r="P9" s="8">
        <f>+G9*W9</f>
        <v>715.07694353760007</v>
      </c>
      <c r="Q9" s="19">
        <f t="shared" si="2"/>
        <v>15016.615814289602</v>
      </c>
      <c r="R9" s="19">
        <f>+N9+M9</f>
        <v>9859.4906250000004</v>
      </c>
      <c r="S9" s="3">
        <f t="shared" si="3"/>
        <v>5157.1251892896016</v>
      </c>
      <c r="T9" s="9">
        <f>+C9*(1-E9)</f>
        <v>195.40423627999996</v>
      </c>
      <c r="U9" s="9">
        <f>+C9*(E9)</f>
        <v>17.892638720000004</v>
      </c>
      <c r="V9" s="10">
        <f t="shared" si="4"/>
        <v>510.76924538399999</v>
      </c>
      <c r="W9" s="8">
        <f t="shared" si="5"/>
        <v>5107.6924538399999</v>
      </c>
    </row>
    <row r="10" spans="1:23" x14ac:dyDescent="0.3">
      <c r="A10" s="13">
        <v>7</v>
      </c>
      <c r="B10" s="13">
        <v>2020</v>
      </c>
      <c r="C10" s="9">
        <f t="shared" ref="C10:C18" si="6">+C9*C$1</f>
        <v>214.09673828124994</v>
      </c>
      <c r="D10" s="8">
        <f t="shared" si="1"/>
        <v>1084.8936132812501</v>
      </c>
      <c r="E10" s="6">
        <f>+E9*E$1</f>
        <v>0.13421772800000006</v>
      </c>
      <c r="F10" s="3">
        <v>20</v>
      </c>
      <c r="G10" s="14">
        <v>0.17</v>
      </c>
      <c r="H10" s="8">
        <f>+G10*D10</f>
        <v>184.43191425781254</v>
      </c>
      <c r="I10" s="3">
        <v>25</v>
      </c>
      <c r="J10" s="3">
        <v>20</v>
      </c>
      <c r="K10" s="3">
        <v>50</v>
      </c>
      <c r="L10" s="17">
        <f t="shared" si="0"/>
        <v>4281.9347656249993</v>
      </c>
      <c r="M10" s="3">
        <f>+L10*M$1+M9</f>
        <v>4277.7446718749998</v>
      </c>
      <c r="N10" s="2">
        <f>(H10-H9)*(I10+J10)+H9*K10</f>
        <v>8908.9939541015647</v>
      </c>
      <c r="O10" s="9">
        <f>+G10*V10</f>
        <v>107.20312455296717</v>
      </c>
      <c r="P10" s="8">
        <f>+G10*W10</f>
        <v>1072.0312455296719</v>
      </c>
      <c r="Q10" s="19">
        <f t="shared" si="2"/>
        <v>22512.656156123106</v>
      </c>
      <c r="R10" s="19">
        <f>+N10+M10</f>
        <v>13186.738625976564</v>
      </c>
      <c r="S10" s="3">
        <f t="shared" si="3"/>
        <v>9325.917530146542</v>
      </c>
      <c r="T10" s="9">
        <f>+C10*(1-E10)</f>
        <v>185.36116049692993</v>
      </c>
      <c r="U10" s="9">
        <f>+C10*(E10)</f>
        <v>28.735577784320007</v>
      </c>
      <c r="V10" s="10">
        <f t="shared" si="4"/>
        <v>630.60661501745392</v>
      </c>
      <c r="W10" s="8">
        <f t="shared" si="5"/>
        <v>6306.0661501745399</v>
      </c>
    </row>
    <row r="11" spans="1:23" x14ac:dyDescent="0.3">
      <c r="A11" s="13">
        <v>8</v>
      </c>
      <c r="B11" s="13">
        <v>2021</v>
      </c>
      <c r="C11" s="9">
        <f t="shared" si="6"/>
        <v>214.8996010498046</v>
      </c>
      <c r="D11" s="8">
        <f t="shared" si="1"/>
        <v>1299.7932143310547</v>
      </c>
      <c r="E11" s="6">
        <f>+E10*1.3</f>
        <v>0.17448304640000009</v>
      </c>
      <c r="F11" s="3">
        <v>20</v>
      </c>
      <c r="G11" s="14">
        <v>0.2</v>
      </c>
      <c r="H11" s="8">
        <f>+G11*D11</f>
        <v>259.95864286621094</v>
      </c>
      <c r="I11" s="3">
        <v>25</v>
      </c>
      <c r="J11" s="3">
        <v>20</v>
      </c>
      <c r="K11" s="3">
        <v>50</v>
      </c>
      <c r="L11" s="17">
        <f t="shared" si="0"/>
        <v>4297.9920209960919</v>
      </c>
      <c r="M11" s="3">
        <f>+L11*M$1+M10</f>
        <v>4793.503714394531</v>
      </c>
      <c r="N11" s="2">
        <f>(H11-H10)*(I11+J11)+H10*K11</f>
        <v>12620.298500268555</v>
      </c>
      <c r="O11" s="9">
        <f>+G11*V11</f>
        <v>149.65949490578848</v>
      </c>
      <c r="P11" s="8">
        <f>+G11*W11</f>
        <v>1496.5949490578848</v>
      </c>
      <c r="Q11" s="19">
        <f t="shared" si="2"/>
        <v>31428.49393021558</v>
      </c>
      <c r="R11" s="19">
        <f>+N11+M11</f>
        <v>17413.802214663086</v>
      </c>
      <c r="S11" s="3">
        <f t="shared" si="3"/>
        <v>14014.691715552493</v>
      </c>
      <c r="T11" s="9">
        <f>+C11*(1-E11)</f>
        <v>177.40326398849004</v>
      </c>
      <c r="U11" s="9">
        <f>+C11*(E11)</f>
        <v>37.496337061314563</v>
      </c>
      <c r="V11" s="10">
        <f t="shared" si="4"/>
        <v>748.2974745289423</v>
      </c>
      <c r="W11" s="8">
        <f t="shared" si="5"/>
        <v>7482.9747452894235</v>
      </c>
    </row>
    <row r="12" spans="1:23" x14ac:dyDescent="0.3">
      <c r="A12" s="13">
        <v>9</v>
      </c>
      <c r="B12" s="13">
        <v>2022</v>
      </c>
      <c r="C12" s="9">
        <f t="shared" si="6"/>
        <v>215.70547455374134</v>
      </c>
      <c r="D12" s="8">
        <f t="shared" si="1"/>
        <v>1515.4986888847961</v>
      </c>
      <c r="E12" s="6">
        <f t="shared" ref="E12:E13" si="7">+E11*1.3</f>
        <v>0.22682796032000013</v>
      </c>
      <c r="F12" s="3">
        <v>20</v>
      </c>
      <c r="G12" s="14">
        <v>0.22</v>
      </c>
      <c r="H12" s="8">
        <f>+G12*D12</f>
        <v>333.40971155465513</v>
      </c>
      <c r="I12" s="3">
        <v>25</v>
      </c>
      <c r="J12" s="3">
        <v>15</v>
      </c>
      <c r="K12" s="3">
        <v>50</v>
      </c>
      <c r="L12" s="17">
        <f t="shared" si="0"/>
        <v>4314.109491074827</v>
      </c>
      <c r="M12" s="3">
        <f>+L12*M$1+M11</f>
        <v>5311.1968533235104</v>
      </c>
      <c r="N12" s="2">
        <f>(H12-H11)*(I12+J12)+H11*K12</f>
        <v>15935.974890848314</v>
      </c>
      <c r="O12" s="9">
        <f>+G12*V12</f>
        <v>189.86931687115089</v>
      </c>
      <c r="P12" s="8">
        <f>+G12*W12</f>
        <v>1898.6931687115089</v>
      </c>
      <c r="Q12" s="19">
        <f t="shared" si="2"/>
        <v>39872.556542941689</v>
      </c>
      <c r="R12" s="19">
        <f>+N12+M12</f>
        <v>21247.171744171825</v>
      </c>
      <c r="S12" s="3">
        <f t="shared" si="3"/>
        <v>18625.384798769865</v>
      </c>
      <c r="T12" s="9">
        <f>+C12*(1-E12)</f>
        <v>166.7774417308585</v>
      </c>
      <c r="U12" s="9">
        <f>+C12*(E12)</f>
        <v>48.928032822882841</v>
      </c>
      <c r="V12" s="10">
        <f t="shared" si="4"/>
        <v>863.04234941432219</v>
      </c>
      <c r="W12" s="8">
        <f t="shared" si="5"/>
        <v>8630.4234941432223</v>
      </c>
    </row>
    <row r="13" spans="1:23" x14ac:dyDescent="0.3">
      <c r="A13" s="13">
        <v>10</v>
      </c>
      <c r="B13" s="13">
        <v>2023</v>
      </c>
      <c r="C13" s="9">
        <f t="shared" si="6"/>
        <v>216.51437008331786</v>
      </c>
      <c r="D13" s="8">
        <f t="shared" si="1"/>
        <v>1732.0130589681139</v>
      </c>
      <c r="E13" s="6">
        <f t="shared" si="7"/>
        <v>0.29487634841600019</v>
      </c>
      <c r="F13" s="3">
        <v>10</v>
      </c>
      <c r="G13" s="14">
        <v>0.24</v>
      </c>
      <c r="H13" s="8">
        <f>+G13*D13</f>
        <v>415.68313415234735</v>
      </c>
      <c r="I13" s="3">
        <v>25</v>
      </c>
      <c r="J13" s="3">
        <v>15</v>
      </c>
      <c r="K13" s="3">
        <v>40</v>
      </c>
      <c r="L13" s="17">
        <f t="shared" si="0"/>
        <v>2165.1437008331786</v>
      </c>
      <c r="M13" s="3">
        <f>+L13*M$1+M12</f>
        <v>5571.0140974234919</v>
      </c>
      <c r="N13" s="2">
        <f>(H13-H12)*(I13+J13)+H12*K13</f>
        <v>16627.325366093894</v>
      </c>
      <c r="O13" s="9">
        <f>+G13*V13</f>
        <v>233.71139553969243</v>
      </c>
      <c r="P13" s="8">
        <f>+G13*W13</f>
        <v>2337.1139553969242</v>
      </c>
      <c r="Q13" s="19">
        <f t="shared" si="2"/>
        <v>49079.393063335403</v>
      </c>
      <c r="R13" s="19">
        <f>+N13+M13</f>
        <v>22198.339463517386</v>
      </c>
      <c r="S13" s="3">
        <f t="shared" si="3"/>
        <v>26881.053599818017</v>
      </c>
      <c r="T13" s="9">
        <f>+C13*(1-E13)</f>
        <v>152.66940325355861</v>
      </c>
      <c r="U13" s="9">
        <f>+C13*(E13)</f>
        <v>63.844966829759244</v>
      </c>
      <c r="V13" s="10">
        <f t="shared" si="4"/>
        <v>973.79748141538516</v>
      </c>
      <c r="W13" s="8">
        <f t="shared" si="5"/>
        <v>9737.9748141538512</v>
      </c>
    </row>
    <row r="14" spans="1:23" x14ac:dyDescent="0.3">
      <c r="A14" s="13">
        <v>11</v>
      </c>
      <c r="B14" s="13">
        <v>2024</v>
      </c>
      <c r="C14" s="9">
        <f t="shared" si="6"/>
        <v>217.32629897113029</v>
      </c>
      <c r="D14" s="8">
        <f t="shared" si="1"/>
        <v>1949.3393579392441</v>
      </c>
      <c r="E14" s="6">
        <f>+E13*1.2</f>
        <v>0.35385161809920024</v>
      </c>
      <c r="F14" s="3">
        <v>10</v>
      </c>
      <c r="G14" s="14">
        <v>0.26</v>
      </c>
      <c r="H14" s="8">
        <f>+G14*D14</f>
        <v>506.82823306420346</v>
      </c>
      <c r="I14" s="3">
        <v>25</v>
      </c>
      <c r="J14" s="3">
        <v>15</v>
      </c>
      <c r="K14" s="3">
        <f t="shared" ref="K14:K18" si="8">+K13</f>
        <v>40</v>
      </c>
      <c r="L14" s="17">
        <f t="shared" si="0"/>
        <v>2173.2629897113029</v>
      </c>
      <c r="M14" s="3">
        <f>+L14*M$1+M13</f>
        <v>5831.8056561888479</v>
      </c>
      <c r="N14" s="2">
        <f>(H14-H13)*(I14+J14)+H13*K14</f>
        <v>20273.129322568137</v>
      </c>
      <c r="O14" s="9">
        <f>+G14*V14</f>
        <v>281.09194932887374</v>
      </c>
      <c r="P14" s="8">
        <f>+G14*W14</f>
        <v>2810.9194932887372</v>
      </c>
      <c r="Q14" s="19">
        <f t="shared" si="2"/>
        <v>59029.309359063482</v>
      </c>
      <c r="R14" s="19">
        <f>+N14+M14</f>
        <v>26104.934978756984</v>
      </c>
      <c r="S14" s="3">
        <f t="shared" si="3"/>
        <v>32924.374380306501</v>
      </c>
      <c r="T14" s="9">
        <f>+C14*(1-E14)</f>
        <v>140.42503642468529</v>
      </c>
      <c r="U14" s="9">
        <f>+C14*(E14)</f>
        <v>76.901262546445011</v>
      </c>
      <c r="V14" s="10">
        <f t="shared" si="4"/>
        <v>1081.1228820341298</v>
      </c>
      <c r="W14" s="8">
        <f t="shared" si="5"/>
        <v>10811.228820341297</v>
      </c>
    </row>
    <row r="15" spans="1:23" x14ac:dyDescent="0.3">
      <c r="A15" s="13">
        <v>12</v>
      </c>
      <c r="B15" s="13">
        <v>2025</v>
      </c>
      <c r="C15" s="9">
        <f t="shared" si="6"/>
        <v>218.141272592272</v>
      </c>
      <c r="D15" s="8">
        <f t="shared" si="1"/>
        <v>2167.480630531516</v>
      </c>
      <c r="E15" s="6">
        <f t="shared" ref="E15:E17" si="9">+E14*1.2</f>
        <v>0.42462194171904027</v>
      </c>
      <c r="F15" s="3">
        <v>10</v>
      </c>
      <c r="G15" s="14">
        <v>0.28000000000000003</v>
      </c>
      <c r="H15" s="8">
        <f>+G15*D15</f>
        <v>606.89457654882449</v>
      </c>
      <c r="I15" s="3">
        <v>25</v>
      </c>
      <c r="J15" s="3">
        <v>15</v>
      </c>
      <c r="K15" s="3">
        <f t="shared" si="8"/>
        <v>40</v>
      </c>
      <c r="L15" s="17">
        <f t="shared" si="0"/>
        <v>2181.4127259227198</v>
      </c>
      <c r="M15" s="3">
        <f>+L15*M$1+M14</f>
        <v>6093.5751832995738</v>
      </c>
      <c r="N15" s="2">
        <f>(H15-H14)*(I15+J15)+H14*K15</f>
        <v>24275.783061952978</v>
      </c>
      <c r="O15" s="9">
        <f>+G15*V15</f>
        <v>331.58142482313389</v>
      </c>
      <c r="P15" s="8">
        <f>+G15*W15</f>
        <v>3315.8142482313383</v>
      </c>
      <c r="Q15" s="19">
        <f t="shared" si="2"/>
        <v>69632.099212858113</v>
      </c>
      <c r="R15" s="19">
        <f>+N15+M15</f>
        <v>30369.358245252552</v>
      </c>
      <c r="S15" s="3">
        <f t="shared" si="3"/>
        <v>39262.740967605561</v>
      </c>
      <c r="T15" s="9">
        <f>+C15*(1-E15)</f>
        <v>125.51370185507902</v>
      </c>
      <c r="U15" s="9">
        <f>+C15*(E15)</f>
        <v>92.627570737192997</v>
      </c>
      <c r="V15" s="10">
        <f t="shared" si="4"/>
        <v>1184.2193743683351</v>
      </c>
      <c r="W15" s="8">
        <f t="shared" si="5"/>
        <v>11842.19374368335</v>
      </c>
    </row>
    <row r="16" spans="1:23" x14ac:dyDescent="0.3">
      <c r="A16" s="13">
        <v>13</v>
      </c>
      <c r="B16" s="13">
        <v>2026</v>
      </c>
      <c r="C16" s="9">
        <f t="shared" si="6"/>
        <v>218.959302364493</v>
      </c>
      <c r="D16" s="8">
        <f t="shared" si="1"/>
        <v>2386.4399328960089</v>
      </c>
      <c r="E16" s="6">
        <f t="shared" si="9"/>
        <v>0.50954633006284833</v>
      </c>
      <c r="F16" s="3">
        <v>10</v>
      </c>
      <c r="G16" s="14">
        <v>0.28999999999999998</v>
      </c>
      <c r="H16" s="8">
        <f>+G16*D16</f>
        <v>692.06758053984254</v>
      </c>
      <c r="I16" s="3">
        <v>25</v>
      </c>
      <c r="J16" s="3">
        <v>15</v>
      </c>
      <c r="K16" s="3">
        <v>40</v>
      </c>
      <c r="L16" s="17">
        <f t="shared" si="0"/>
        <v>2189.5930236449299</v>
      </c>
      <c r="M16" s="3">
        <f>+L16*M$1+M15</f>
        <v>6356.3263461369652</v>
      </c>
      <c r="N16" s="2">
        <f>(H16-H15)*(I16+J16)+H15*K16</f>
        <v>27682.7032215937</v>
      </c>
      <c r="O16" s="9">
        <f>+G16*V16</f>
        <v>371.81595509933237</v>
      </c>
      <c r="P16" s="8">
        <f>+G16*W16</f>
        <v>3718.1595509933236</v>
      </c>
      <c r="Q16" s="19">
        <f t="shared" si="2"/>
        <v>78081.350570859795</v>
      </c>
      <c r="R16" s="19">
        <f>+N16+M16</f>
        <v>34039.029567730664</v>
      </c>
      <c r="S16" s="3">
        <f t="shared" si="3"/>
        <v>44042.321003129131</v>
      </c>
      <c r="T16" s="9">
        <f>+C16*(1-E16)</f>
        <v>107.38939341154405</v>
      </c>
      <c r="U16" s="9">
        <f>+C16*(E16)</f>
        <v>111.56990895294895</v>
      </c>
      <c r="V16" s="10">
        <f t="shared" si="4"/>
        <v>1282.1239831011462</v>
      </c>
      <c r="W16" s="8">
        <f t="shared" si="5"/>
        <v>12821.239831011462</v>
      </c>
    </row>
    <row r="17" spans="1:23" x14ac:dyDescent="0.3">
      <c r="A17" s="13">
        <v>14</v>
      </c>
      <c r="B17" s="13">
        <v>2027</v>
      </c>
      <c r="C17" s="9">
        <f t="shared" si="6"/>
        <v>219.78039974835983</v>
      </c>
      <c r="D17" s="8">
        <f t="shared" si="1"/>
        <v>2606.2203326443687</v>
      </c>
      <c r="E17" s="6">
        <f t="shared" si="9"/>
        <v>0.611455596075418</v>
      </c>
      <c r="F17" s="3">
        <v>10</v>
      </c>
      <c r="G17" s="14">
        <v>0.3</v>
      </c>
      <c r="H17" s="8">
        <f>+G17*D17</f>
        <v>781.86609979331058</v>
      </c>
      <c r="I17" s="3">
        <v>25</v>
      </c>
      <c r="J17" s="3">
        <v>15</v>
      </c>
      <c r="K17" s="3">
        <v>30</v>
      </c>
      <c r="L17" s="17">
        <f t="shared" si="0"/>
        <v>2197.8039974835983</v>
      </c>
      <c r="M17" s="3">
        <f>+L17*M$1+M16</f>
        <v>6620.0628258349971</v>
      </c>
      <c r="N17" s="2">
        <f>(H17-H16)*(I17+J17)+H16*K17</f>
        <v>24353.968186333997</v>
      </c>
      <c r="O17" s="9">
        <f>+G17*V17</f>
        <v>412.1029309050042</v>
      </c>
      <c r="P17" s="8">
        <f>+G17*W17</f>
        <v>4121.0293090500418</v>
      </c>
      <c r="Q17" s="19">
        <f t="shared" si="2"/>
        <v>86541.61549005087</v>
      </c>
      <c r="R17" s="19">
        <f>+N17+M17</f>
        <v>30974.031012168994</v>
      </c>
      <c r="S17" s="3">
        <f t="shared" si="3"/>
        <v>55567.584477881872</v>
      </c>
      <c r="T17" s="9">
        <f>+C17*(1-E17)</f>
        <v>85.394444414532828</v>
      </c>
      <c r="U17" s="9">
        <f>+C17*(E17)</f>
        <v>134.38595533382701</v>
      </c>
      <c r="V17" s="10">
        <f t="shared" si="4"/>
        <v>1373.676436350014</v>
      </c>
      <c r="W17" s="8">
        <f t="shared" si="5"/>
        <v>13736.76436350014</v>
      </c>
    </row>
    <row r="18" spans="1:23" x14ac:dyDescent="0.3">
      <c r="A18" s="13">
        <v>15</v>
      </c>
      <c r="B18" s="13">
        <v>2028</v>
      </c>
      <c r="C18" s="9">
        <f t="shared" si="6"/>
        <v>220.60457624741616</v>
      </c>
      <c r="D18" s="8">
        <f t="shared" si="1"/>
        <v>2826.8249088917846</v>
      </c>
      <c r="E18" s="6">
        <v>0.65</v>
      </c>
      <c r="F18" s="3">
        <v>10</v>
      </c>
      <c r="G18" s="14">
        <f>+G17</f>
        <v>0.3</v>
      </c>
      <c r="H18" s="8">
        <f>+G18*D18</f>
        <v>848.04747266753532</v>
      </c>
      <c r="I18" s="3">
        <v>25</v>
      </c>
      <c r="J18" s="3">
        <v>15</v>
      </c>
      <c r="K18" s="3">
        <f t="shared" si="8"/>
        <v>30</v>
      </c>
      <c r="L18" s="17">
        <f t="shared" si="0"/>
        <v>2206.0457624741616</v>
      </c>
      <c r="M18" s="3">
        <f>+L18*M$1+M17</f>
        <v>6884.7883173318969</v>
      </c>
      <c r="N18" s="2">
        <f>(H18-H17)*(I18+J18)+H17*K18</f>
        <v>26103.237908768308</v>
      </c>
      <c r="O18" s="9">
        <f>+G18*V18</f>
        <v>438.90638691906526</v>
      </c>
      <c r="P18" s="8">
        <f>+G18*W18</f>
        <v>4389.0638691906524</v>
      </c>
      <c r="Q18" s="19">
        <f t="shared" si="2"/>
        <v>92170.341253003702</v>
      </c>
      <c r="R18" s="19">
        <f>+N18+M18</f>
        <v>32988.026226100206</v>
      </c>
      <c r="S18" s="3">
        <f t="shared" si="3"/>
        <v>59182.315026903496</v>
      </c>
      <c r="T18" s="9">
        <f>+C18*(1-E18)</f>
        <v>77.211601686595657</v>
      </c>
      <c r="U18" s="9">
        <f>+C18*(E18)</f>
        <v>143.39297456082051</v>
      </c>
      <c r="V18" s="10">
        <f t="shared" si="4"/>
        <v>1463.0212897302176</v>
      </c>
      <c r="W18" s="8">
        <f t="shared" si="5"/>
        <v>14630.212897302175</v>
      </c>
    </row>
    <row r="19" spans="1:23" x14ac:dyDescent="0.3">
      <c r="E19" s="6"/>
      <c r="F19" s="3"/>
      <c r="G19" s="1"/>
      <c r="H19" s="1"/>
      <c r="I19" s="3"/>
      <c r="J19" s="3"/>
      <c r="K19" s="3"/>
      <c r="L19" s="2"/>
      <c r="M19" s="3"/>
    </row>
  </sheetData>
  <mergeCells count="1"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 Eustis</dc:creator>
  <cp:lastModifiedBy>Conrad Eustis</cp:lastModifiedBy>
  <dcterms:created xsi:type="dcterms:W3CDTF">2013-02-14T17:56:24Z</dcterms:created>
  <dcterms:modified xsi:type="dcterms:W3CDTF">2013-02-14T19:04:23Z</dcterms:modified>
</cp:coreProperties>
</file>