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theme/themeOverride1.xml" ContentType="application/vnd.openxmlformats-officedocument.themeOverride+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worksheets/sheet19.xml" ContentType="application/vnd.openxmlformats-officedocument.spreadsheetml.worksheet+xml"/>
  <Override PartName="/xl/sharedStrings.xml" ContentType="application/vnd.openxmlformats-officedocument.spreadsheetml.sharedStrings+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5135" windowHeight="7635" tabRatio="877" firstSheet="2" activeTab="2"/>
  </bookViews>
  <sheets>
    <sheet name="Sheet1" sheetId="20" state="hidden" r:id="rId1"/>
    <sheet name="Lists" sheetId="13" state="hidden" r:id="rId2"/>
    <sheet name="CostByType_Summary" sheetId="63" r:id="rId3"/>
    <sheet name="7thPlanAssumptions" sheetId="62" r:id="rId4"/>
    <sheet name="EnergyCalculations" sheetId="64" r:id="rId5"/>
    <sheet name="CostByType_Details" sheetId="66" r:id="rId6"/>
    <sheet name="2021 Potential" sheetId="68" r:id="rId7"/>
    <sheet name="2035 Potential" sheetId="69" r:id="rId8"/>
    <sheet name="SetupForRPM" sheetId="67" r:id="rId9"/>
    <sheet name="Notes" sheetId="70" r:id="rId10"/>
    <sheet name="NW Baseline Grid Char" sheetId="23" r:id="rId11"/>
    <sheet name="NW Baseline Energy" sheetId="24" r:id="rId12"/>
    <sheet name="NW Baseline Energy by Use" sheetId="26" r:id="rId13"/>
    <sheet name="NW Baseline Demand" sheetId="30" r:id="rId14"/>
    <sheet name="NW Customers" sheetId="29" r:id="rId15"/>
    <sheet name="KeyAssumptions" sheetId="45" r:id="rId16"/>
    <sheet name="Res-Capacity-Base" sheetId="65" r:id="rId17"/>
    <sheet name="Com-Capacity-Base" sheetId="38" r:id="rId18"/>
    <sheet name="Ag-Ind-Capacity-Base" sheetId="43" r:id="rId19"/>
    <sheet name="Res-Capacity-Smart" sheetId="48" r:id="rId20"/>
    <sheet name="Com-Capacity-Smart" sheetId="51" r:id="rId21"/>
    <sheet name="Ag-Ind-Capacity-Smart" sheetId="55" r:id="rId22"/>
  </sheets>
  <definedNames>
    <definedName name="_xlnm._FilterDatabase" localSheetId="2" hidden="1">CostByType_Summary!$A$2:$Q$21</definedName>
  </definedNames>
  <calcPr calcId="125725"/>
</workbook>
</file>

<file path=xl/calcChain.xml><?xml version="1.0" encoding="utf-8"?>
<calcChain xmlns="http://schemas.openxmlformats.org/spreadsheetml/2006/main">
  <c r="B10" i="62"/>
  <c r="C44" i="55"/>
  <c r="V95" i="66" l="1"/>
  <c r="U95"/>
  <c r="T95"/>
  <c r="S95"/>
  <c r="R95"/>
  <c r="Q95"/>
  <c r="P95"/>
  <c r="O95"/>
  <c r="N95"/>
  <c r="M95"/>
  <c r="L95"/>
  <c r="K95"/>
  <c r="J95"/>
  <c r="I95"/>
  <c r="H95"/>
  <c r="G95"/>
  <c r="F95"/>
  <c r="E95"/>
  <c r="D95"/>
  <c r="C95"/>
  <c r="V83"/>
  <c r="U83"/>
  <c r="T83"/>
  <c r="S83"/>
  <c r="R83"/>
  <c r="Q83"/>
  <c r="P83"/>
  <c r="O83"/>
  <c r="N83"/>
  <c r="M83"/>
  <c r="L83"/>
  <c r="K83"/>
  <c r="J83"/>
  <c r="I83"/>
  <c r="H83"/>
  <c r="G83"/>
  <c r="F83"/>
  <c r="E83"/>
  <c r="D83"/>
  <c r="C83"/>
  <c r="V15" i="55"/>
  <c r="V26" s="1"/>
  <c r="V37" s="1"/>
  <c r="V48" s="1"/>
  <c r="V58" s="1"/>
  <c r="V70" s="1"/>
  <c r="V82" s="1"/>
  <c r="V94" s="1"/>
  <c r="V106" s="1"/>
  <c r="V117" s="1"/>
  <c r="V128" i="66" s="1"/>
  <c r="U15" i="55"/>
  <c r="U26" s="1"/>
  <c r="U37" s="1"/>
  <c r="U48" s="1"/>
  <c r="U58" s="1"/>
  <c r="U70" s="1"/>
  <c r="U82" s="1"/>
  <c r="U94" s="1"/>
  <c r="U106" s="1"/>
  <c r="U117" s="1"/>
  <c r="U128" i="66" s="1"/>
  <c r="T15" i="55"/>
  <c r="T26" s="1"/>
  <c r="T37" s="1"/>
  <c r="T48" s="1"/>
  <c r="T58" s="1"/>
  <c r="T70" s="1"/>
  <c r="T82" s="1"/>
  <c r="T94" s="1"/>
  <c r="T106" s="1"/>
  <c r="T117" s="1"/>
  <c r="T128" i="66" s="1"/>
  <c r="S15" i="55"/>
  <c r="S26" s="1"/>
  <c r="S37" s="1"/>
  <c r="S48" s="1"/>
  <c r="S58" s="1"/>
  <c r="S70" s="1"/>
  <c r="S82" s="1"/>
  <c r="S94" s="1"/>
  <c r="S106" s="1"/>
  <c r="S117" s="1"/>
  <c r="S128" i="66" s="1"/>
  <c r="R15" i="55"/>
  <c r="R26" s="1"/>
  <c r="R37" s="1"/>
  <c r="R48" s="1"/>
  <c r="R58" s="1"/>
  <c r="R70" s="1"/>
  <c r="R82" s="1"/>
  <c r="R94" s="1"/>
  <c r="R106" s="1"/>
  <c r="R117" s="1"/>
  <c r="R128" i="66" s="1"/>
  <c r="Q15" i="55"/>
  <c r="Q26" s="1"/>
  <c r="Q37" s="1"/>
  <c r="Q48" s="1"/>
  <c r="Q58" s="1"/>
  <c r="Q70" s="1"/>
  <c r="Q82" s="1"/>
  <c r="Q94" s="1"/>
  <c r="Q106" s="1"/>
  <c r="Q117" s="1"/>
  <c r="Q128" i="66" s="1"/>
  <c r="P15" i="55"/>
  <c r="P26" s="1"/>
  <c r="P37" s="1"/>
  <c r="P48" s="1"/>
  <c r="P58" s="1"/>
  <c r="P70" s="1"/>
  <c r="P82" s="1"/>
  <c r="P94" s="1"/>
  <c r="P106" s="1"/>
  <c r="P117" s="1"/>
  <c r="P128" i="66" s="1"/>
  <c r="O15" i="55"/>
  <c r="O26" s="1"/>
  <c r="O37" s="1"/>
  <c r="O48" s="1"/>
  <c r="O58" s="1"/>
  <c r="O70" s="1"/>
  <c r="O82" s="1"/>
  <c r="O94" s="1"/>
  <c r="O106" s="1"/>
  <c r="O117" s="1"/>
  <c r="O128" i="66" s="1"/>
  <c r="N15" i="55"/>
  <c r="N26" s="1"/>
  <c r="N37" s="1"/>
  <c r="N48" s="1"/>
  <c r="N58" s="1"/>
  <c r="N70" s="1"/>
  <c r="N82" s="1"/>
  <c r="N94" s="1"/>
  <c r="N106" s="1"/>
  <c r="N117" s="1"/>
  <c r="N128" i="66" s="1"/>
  <c r="M15" i="55"/>
  <c r="M26" s="1"/>
  <c r="M37" s="1"/>
  <c r="M48" s="1"/>
  <c r="M58" s="1"/>
  <c r="M70" s="1"/>
  <c r="M82" s="1"/>
  <c r="M94" s="1"/>
  <c r="M106" s="1"/>
  <c r="M117" s="1"/>
  <c r="M128" i="66" s="1"/>
  <c r="L15" i="55"/>
  <c r="L26" s="1"/>
  <c r="L37" s="1"/>
  <c r="L48" s="1"/>
  <c r="L58" s="1"/>
  <c r="L70" s="1"/>
  <c r="L82" s="1"/>
  <c r="L94" s="1"/>
  <c r="L106" s="1"/>
  <c r="L117" s="1"/>
  <c r="L128" i="66" s="1"/>
  <c r="K15" i="55"/>
  <c r="K26" s="1"/>
  <c r="K37" s="1"/>
  <c r="K48" s="1"/>
  <c r="K58" s="1"/>
  <c r="K70" s="1"/>
  <c r="K82" s="1"/>
  <c r="K94" s="1"/>
  <c r="K106" s="1"/>
  <c r="K117" s="1"/>
  <c r="K128" i="66" s="1"/>
  <c r="J15" i="55"/>
  <c r="J26" s="1"/>
  <c r="J37" s="1"/>
  <c r="J48" s="1"/>
  <c r="J58" s="1"/>
  <c r="J70" s="1"/>
  <c r="J82" s="1"/>
  <c r="J94" s="1"/>
  <c r="J106" s="1"/>
  <c r="J117" s="1"/>
  <c r="J128" i="66" s="1"/>
  <c r="I15" i="55"/>
  <c r="I26" s="1"/>
  <c r="I37" s="1"/>
  <c r="I48" s="1"/>
  <c r="I58" s="1"/>
  <c r="I70" s="1"/>
  <c r="I82" s="1"/>
  <c r="I94" s="1"/>
  <c r="I106" s="1"/>
  <c r="I117" s="1"/>
  <c r="I128" i="66" s="1"/>
  <c r="H15" i="55"/>
  <c r="H26" s="1"/>
  <c r="H37" s="1"/>
  <c r="H48" s="1"/>
  <c r="H58" s="1"/>
  <c r="H70" s="1"/>
  <c r="H82" s="1"/>
  <c r="H94" s="1"/>
  <c r="H106" s="1"/>
  <c r="H117" s="1"/>
  <c r="H128" i="66" s="1"/>
  <c r="G15" i="55"/>
  <c r="G26" s="1"/>
  <c r="G37" s="1"/>
  <c r="G48" s="1"/>
  <c r="G58" s="1"/>
  <c r="G70" s="1"/>
  <c r="G82" s="1"/>
  <c r="G94" s="1"/>
  <c r="G106" s="1"/>
  <c r="G117" s="1"/>
  <c r="G128" i="66" s="1"/>
  <c r="F15" i="55"/>
  <c r="F26" s="1"/>
  <c r="F37" s="1"/>
  <c r="F48" s="1"/>
  <c r="F58" s="1"/>
  <c r="F70" s="1"/>
  <c r="F82" s="1"/>
  <c r="F94" s="1"/>
  <c r="F106" s="1"/>
  <c r="F117" s="1"/>
  <c r="F128" i="66" s="1"/>
  <c r="E15" i="55"/>
  <c r="E26" s="1"/>
  <c r="E37" s="1"/>
  <c r="E48" s="1"/>
  <c r="E58" s="1"/>
  <c r="E70" s="1"/>
  <c r="E82" s="1"/>
  <c r="E94" s="1"/>
  <c r="E106" s="1"/>
  <c r="E117" s="1"/>
  <c r="E128" i="66" s="1"/>
  <c r="D15" i="55"/>
  <c r="D26" s="1"/>
  <c r="D37" s="1"/>
  <c r="D48" s="1"/>
  <c r="D58" s="1"/>
  <c r="D70" s="1"/>
  <c r="D82" s="1"/>
  <c r="D94" s="1"/>
  <c r="D106" s="1"/>
  <c r="D117" s="1"/>
  <c r="D128" i="66" s="1"/>
  <c r="C15" i="55"/>
  <c r="C26" s="1"/>
  <c r="C37" s="1"/>
  <c r="C48" s="1"/>
  <c r="C58" s="1"/>
  <c r="C70" s="1"/>
  <c r="C82" s="1"/>
  <c r="C94" s="1"/>
  <c r="C106" s="1"/>
  <c r="C117" s="1"/>
  <c r="C128" i="66" s="1"/>
  <c r="V8" i="55"/>
  <c r="U8"/>
  <c r="T8"/>
  <c r="S8"/>
  <c r="R8"/>
  <c r="Q8"/>
  <c r="P8"/>
  <c r="O8"/>
  <c r="N8"/>
  <c r="M8"/>
  <c r="L8"/>
  <c r="K8"/>
  <c r="J8"/>
  <c r="I8"/>
  <c r="I7" s="1"/>
  <c r="I6" s="1"/>
  <c r="H8"/>
  <c r="H7" s="1"/>
  <c r="H6" s="1"/>
  <c r="G8"/>
  <c r="G7" s="1"/>
  <c r="G6" s="1"/>
  <c r="F8"/>
  <c r="F7" s="1"/>
  <c r="F6" s="1"/>
  <c r="E8"/>
  <c r="E7" s="1"/>
  <c r="E6" s="1"/>
  <c r="D8"/>
  <c r="D7" s="1"/>
  <c r="D6" s="1"/>
  <c r="C8"/>
  <c r="C7" s="1"/>
  <c r="C6" s="1"/>
  <c r="V7"/>
  <c r="V6" s="1"/>
  <c r="U7"/>
  <c r="T7"/>
  <c r="T6" s="1"/>
  <c r="S7"/>
  <c r="S6" s="1"/>
  <c r="R7"/>
  <c r="R6" s="1"/>
  <c r="Q7"/>
  <c r="Q6" s="1"/>
  <c r="P7"/>
  <c r="P6" s="1"/>
  <c r="O7"/>
  <c r="O6" s="1"/>
  <c r="N7"/>
  <c r="N6" s="1"/>
  <c r="M7"/>
  <c r="M6" s="1"/>
  <c r="L7"/>
  <c r="L6" s="1"/>
  <c r="K7"/>
  <c r="K6" s="1"/>
  <c r="J7"/>
  <c r="J6" s="1"/>
  <c r="U6"/>
  <c r="V35" i="51"/>
  <c r="V45" s="1"/>
  <c r="V56" s="1"/>
  <c r="V67" s="1"/>
  <c r="V78" s="1"/>
  <c r="V89" s="1"/>
  <c r="V99" s="1"/>
  <c r="V113" i="66" s="1"/>
  <c r="U35" i="51"/>
  <c r="U45" s="1"/>
  <c r="U56" s="1"/>
  <c r="U67" s="1"/>
  <c r="U78" s="1"/>
  <c r="U89" s="1"/>
  <c r="U99" s="1"/>
  <c r="U113" i="66" s="1"/>
  <c r="T35" i="51"/>
  <c r="T45" s="1"/>
  <c r="T56" s="1"/>
  <c r="T67" s="1"/>
  <c r="T78" s="1"/>
  <c r="T89" s="1"/>
  <c r="T99" s="1"/>
  <c r="T113" i="66" s="1"/>
  <c r="S35" i="51"/>
  <c r="S45" s="1"/>
  <c r="S56" s="1"/>
  <c r="S67" s="1"/>
  <c r="S78" s="1"/>
  <c r="S89" s="1"/>
  <c r="S99" s="1"/>
  <c r="S113" i="66" s="1"/>
  <c r="R35" i="51"/>
  <c r="R45" s="1"/>
  <c r="R56" s="1"/>
  <c r="R67" s="1"/>
  <c r="R78" s="1"/>
  <c r="R89" s="1"/>
  <c r="R99" s="1"/>
  <c r="R113" i="66" s="1"/>
  <c r="Q35" i="51"/>
  <c r="Q45" s="1"/>
  <c r="Q56" s="1"/>
  <c r="Q67" s="1"/>
  <c r="Q78" s="1"/>
  <c r="Q89" s="1"/>
  <c r="Q99" s="1"/>
  <c r="Q113" i="66" s="1"/>
  <c r="P35" i="51"/>
  <c r="P45" s="1"/>
  <c r="P56" s="1"/>
  <c r="P67" s="1"/>
  <c r="P78" s="1"/>
  <c r="P89" s="1"/>
  <c r="P99" s="1"/>
  <c r="P113" i="66" s="1"/>
  <c r="O35" i="51"/>
  <c r="O45" s="1"/>
  <c r="O56" s="1"/>
  <c r="O67" s="1"/>
  <c r="O78" s="1"/>
  <c r="O89" s="1"/>
  <c r="O99" s="1"/>
  <c r="O113" i="66" s="1"/>
  <c r="N35" i="51"/>
  <c r="N45" s="1"/>
  <c r="N56" s="1"/>
  <c r="N67" s="1"/>
  <c r="N78" s="1"/>
  <c r="N89" s="1"/>
  <c r="N99" s="1"/>
  <c r="N113" i="66" s="1"/>
  <c r="M35" i="51"/>
  <c r="M45" s="1"/>
  <c r="M56" s="1"/>
  <c r="M67" s="1"/>
  <c r="M78" s="1"/>
  <c r="M89" s="1"/>
  <c r="M99" s="1"/>
  <c r="M113" i="66" s="1"/>
  <c r="L35" i="51"/>
  <c r="L45" s="1"/>
  <c r="L56" s="1"/>
  <c r="L67" s="1"/>
  <c r="L78" s="1"/>
  <c r="L89" s="1"/>
  <c r="L99" s="1"/>
  <c r="L113" i="66" s="1"/>
  <c r="K35" i="51"/>
  <c r="K45" s="1"/>
  <c r="K56" s="1"/>
  <c r="K67" s="1"/>
  <c r="K78" s="1"/>
  <c r="K89" s="1"/>
  <c r="K99" s="1"/>
  <c r="K113" i="66" s="1"/>
  <c r="J35" i="51"/>
  <c r="J45" s="1"/>
  <c r="J56" s="1"/>
  <c r="J67" s="1"/>
  <c r="J78" s="1"/>
  <c r="J89" s="1"/>
  <c r="J99" s="1"/>
  <c r="J113" i="66" s="1"/>
  <c r="I35" i="51"/>
  <c r="I45" s="1"/>
  <c r="I56" s="1"/>
  <c r="I67" s="1"/>
  <c r="I78" s="1"/>
  <c r="I89" s="1"/>
  <c r="I99" s="1"/>
  <c r="I113" i="66" s="1"/>
  <c r="H35" i="51"/>
  <c r="H45" s="1"/>
  <c r="H56" s="1"/>
  <c r="H67" s="1"/>
  <c r="H78" s="1"/>
  <c r="H89" s="1"/>
  <c r="H99" s="1"/>
  <c r="H113" i="66" s="1"/>
  <c r="G35" i="51"/>
  <c r="G45" s="1"/>
  <c r="G56" s="1"/>
  <c r="G67" s="1"/>
  <c r="G78" s="1"/>
  <c r="G89" s="1"/>
  <c r="G99" s="1"/>
  <c r="G113" i="66" s="1"/>
  <c r="F35" i="51"/>
  <c r="F45" s="1"/>
  <c r="F56" s="1"/>
  <c r="F67" s="1"/>
  <c r="F78" s="1"/>
  <c r="F89" s="1"/>
  <c r="F99" s="1"/>
  <c r="F113" i="66" s="1"/>
  <c r="E35" i="51"/>
  <c r="E45" s="1"/>
  <c r="E56" s="1"/>
  <c r="E67" s="1"/>
  <c r="E78" s="1"/>
  <c r="E89" s="1"/>
  <c r="E99" s="1"/>
  <c r="E113" i="66" s="1"/>
  <c r="D35" i="51"/>
  <c r="D45" s="1"/>
  <c r="D56" s="1"/>
  <c r="D67" s="1"/>
  <c r="D78" s="1"/>
  <c r="D89" s="1"/>
  <c r="D99" s="1"/>
  <c r="D113" i="66" s="1"/>
  <c r="C35" i="51"/>
  <c r="C45" s="1"/>
  <c r="C56" s="1"/>
  <c r="C67" s="1"/>
  <c r="C78" s="1"/>
  <c r="C89" s="1"/>
  <c r="C99" s="1"/>
  <c r="C113" i="66" s="1"/>
  <c r="V24" i="51"/>
  <c r="U24"/>
  <c r="T24"/>
  <c r="S24"/>
  <c r="R24"/>
  <c r="Q24"/>
  <c r="P24"/>
  <c r="O24"/>
  <c r="N24"/>
  <c r="M24"/>
  <c r="L24"/>
  <c r="K24"/>
  <c r="J24"/>
  <c r="I24"/>
  <c r="H24"/>
  <c r="G24"/>
  <c r="F24"/>
  <c r="E24"/>
  <c r="D24"/>
  <c r="C24"/>
  <c r="V13"/>
  <c r="U13"/>
  <c r="T13"/>
  <c r="S13"/>
  <c r="R13"/>
  <c r="Q13"/>
  <c r="P13"/>
  <c r="O13"/>
  <c r="N13"/>
  <c r="M13"/>
  <c r="L13"/>
  <c r="K13"/>
  <c r="J13"/>
  <c r="I13"/>
  <c r="H13"/>
  <c r="G13"/>
  <c r="F13"/>
  <c r="E13"/>
  <c r="D13"/>
  <c r="C13"/>
  <c r="V6"/>
  <c r="U6"/>
  <c r="T6"/>
  <c r="S6"/>
  <c r="R6"/>
  <c r="Q6"/>
  <c r="P6"/>
  <c r="O6"/>
  <c r="N6"/>
  <c r="M6"/>
  <c r="L6"/>
  <c r="K6"/>
  <c r="J6"/>
  <c r="I6"/>
  <c r="H6"/>
  <c r="G6"/>
  <c r="F6"/>
  <c r="E6"/>
  <c r="D6"/>
  <c r="C6"/>
  <c r="V115" i="48"/>
  <c r="U115"/>
  <c r="T115"/>
  <c r="S115"/>
  <c r="R115"/>
  <c r="Q115"/>
  <c r="P115"/>
  <c r="O115"/>
  <c r="N115"/>
  <c r="M115"/>
  <c r="L115"/>
  <c r="K115"/>
  <c r="J115"/>
  <c r="I115"/>
  <c r="H115"/>
  <c r="G115"/>
  <c r="F115"/>
  <c r="E115"/>
  <c r="D115"/>
  <c r="C115"/>
  <c r="V104"/>
  <c r="U104"/>
  <c r="T104"/>
  <c r="S104"/>
  <c r="R104"/>
  <c r="Q104"/>
  <c r="P104"/>
  <c r="O104"/>
  <c r="N104"/>
  <c r="M104"/>
  <c r="L104"/>
  <c r="K104"/>
  <c r="J104"/>
  <c r="I104"/>
  <c r="H104"/>
  <c r="G104"/>
  <c r="F104"/>
  <c r="E104"/>
  <c r="D104"/>
  <c r="C104"/>
  <c r="V92"/>
  <c r="U92"/>
  <c r="T92"/>
  <c r="S92"/>
  <c r="R92"/>
  <c r="Q92"/>
  <c r="P92"/>
  <c r="O92"/>
  <c r="N92"/>
  <c r="M92"/>
  <c r="L92"/>
  <c r="K92"/>
  <c r="J92"/>
  <c r="I92"/>
  <c r="H92"/>
  <c r="G92"/>
  <c r="F92"/>
  <c r="E92"/>
  <c r="D92"/>
  <c r="C92"/>
  <c r="V80"/>
  <c r="U80"/>
  <c r="T80"/>
  <c r="S80"/>
  <c r="R80"/>
  <c r="Q80"/>
  <c r="P80"/>
  <c r="O80"/>
  <c r="N80"/>
  <c r="M80"/>
  <c r="L80"/>
  <c r="K80"/>
  <c r="J80"/>
  <c r="I80"/>
  <c r="H80"/>
  <c r="G80"/>
  <c r="F80"/>
  <c r="E80"/>
  <c r="D80"/>
  <c r="C80"/>
  <c r="V68"/>
  <c r="U68"/>
  <c r="T68"/>
  <c r="S68"/>
  <c r="R68"/>
  <c r="Q68"/>
  <c r="P68"/>
  <c r="O68"/>
  <c r="N68"/>
  <c r="M68"/>
  <c r="L68"/>
  <c r="K68"/>
  <c r="J68"/>
  <c r="I68"/>
  <c r="H68"/>
  <c r="G68"/>
  <c r="F68"/>
  <c r="E68"/>
  <c r="D68"/>
  <c r="C68"/>
  <c r="V56"/>
  <c r="U56"/>
  <c r="T56"/>
  <c r="S56"/>
  <c r="R56"/>
  <c r="Q56"/>
  <c r="P56"/>
  <c r="O56"/>
  <c r="N56"/>
  <c r="M56"/>
  <c r="L56"/>
  <c r="K56"/>
  <c r="J56"/>
  <c r="I56"/>
  <c r="H56"/>
  <c r="G56"/>
  <c r="F56"/>
  <c r="E56"/>
  <c r="D56"/>
  <c r="C56"/>
  <c r="V46"/>
  <c r="U46"/>
  <c r="T46"/>
  <c r="S46"/>
  <c r="R46"/>
  <c r="Q46"/>
  <c r="P46"/>
  <c r="O46"/>
  <c r="N46"/>
  <c r="M46"/>
  <c r="L46"/>
  <c r="K46"/>
  <c r="J46"/>
  <c r="I46"/>
  <c r="H46"/>
  <c r="G46"/>
  <c r="F46"/>
  <c r="E46"/>
  <c r="D46"/>
  <c r="C46"/>
  <c r="V35"/>
  <c r="U35"/>
  <c r="T35"/>
  <c r="S35"/>
  <c r="R35"/>
  <c r="Q35"/>
  <c r="P35"/>
  <c r="O35"/>
  <c r="N35"/>
  <c r="M35"/>
  <c r="L35"/>
  <c r="K35"/>
  <c r="J35"/>
  <c r="I35"/>
  <c r="H35"/>
  <c r="G35"/>
  <c r="F35"/>
  <c r="E35"/>
  <c r="D35"/>
  <c r="C35"/>
  <c r="V24"/>
  <c r="U24"/>
  <c r="T24"/>
  <c r="S24"/>
  <c r="R24"/>
  <c r="Q24"/>
  <c r="P24"/>
  <c r="O24"/>
  <c r="N24"/>
  <c r="M24"/>
  <c r="L24"/>
  <c r="K24"/>
  <c r="J24"/>
  <c r="I24"/>
  <c r="H24"/>
  <c r="G24"/>
  <c r="F24"/>
  <c r="E24"/>
  <c r="D24"/>
  <c r="C24"/>
  <c r="V13"/>
  <c r="U13"/>
  <c r="T13"/>
  <c r="S13"/>
  <c r="R13"/>
  <c r="Q13"/>
  <c r="P13"/>
  <c r="O13"/>
  <c r="N13"/>
  <c r="M13"/>
  <c r="L13"/>
  <c r="K13"/>
  <c r="J13"/>
  <c r="I13"/>
  <c r="H13"/>
  <c r="G13"/>
  <c r="F13"/>
  <c r="E13"/>
  <c r="D13"/>
  <c r="C13"/>
  <c r="V6"/>
  <c r="U6"/>
  <c r="T6"/>
  <c r="S6"/>
  <c r="R6"/>
  <c r="Q6"/>
  <c r="P6"/>
  <c r="O6"/>
  <c r="N6"/>
  <c r="M6"/>
  <c r="L6"/>
  <c r="K6"/>
  <c r="J6"/>
  <c r="I6"/>
  <c r="H6"/>
  <c r="G6"/>
  <c r="F6"/>
  <c r="E6"/>
  <c r="D6"/>
  <c r="C6"/>
  <c r="V50"/>
  <c r="U50"/>
  <c r="T50"/>
  <c r="S50"/>
  <c r="R50"/>
  <c r="Q50"/>
  <c r="P50"/>
  <c r="O50"/>
  <c r="N50"/>
  <c r="M50"/>
  <c r="L50"/>
  <c r="K50"/>
  <c r="J50"/>
  <c r="I50"/>
  <c r="H50"/>
  <c r="G50"/>
  <c r="F50"/>
  <c r="E50"/>
  <c r="D50"/>
  <c r="C50"/>
  <c r="H39"/>
  <c r="G39"/>
  <c r="C39"/>
  <c r="H28"/>
  <c r="C28"/>
  <c r="H17"/>
  <c r="C17"/>
  <c r="V36" i="43"/>
  <c r="U36"/>
  <c r="T36"/>
  <c r="S36"/>
  <c r="R36"/>
  <c r="Q36"/>
  <c r="P36"/>
  <c r="O36"/>
  <c r="N36"/>
  <c r="M36"/>
  <c r="L36"/>
  <c r="K36"/>
  <c r="J36"/>
  <c r="I36"/>
  <c r="H36"/>
  <c r="G36"/>
  <c r="F36"/>
  <c r="E36"/>
  <c r="D36"/>
  <c r="V46"/>
  <c r="U46"/>
  <c r="T46"/>
  <c r="S46"/>
  <c r="R46"/>
  <c r="Q46"/>
  <c r="P46"/>
  <c r="O46"/>
  <c r="N46"/>
  <c r="M46"/>
  <c r="L46"/>
  <c r="K46"/>
  <c r="J46"/>
  <c r="I46"/>
  <c r="H46"/>
  <c r="G46"/>
  <c r="F46"/>
  <c r="E46"/>
  <c r="D46"/>
  <c r="V56"/>
  <c r="U56"/>
  <c r="T56"/>
  <c r="S56"/>
  <c r="R56"/>
  <c r="Q56"/>
  <c r="P56"/>
  <c r="O56"/>
  <c r="N56"/>
  <c r="M56"/>
  <c r="L56"/>
  <c r="K56"/>
  <c r="J56"/>
  <c r="I56"/>
  <c r="H56"/>
  <c r="G56"/>
  <c r="F56"/>
  <c r="E56"/>
  <c r="D56"/>
  <c r="V66"/>
  <c r="U66"/>
  <c r="T66"/>
  <c r="S66"/>
  <c r="R66"/>
  <c r="Q66"/>
  <c r="P66"/>
  <c r="O66"/>
  <c r="N66"/>
  <c r="M66"/>
  <c r="L66"/>
  <c r="K66"/>
  <c r="J66"/>
  <c r="I66"/>
  <c r="H66"/>
  <c r="G66"/>
  <c r="F66"/>
  <c r="E66"/>
  <c r="D66"/>
  <c r="V76"/>
  <c r="U76"/>
  <c r="T76"/>
  <c r="S76"/>
  <c r="R76"/>
  <c r="Q76"/>
  <c r="P76"/>
  <c r="O76"/>
  <c r="N76"/>
  <c r="M76"/>
  <c r="L76"/>
  <c r="K76"/>
  <c r="J76"/>
  <c r="I76"/>
  <c r="H76"/>
  <c r="G76"/>
  <c r="F76"/>
  <c r="E76"/>
  <c r="D76"/>
  <c r="V85"/>
  <c r="U85"/>
  <c r="T85"/>
  <c r="S85"/>
  <c r="R85"/>
  <c r="Q85"/>
  <c r="P85"/>
  <c r="O85"/>
  <c r="N85"/>
  <c r="M85"/>
  <c r="L85"/>
  <c r="K85"/>
  <c r="J85"/>
  <c r="I85"/>
  <c r="H85"/>
  <c r="G85"/>
  <c r="F85"/>
  <c r="E85"/>
  <c r="D85"/>
  <c r="C85"/>
  <c r="C76"/>
  <c r="C66"/>
  <c r="C56"/>
  <c r="C46"/>
  <c r="C36"/>
  <c r="V26"/>
  <c r="U26"/>
  <c r="T26"/>
  <c r="S26"/>
  <c r="R26"/>
  <c r="Q26"/>
  <c r="P26"/>
  <c r="O26"/>
  <c r="N26"/>
  <c r="M26"/>
  <c r="L26"/>
  <c r="K26"/>
  <c r="J26"/>
  <c r="I26"/>
  <c r="H26"/>
  <c r="G26"/>
  <c r="F26"/>
  <c r="E26"/>
  <c r="D26"/>
  <c r="C26"/>
  <c r="V15"/>
  <c r="U15"/>
  <c r="T15"/>
  <c r="S15"/>
  <c r="R15"/>
  <c r="Q15"/>
  <c r="P15"/>
  <c r="O15"/>
  <c r="N15"/>
  <c r="M15"/>
  <c r="L15"/>
  <c r="K15"/>
  <c r="J15"/>
  <c r="I15"/>
  <c r="H15"/>
  <c r="G15"/>
  <c r="F15"/>
  <c r="E15"/>
  <c r="D15"/>
  <c r="C15"/>
  <c r="V8"/>
  <c r="U8"/>
  <c r="T8"/>
  <c r="S8"/>
  <c r="R8"/>
  <c r="Q8"/>
  <c r="P8"/>
  <c r="O8"/>
  <c r="N8"/>
  <c r="M8"/>
  <c r="L8"/>
  <c r="K8"/>
  <c r="J8"/>
  <c r="I8"/>
  <c r="H8"/>
  <c r="G8"/>
  <c r="F8"/>
  <c r="E8"/>
  <c r="D8"/>
  <c r="C8"/>
  <c r="D6" i="38"/>
  <c r="E6"/>
  <c r="F6"/>
  <c r="G6"/>
  <c r="H6"/>
  <c r="I6"/>
  <c r="J6"/>
  <c r="K6"/>
  <c r="L6"/>
  <c r="M6"/>
  <c r="N6"/>
  <c r="O6"/>
  <c r="P6"/>
  <c r="Q6"/>
  <c r="R6"/>
  <c r="S6"/>
  <c r="T6"/>
  <c r="U6"/>
  <c r="V6"/>
  <c r="C6"/>
  <c r="D6" i="65"/>
  <c r="E6"/>
  <c r="F6"/>
  <c r="G6"/>
  <c r="H6"/>
  <c r="I6"/>
  <c r="J6"/>
  <c r="K6"/>
  <c r="L6"/>
  <c r="M6"/>
  <c r="N6"/>
  <c r="O6"/>
  <c r="P6"/>
  <c r="Q6"/>
  <c r="R6"/>
  <c r="S6"/>
  <c r="T6"/>
  <c r="U6"/>
  <c r="V6"/>
  <c r="C6"/>
  <c r="B10" i="29"/>
  <c r="B11"/>
  <c r="B9"/>
  <c r="A117" i="65"/>
  <c r="B109"/>
  <c r="A109"/>
  <c r="B108"/>
  <c r="A108"/>
  <c r="B107"/>
  <c r="A107"/>
  <c r="B106"/>
  <c r="A106"/>
  <c r="A97"/>
  <c r="A95"/>
  <c r="A94"/>
  <c r="B85"/>
  <c r="A85"/>
  <c r="B84"/>
  <c r="A84"/>
  <c r="B83"/>
  <c r="A83"/>
  <c r="B82"/>
  <c r="A82"/>
  <c r="A73"/>
  <c r="A72"/>
  <c r="A71"/>
  <c r="A70"/>
  <c r="D48"/>
  <c r="E48" s="1"/>
  <c r="F48" s="1"/>
  <c r="G48" s="1"/>
  <c r="C48"/>
  <c r="C43"/>
  <c r="C42"/>
  <c r="I39"/>
  <c r="J39" s="1"/>
  <c r="K39" s="1"/>
  <c r="L39" s="1"/>
  <c r="L39" i="48" s="1"/>
  <c r="D39" i="65"/>
  <c r="E39" s="1"/>
  <c r="C37"/>
  <c r="D37" s="1"/>
  <c r="E37" s="1"/>
  <c r="F37" s="1"/>
  <c r="G37" s="1"/>
  <c r="H37" s="1"/>
  <c r="I37" s="1"/>
  <c r="J37" s="1"/>
  <c r="K37" s="1"/>
  <c r="L37" s="1"/>
  <c r="M37" s="1"/>
  <c r="N37" s="1"/>
  <c r="O37" s="1"/>
  <c r="P37" s="1"/>
  <c r="Q37" s="1"/>
  <c r="R37" s="1"/>
  <c r="S37" s="1"/>
  <c r="T37" s="1"/>
  <c r="U37" s="1"/>
  <c r="V37" s="1"/>
  <c r="C32"/>
  <c r="I28"/>
  <c r="J28" s="1"/>
  <c r="K28" s="1"/>
  <c r="K28" i="48" s="1"/>
  <c r="D28" i="65"/>
  <c r="E28" s="1"/>
  <c r="F28" s="1"/>
  <c r="F28" i="48" s="1"/>
  <c r="C26" i="65"/>
  <c r="D26" s="1"/>
  <c r="E26" s="1"/>
  <c r="F26" s="1"/>
  <c r="G26" s="1"/>
  <c r="H26" s="1"/>
  <c r="I26" s="1"/>
  <c r="J26" s="1"/>
  <c r="C21"/>
  <c r="C20"/>
  <c r="I17"/>
  <c r="I17" i="48" s="1"/>
  <c r="D17" i="65"/>
  <c r="E17" s="1"/>
  <c r="C15"/>
  <c r="D15" s="1"/>
  <c r="E15" s="1"/>
  <c r="F15" s="1"/>
  <c r="G15" s="1"/>
  <c r="H15" s="1"/>
  <c r="I15" s="1"/>
  <c r="J15" s="1"/>
  <c r="K15" s="1"/>
  <c r="L15" s="1"/>
  <c r="M15" s="1"/>
  <c r="N15" s="1"/>
  <c r="O15" s="1"/>
  <c r="P15" s="1"/>
  <c r="Q15" s="1"/>
  <c r="R15" s="1"/>
  <c r="S15" s="1"/>
  <c r="T15" s="1"/>
  <c r="U15" s="1"/>
  <c r="V15" s="1"/>
  <c r="C10"/>
  <c r="C9"/>
  <c r="J17" l="1"/>
  <c r="J72" s="1"/>
  <c r="L28"/>
  <c r="L70" s="1"/>
  <c r="E39" i="48"/>
  <c r="F39" i="65"/>
  <c r="F39" i="48" s="1"/>
  <c r="F17" i="65"/>
  <c r="F17" i="48" s="1"/>
  <c r="E17"/>
  <c r="D17"/>
  <c r="K39"/>
  <c r="J28"/>
  <c r="J39"/>
  <c r="D28"/>
  <c r="D39"/>
  <c r="E28"/>
  <c r="I28"/>
  <c r="I39"/>
  <c r="C70" i="65"/>
  <c r="F70"/>
  <c r="F82" s="1"/>
  <c r="F64" i="66" s="1"/>
  <c r="H34" s="1"/>
  <c r="K26" i="65"/>
  <c r="L26" s="1"/>
  <c r="M26" s="1"/>
  <c r="N26" s="1"/>
  <c r="O26" s="1"/>
  <c r="P26" s="1"/>
  <c r="Q26" s="1"/>
  <c r="R26" s="1"/>
  <c r="S26" s="1"/>
  <c r="T26" s="1"/>
  <c r="U26" s="1"/>
  <c r="V26" s="1"/>
  <c r="J70"/>
  <c r="M39"/>
  <c r="G73"/>
  <c r="H48"/>
  <c r="I48" s="1"/>
  <c r="J48" s="1"/>
  <c r="K48" s="1"/>
  <c r="L48" s="1"/>
  <c r="M48" s="1"/>
  <c r="N48" s="1"/>
  <c r="O48" s="1"/>
  <c r="G17"/>
  <c r="E73"/>
  <c r="E85" s="1"/>
  <c r="E67" i="66" s="1"/>
  <c r="G35" s="1"/>
  <c r="D72" i="65"/>
  <c r="D84" s="1"/>
  <c r="D66" i="66" s="1"/>
  <c r="F33" s="1"/>
  <c r="D70" i="65"/>
  <c r="H72"/>
  <c r="H84" s="1"/>
  <c r="H70"/>
  <c r="C72"/>
  <c r="C60" s="1"/>
  <c r="E70"/>
  <c r="E72"/>
  <c r="D73"/>
  <c r="I70"/>
  <c r="C73"/>
  <c r="F73"/>
  <c r="N73"/>
  <c r="G28"/>
  <c r="G28" i="48" s="1"/>
  <c r="I72" i="65"/>
  <c r="G70"/>
  <c r="K70"/>
  <c r="F72" l="1"/>
  <c r="F60" s="1"/>
  <c r="J73"/>
  <c r="J85" s="1"/>
  <c r="J67" i="66" s="1"/>
  <c r="L35" s="1"/>
  <c r="J17" i="48"/>
  <c r="K17" i="65"/>
  <c r="L28" i="48"/>
  <c r="M28" i="65"/>
  <c r="K73"/>
  <c r="K85" s="1"/>
  <c r="L73"/>
  <c r="L85" s="1"/>
  <c r="D108"/>
  <c r="D56" i="66" s="1"/>
  <c r="H66"/>
  <c r="J33" s="1"/>
  <c r="H108" i="65"/>
  <c r="H56" i="66" s="1"/>
  <c r="F58" i="65"/>
  <c r="E109"/>
  <c r="E57" i="66" s="1"/>
  <c r="F106" i="65"/>
  <c r="F54" i="66" s="1"/>
  <c r="G72" i="65"/>
  <c r="G84" s="1"/>
  <c r="G17" i="48"/>
  <c r="N39" i="65"/>
  <c r="M39" i="48"/>
  <c r="M73" i="65"/>
  <c r="H73"/>
  <c r="H61" s="1"/>
  <c r="I73"/>
  <c r="I85" s="1"/>
  <c r="D61"/>
  <c r="J60"/>
  <c r="J58"/>
  <c r="K82"/>
  <c r="K58"/>
  <c r="C82"/>
  <c r="C58"/>
  <c r="C61"/>
  <c r="C85"/>
  <c r="E84"/>
  <c r="E60"/>
  <c r="J84"/>
  <c r="E61"/>
  <c r="G58"/>
  <c r="G82"/>
  <c r="E82"/>
  <c r="E58"/>
  <c r="H82"/>
  <c r="H58"/>
  <c r="F61"/>
  <c r="F85"/>
  <c r="I82"/>
  <c r="I58"/>
  <c r="G61"/>
  <c r="G85"/>
  <c r="I84"/>
  <c r="I60"/>
  <c r="N85"/>
  <c r="L82"/>
  <c r="L58"/>
  <c r="D82"/>
  <c r="D58"/>
  <c r="P48"/>
  <c r="O73"/>
  <c r="D85"/>
  <c r="L61"/>
  <c r="D60"/>
  <c r="J82"/>
  <c r="C84"/>
  <c r="F84" l="1"/>
  <c r="F108" s="1"/>
  <c r="F56" i="66" s="1"/>
  <c r="H85" i="65"/>
  <c r="H109" s="1"/>
  <c r="H57" i="66" s="1"/>
  <c r="J109" i="65"/>
  <c r="J57" i="66" s="1"/>
  <c r="M61" i="65"/>
  <c r="L17"/>
  <c r="K72"/>
  <c r="K17" i="48"/>
  <c r="K61" i="65"/>
  <c r="H60"/>
  <c r="N28"/>
  <c r="M28" i="48"/>
  <c r="M70" i="65"/>
  <c r="J61"/>
  <c r="I61"/>
  <c r="M85"/>
  <c r="M67" i="66" s="1"/>
  <c r="O35" s="1"/>
  <c r="G60" i="65"/>
  <c r="N61"/>
  <c r="G64" i="66"/>
  <c r="I34" s="1"/>
  <c r="AH34" s="1"/>
  <c r="G106" i="65"/>
  <c r="G54" i="66" s="1"/>
  <c r="D67"/>
  <c r="F35" s="1"/>
  <c r="D109" i="65"/>
  <c r="D57" i="66" s="1"/>
  <c r="N67"/>
  <c r="P35" s="1"/>
  <c r="N109" i="65"/>
  <c r="N57" i="66" s="1"/>
  <c r="G67"/>
  <c r="I35" s="1"/>
  <c r="G109" i="65"/>
  <c r="G57" i="66" s="1"/>
  <c r="E64"/>
  <c r="G34" s="1"/>
  <c r="E106" i="65"/>
  <c r="E54" i="66" s="1"/>
  <c r="K64"/>
  <c r="M34" s="1"/>
  <c r="K106" i="65"/>
  <c r="K54" i="66" s="1"/>
  <c r="I66"/>
  <c r="K33" s="1"/>
  <c r="I108" i="65"/>
  <c r="I56" i="66" s="1"/>
  <c r="F67"/>
  <c r="H35" s="1"/>
  <c r="AG35" s="1"/>
  <c r="F109" i="65"/>
  <c r="F57" i="66" s="1"/>
  <c r="J66"/>
  <c r="L33" s="1"/>
  <c r="AJ33" s="1"/>
  <c r="J108" i="65"/>
  <c r="J56" i="66" s="1"/>
  <c r="I67"/>
  <c r="K35" s="1"/>
  <c r="I109" i="65"/>
  <c r="I57" i="66" s="1"/>
  <c r="K11" i="63"/>
  <c r="L67" i="66"/>
  <c r="N35" s="1"/>
  <c r="AK35" s="1"/>
  <c r="L109" i="65"/>
  <c r="L57" i="66" s="1"/>
  <c r="D64"/>
  <c r="F34" s="1"/>
  <c r="D106" i="65"/>
  <c r="D54" i="66" s="1"/>
  <c r="I64"/>
  <c r="K34" s="1"/>
  <c r="I106" i="65"/>
  <c r="I54" i="66" s="1"/>
  <c r="H64"/>
  <c r="J34" s="1"/>
  <c r="H106" i="65"/>
  <c r="H54" i="66" s="1"/>
  <c r="E66"/>
  <c r="G33" s="1"/>
  <c r="AF33" s="1"/>
  <c r="E108" i="65"/>
  <c r="E56" i="66" s="1"/>
  <c r="C64"/>
  <c r="E34" s="1"/>
  <c r="AD34" s="1"/>
  <c r="C106" i="65"/>
  <c r="C54" i="66" s="1"/>
  <c r="C66"/>
  <c r="E33" s="1"/>
  <c r="AE33" s="1"/>
  <c r="C108" i="65"/>
  <c r="C56" i="66" s="1"/>
  <c r="J64"/>
  <c r="L34" s="1"/>
  <c r="J106" i="65"/>
  <c r="J54" i="66" s="1"/>
  <c r="K10" i="63"/>
  <c r="L64" i="66"/>
  <c r="N34" s="1"/>
  <c r="L106" i="65"/>
  <c r="L54" i="66" s="1"/>
  <c r="K67"/>
  <c r="M35" s="1"/>
  <c r="K109" i="65"/>
  <c r="K57" i="66" s="1"/>
  <c r="C67"/>
  <c r="E35" s="1"/>
  <c r="AD35" s="1"/>
  <c r="C109" i="65"/>
  <c r="C57" i="66" s="1"/>
  <c r="G66"/>
  <c r="I33" s="1"/>
  <c r="G108" i="65"/>
  <c r="G56" i="66" s="1"/>
  <c r="O39" i="65"/>
  <c r="N39" i="48"/>
  <c r="J11" i="66"/>
  <c r="J11" i="63"/>
  <c r="J10"/>
  <c r="J10" i="66"/>
  <c r="J8" i="63"/>
  <c r="J9" i="66"/>
  <c r="Q48" i="65"/>
  <c r="P73"/>
  <c r="O61"/>
  <c r="O85"/>
  <c r="H67" i="66" l="1"/>
  <c r="J35" s="1"/>
  <c r="AI35" s="1"/>
  <c r="F66"/>
  <c r="H33" s="1"/>
  <c r="AH33" s="1"/>
  <c r="M17" i="65"/>
  <c r="L72"/>
  <c r="L17" i="48"/>
  <c r="K84" i="65"/>
  <c r="K60"/>
  <c r="AI34" i="66"/>
  <c r="M82" i="65"/>
  <c r="M58"/>
  <c r="O28"/>
  <c r="N70"/>
  <c r="N28" i="48"/>
  <c r="AK34" i="66"/>
  <c r="AF34"/>
  <c r="AG34"/>
  <c r="AE35"/>
  <c r="AF35"/>
  <c r="M109" i="65"/>
  <c r="M57" i="66" s="1"/>
  <c r="AH35"/>
  <c r="AE34"/>
  <c r="AI33"/>
  <c r="AL35"/>
  <c r="AJ35"/>
  <c r="AJ34"/>
  <c r="AD33"/>
  <c r="O67"/>
  <c r="Q35" s="1"/>
  <c r="O109" i="65"/>
  <c r="O57" i="66" s="1"/>
  <c r="M11"/>
  <c r="L11"/>
  <c r="P39" i="65"/>
  <c r="O39" i="48"/>
  <c r="L9" i="66"/>
  <c r="M9"/>
  <c r="L10"/>
  <c r="M10"/>
  <c r="P61" i="65"/>
  <c r="P85"/>
  <c r="R48"/>
  <c r="Q73"/>
  <c r="I12" i="45"/>
  <c r="AG33" i="66" l="1"/>
  <c r="N17" i="65"/>
  <c r="M17" i="48"/>
  <c r="M72" i="65"/>
  <c r="L84"/>
  <c r="L60"/>
  <c r="K66" i="66"/>
  <c r="M33" s="1"/>
  <c r="K108" i="65"/>
  <c r="P28"/>
  <c r="O70"/>
  <c r="O28" i="48"/>
  <c r="N82" i="65"/>
  <c r="N58"/>
  <c r="M106"/>
  <c r="M64" i="66"/>
  <c r="P67"/>
  <c r="R35" s="1"/>
  <c r="AM35" s="1"/>
  <c r="P109" i="65"/>
  <c r="P57" i="66" s="1"/>
  <c r="Q39" i="65"/>
  <c r="P39" i="48"/>
  <c r="S48" i="65"/>
  <c r="R73"/>
  <c r="Q61"/>
  <c r="Q85"/>
  <c r="H1" i="64"/>
  <c r="AC23" i="66" s="1"/>
  <c r="AC25" s="1"/>
  <c r="G1" i="64"/>
  <c r="AB23" i="66" s="1"/>
  <c r="AB25" s="1"/>
  <c r="F1" i="64"/>
  <c r="AA23" i="66" s="1"/>
  <c r="AA25" s="1"/>
  <c r="E1" i="64"/>
  <c r="Z23" i="66" s="1"/>
  <c r="Z25" s="1"/>
  <c r="O34" l="1"/>
  <c r="N17" i="48"/>
  <c r="O17" i="65"/>
  <c r="N72"/>
  <c r="K56" i="66"/>
  <c r="K8" i="63"/>
  <c r="L66" i="66"/>
  <c r="N33" s="1"/>
  <c r="AK33" s="1"/>
  <c r="L108" i="65"/>
  <c r="M84"/>
  <c r="M60"/>
  <c r="N64" i="66"/>
  <c r="N106" i="65"/>
  <c r="N54" i="66" s="1"/>
  <c r="Q28" i="65"/>
  <c r="P28" i="48"/>
  <c r="P70" i="65"/>
  <c r="M54" i="66"/>
  <c r="O58" i="65"/>
  <c r="O82"/>
  <c r="Q67" i="66"/>
  <c r="S35" s="1"/>
  <c r="Q109" i="65"/>
  <c r="Q57" i="66" s="1"/>
  <c r="AB46"/>
  <c r="AB29"/>
  <c r="AB39"/>
  <c r="AB36"/>
  <c r="AB26"/>
  <c r="AB38"/>
  <c r="AB34"/>
  <c r="AB44"/>
  <c r="AB40"/>
  <c r="AB27"/>
  <c r="AB37"/>
  <c r="AB47"/>
  <c r="AB35"/>
  <c r="AB45"/>
  <c r="AB32"/>
  <c r="AB33"/>
  <c r="AB43"/>
  <c r="AB28"/>
  <c r="AA36"/>
  <c r="AA28"/>
  <c r="AA34"/>
  <c r="AA39"/>
  <c r="AA45"/>
  <c r="AA37"/>
  <c r="AA43"/>
  <c r="AA29"/>
  <c r="AA46"/>
  <c r="AA27"/>
  <c r="AA33"/>
  <c r="AA38"/>
  <c r="AA44"/>
  <c r="AA26"/>
  <c r="AA32"/>
  <c r="AA47"/>
  <c r="AA35"/>
  <c r="AA40"/>
  <c r="Z36"/>
  <c r="Z26"/>
  <c r="Z32"/>
  <c r="Z37"/>
  <c r="Z43"/>
  <c r="Z47"/>
  <c r="Z34"/>
  <c r="Z39"/>
  <c r="Z27"/>
  <c r="Z38"/>
  <c r="Z29"/>
  <c r="Z35"/>
  <c r="Z40"/>
  <c r="Z46"/>
  <c r="Z28"/>
  <c r="Z45"/>
  <c r="Z33"/>
  <c r="Z44"/>
  <c r="AC36"/>
  <c r="AC46"/>
  <c r="AC40"/>
  <c r="AC35"/>
  <c r="AC29"/>
  <c r="AC47"/>
  <c r="AC43"/>
  <c r="AC37"/>
  <c r="AC32"/>
  <c r="AC26"/>
  <c r="AC44"/>
  <c r="AC38"/>
  <c r="AC33"/>
  <c r="AC27"/>
  <c r="AC45"/>
  <c r="AC39"/>
  <c r="AC34"/>
  <c r="AC28"/>
  <c r="R39" i="65"/>
  <c r="Q39" i="48"/>
  <c r="R61" i="65"/>
  <c r="R85"/>
  <c r="T48"/>
  <c r="S73"/>
  <c r="O4" i="45"/>
  <c r="O6"/>
  <c r="O7"/>
  <c r="O17" i="48" l="1"/>
  <c r="P17" i="65"/>
  <c r="O72"/>
  <c r="P34" i="66"/>
  <c r="AL34" s="1"/>
  <c r="M108" i="65"/>
  <c r="M66" i="66"/>
  <c r="O33" s="1"/>
  <c r="N84" i="65"/>
  <c r="N60"/>
  <c r="L56" i="66"/>
  <c r="P58" i="65"/>
  <c r="P82"/>
  <c r="O106"/>
  <c r="O54" i="66" s="1"/>
  <c r="O64"/>
  <c r="R28" i="65"/>
  <c r="Q28" i="48"/>
  <c r="Q70" i="65"/>
  <c r="R67" i="66"/>
  <c r="T35" s="1"/>
  <c r="AN35" s="1"/>
  <c r="R109" i="65"/>
  <c r="R57" i="66" s="1"/>
  <c r="S39" i="65"/>
  <c r="R39" i="48"/>
  <c r="S61" i="65"/>
  <c r="S85"/>
  <c r="U48"/>
  <c r="T73"/>
  <c r="AI6" i="45"/>
  <c r="AJ6"/>
  <c r="AI7"/>
  <c r="AJ7"/>
  <c r="AI8"/>
  <c r="AJ8"/>
  <c r="Y10"/>
  <c r="Z10"/>
  <c r="Y13"/>
  <c r="Y14"/>
  <c r="Z13"/>
  <c r="Z14"/>
  <c r="O60" i="65" l="1"/>
  <c r="O84"/>
  <c r="N108"/>
  <c r="N66" i="66"/>
  <c r="P33" s="1"/>
  <c r="AL33" s="1"/>
  <c r="Q34"/>
  <c r="M56"/>
  <c r="P72" i="65"/>
  <c r="P17" i="48"/>
  <c r="Q17" i="65"/>
  <c r="P64" i="66"/>
  <c r="P106" i="65"/>
  <c r="R28" i="48"/>
  <c r="S28" i="65"/>
  <c r="R70"/>
  <c r="Q82"/>
  <c r="Q58"/>
  <c r="S109"/>
  <c r="S57" i="66" s="1"/>
  <c r="S67"/>
  <c r="U35" s="1"/>
  <c r="T39" i="65"/>
  <c r="S39" i="48"/>
  <c r="T61" i="65"/>
  <c r="T85"/>
  <c r="V48"/>
  <c r="U73"/>
  <c r="AJ5" i="45"/>
  <c r="AJ9"/>
  <c r="AJ10"/>
  <c r="AJ11"/>
  <c r="AJ12"/>
  <c r="AJ13"/>
  <c r="AJ14"/>
  <c r="AI5"/>
  <c r="AI9"/>
  <c r="AI10"/>
  <c r="AI11"/>
  <c r="AI12"/>
  <c r="AI13"/>
  <c r="AI14"/>
  <c r="Z4"/>
  <c r="Z5"/>
  <c r="Z6"/>
  <c r="Z7"/>
  <c r="Z8"/>
  <c r="Z9"/>
  <c r="Z11"/>
  <c r="Z12"/>
  <c r="Y5"/>
  <c r="Y6"/>
  <c r="Y7"/>
  <c r="Y8"/>
  <c r="Y9"/>
  <c r="Y11"/>
  <c r="Y12"/>
  <c r="Y4"/>
  <c r="P84" i="65" l="1"/>
  <c r="P60"/>
  <c r="O66" i="66"/>
  <c r="Q33" s="1"/>
  <c r="O108" i="65"/>
  <c r="Q72"/>
  <c r="Q17" i="48"/>
  <c r="R17" i="65"/>
  <c r="R34" i="66"/>
  <c r="AM34" s="1"/>
  <c r="N56"/>
  <c r="Q64"/>
  <c r="Q106" i="65"/>
  <c r="Q54" i="66" s="1"/>
  <c r="P54"/>
  <c r="R82" i="65"/>
  <c r="R58"/>
  <c r="S28" i="48"/>
  <c r="S70" i="65"/>
  <c r="T28"/>
  <c r="T67" i="66"/>
  <c r="V35" s="1"/>
  <c r="AO35" s="1"/>
  <c r="T109" i="65"/>
  <c r="T57" i="66" s="1"/>
  <c r="T39" i="48"/>
  <c r="U39" i="65"/>
  <c r="U61"/>
  <c r="U85"/>
  <c r="V73"/>
  <c r="W11" i="45"/>
  <c r="C11" i="55" s="1"/>
  <c r="W12" i="45"/>
  <c r="W14" s="1"/>
  <c r="AH10"/>
  <c r="AF10"/>
  <c r="AF13"/>
  <c r="AF14"/>
  <c r="AE9"/>
  <c r="AE10"/>
  <c r="AE11"/>
  <c r="AE12"/>
  <c r="AE13"/>
  <c r="AE14"/>
  <c r="AB12"/>
  <c r="AB13"/>
  <c r="AB14"/>
  <c r="G4"/>
  <c r="G5"/>
  <c r="R14"/>
  <c r="B99" i="55" s="1"/>
  <c r="R13" i="45"/>
  <c r="R12"/>
  <c r="AC12" s="1"/>
  <c r="X5"/>
  <c r="AH5" s="1"/>
  <c r="X6"/>
  <c r="C21" i="48" s="1"/>
  <c r="X7" i="45"/>
  <c r="C32" i="48" s="1"/>
  <c r="X8" i="45"/>
  <c r="C10" i="51" s="1"/>
  <c r="X9" i="45"/>
  <c r="C21" i="51" s="1"/>
  <c r="X11" i="45"/>
  <c r="AH11" s="1"/>
  <c r="X12"/>
  <c r="C23" i="55" s="1"/>
  <c r="X4" i="45"/>
  <c r="C10" i="48" s="1"/>
  <c r="W5" i="45"/>
  <c r="C42" i="48" s="1"/>
  <c r="W6" i="45"/>
  <c r="C20" i="48" s="1"/>
  <c r="W4" i="45"/>
  <c r="C9" i="48" s="1"/>
  <c r="AA10" i="45"/>
  <c r="Q10"/>
  <c r="AB10" s="1"/>
  <c r="V5"/>
  <c r="V6"/>
  <c r="B82" i="48" s="1"/>
  <c r="V7" i="45"/>
  <c r="V8"/>
  <c r="Q8" s="1"/>
  <c r="V9"/>
  <c r="V11"/>
  <c r="V12"/>
  <c r="V4"/>
  <c r="U5"/>
  <c r="AE5" s="1"/>
  <c r="U6"/>
  <c r="B106" i="48" s="1"/>
  <c r="U7" i="45"/>
  <c r="B107" i="48" s="1"/>
  <c r="B110" i="55"/>
  <c r="U4" i="45"/>
  <c r="B108" i="48" s="1"/>
  <c r="B69" i="43"/>
  <c r="D28" i="38"/>
  <c r="D28" i="51" s="1"/>
  <c r="D17" i="38"/>
  <c r="D17" i="51" s="1"/>
  <c r="L9" i="45"/>
  <c r="W9" s="1"/>
  <c r="C20" i="51" s="1"/>
  <c r="L8" i="45"/>
  <c r="C9" i="38" s="1"/>
  <c r="C28" i="51"/>
  <c r="C17"/>
  <c r="L7" i="45"/>
  <c r="C31" i="65" s="1"/>
  <c r="G11" i="45"/>
  <c r="I11" s="1"/>
  <c r="G9"/>
  <c r="G8"/>
  <c r="G7"/>
  <c r="G6"/>
  <c r="AD10"/>
  <c r="AD11"/>
  <c r="AD12"/>
  <c r="AD13"/>
  <c r="AD14"/>
  <c r="AD9"/>
  <c r="AD5"/>
  <c r="C32" i="51"/>
  <c r="C31"/>
  <c r="C23" i="43"/>
  <c r="C22"/>
  <c r="C12"/>
  <c r="C11"/>
  <c r="C21" i="38"/>
  <c r="C20"/>
  <c r="C10"/>
  <c r="R10" i="45"/>
  <c r="AC10" s="1"/>
  <c r="B111" i="55"/>
  <c r="B109"/>
  <c r="A108"/>
  <c r="A96"/>
  <c r="A84"/>
  <c r="A72"/>
  <c r="D19"/>
  <c r="E19"/>
  <c r="F19"/>
  <c r="G19"/>
  <c r="H19"/>
  <c r="I19"/>
  <c r="J19"/>
  <c r="K19"/>
  <c r="L19"/>
  <c r="M19"/>
  <c r="N19"/>
  <c r="O19"/>
  <c r="P19"/>
  <c r="Q19"/>
  <c r="R19"/>
  <c r="S19"/>
  <c r="T19"/>
  <c r="U19"/>
  <c r="V19"/>
  <c r="C19"/>
  <c r="C17"/>
  <c r="D17" s="1"/>
  <c r="E17" s="1"/>
  <c r="F17" s="1"/>
  <c r="G17" s="1"/>
  <c r="H17" s="1"/>
  <c r="I17" s="1"/>
  <c r="J17" s="1"/>
  <c r="K17" s="1"/>
  <c r="L17" s="1"/>
  <c r="M17" s="1"/>
  <c r="N17" s="1"/>
  <c r="O17" s="1"/>
  <c r="P17" s="1"/>
  <c r="Q17" s="1"/>
  <c r="R17" s="1"/>
  <c r="S17" s="1"/>
  <c r="T17" s="1"/>
  <c r="U17" s="1"/>
  <c r="V17" s="1"/>
  <c r="D7" i="43"/>
  <c r="D6" s="1"/>
  <c r="E7"/>
  <c r="E6" s="1"/>
  <c r="F7"/>
  <c r="F6" s="1"/>
  <c r="G7"/>
  <c r="G6" s="1"/>
  <c r="H7"/>
  <c r="H6" s="1"/>
  <c r="I7"/>
  <c r="I6" s="1"/>
  <c r="J7"/>
  <c r="J6" s="1"/>
  <c r="K7"/>
  <c r="K6" s="1"/>
  <c r="L7"/>
  <c r="L6" s="1"/>
  <c r="M7"/>
  <c r="M6" s="1"/>
  <c r="N7"/>
  <c r="N6" s="1"/>
  <c r="O7"/>
  <c r="O6" s="1"/>
  <c r="P7"/>
  <c r="P6" s="1"/>
  <c r="Q7"/>
  <c r="Q6" s="1"/>
  <c r="R7"/>
  <c r="R6" s="1"/>
  <c r="S7"/>
  <c r="S6" s="1"/>
  <c r="T7"/>
  <c r="T6" s="1"/>
  <c r="U7"/>
  <c r="U6" s="1"/>
  <c r="V7"/>
  <c r="V6" s="1"/>
  <c r="C7"/>
  <c r="C6" s="1"/>
  <c r="B78"/>
  <c r="B58"/>
  <c r="A78"/>
  <c r="A68"/>
  <c r="A58"/>
  <c r="A48"/>
  <c r="C17"/>
  <c r="D17" s="1"/>
  <c r="E17" s="1"/>
  <c r="F17" s="1"/>
  <c r="G17" s="1"/>
  <c r="H17" s="1"/>
  <c r="I17" s="1"/>
  <c r="J17" s="1"/>
  <c r="K17" s="1"/>
  <c r="L17" s="1"/>
  <c r="M17" s="1"/>
  <c r="N17" s="1"/>
  <c r="O17" s="1"/>
  <c r="P17" s="1"/>
  <c r="Q17" s="1"/>
  <c r="R17" s="1"/>
  <c r="S17" s="1"/>
  <c r="T17" s="1"/>
  <c r="U17" s="1"/>
  <c r="V17" s="1"/>
  <c r="A119" i="55"/>
  <c r="A118"/>
  <c r="B86"/>
  <c r="B87"/>
  <c r="B92" i="51"/>
  <c r="B91"/>
  <c r="A100"/>
  <c r="A101"/>
  <c r="B69"/>
  <c r="A116" i="48"/>
  <c r="A117"/>
  <c r="A107"/>
  <c r="A108"/>
  <c r="A109"/>
  <c r="A106"/>
  <c r="A96"/>
  <c r="A87" i="43"/>
  <c r="A86"/>
  <c r="B79"/>
  <c r="B77" i="38"/>
  <c r="B76"/>
  <c r="B57"/>
  <c r="B56"/>
  <c r="D30" i="55"/>
  <c r="E30"/>
  <c r="F30"/>
  <c r="G30"/>
  <c r="H30"/>
  <c r="I30"/>
  <c r="J30"/>
  <c r="K30"/>
  <c r="L30"/>
  <c r="M30"/>
  <c r="N30"/>
  <c r="O30"/>
  <c r="P30"/>
  <c r="Q30"/>
  <c r="R30"/>
  <c r="S30"/>
  <c r="T30"/>
  <c r="U30"/>
  <c r="V30"/>
  <c r="C30"/>
  <c r="B59" i="43"/>
  <c r="A92" i="51"/>
  <c r="A93"/>
  <c r="A91"/>
  <c r="A82"/>
  <c r="A71"/>
  <c r="A60"/>
  <c r="A109" i="55"/>
  <c r="A110"/>
  <c r="A111"/>
  <c r="A99"/>
  <c r="A87"/>
  <c r="A75"/>
  <c r="C50"/>
  <c r="D50" s="1"/>
  <c r="E50" s="1"/>
  <c r="F50" s="1"/>
  <c r="G50" s="1"/>
  <c r="H50" s="1"/>
  <c r="I50" s="1"/>
  <c r="J50" s="1"/>
  <c r="K50" s="1"/>
  <c r="L50" s="1"/>
  <c r="M50" s="1"/>
  <c r="N50" s="1"/>
  <c r="O50" s="1"/>
  <c r="P50" s="1"/>
  <c r="Q50" s="1"/>
  <c r="R50" s="1"/>
  <c r="S50" s="1"/>
  <c r="T50" s="1"/>
  <c r="U50" s="1"/>
  <c r="V50" s="1"/>
  <c r="B68" i="43" l="1"/>
  <c r="B66" i="38"/>
  <c r="I8" i="45"/>
  <c r="R9"/>
  <c r="AC9" s="1"/>
  <c r="AF5"/>
  <c r="AC13"/>
  <c r="T13"/>
  <c r="B95" i="65"/>
  <c r="I7" i="45"/>
  <c r="I71" i="65"/>
  <c r="K71"/>
  <c r="H71"/>
  <c r="E71"/>
  <c r="C71"/>
  <c r="J71"/>
  <c r="D71"/>
  <c r="L71"/>
  <c r="G71"/>
  <c r="M71"/>
  <c r="F71"/>
  <c r="N71"/>
  <c r="O71"/>
  <c r="P71"/>
  <c r="Q71"/>
  <c r="Q75" s="1"/>
  <c r="R71"/>
  <c r="S71"/>
  <c r="Q11" i="45"/>
  <c r="AB11" s="1"/>
  <c r="R6"/>
  <c r="B96" i="65"/>
  <c r="P96" s="1"/>
  <c r="I4" i="45"/>
  <c r="B94" i="65"/>
  <c r="I6" i="45"/>
  <c r="R7"/>
  <c r="B97" i="65"/>
  <c r="U97" s="1"/>
  <c r="I5" i="45"/>
  <c r="Q5"/>
  <c r="AB5" s="1"/>
  <c r="C12" i="55"/>
  <c r="P72" s="1"/>
  <c r="T12" i="45"/>
  <c r="T71" i="65"/>
  <c r="T83" s="1"/>
  <c r="B67" i="38"/>
  <c r="I9" i="45"/>
  <c r="Q4"/>
  <c r="T4" s="1"/>
  <c r="R8"/>
  <c r="T8"/>
  <c r="AC14"/>
  <c r="T14"/>
  <c r="T10"/>
  <c r="S34" i="66"/>
  <c r="Q84" i="65"/>
  <c r="Q60"/>
  <c r="S17"/>
  <c r="R17" i="48"/>
  <c r="R72" i="65"/>
  <c r="O56" i="66"/>
  <c r="P108" i="65"/>
  <c r="P66" i="66"/>
  <c r="R33" s="1"/>
  <c r="AM33" s="1"/>
  <c r="S82" i="65"/>
  <c r="S58"/>
  <c r="T70"/>
  <c r="T28" i="48"/>
  <c r="U28" i="65"/>
  <c r="R64" i="66"/>
  <c r="R106" i="65"/>
  <c r="R54" i="66" s="1"/>
  <c r="U67"/>
  <c r="W35" s="1"/>
  <c r="U109" i="65"/>
  <c r="U57" i="66" s="1"/>
  <c r="U39" i="48"/>
  <c r="V39" i="65"/>
  <c r="U71"/>
  <c r="V61"/>
  <c r="V85"/>
  <c r="B83" i="48"/>
  <c r="Q6" i="45"/>
  <c r="B94" i="48" s="1"/>
  <c r="C22" i="55"/>
  <c r="W13" i="45"/>
  <c r="C33" i="55" s="1"/>
  <c r="X13" i="45"/>
  <c r="R11"/>
  <c r="AC11" s="1"/>
  <c r="AH9"/>
  <c r="B109" i="48"/>
  <c r="B70" i="51"/>
  <c r="Q9" i="45"/>
  <c r="AB9" s="1"/>
  <c r="B84" i="48"/>
  <c r="R4" i="45"/>
  <c r="W8"/>
  <c r="C9" i="51" s="1"/>
  <c r="X14" i="45"/>
  <c r="AF12"/>
  <c r="AH12"/>
  <c r="C43" i="48"/>
  <c r="R5" i="45"/>
  <c r="AC5" s="1"/>
  <c r="AF9"/>
  <c r="B85" i="48"/>
  <c r="W7" i="45"/>
  <c r="C31" i="48" s="1"/>
  <c r="AF11" i="45"/>
  <c r="J48" i="43"/>
  <c r="J58" s="1"/>
  <c r="J90" i="66" s="1"/>
  <c r="L40" s="1"/>
  <c r="G48" i="43"/>
  <c r="G38" s="1"/>
  <c r="B71" i="51"/>
  <c r="B82"/>
  <c r="B98" i="55"/>
  <c r="B85"/>
  <c r="B84"/>
  <c r="B80" i="51"/>
  <c r="Q7" i="45"/>
  <c r="B95" i="48" s="1"/>
  <c r="B108" i="55"/>
  <c r="B93" i="51"/>
  <c r="E28" i="38"/>
  <c r="E17"/>
  <c r="E48" i="43"/>
  <c r="E58" s="1"/>
  <c r="E90" i="66" s="1"/>
  <c r="G40" s="1"/>
  <c r="U48" i="43"/>
  <c r="U58" s="1"/>
  <c r="U90" i="66" s="1"/>
  <c r="W40" s="1"/>
  <c r="O48" i="43"/>
  <c r="O58" s="1"/>
  <c r="O90" i="66" s="1"/>
  <c r="Q40" s="1"/>
  <c r="S48" i="43"/>
  <c r="S58" s="1"/>
  <c r="S90" i="66" s="1"/>
  <c r="U40" s="1"/>
  <c r="I48" i="43"/>
  <c r="I38" s="1"/>
  <c r="R48"/>
  <c r="R38" s="1"/>
  <c r="M48"/>
  <c r="M58" s="1"/>
  <c r="M90" i="66" s="1"/>
  <c r="O40" s="1"/>
  <c r="V48" i="43"/>
  <c r="V38" s="1"/>
  <c r="Q48"/>
  <c r="Q38" s="1"/>
  <c r="K48"/>
  <c r="K58" s="1"/>
  <c r="K90" i="66" s="1"/>
  <c r="M40" s="1"/>
  <c r="F48" i="43"/>
  <c r="F38" s="1"/>
  <c r="N48"/>
  <c r="N58" s="1"/>
  <c r="N90" i="66" s="1"/>
  <c r="P40" s="1"/>
  <c r="D48" i="43"/>
  <c r="D58" s="1"/>
  <c r="D90" i="66" s="1"/>
  <c r="F40" s="1"/>
  <c r="C48" i="43"/>
  <c r="C58" s="1"/>
  <c r="C90" i="66" s="1"/>
  <c r="E40" s="1"/>
  <c r="AD40" s="1"/>
  <c r="T48" i="43"/>
  <c r="T38" s="1"/>
  <c r="P48"/>
  <c r="P38" s="1"/>
  <c r="L48"/>
  <c r="L38" s="1"/>
  <c r="H48"/>
  <c r="H58" s="1"/>
  <c r="H90" i="66" s="1"/>
  <c r="J40" s="1"/>
  <c r="A79" i="43"/>
  <c r="A77" i="38"/>
  <c r="A76"/>
  <c r="C37" i="48"/>
  <c r="D37" s="1"/>
  <c r="E37" s="1"/>
  <c r="F37" s="1"/>
  <c r="G37" s="1"/>
  <c r="H37" s="1"/>
  <c r="I37" s="1"/>
  <c r="J37" s="1"/>
  <c r="K37" s="1"/>
  <c r="L37" s="1"/>
  <c r="M37" s="1"/>
  <c r="N37" s="1"/>
  <c r="O37" s="1"/>
  <c r="P37" s="1"/>
  <c r="Q37" s="1"/>
  <c r="R37" s="1"/>
  <c r="S37" s="1"/>
  <c r="T37" s="1"/>
  <c r="U37" s="1"/>
  <c r="V37" s="1"/>
  <c r="P68" i="43" l="1"/>
  <c r="V68"/>
  <c r="J72" i="55"/>
  <c r="I68" i="43"/>
  <c r="R68"/>
  <c r="G68"/>
  <c r="G87" i="66" s="1"/>
  <c r="L68" i="43"/>
  <c r="Q68"/>
  <c r="F72" i="55"/>
  <c r="F84" s="1"/>
  <c r="F139" i="66" s="1"/>
  <c r="H36" s="1"/>
  <c r="T68" i="43"/>
  <c r="F68"/>
  <c r="F87" i="66" s="1"/>
  <c r="T72" i="55"/>
  <c r="T60" s="1"/>
  <c r="M72"/>
  <c r="M84" s="1"/>
  <c r="M139" i="66" s="1"/>
  <c r="O36" s="1"/>
  <c r="S72" i="55"/>
  <c r="D94" i="65"/>
  <c r="K94"/>
  <c r="L94"/>
  <c r="J94"/>
  <c r="H94"/>
  <c r="E94"/>
  <c r="F94"/>
  <c r="C94"/>
  <c r="G94"/>
  <c r="I94"/>
  <c r="M94"/>
  <c r="N94"/>
  <c r="O94"/>
  <c r="P94"/>
  <c r="Q94"/>
  <c r="R59"/>
  <c r="R95" s="1"/>
  <c r="R83"/>
  <c r="N83"/>
  <c r="N59"/>
  <c r="N63" s="1"/>
  <c r="N75"/>
  <c r="E59"/>
  <c r="E75"/>
  <c r="E83"/>
  <c r="S59"/>
  <c r="S95" s="1"/>
  <c r="S83"/>
  <c r="O59"/>
  <c r="O63" s="1"/>
  <c r="O83"/>
  <c r="O75"/>
  <c r="C59"/>
  <c r="C83"/>
  <c r="C75"/>
  <c r="I59"/>
  <c r="I83"/>
  <c r="I75"/>
  <c r="Q83"/>
  <c r="Q87" s="1"/>
  <c r="Q59"/>
  <c r="Q95" s="1"/>
  <c r="G59"/>
  <c r="F59"/>
  <c r="F83"/>
  <c r="F75"/>
  <c r="D83"/>
  <c r="D59"/>
  <c r="D75"/>
  <c r="H59"/>
  <c r="H83"/>
  <c r="H75"/>
  <c r="N95"/>
  <c r="E72" i="55"/>
  <c r="E84" s="1"/>
  <c r="E139" i="66" s="1"/>
  <c r="G36" s="1"/>
  <c r="G72" i="55"/>
  <c r="G84" s="1"/>
  <c r="G139" i="66" s="1"/>
  <c r="I36" s="1"/>
  <c r="B96" i="55"/>
  <c r="U72"/>
  <c r="N72"/>
  <c r="D72"/>
  <c r="D84" s="1"/>
  <c r="D139" i="66" s="1"/>
  <c r="F36" s="1"/>
  <c r="K72" i="55"/>
  <c r="K84" s="1"/>
  <c r="K139" i="66" s="1"/>
  <c r="M36" s="1"/>
  <c r="H72" i="55"/>
  <c r="H84" s="1"/>
  <c r="H139" i="66" s="1"/>
  <c r="J36" s="1"/>
  <c r="T59" i="65"/>
  <c r="T95" s="1"/>
  <c r="R94"/>
  <c r="T7" i="45"/>
  <c r="T11"/>
  <c r="H97" i="65"/>
  <c r="F97"/>
  <c r="F62" i="66" s="1"/>
  <c r="G97" i="65"/>
  <c r="G62" i="66" s="1"/>
  <c r="C97" i="65"/>
  <c r="C62" i="66" s="1"/>
  <c r="E97" i="65"/>
  <c r="E62" i="66" s="1"/>
  <c r="L97" i="65"/>
  <c r="D97"/>
  <c r="D62" i="66" s="1"/>
  <c r="J97" i="65"/>
  <c r="K97"/>
  <c r="O97"/>
  <c r="I97"/>
  <c r="I62" i="66" s="1"/>
  <c r="N97" i="65"/>
  <c r="M97"/>
  <c r="P97"/>
  <c r="Q97"/>
  <c r="R97"/>
  <c r="S97"/>
  <c r="T97"/>
  <c r="L83"/>
  <c r="L59"/>
  <c r="L75"/>
  <c r="G83"/>
  <c r="G75"/>
  <c r="C96"/>
  <c r="C61" i="66" s="1"/>
  <c r="I96" i="65"/>
  <c r="J96"/>
  <c r="E96"/>
  <c r="E61" i="66" s="1"/>
  <c r="D96" i="65"/>
  <c r="D61" i="66" s="1"/>
  <c r="F96" i="65"/>
  <c r="F61" i="66" s="1"/>
  <c r="H96" i="65"/>
  <c r="G96"/>
  <c r="G61" i="66" s="1"/>
  <c r="K96" i="65"/>
  <c r="L96"/>
  <c r="M96"/>
  <c r="N96"/>
  <c r="O96"/>
  <c r="P83"/>
  <c r="P59"/>
  <c r="P63" s="1"/>
  <c r="P75"/>
  <c r="M83"/>
  <c r="M59"/>
  <c r="M75"/>
  <c r="J83"/>
  <c r="J59"/>
  <c r="J75"/>
  <c r="K83"/>
  <c r="K59"/>
  <c r="K75"/>
  <c r="T5" i="45"/>
  <c r="R72" i="55"/>
  <c r="L72"/>
  <c r="L60" s="1"/>
  <c r="Q72"/>
  <c r="Q60" s="1"/>
  <c r="T6" i="45"/>
  <c r="O72" i="55"/>
  <c r="O84" s="1"/>
  <c r="O139" i="66" s="1"/>
  <c r="Q36" s="1"/>
  <c r="V72" i="55"/>
  <c r="I72"/>
  <c r="I84" s="1"/>
  <c r="I139" i="66" s="1"/>
  <c r="K36" s="1"/>
  <c r="B96" i="48"/>
  <c r="S94" i="65"/>
  <c r="T9" i="45"/>
  <c r="P56" i="66"/>
  <c r="Q108" i="65"/>
  <c r="Q66" i="66"/>
  <c r="S33" s="1"/>
  <c r="T34"/>
  <c r="AN34" s="1"/>
  <c r="R84" i="65"/>
  <c r="R60"/>
  <c r="R75"/>
  <c r="Q96"/>
  <c r="Q63"/>
  <c r="T17"/>
  <c r="S17" i="48"/>
  <c r="S72" i="65"/>
  <c r="T82"/>
  <c r="T58"/>
  <c r="T94" s="1"/>
  <c r="U70"/>
  <c r="U28" i="48"/>
  <c r="V28" i="65"/>
  <c r="S106"/>
  <c r="S54" i="66" s="1"/>
  <c r="S64"/>
  <c r="AE40"/>
  <c r="AF40"/>
  <c r="AJ40"/>
  <c r="U78" i="43"/>
  <c r="U84" i="66" s="1"/>
  <c r="C78" i="43"/>
  <c r="C84" i="66" s="1"/>
  <c r="L87"/>
  <c r="O78" i="43"/>
  <c r="O84" i="66" s="1"/>
  <c r="V67"/>
  <c r="X35" s="1"/>
  <c r="AP35" s="1"/>
  <c r="V109" i="65"/>
  <c r="V57" i="66" s="1"/>
  <c r="B57" s="1"/>
  <c r="B35" s="1"/>
  <c r="T65"/>
  <c r="V39" s="1"/>
  <c r="T107" i="65"/>
  <c r="J78" i="43"/>
  <c r="J84" i="66" s="1"/>
  <c r="D78" i="43"/>
  <c r="D84" i="66" s="1"/>
  <c r="N78" i="43"/>
  <c r="N84" i="66" s="1"/>
  <c r="E78" i="43"/>
  <c r="E84" i="66" s="1"/>
  <c r="S78" i="43"/>
  <c r="S84" i="66" s="1"/>
  <c r="K78" i="43"/>
  <c r="K84" i="66" s="1"/>
  <c r="H78" i="43"/>
  <c r="H84" i="66" s="1"/>
  <c r="M78" i="43"/>
  <c r="M84" i="66" s="1"/>
  <c r="K11"/>
  <c r="L11" i="63"/>
  <c r="U59" i="65"/>
  <c r="U83"/>
  <c r="V39" i="48"/>
  <c r="V71" i="65"/>
  <c r="V97"/>
  <c r="G58" i="43"/>
  <c r="B81" i="51"/>
  <c r="AH13" i="45"/>
  <c r="C34" i="55"/>
  <c r="B97" i="48"/>
  <c r="J38" i="43"/>
  <c r="J68" s="1"/>
  <c r="L58"/>
  <c r="I58"/>
  <c r="V58"/>
  <c r="R58"/>
  <c r="C38"/>
  <c r="C68" s="1"/>
  <c r="C87" i="66" s="1"/>
  <c r="Q58" i="43"/>
  <c r="D38"/>
  <c r="D68" s="1"/>
  <c r="D87" i="66" s="1"/>
  <c r="U38" i="43"/>
  <c r="U68" s="1"/>
  <c r="J84" i="55"/>
  <c r="J139" i="66" s="1"/>
  <c r="L36" s="1"/>
  <c r="AH14" i="45"/>
  <c r="C45" i="55"/>
  <c r="N75" s="1"/>
  <c r="N87" s="1"/>
  <c r="E38" i="43"/>
  <c r="E68" s="1"/>
  <c r="E87" i="66" s="1"/>
  <c r="N38" i="43"/>
  <c r="N68" s="1"/>
  <c r="S84" i="55"/>
  <c r="S139" i="66" s="1"/>
  <c r="U36" s="1"/>
  <c r="P84" i="55"/>
  <c r="P139" i="66" s="1"/>
  <c r="R36" s="1"/>
  <c r="B97" i="55"/>
  <c r="F28" i="38"/>
  <c r="E28" i="51"/>
  <c r="E17"/>
  <c r="F17" i="38"/>
  <c r="S38" i="43"/>
  <c r="S68" s="1"/>
  <c r="M38"/>
  <c r="M68" s="1"/>
  <c r="F58"/>
  <c r="O38"/>
  <c r="O68" s="1"/>
  <c r="P58"/>
  <c r="K38"/>
  <c r="K68" s="1"/>
  <c r="K87" i="66" s="1"/>
  <c r="P87" s="1"/>
  <c r="T58" i="43"/>
  <c r="H38"/>
  <c r="H68" s="1"/>
  <c r="H87" i="66" s="1"/>
  <c r="AA5" i="45"/>
  <c r="K62" i="66" l="1"/>
  <c r="P62" s="1"/>
  <c r="U62" s="1"/>
  <c r="U60" i="55"/>
  <c r="U96" s="1"/>
  <c r="T84"/>
  <c r="T139" i="66" s="1"/>
  <c r="V36" s="1"/>
  <c r="Q87"/>
  <c r="V87" s="1"/>
  <c r="U84" i="55"/>
  <c r="U139" i="66" s="1"/>
  <c r="W36" s="1"/>
  <c r="I87"/>
  <c r="N87" s="1"/>
  <c r="S87" s="1"/>
  <c r="N60" i="55"/>
  <c r="N96" s="1"/>
  <c r="I60"/>
  <c r="I96" s="1"/>
  <c r="S60"/>
  <c r="S96" s="1"/>
  <c r="J60"/>
  <c r="J96" s="1"/>
  <c r="V60"/>
  <c r="V96" s="1"/>
  <c r="M60"/>
  <c r="M96" s="1"/>
  <c r="K60"/>
  <c r="K96" s="1"/>
  <c r="L84"/>
  <c r="L139" i="66" s="1"/>
  <c r="N36" s="1"/>
  <c r="AK36" s="1"/>
  <c r="Q84" i="55"/>
  <c r="Q139" i="66" s="1"/>
  <c r="S36" s="1"/>
  <c r="H60" i="55"/>
  <c r="H96" s="1"/>
  <c r="H61" i="66"/>
  <c r="M61" s="1"/>
  <c r="J61"/>
  <c r="O61" s="1"/>
  <c r="L62"/>
  <c r="Q62" s="1"/>
  <c r="V62" s="1"/>
  <c r="AH36"/>
  <c r="T96" i="55"/>
  <c r="V84"/>
  <c r="V139" i="66" s="1"/>
  <c r="X36" s="1"/>
  <c r="L61"/>
  <c r="Q61" s="1"/>
  <c r="I61"/>
  <c r="N61" s="1"/>
  <c r="H62"/>
  <c r="M62" s="1"/>
  <c r="R62" s="1"/>
  <c r="N62"/>
  <c r="S62" s="1"/>
  <c r="R84" i="55"/>
  <c r="R139" i="66" s="1"/>
  <c r="T36" s="1"/>
  <c r="AN36" s="1"/>
  <c r="R60" i="55"/>
  <c r="R96" s="1"/>
  <c r="G60"/>
  <c r="G96" s="1"/>
  <c r="G134" i="66" s="1"/>
  <c r="O60" i="55"/>
  <c r="O96" s="1"/>
  <c r="P95" i="65"/>
  <c r="P99" s="1"/>
  <c r="P116" s="1"/>
  <c r="M95"/>
  <c r="M63"/>
  <c r="P107"/>
  <c r="P65" i="66"/>
  <c r="R39" s="1"/>
  <c r="P87" i="65"/>
  <c r="K65" i="66"/>
  <c r="M39" s="1"/>
  <c r="K107" i="65"/>
  <c r="K87"/>
  <c r="G87"/>
  <c r="G107"/>
  <c r="G65" i="66"/>
  <c r="I39" s="1"/>
  <c r="D95" i="65"/>
  <c r="D60" i="66" s="1"/>
  <c r="D63" i="65"/>
  <c r="F95"/>
  <c r="F60" i="66" s="1"/>
  <c r="F63" i="65"/>
  <c r="C65" i="66"/>
  <c r="E39" s="1"/>
  <c r="C107" i="65"/>
  <c r="C87"/>
  <c r="N107"/>
  <c r="N65" i="66"/>
  <c r="P39" s="1"/>
  <c r="N87" i="65"/>
  <c r="E59" i="66"/>
  <c r="J59" s="1"/>
  <c r="O59" s="1"/>
  <c r="T59" s="1"/>
  <c r="K95" i="65"/>
  <c r="K99" s="1"/>
  <c r="K116" s="1"/>
  <c r="K63"/>
  <c r="J107"/>
  <c r="J65" i="66"/>
  <c r="L39" s="1"/>
  <c r="J87" i="65"/>
  <c r="L107"/>
  <c r="L65" i="66"/>
  <c r="N39" s="1"/>
  <c r="K15" i="63"/>
  <c r="L87" i="65"/>
  <c r="F107"/>
  <c r="F65" i="66"/>
  <c r="H39" s="1"/>
  <c r="F87" i="65"/>
  <c r="Q65" i="66"/>
  <c r="S39" s="1"/>
  <c r="Q107" i="65"/>
  <c r="Q55" i="66" s="1"/>
  <c r="O107" i="65"/>
  <c r="O65" i="66"/>
  <c r="Q39" s="1"/>
  <c r="O87" i="65"/>
  <c r="E107"/>
  <c r="E87"/>
  <c r="E65" i="66"/>
  <c r="G39" s="1"/>
  <c r="F59"/>
  <c r="K59" s="1"/>
  <c r="P59" s="1"/>
  <c r="E60" i="55"/>
  <c r="E96" s="1"/>
  <c r="E134" i="66" s="1"/>
  <c r="P60" i="55"/>
  <c r="F60"/>
  <c r="F96" s="1"/>
  <c r="F134" i="66" s="1"/>
  <c r="H65"/>
  <c r="J39" s="1"/>
  <c r="H107" i="65"/>
  <c r="H87"/>
  <c r="D65" i="66"/>
  <c r="F39" s="1"/>
  <c r="D107" i="65"/>
  <c r="D87"/>
  <c r="G95"/>
  <c r="G60" i="66" s="1"/>
  <c r="G63" i="65"/>
  <c r="I107"/>
  <c r="J15" i="66"/>
  <c r="I65"/>
  <c r="K39" s="1"/>
  <c r="J15" i="63"/>
  <c r="I87" i="65"/>
  <c r="C95"/>
  <c r="C60" i="66" s="1"/>
  <c r="C63" i="65"/>
  <c r="S65" i="66"/>
  <c r="U39" s="1"/>
  <c r="S107" i="65"/>
  <c r="S55" i="66" s="1"/>
  <c r="E95" i="65"/>
  <c r="E60" i="66" s="1"/>
  <c r="E63" i="65"/>
  <c r="R65" i="66"/>
  <c r="T39" s="1"/>
  <c r="AO39" s="1"/>
  <c r="R107" i="65"/>
  <c r="R55" i="66" s="1"/>
  <c r="G59"/>
  <c r="L59" s="1"/>
  <c r="Q59" s="1"/>
  <c r="D59"/>
  <c r="I59" s="1"/>
  <c r="N59" s="1"/>
  <c r="S59" s="1"/>
  <c r="J95" i="65"/>
  <c r="J99" s="1"/>
  <c r="J116" s="1"/>
  <c r="J63"/>
  <c r="M107"/>
  <c r="M65" i="66"/>
  <c r="O39" s="1"/>
  <c r="M87" i="65"/>
  <c r="L95"/>
  <c r="L63"/>
  <c r="H95"/>
  <c r="H99" s="1"/>
  <c r="H116" s="1"/>
  <c r="H63"/>
  <c r="I95"/>
  <c r="I63"/>
  <c r="N99"/>
  <c r="N116" s="1"/>
  <c r="C59" i="66"/>
  <c r="H59" s="1"/>
  <c r="M59" s="1"/>
  <c r="R59" s="1"/>
  <c r="N84" i="55"/>
  <c r="N139" i="66" s="1"/>
  <c r="P36" s="1"/>
  <c r="AM36" s="1"/>
  <c r="K61"/>
  <c r="P61" s="1"/>
  <c r="J62"/>
  <c r="O62" s="1"/>
  <c r="T62" s="1"/>
  <c r="O95" i="65"/>
  <c r="O99" s="1"/>
  <c r="O116" s="1"/>
  <c r="S60"/>
  <c r="S84"/>
  <c r="S75"/>
  <c r="Q99"/>
  <c r="Q116" s="1"/>
  <c r="U34" i="66"/>
  <c r="R108" i="65"/>
  <c r="R66" i="66"/>
  <c r="T33" s="1"/>
  <c r="AN33" s="1"/>
  <c r="R87" i="65"/>
  <c r="Q56" i="66"/>
  <c r="U17" i="65"/>
  <c r="T72"/>
  <c r="T17" i="48"/>
  <c r="R96" i="65"/>
  <c r="R63"/>
  <c r="V28" i="48"/>
  <c r="V70" i="65"/>
  <c r="U58"/>
  <c r="U94" s="1"/>
  <c r="U82"/>
  <c r="T106"/>
  <c r="T64" i="66"/>
  <c r="AF36"/>
  <c r="AJ36"/>
  <c r="AI36"/>
  <c r="AG36"/>
  <c r="T90"/>
  <c r="V40" s="1"/>
  <c r="T78" i="43"/>
  <c r="T84" i="66" s="1"/>
  <c r="K13" i="63"/>
  <c r="K16"/>
  <c r="L90" i="66"/>
  <c r="N40" s="1"/>
  <c r="L78" i="43"/>
  <c r="L84" i="66" s="1"/>
  <c r="K108" i="55"/>
  <c r="K129" i="66" s="1"/>
  <c r="P108" i="55"/>
  <c r="P129" i="66" s="1"/>
  <c r="E108" i="55"/>
  <c r="E129" i="66" s="1"/>
  <c r="J108" i="55"/>
  <c r="J129" i="66" s="1"/>
  <c r="S108" i="55"/>
  <c r="S129" i="66" s="1"/>
  <c r="D108" i="55"/>
  <c r="D129" i="66" s="1"/>
  <c r="I108" i="55"/>
  <c r="I129" i="66" s="1"/>
  <c r="F90"/>
  <c r="H40" s="1"/>
  <c r="AG40" s="1"/>
  <c r="F78" i="43"/>
  <c r="F84" i="66" s="1"/>
  <c r="N142"/>
  <c r="P27" s="1"/>
  <c r="N111" i="55"/>
  <c r="N132" i="66" s="1"/>
  <c r="Q90"/>
  <c r="S40" s="1"/>
  <c r="Q78" i="43"/>
  <c r="Q84" i="66" s="1"/>
  <c r="V90"/>
  <c r="X40" s="1"/>
  <c r="V78" i="43"/>
  <c r="V84" i="66" s="1"/>
  <c r="U65"/>
  <c r="W39" s="1"/>
  <c r="U107" i="65"/>
  <c r="Y35" i="66"/>
  <c r="G108" i="55"/>
  <c r="G129" i="66" s="1"/>
  <c r="O108" i="55"/>
  <c r="O129" i="66" s="1"/>
  <c r="H108" i="55"/>
  <c r="H129" i="66" s="1"/>
  <c r="M108" i="55"/>
  <c r="M129" i="66" s="1"/>
  <c r="I90"/>
  <c r="K40" s="1"/>
  <c r="I78" i="43"/>
  <c r="I84" i="66" s="1"/>
  <c r="P90"/>
  <c r="R40" s="1"/>
  <c r="AM40" s="1"/>
  <c r="P78" i="43"/>
  <c r="P84" i="66" s="1"/>
  <c r="R90"/>
  <c r="T40" s="1"/>
  <c r="R78" i="43"/>
  <c r="R84" i="66" s="1"/>
  <c r="G90"/>
  <c r="I40" s="1"/>
  <c r="G78" i="43"/>
  <c r="G84" i="66" s="1"/>
  <c r="F108" i="55"/>
  <c r="F129" i="66" s="1"/>
  <c r="J12"/>
  <c r="L12" s="1"/>
  <c r="U87"/>
  <c r="M87"/>
  <c r="R87" s="1"/>
  <c r="J87"/>
  <c r="V59" i="65"/>
  <c r="V83"/>
  <c r="T55" i="66"/>
  <c r="L16" i="63"/>
  <c r="K16" i="66"/>
  <c r="J16"/>
  <c r="U95" i="65"/>
  <c r="J13" i="63"/>
  <c r="P13" s="1"/>
  <c r="J16"/>
  <c r="P96" i="55"/>
  <c r="L96"/>
  <c r="Q96"/>
  <c r="U75"/>
  <c r="U87" s="1"/>
  <c r="P75"/>
  <c r="V75"/>
  <c r="D75"/>
  <c r="O75"/>
  <c r="T75"/>
  <c r="J75"/>
  <c r="M75"/>
  <c r="S75"/>
  <c r="L75"/>
  <c r="F75"/>
  <c r="I75"/>
  <c r="H75"/>
  <c r="R75"/>
  <c r="Q75"/>
  <c r="K75"/>
  <c r="G75"/>
  <c r="E75"/>
  <c r="G28" i="38"/>
  <c r="F28" i="51"/>
  <c r="G17" i="38"/>
  <c r="F17" i="51"/>
  <c r="AA14" i="45"/>
  <c r="C37" i="51"/>
  <c r="D37" s="1"/>
  <c r="E37" s="1"/>
  <c r="F37" s="1"/>
  <c r="G37" s="1"/>
  <c r="H37" s="1"/>
  <c r="I37" s="1"/>
  <c r="J37" s="1"/>
  <c r="K37" s="1"/>
  <c r="L37" s="1"/>
  <c r="M37" s="1"/>
  <c r="N37" s="1"/>
  <c r="O37" s="1"/>
  <c r="P37" s="1"/>
  <c r="Q37" s="1"/>
  <c r="R37" s="1"/>
  <c r="S37" s="1"/>
  <c r="T37" s="1"/>
  <c r="U37" s="1"/>
  <c r="V37" s="1"/>
  <c r="A98" i="55"/>
  <c r="A97"/>
  <c r="A86"/>
  <c r="A85"/>
  <c r="A74"/>
  <c r="A73"/>
  <c r="C39"/>
  <c r="D39" s="1"/>
  <c r="E39" s="1"/>
  <c r="F39" s="1"/>
  <c r="G39" s="1"/>
  <c r="H39" s="1"/>
  <c r="I39" s="1"/>
  <c r="J39" s="1"/>
  <c r="K39" s="1"/>
  <c r="L39" s="1"/>
  <c r="M39" s="1"/>
  <c r="N39" s="1"/>
  <c r="O39" s="1"/>
  <c r="P39" s="1"/>
  <c r="Q39" s="1"/>
  <c r="R39" s="1"/>
  <c r="S39" s="1"/>
  <c r="T39" s="1"/>
  <c r="U39" s="1"/>
  <c r="V39" s="1"/>
  <c r="C28"/>
  <c r="D28" s="1"/>
  <c r="E28" s="1"/>
  <c r="F28" s="1"/>
  <c r="G28" s="1"/>
  <c r="H28" s="1"/>
  <c r="I28" s="1"/>
  <c r="J28" s="1"/>
  <c r="K28" s="1"/>
  <c r="L28" s="1"/>
  <c r="M28" s="1"/>
  <c r="N28" s="1"/>
  <c r="O28" s="1"/>
  <c r="P28" s="1"/>
  <c r="Q28" s="1"/>
  <c r="R28" s="1"/>
  <c r="S28" s="1"/>
  <c r="T28" s="1"/>
  <c r="U28" s="1"/>
  <c r="V28" s="1"/>
  <c r="A81" i="51"/>
  <c r="A80"/>
  <c r="A70"/>
  <c r="A69"/>
  <c r="A59"/>
  <c r="A58"/>
  <c r="C26"/>
  <c r="D26" s="1"/>
  <c r="E26" s="1"/>
  <c r="F26" s="1"/>
  <c r="G26" s="1"/>
  <c r="C15"/>
  <c r="D15" s="1"/>
  <c r="E15" s="1"/>
  <c r="F15" s="1"/>
  <c r="G15" s="1"/>
  <c r="H15" s="1"/>
  <c r="I15" s="1"/>
  <c r="J15" s="1"/>
  <c r="K15" s="1"/>
  <c r="H60"/>
  <c r="A97" i="48"/>
  <c r="A95"/>
  <c r="A94"/>
  <c r="A85"/>
  <c r="A84"/>
  <c r="A83"/>
  <c r="A82"/>
  <c r="A73"/>
  <c r="A72"/>
  <c r="A71"/>
  <c r="A70"/>
  <c r="C48"/>
  <c r="D48" s="1"/>
  <c r="C26"/>
  <c r="D26" s="1"/>
  <c r="E26" s="1"/>
  <c r="F26" s="1"/>
  <c r="G26" s="1"/>
  <c r="H26" s="1"/>
  <c r="C15"/>
  <c r="D15" s="1"/>
  <c r="E15" s="1"/>
  <c r="F15" s="1"/>
  <c r="G15" s="1"/>
  <c r="AP36" i="66" l="1"/>
  <c r="U108" i="55"/>
  <c r="U129" i="66" s="1"/>
  <c r="AO36"/>
  <c r="Q108" i="55"/>
  <c r="Q129" i="66" s="1"/>
  <c r="L13" i="63"/>
  <c r="T108" i="55"/>
  <c r="T129" i="66" s="1"/>
  <c r="AG39"/>
  <c r="AK39"/>
  <c r="K12"/>
  <c r="V108" i="55"/>
  <c r="V129" i="66" s="1"/>
  <c r="C99" i="65"/>
  <c r="C116" s="1"/>
  <c r="I60" i="66"/>
  <c r="N60" s="1"/>
  <c r="S60" s="1"/>
  <c r="Q111" i="65"/>
  <c r="Q117" s="1"/>
  <c r="Q118" s="1"/>
  <c r="AM39" i="66"/>
  <c r="L108" i="55"/>
  <c r="L129" i="66" s="1"/>
  <c r="N108" i="55"/>
  <c r="N129" i="66" s="1"/>
  <c r="D99" i="65"/>
  <c r="D116" s="1"/>
  <c r="L60" i="66"/>
  <c r="Q60" s="1"/>
  <c r="G99" i="65"/>
  <c r="G116" s="1"/>
  <c r="AF39" i="66"/>
  <c r="R108" i="55"/>
  <c r="R129" i="66" s="1"/>
  <c r="AI39"/>
  <c r="I55"/>
  <c r="I111" i="65"/>
  <c r="I117" s="1"/>
  <c r="G55" i="66"/>
  <c r="G111" i="65"/>
  <c r="G117" s="1"/>
  <c r="AE39" i="66"/>
  <c r="AD39"/>
  <c r="B62"/>
  <c r="I99" i="65"/>
  <c r="I116" s="1"/>
  <c r="H60" i="66"/>
  <c r="M60" s="1"/>
  <c r="R60" s="1"/>
  <c r="K60"/>
  <c r="P60" s="1"/>
  <c r="U60" s="1"/>
  <c r="AL39"/>
  <c r="D55"/>
  <c r="D111" i="65"/>
  <c r="D117" s="1"/>
  <c r="O55" i="66"/>
  <c r="O111" i="65"/>
  <c r="O117" s="1"/>
  <c r="O118" s="1"/>
  <c r="J55" i="66"/>
  <c r="J111" i="65"/>
  <c r="J117" s="1"/>
  <c r="J118" s="1"/>
  <c r="M55" i="66"/>
  <c r="M111" i="65"/>
  <c r="M117" s="1"/>
  <c r="L15" i="66"/>
  <c r="M15"/>
  <c r="H55"/>
  <c r="H111" i="65"/>
  <c r="H117" s="1"/>
  <c r="N55" i="66"/>
  <c r="N111" i="65"/>
  <c r="N117" s="1"/>
  <c r="N118" s="1"/>
  <c r="K55" i="66"/>
  <c r="K111" i="65"/>
  <c r="K117" s="1"/>
  <c r="K118" s="1"/>
  <c r="E55" i="66"/>
  <c r="E111" i="65"/>
  <c r="E117" s="1"/>
  <c r="F55" i="66"/>
  <c r="F111" i="65"/>
  <c r="F117" s="1"/>
  <c r="L55" i="66"/>
  <c r="L111" i="65"/>
  <c r="L117" s="1"/>
  <c r="C55" i="66"/>
  <c r="C111" i="65"/>
  <c r="C117" s="1"/>
  <c r="P55" i="66"/>
  <c r="P111" i="65"/>
  <c r="P117" s="1"/>
  <c r="P118" s="1"/>
  <c r="U59" i="66"/>
  <c r="F99" i="65"/>
  <c r="F116" s="1"/>
  <c r="AJ39" i="66"/>
  <c r="AH39"/>
  <c r="J60"/>
  <c r="O60" s="1"/>
  <c r="T60" s="1"/>
  <c r="AN39"/>
  <c r="L99" i="65"/>
  <c r="L116" s="1"/>
  <c r="M99"/>
  <c r="M116" s="1"/>
  <c r="E99"/>
  <c r="E116" s="1"/>
  <c r="H118"/>
  <c r="AP40" i="66"/>
  <c r="S96" i="65"/>
  <c r="S63"/>
  <c r="R61" i="66"/>
  <c r="R99" i="65"/>
  <c r="R116" s="1"/>
  <c r="S108"/>
  <c r="S66" i="66"/>
  <c r="U33" s="1"/>
  <c r="S87" i="65"/>
  <c r="V34" i="66"/>
  <c r="AO34" s="1"/>
  <c r="T60" i="65"/>
  <c r="T84"/>
  <c r="T75"/>
  <c r="V17"/>
  <c r="U72"/>
  <c r="U17" i="48"/>
  <c r="R56" i="66"/>
  <c r="R111" i="65"/>
  <c r="R117" s="1"/>
  <c r="U64" i="66"/>
  <c r="U106" i="65"/>
  <c r="U54" i="66" s="1"/>
  <c r="V82" i="65"/>
  <c r="V58"/>
  <c r="V94" s="1"/>
  <c r="V59" i="66" s="1"/>
  <c r="T54"/>
  <c r="Q60" i="51"/>
  <c r="Q71" s="1"/>
  <c r="P60"/>
  <c r="I60"/>
  <c r="I71" s="1"/>
  <c r="AO40" i="66"/>
  <c r="AH40"/>
  <c r="AI40"/>
  <c r="AK40"/>
  <c r="AL40"/>
  <c r="AN40"/>
  <c r="AL36"/>
  <c r="L134"/>
  <c r="Q134" s="1"/>
  <c r="V134" s="1"/>
  <c r="V65"/>
  <c r="X39" s="1"/>
  <c r="AP39" s="1"/>
  <c r="V107" i="65"/>
  <c r="U142" i="66"/>
  <c r="W27" s="1"/>
  <c r="U111" i="55"/>
  <c r="U132" i="66" s="1"/>
  <c r="Y40"/>
  <c r="J134"/>
  <c r="O134" s="1"/>
  <c r="T134" s="1"/>
  <c r="K134"/>
  <c r="P134" s="1"/>
  <c r="U134" s="1"/>
  <c r="M12"/>
  <c r="E60" i="51"/>
  <c r="E71" s="1"/>
  <c r="M60"/>
  <c r="U60"/>
  <c r="D60"/>
  <c r="D71" s="1"/>
  <c r="L60"/>
  <c r="L71" s="1"/>
  <c r="T60"/>
  <c r="T71" s="1"/>
  <c r="B84" i="66"/>
  <c r="O87"/>
  <c r="T87" s="1"/>
  <c r="M16"/>
  <c r="L16"/>
  <c r="U55"/>
  <c r="K15"/>
  <c r="L15" i="63"/>
  <c r="V95" i="65"/>
  <c r="O13" i="63"/>
  <c r="D22" i="64" s="1"/>
  <c r="K22" s="1"/>
  <c r="O16" i="63"/>
  <c r="P16"/>
  <c r="E87" i="55"/>
  <c r="E63"/>
  <c r="E99" s="1"/>
  <c r="E137" i="66" s="1"/>
  <c r="R87" i="55"/>
  <c r="R63"/>
  <c r="R99" s="1"/>
  <c r="L87"/>
  <c r="L63"/>
  <c r="L99" s="1"/>
  <c r="T87"/>
  <c r="T63"/>
  <c r="T99" s="1"/>
  <c r="C73" i="48"/>
  <c r="U63" i="55"/>
  <c r="U99" s="1"/>
  <c r="K87"/>
  <c r="K63"/>
  <c r="K99" s="1"/>
  <c r="I87"/>
  <c r="I63"/>
  <c r="I99" s="1"/>
  <c r="M87"/>
  <c r="M63"/>
  <c r="M99" s="1"/>
  <c r="D87"/>
  <c r="F60" i="51"/>
  <c r="J60"/>
  <c r="N60"/>
  <c r="R60"/>
  <c r="R71" s="1"/>
  <c r="V60"/>
  <c r="N63" i="55"/>
  <c r="N99" s="1"/>
  <c r="Q87"/>
  <c r="Q63"/>
  <c r="Q99" s="1"/>
  <c r="F87"/>
  <c r="F63"/>
  <c r="F99" s="1"/>
  <c r="F137" i="66" s="1"/>
  <c r="J87" i="55"/>
  <c r="J63"/>
  <c r="J99" s="1"/>
  <c r="V87"/>
  <c r="V63"/>
  <c r="V99" s="1"/>
  <c r="P87"/>
  <c r="P63"/>
  <c r="P99" s="1"/>
  <c r="G87"/>
  <c r="G63"/>
  <c r="G99" s="1"/>
  <c r="G137" i="66" s="1"/>
  <c r="H87" i="55"/>
  <c r="H63"/>
  <c r="H99" s="1"/>
  <c r="S87"/>
  <c r="S63"/>
  <c r="S99" s="1"/>
  <c r="O87"/>
  <c r="O63"/>
  <c r="O99" s="1"/>
  <c r="G28" i="51"/>
  <c r="G58" s="1"/>
  <c r="G69" s="1"/>
  <c r="G17"/>
  <c r="G59" s="1"/>
  <c r="H71"/>
  <c r="C60"/>
  <c r="G60"/>
  <c r="K60"/>
  <c r="O60"/>
  <c r="S60"/>
  <c r="G74" i="55"/>
  <c r="D70" i="48"/>
  <c r="K74" i="55"/>
  <c r="S74"/>
  <c r="I74"/>
  <c r="M74"/>
  <c r="U74"/>
  <c r="O74"/>
  <c r="E74"/>
  <c r="Q74"/>
  <c r="F70" i="48"/>
  <c r="G70"/>
  <c r="H70"/>
  <c r="E70"/>
  <c r="C70"/>
  <c r="C82" s="1"/>
  <c r="C71"/>
  <c r="C83" s="1"/>
  <c r="D73"/>
  <c r="G72"/>
  <c r="G84" s="1"/>
  <c r="C58" i="51"/>
  <c r="D59"/>
  <c r="E59"/>
  <c r="K73" i="55"/>
  <c r="S73"/>
  <c r="F73"/>
  <c r="J73"/>
  <c r="N73"/>
  <c r="R73"/>
  <c r="V73"/>
  <c r="E73"/>
  <c r="M73"/>
  <c r="U73"/>
  <c r="G73"/>
  <c r="O73"/>
  <c r="D74"/>
  <c r="H74"/>
  <c r="L74"/>
  <c r="P74"/>
  <c r="T74"/>
  <c r="I73"/>
  <c r="Q73"/>
  <c r="D73"/>
  <c r="H73"/>
  <c r="L73"/>
  <c r="P73"/>
  <c r="T73"/>
  <c r="F74"/>
  <c r="J74"/>
  <c r="N74"/>
  <c r="R74"/>
  <c r="V74"/>
  <c r="V86" s="1"/>
  <c r="H26" i="51"/>
  <c r="L15"/>
  <c r="M15" s="1"/>
  <c r="F58"/>
  <c r="F69" s="1"/>
  <c r="F59"/>
  <c r="D58"/>
  <c r="D69" s="1"/>
  <c r="C59"/>
  <c r="E58"/>
  <c r="E69" s="1"/>
  <c r="D71" i="48"/>
  <c r="D83" s="1"/>
  <c r="E48"/>
  <c r="F48" s="1"/>
  <c r="G48" s="1"/>
  <c r="H48" s="1"/>
  <c r="H73" s="1"/>
  <c r="I26"/>
  <c r="J26" s="1"/>
  <c r="K26" s="1"/>
  <c r="L26" s="1"/>
  <c r="M26" s="1"/>
  <c r="N26" s="1"/>
  <c r="O26" s="1"/>
  <c r="H71"/>
  <c r="H83" s="1"/>
  <c r="H15"/>
  <c r="F72"/>
  <c r="F84" s="1"/>
  <c r="F71"/>
  <c r="F83" s="1"/>
  <c r="G71"/>
  <c r="G83" s="1"/>
  <c r="C72"/>
  <c r="C84" s="1"/>
  <c r="E72"/>
  <c r="E84" s="1"/>
  <c r="E71"/>
  <c r="E83" s="1"/>
  <c r="D72"/>
  <c r="D84" s="1"/>
  <c r="C118" i="65" l="1"/>
  <c r="E118"/>
  <c r="D118"/>
  <c r="Q49" i="51"/>
  <c r="Q82" s="1"/>
  <c r="L118" i="65"/>
  <c r="F118"/>
  <c r="M118"/>
  <c r="I118"/>
  <c r="G118"/>
  <c r="C35" i="66"/>
  <c r="B67"/>
  <c r="R118" i="65"/>
  <c r="T96"/>
  <c r="T63"/>
  <c r="T108"/>
  <c r="T66" i="66"/>
  <c r="V33" s="1"/>
  <c r="T87" i="65"/>
  <c r="S56" i="66"/>
  <c r="S111" i="65"/>
  <c r="S117" s="1"/>
  <c r="S61" i="66"/>
  <c r="S99" i="65"/>
  <c r="S116" s="1"/>
  <c r="W34" i="66"/>
  <c r="B59"/>
  <c r="C34" s="1"/>
  <c r="I49" i="51"/>
  <c r="I82" s="1"/>
  <c r="U84" i="65"/>
  <c r="U60"/>
  <c r="U75"/>
  <c r="V72"/>
  <c r="V17" i="48"/>
  <c r="V106" i="65"/>
  <c r="V64" i="66"/>
  <c r="L10" i="63"/>
  <c r="K10" i="66"/>
  <c r="P71" i="51"/>
  <c r="P93" s="1"/>
  <c r="P116" i="66" s="1"/>
  <c r="P49" i="51"/>
  <c r="P82" s="1"/>
  <c r="J49"/>
  <c r="J82" s="1"/>
  <c r="U49"/>
  <c r="U82" s="1"/>
  <c r="U71"/>
  <c r="U93" s="1"/>
  <c r="U116" i="66" s="1"/>
  <c r="M49" i="51"/>
  <c r="M82" s="1"/>
  <c r="V49"/>
  <c r="V82" s="1"/>
  <c r="T124" i="66"/>
  <c r="V37" s="1"/>
  <c r="T93" i="51"/>
  <c r="T116" i="66" s="1"/>
  <c r="H107"/>
  <c r="J46" s="1"/>
  <c r="H107" i="48"/>
  <c r="H97" i="66" s="1"/>
  <c r="E122"/>
  <c r="G43" s="1"/>
  <c r="E91" i="51"/>
  <c r="E114" i="66" s="1"/>
  <c r="F122"/>
  <c r="H43" s="1"/>
  <c r="F91" i="51"/>
  <c r="F114" i="66" s="1"/>
  <c r="O142"/>
  <c r="Q27" s="1"/>
  <c r="O111" i="55"/>
  <c r="O132" i="66" s="1"/>
  <c r="H142"/>
  <c r="J27" s="1"/>
  <c r="H111" i="55"/>
  <c r="H132" i="66" s="1"/>
  <c r="P142"/>
  <c r="R27" s="1"/>
  <c r="AM27" s="1"/>
  <c r="P111" i="55"/>
  <c r="P132" i="66" s="1"/>
  <c r="J142"/>
  <c r="L27" s="1"/>
  <c r="AJ27" s="1"/>
  <c r="J111" i="55"/>
  <c r="J132" i="66" s="1"/>
  <c r="Q142"/>
  <c r="S27" s="1"/>
  <c r="Q111" i="55"/>
  <c r="Q132" i="66" s="1"/>
  <c r="T49" i="51"/>
  <c r="T82" s="1"/>
  <c r="M71"/>
  <c r="F107" i="66"/>
  <c r="H46" s="1"/>
  <c r="F107" i="48"/>
  <c r="F97" i="66" s="1"/>
  <c r="Q124"/>
  <c r="S37" s="1"/>
  <c r="Q93" i="51"/>
  <c r="Q116" i="66" s="1"/>
  <c r="H124"/>
  <c r="J37" s="1"/>
  <c r="H93" i="51"/>
  <c r="H116" i="66" s="1"/>
  <c r="K142"/>
  <c r="M27" s="1"/>
  <c r="K111" i="55"/>
  <c r="K132" i="66" s="1"/>
  <c r="R142"/>
  <c r="T27" s="1"/>
  <c r="R111" i="55"/>
  <c r="R132" i="66" s="1"/>
  <c r="G107"/>
  <c r="I46" s="1"/>
  <c r="G107" i="48"/>
  <c r="G97" i="66" s="1"/>
  <c r="C108"/>
  <c r="E47" s="1"/>
  <c r="AD47" s="1"/>
  <c r="C108" i="48"/>
  <c r="C98" i="66" s="1"/>
  <c r="D107"/>
  <c r="F46" s="1"/>
  <c r="D107" i="48"/>
  <c r="D97" i="66" s="1"/>
  <c r="V141"/>
  <c r="X32" s="1"/>
  <c r="V110" i="55"/>
  <c r="V131" i="66" s="1"/>
  <c r="G108"/>
  <c r="I47" s="1"/>
  <c r="G108" i="48"/>
  <c r="G98" i="66" s="1"/>
  <c r="R124"/>
  <c r="T37" s="1"/>
  <c r="R93" i="51"/>
  <c r="R116" i="66" s="1"/>
  <c r="D142"/>
  <c r="F27" s="1"/>
  <c r="D111" i="55"/>
  <c r="D132" i="66" s="1"/>
  <c r="I142"/>
  <c r="K27" s="1"/>
  <c r="I111" i="55"/>
  <c r="I132" i="66" s="1"/>
  <c r="K5" i="63"/>
  <c r="L142" i="66"/>
  <c r="N27" s="1"/>
  <c r="L111" i="55"/>
  <c r="L132" i="66" s="1"/>
  <c r="E142"/>
  <c r="G27" s="1"/>
  <c r="E111" i="55"/>
  <c r="E132" i="66" s="1"/>
  <c r="E107"/>
  <c r="G46" s="1"/>
  <c r="E107" i="48"/>
  <c r="E97" i="66" s="1"/>
  <c r="C107"/>
  <c r="E46" s="1"/>
  <c r="AD46" s="1"/>
  <c r="C107" i="48"/>
  <c r="C97" i="66" s="1"/>
  <c r="M142"/>
  <c r="O27" s="1"/>
  <c r="M111" i="55"/>
  <c r="M132" i="66" s="1"/>
  <c r="T142"/>
  <c r="V27" s="1"/>
  <c r="T111" i="55"/>
  <c r="T132" i="66" s="1"/>
  <c r="Y39"/>
  <c r="D108"/>
  <c r="F47" s="1"/>
  <c r="AE47" s="1"/>
  <c r="D108" i="48"/>
  <c r="D98" i="66" s="1"/>
  <c r="E108"/>
  <c r="G47" s="1"/>
  <c r="E108" i="48"/>
  <c r="E98" i="66" s="1"/>
  <c r="F108"/>
  <c r="H47" s="1"/>
  <c r="F108" i="48"/>
  <c r="F98" i="66" s="1"/>
  <c r="D122"/>
  <c r="F43" s="1"/>
  <c r="D91" i="51"/>
  <c r="D114" i="66" s="1"/>
  <c r="C106"/>
  <c r="E45" s="1"/>
  <c r="AD45" s="1"/>
  <c r="C106" i="48"/>
  <c r="C96" i="66" s="1"/>
  <c r="J13"/>
  <c r="L13" s="1"/>
  <c r="I124"/>
  <c r="K37" s="1"/>
  <c r="I93" i="51"/>
  <c r="I116" i="66" s="1"/>
  <c r="D124"/>
  <c r="F37" s="1"/>
  <c r="D93" i="51"/>
  <c r="D116" i="66" s="1"/>
  <c r="G122"/>
  <c r="I43" s="1"/>
  <c r="G91" i="51"/>
  <c r="G114" i="66" s="1"/>
  <c r="S142"/>
  <c r="U27" s="1"/>
  <c r="S111" i="55"/>
  <c r="S132" i="66" s="1"/>
  <c r="G142"/>
  <c r="I27" s="1"/>
  <c r="G111" i="55"/>
  <c r="G132" i="66" s="1"/>
  <c r="V142"/>
  <c r="X27" s="1"/>
  <c r="AP27" s="1"/>
  <c r="V111" i="55"/>
  <c r="V132" i="66" s="1"/>
  <c r="F142"/>
  <c r="H27" s="1"/>
  <c r="F111" i="55"/>
  <c r="F132" i="66" s="1"/>
  <c r="K12" i="63"/>
  <c r="L124" i="66"/>
  <c r="N37" s="1"/>
  <c r="L93" i="51"/>
  <c r="L116" i="66" s="1"/>
  <c r="E124"/>
  <c r="G37" s="1"/>
  <c r="E93" i="51"/>
  <c r="E116" i="66" s="1"/>
  <c r="J22" i="64"/>
  <c r="D4"/>
  <c r="J4" s="1"/>
  <c r="B36" i="66"/>
  <c r="B40"/>
  <c r="L137"/>
  <c r="Q137" s="1"/>
  <c r="V137" s="1"/>
  <c r="J5"/>
  <c r="L5" s="1"/>
  <c r="J137"/>
  <c r="O137" s="1"/>
  <c r="T137" s="1"/>
  <c r="K137"/>
  <c r="P137" s="1"/>
  <c r="U137" s="1"/>
  <c r="E49" i="51"/>
  <c r="E82" s="1"/>
  <c r="E120" i="66" s="1"/>
  <c r="J120" s="1"/>
  <c r="B87"/>
  <c r="L9" i="63"/>
  <c r="K8" i="66"/>
  <c r="V55"/>
  <c r="B55" s="1"/>
  <c r="B39" s="1"/>
  <c r="K5"/>
  <c r="L5" i="63"/>
  <c r="V60" i="66"/>
  <c r="B60" s="1"/>
  <c r="C39" s="1"/>
  <c r="H58" i="48"/>
  <c r="D58"/>
  <c r="E77" i="55"/>
  <c r="E58" i="48"/>
  <c r="J12" i="63"/>
  <c r="F58" i="48"/>
  <c r="G58"/>
  <c r="J5" i="63"/>
  <c r="J77" i="55"/>
  <c r="D77"/>
  <c r="K77"/>
  <c r="R49" i="51"/>
  <c r="R82" s="1"/>
  <c r="V71"/>
  <c r="H77" i="55"/>
  <c r="O85"/>
  <c r="O77"/>
  <c r="U85"/>
  <c r="U77"/>
  <c r="R85"/>
  <c r="R77"/>
  <c r="S85"/>
  <c r="S77"/>
  <c r="P85"/>
  <c r="P77"/>
  <c r="V85"/>
  <c r="V77"/>
  <c r="L77"/>
  <c r="I77"/>
  <c r="G77"/>
  <c r="F77"/>
  <c r="Q85"/>
  <c r="Q77"/>
  <c r="T85"/>
  <c r="T77"/>
  <c r="M85"/>
  <c r="M77"/>
  <c r="N85"/>
  <c r="N77"/>
  <c r="J71" i="51"/>
  <c r="C85" i="48"/>
  <c r="F71" i="51"/>
  <c r="N71"/>
  <c r="N49"/>
  <c r="N82" s="1"/>
  <c r="F49"/>
  <c r="F82" s="1"/>
  <c r="F120" i="66" s="1"/>
  <c r="O49" i="51"/>
  <c r="O82" s="1"/>
  <c r="S49"/>
  <c r="S82" s="1"/>
  <c r="H28"/>
  <c r="H58" s="1"/>
  <c r="H69" s="1"/>
  <c r="I28" i="38"/>
  <c r="H17" i="51"/>
  <c r="H59" s="1"/>
  <c r="H48" s="1"/>
  <c r="H81" s="1"/>
  <c r="I17" i="38"/>
  <c r="R86" i="55"/>
  <c r="P86"/>
  <c r="O86"/>
  <c r="S86"/>
  <c r="N86"/>
  <c r="L86"/>
  <c r="U86"/>
  <c r="K86"/>
  <c r="J86"/>
  <c r="H86"/>
  <c r="Q86"/>
  <c r="M86"/>
  <c r="F86"/>
  <c r="T86"/>
  <c r="D86"/>
  <c r="E86"/>
  <c r="I86"/>
  <c r="G86"/>
  <c r="E85"/>
  <c r="I85"/>
  <c r="G85"/>
  <c r="F85"/>
  <c r="H85"/>
  <c r="J85"/>
  <c r="L85"/>
  <c r="D85"/>
  <c r="K85"/>
  <c r="S71" i="51"/>
  <c r="C71"/>
  <c r="O71"/>
  <c r="G49"/>
  <c r="G82" s="1"/>
  <c r="G120" i="66" s="1"/>
  <c r="G71" i="51"/>
  <c r="C49"/>
  <c r="C82" s="1"/>
  <c r="C120" i="66" s="1"/>
  <c r="D49" i="51"/>
  <c r="D82" s="1"/>
  <c r="D120" i="66" s="1"/>
  <c r="H49" i="51"/>
  <c r="H82" s="1"/>
  <c r="L49"/>
  <c r="L82" s="1"/>
  <c r="K71"/>
  <c r="C69"/>
  <c r="E70"/>
  <c r="G70"/>
  <c r="F70"/>
  <c r="D70"/>
  <c r="F82" i="48"/>
  <c r="H82"/>
  <c r="D82"/>
  <c r="G82"/>
  <c r="E82"/>
  <c r="D85"/>
  <c r="H85"/>
  <c r="K49" i="51"/>
  <c r="K82" s="1"/>
  <c r="C70"/>
  <c r="C62"/>
  <c r="F62"/>
  <c r="D62"/>
  <c r="G62"/>
  <c r="E62"/>
  <c r="K71" i="48"/>
  <c r="K83" s="1"/>
  <c r="C60"/>
  <c r="C96" s="1"/>
  <c r="C103" i="66" s="1"/>
  <c r="S62" i="55"/>
  <c r="S98" s="1"/>
  <c r="C47" i="51"/>
  <c r="C80" s="1"/>
  <c r="C118" i="66" s="1"/>
  <c r="U62" i="55"/>
  <c r="U98" s="1"/>
  <c r="M62"/>
  <c r="M98" s="1"/>
  <c r="I62"/>
  <c r="I98" s="1"/>
  <c r="E62"/>
  <c r="E98" s="1"/>
  <c r="E136" i="66" s="1"/>
  <c r="K62" i="55"/>
  <c r="K98" s="1"/>
  <c r="L70" i="48"/>
  <c r="J70"/>
  <c r="I70"/>
  <c r="I58" s="1"/>
  <c r="J71"/>
  <c r="J83" s="1"/>
  <c r="D59"/>
  <c r="I48"/>
  <c r="J48" s="1"/>
  <c r="K48" s="1"/>
  <c r="H72"/>
  <c r="D48" i="51"/>
  <c r="D81" s="1"/>
  <c r="D119" i="66" s="1"/>
  <c r="E48" i="51"/>
  <c r="E81" s="1"/>
  <c r="E119" i="66" s="1"/>
  <c r="N62" i="55"/>
  <c r="N98" s="1"/>
  <c r="P61"/>
  <c r="P62"/>
  <c r="P98" s="1"/>
  <c r="G61"/>
  <c r="M61"/>
  <c r="V61"/>
  <c r="F61"/>
  <c r="S61"/>
  <c r="Q62"/>
  <c r="Q98" s="1"/>
  <c r="J62"/>
  <c r="J98" s="1"/>
  <c r="J136" i="66" s="1"/>
  <c r="L61" i="55"/>
  <c r="Q61"/>
  <c r="L62"/>
  <c r="L98" s="1"/>
  <c r="E61"/>
  <c r="R61"/>
  <c r="K61"/>
  <c r="V62"/>
  <c r="V98" s="1"/>
  <c r="F62"/>
  <c r="F98" s="1"/>
  <c r="F136" i="66" s="1"/>
  <c r="H61" i="55"/>
  <c r="I61"/>
  <c r="H62"/>
  <c r="H98" s="1"/>
  <c r="N61"/>
  <c r="O62"/>
  <c r="O98" s="1"/>
  <c r="G62"/>
  <c r="G98" s="1"/>
  <c r="G136" i="66" s="1"/>
  <c r="R62" i="55"/>
  <c r="R98" s="1"/>
  <c r="T61"/>
  <c r="T62"/>
  <c r="T98" s="1"/>
  <c r="O61"/>
  <c r="U61"/>
  <c r="J61"/>
  <c r="E47" i="51"/>
  <c r="F47"/>
  <c r="I26"/>
  <c r="F48"/>
  <c r="F81" s="1"/>
  <c r="F119" i="66" s="1"/>
  <c r="G47" i="51"/>
  <c r="G48"/>
  <c r="G81" s="1"/>
  <c r="G119" i="66" s="1"/>
  <c r="C48" i="51"/>
  <c r="C81" s="1"/>
  <c r="C119" i="66" s="1"/>
  <c r="D47" i="51"/>
  <c r="N15"/>
  <c r="F73" i="48"/>
  <c r="E73"/>
  <c r="G73"/>
  <c r="C61"/>
  <c r="C97" s="1"/>
  <c r="C104" i="66" s="1"/>
  <c r="I15" i="48"/>
  <c r="P26"/>
  <c r="D60"/>
  <c r="E60"/>
  <c r="C75"/>
  <c r="C58"/>
  <c r="G59"/>
  <c r="F59"/>
  <c r="F60"/>
  <c r="E59"/>
  <c r="D75"/>
  <c r="I71"/>
  <c r="I83" s="1"/>
  <c r="C59"/>
  <c r="G60"/>
  <c r="H59"/>
  <c r="D61"/>
  <c r="D97" s="1"/>
  <c r="D104" i="66" s="1"/>
  <c r="A67" i="38"/>
  <c r="A69" i="43"/>
  <c r="A59"/>
  <c r="A49"/>
  <c r="C28"/>
  <c r="A66" i="38"/>
  <c r="A57"/>
  <c r="A56"/>
  <c r="A47"/>
  <c r="A46"/>
  <c r="C26"/>
  <c r="D26" s="1"/>
  <c r="C15"/>
  <c r="D15" s="1"/>
  <c r="E15" s="1"/>
  <c r="F15" s="1"/>
  <c r="G15" s="1"/>
  <c r="P124" i="66" l="1"/>
  <c r="R37" s="1"/>
  <c r="D11"/>
  <c r="D11" i="63"/>
  <c r="R11" s="1"/>
  <c r="S118" i="65"/>
  <c r="I120" i="66"/>
  <c r="N120" s="1"/>
  <c r="S120" s="1"/>
  <c r="T61"/>
  <c r="T99" i="65"/>
  <c r="T116" s="1"/>
  <c r="X34" i="66"/>
  <c r="Y34" s="1"/>
  <c r="V60" i="65"/>
  <c r="V84"/>
  <c r="V75"/>
  <c r="U96"/>
  <c r="U63"/>
  <c r="AO33" i="66"/>
  <c r="U108" i="65"/>
  <c r="U66" i="66"/>
  <c r="W33" s="1"/>
  <c r="U87" i="65"/>
  <c r="T56" i="66"/>
  <c r="T111" i="65"/>
  <c r="T117" s="1"/>
  <c r="AP34" i="66"/>
  <c r="V54"/>
  <c r="B54" s="1"/>
  <c r="C112" i="65"/>
  <c r="AF46" i="66"/>
  <c r="AG47"/>
  <c r="AN37"/>
  <c r="AG43"/>
  <c r="M13"/>
  <c r="AF47"/>
  <c r="AH46"/>
  <c r="AH43"/>
  <c r="AF37"/>
  <c r="AH47"/>
  <c r="AE46"/>
  <c r="AF43"/>
  <c r="AO37"/>
  <c r="U124"/>
  <c r="W37" s="1"/>
  <c r="AG46"/>
  <c r="AI46"/>
  <c r="AN27"/>
  <c r="AO27"/>
  <c r="AF27"/>
  <c r="AI27"/>
  <c r="AK27"/>
  <c r="AL27"/>
  <c r="AG27"/>
  <c r="AH27"/>
  <c r="K4" i="63"/>
  <c r="L140" i="66"/>
  <c r="N26" s="1"/>
  <c r="L109" i="55"/>
  <c r="L130" i="66" s="1"/>
  <c r="G140"/>
  <c r="I26" s="1"/>
  <c r="G109" i="55"/>
  <c r="G130" i="66" s="1"/>
  <c r="F141"/>
  <c r="H32" s="1"/>
  <c r="F110" i="55"/>
  <c r="F131" i="66" s="1"/>
  <c r="J141"/>
  <c r="L32" s="1"/>
  <c r="J110" i="55"/>
  <c r="J131" i="66" s="1"/>
  <c r="N141"/>
  <c r="P32" s="1"/>
  <c r="N110" i="55"/>
  <c r="N131" i="66" s="1"/>
  <c r="R141"/>
  <c r="T32" s="1"/>
  <c r="R110" i="55"/>
  <c r="R131" i="66" s="1"/>
  <c r="T140"/>
  <c r="V26" s="1"/>
  <c r="T109" i="55"/>
  <c r="T130" i="66" s="1"/>
  <c r="D140"/>
  <c r="F26" s="1"/>
  <c r="D109" i="55"/>
  <c r="D130" i="66" s="1"/>
  <c r="G141"/>
  <c r="I32" s="1"/>
  <c r="AH32" s="1"/>
  <c r="G110" i="55"/>
  <c r="G131" i="66" s="1"/>
  <c r="T141"/>
  <c r="V32" s="1"/>
  <c r="AO32" s="1"/>
  <c r="T110" i="55"/>
  <c r="T131" i="66" s="1"/>
  <c r="K9" i="63"/>
  <c r="L141" i="66"/>
  <c r="N32" s="1"/>
  <c r="L110" i="55"/>
  <c r="L131" i="66" s="1"/>
  <c r="P141"/>
  <c r="R32" s="1"/>
  <c r="P110" i="55"/>
  <c r="P131" i="66" s="1"/>
  <c r="C109"/>
  <c r="E44" s="1"/>
  <c r="AD44" s="1"/>
  <c r="C109" i="48"/>
  <c r="C99" i="66" s="1"/>
  <c r="S140"/>
  <c r="U26" s="1"/>
  <c r="S109" i="55"/>
  <c r="S130" i="66" s="1"/>
  <c r="O140"/>
  <c r="Q26" s="1"/>
  <c r="O109" i="55"/>
  <c r="O130" i="66" s="1"/>
  <c r="I107"/>
  <c r="K46" s="1"/>
  <c r="I107" i="48"/>
  <c r="I97" i="66" s="1"/>
  <c r="J107"/>
  <c r="L46" s="1"/>
  <c r="AJ46" s="1"/>
  <c r="J107" i="48"/>
  <c r="J97" i="66" s="1"/>
  <c r="K107"/>
  <c r="M46" s="1"/>
  <c r="K107" i="48"/>
  <c r="K97" i="66" s="1"/>
  <c r="H109"/>
  <c r="J44" s="1"/>
  <c r="H109" i="48"/>
  <c r="H99" i="66" s="1"/>
  <c r="G106"/>
  <c r="I45" s="1"/>
  <c r="G106" i="48"/>
  <c r="G96" i="66" s="1"/>
  <c r="F106"/>
  <c r="H45" s="1"/>
  <c r="F106" i="48"/>
  <c r="F96" i="66" s="1"/>
  <c r="E123"/>
  <c r="G38" s="1"/>
  <c r="E92" i="51"/>
  <c r="E115" i="66" s="1"/>
  <c r="K140"/>
  <c r="M26" s="1"/>
  <c r="K109" i="55"/>
  <c r="K130" i="66" s="1"/>
  <c r="H140"/>
  <c r="J26" s="1"/>
  <c r="H109" i="55"/>
  <c r="H130" i="66" s="1"/>
  <c r="E140"/>
  <c r="G26" s="1"/>
  <c r="E109" i="55"/>
  <c r="E130" i="66" s="1"/>
  <c r="D141"/>
  <c r="F32" s="1"/>
  <c r="D110" i="55"/>
  <c r="D131" i="66" s="1"/>
  <c r="Q141"/>
  <c r="S32" s="1"/>
  <c r="Q110" i="55"/>
  <c r="Q131" i="66" s="1"/>
  <c r="U141"/>
  <c r="W32" s="1"/>
  <c r="U110" i="55"/>
  <c r="U131" i="66" s="1"/>
  <c r="O141"/>
  <c r="Q32" s="1"/>
  <c r="O110" i="55"/>
  <c r="O131" i="66" s="1"/>
  <c r="F124"/>
  <c r="H37" s="1"/>
  <c r="AG37" s="1"/>
  <c r="F93" i="51"/>
  <c r="F116" i="66" s="1"/>
  <c r="M140"/>
  <c r="O26" s="1"/>
  <c r="M109" i="55"/>
  <c r="B90" i="66"/>
  <c r="D16" s="1"/>
  <c r="C40"/>
  <c r="C123"/>
  <c r="E38" s="1"/>
  <c r="AD38" s="1"/>
  <c r="C92" i="51"/>
  <c r="C115" i="66" s="1"/>
  <c r="H106"/>
  <c r="J45" s="1"/>
  <c r="AI45" s="1"/>
  <c r="H106" i="48"/>
  <c r="H96" i="66" s="1"/>
  <c r="F123"/>
  <c r="H38" s="1"/>
  <c r="F92" i="51"/>
  <c r="F115" i="66" s="1"/>
  <c r="K124"/>
  <c r="M37" s="1"/>
  <c r="K93" i="51"/>
  <c r="K116" i="66" s="1"/>
  <c r="C124"/>
  <c r="E37" s="1"/>
  <c r="AD37" s="1"/>
  <c r="C93" i="51"/>
  <c r="C116" i="66" s="1"/>
  <c r="I141"/>
  <c r="K32" s="1"/>
  <c r="I110" i="55"/>
  <c r="I131" i="66" s="1"/>
  <c r="H122"/>
  <c r="J43" s="1"/>
  <c r="AI43" s="1"/>
  <c r="H91" i="51"/>
  <c r="H114" i="66" s="1"/>
  <c r="J124"/>
  <c r="L37" s="1"/>
  <c r="AJ37" s="1"/>
  <c r="J93" i="51"/>
  <c r="J116" i="66" s="1"/>
  <c r="N140"/>
  <c r="P26" s="1"/>
  <c r="N109" i="55"/>
  <c r="N130" i="66" s="1"/>
  <c r="V140"/>
  <c r="X26" s="1"/>
  <c r="V109" i="55"/>
  <c r="V130" i="66" s="1"/>
  <c r="D109"/>
  <c r="F44" s="1"/>
  <c r="AE44" s="1"/>
  <c r="D109" i="48"/>
  <c r="D99" i="66" s="1"/>
  <c r="D106"/>
  <c r="F45" s="1"/>
  <c r="AE45" s="1"/>
  <c r="D106" i="48"/>
  <c r="D96" i="66" s="1"/>
  <c r="D123"/>
  <c r="F38" s="1"/>
  <c r="AE38" s="1"/>
  <c r="D92" i="51"/>
  <c r="D115" i="66" s="1"/>
  <c r="C122"/>
  <c r="E43" s="1"/>
  <c r="AD43" s="1"/>
  <c r="C91" i="51"/>
  <c r="C114" i="66" s="1"/>
  <c r="O124"/>
  <c r="Q37" s="1"/>
  <c r="O93" i="51"/>
  <c r="O116" i="66" s="1"/>
  <c r="F140"/>
  <c r="H26" s="1"/>
  <c r="F109" i="55"/>
  <c r="F130" i="66" s="1"/>
  <c r="H141"/>
  <c r="J32" s="1"/>
  <c r="H110" i="55"/>
  <c r="H131" i="66" s="1"/>
  <c r="U140"/>
  <c r="W26" s="1"/>
  <c r="U109" i="55"/>
  <c r="U130" i="66" s="1"/>
  <c r="V124"/>
  <c r="X37" s="1"/>
  <c r="AP37" s="1"/>
  <c r="V93" i="51"/>
  <c r="V116" i="66" s="1"/>
  <c r="M124"/>
  <c r="O37" s="1"/>
  <c r="M93" i="51"/>
  <c r="M116" i="66" s="1"/>
  <c r="E106"/>
  <c r="G45" s="1"/>
  <c r="E106" i="48"/>
  <c r="E96" i="66" s="1"/>
  <c r="G123"/>
  <c r="I38" s="1"/>
  <c r="G92" i="51"/>
  <c r="G115" i="66" s="1"/>
  <c r="G124"/>
  <c r="I37" s="1"/>
  <c r="G93" i="51"/>
  <c r="G116" i="66" s="1"/>
  <c r="S124"/>
  <c r="U37" s="1"/>
  <c r="S93" i="51"/>
  <c r="S116" i="66" s="1"/>
  <c r="J140"/>
  <c r="L26" s="1"/>
  <c r="J109" i="55"/>
  <c r="J130" i="66" s="1"/>
  <c r="I140"/>
  <c r="K26" s="1"/>
  <c r="I109" i="55"/>
  <c r="I130" i="66" s="1"/>
  <c r="E141"/>
  <c r="G32" s="1"/>
  <c r="E110" i="55"/>
  <c r="E131" i="66" s="1"/>
  <c r="M141"/>
  <c r="O32" s="1"/>
  <c r="M110" i="55"/>
  <c r="M131" i="66" s="1"/>
  <c r="K141"/>
  <c r="M32" s="1"/>
  <c r="K110" i="55"/>
  <c r="K131" i="66" s="1"/>
  <c r="S141"/>
  <c r="U32" s="1"/>
  <c r="S110" i="55"/>
  <c r="S131" i="66" s="1"/>
  <c r="N124"/>
  <c r="P37" s="1"/>
  <c r="AL37" s="1"/>
  <c r="N93" i="51"/>
  <c r="N116" i="66" s="1"/>
  <c r="Q140"/>
  <c r="S26" s="1"/>
  <c r="Q109" i="55"/>
  <c r="Q130" i="66" s="1"/>
  <c r="P140"/>
  <c r="R26" s="1"/>
  <c r="AM26" s="1"/>
  <c r="P109" i="55"/>
  <c r="P130" i="66" s="1"/>
  <c r="R140"/>
  <c r="T26" s="1"/>
  <c r="R109" i="55"/>
  <c r="R130" i="66" s="1"/>
  <c r="K4" i="64"/>
  <c r="M5" i="66"/>
  <c r="O136"/>
  <c r="T136" s="1"/>
  <c r="K136"/>
  <c r="P136" s="1"/>
  <c r="U136" s="1"/>
  <c r="J4"/>
  <c r="L4" s="1"/>
  <c r="J8"/>
  <c r="M8" s="1"/>
  <c r="L136"/>
  <c r="Q136" s="1"/>
  <c r="V136" s="1"/>
  <c r="H120"/>
  <c r="M120" s="1"/>
  <c r="R120" s="1"/>
  <c r="H119"/>
  <c r="M130"/>
  <c r="K120"/>
  <c r="P120" s="1"/>
  <c r="U120" s="1"/>
  <c r="L120"/>
  <c r="Q120" s="1"/>
  <c r="V120" s="1"/>
  <c r="O120"/>
  <c r="T120" s="1"/>
  <c r="D16" i="63"/>
  <c r="J20" i="66"/>
  <c r="L4" i="63"/>
  <c r="K4" i="66"/>
  <c r="K13"/>
  <c r="L12" i="63"/>
  <c r="B65" i="66"/>
  <c r="J4" i="63"/>
  <c r="P4" s="1"/>
  <c r="J58" i="48"/>
  <c r="J94" s="1"/>
  <c r="J9" i="63"/>
  <c r="O5"/>
  <c r="P5"/>
  <c r="J20"/>
  <c r="P12"/>
  <c r="O12"/>
  <c r="I15" i="38"/>
  <c r="I46" s="1"/>
  <c r="H15"/>
  <c r="H46" s="1"/>
  <c r="Q97" i="55"/>
  <c r="Q65"/>
  <c r="M97"/>
  <c r="M65"/>
  <c r="P97"/>
  <c r="P65"/>
  <c r="Q89"/>
  <c r="V89"/>
  <c r="I97"/>
  <c r="I65"/>
  <c r="K97"/>
  <c r="K65"/>
  <c r="S97"/>
  <c r="S65"/>
  <c r="G97"/>
  <c r="G135" i="66" s="1"/>
  <c r="G65" i="55"/>
  <c r="L89"/>
  <c r="F46" i="38"/>
  <c r="G46"/>
  <c r="U97" i="55"/>
  <c r="U65"/>
  <c r="E97"/>
  <c r="E135" i="66" s="1"/>
  <c r="E65" i="55"/>
  <c r="V97"/>
  <c r="V65"/>
  <c r="C46" i="38"/>
  <c r="C56" s="1"/>
  <c r="C47"/>
  <c r="C57" s="1"/>
  <c r="D47"/>
  <c r="D57" s="1"/>
  <c r="D46"/>
  <c r="D56" s="1"/>
  <c r="J97" i="55"/>
  <c r="J65"/>
  <c r="T97"/>
  <c r="T65"/>
  <c r="N97"/>
  <c r="N65"/>
  <c r="H97"/>
  <c r="H65"/>
  <c r="R97"/>
  <c r="R65"/>
  <c r="L97"/>
  <c r="L65"/>
  <c r="F97"/>
  <c r="F135" i="66" s="1"/>
  <c r="F65" i="55"/>
  <c r="D89"/>
  <c r="J89"/>
  <c r="H89"/>
  <c r="G89"/>
  <c r="E89"/>
  <c r="M89"/>
  <c r="T89"/>
  <c r="R89"/>
  <c r="E46" i="38"/>
  <c r="O97" i="55"/>
  <c r="O65"/>
  <c r="K89"/>
  <c r="F89"/>
  <c r="I89"/>
  <c r="N89"/>
  <c r="P89"/>
  <c r="S89"/>
  <c r="U89"/>
  <c r="O89"/>
  <c r="D28" i="43"/>
  <c r="D49" s="1"/>
  <c r="D51" s="1"/>
  <c r="C49"/>
  <c r="C51" s="1"/>
  <c r="E73" i="51"/>
  <c r="H70"/>
  <c r="G73"/>
  <c r="J28" i="38"/>
  <c r="I28" i="51"/>
  <c r="I58" s="1"/>
  <c r="I69" s="1"/>
  <c r="I17"/>
  <c r="I59" s="1"/>
  <c r="J17" i="38"/>
  <c r="E51" i="51"/>
  <c r="I82" i="48"/>
  <c r="J82"/>
  <c r="L82"/>
  <c r="H75"/>
  <c r="H84"/>
  <c r="E61"/>
  <c r="E97" s="1"/>
  <c r="E104" i="66" s="1"/>
  <c r="E85" i="48"/>
  <c r="F85"/>
  <c r="G85"/>
  <c r="D51" i="51"/>
  <c r="G51"/>
  <c r="F51"/>
  <c r="C73"/>
  <c r="C84"/>
  <c r="H62"/>
  <c r="C51"/>
  <c r="D73"/>
  <c r="F73"/>
  <c r="C87" i="48"/>
  <c r="K70"/>
  <c r="K58" s="1"/>
  <c r="F75"/>
  <c r="D87"/>
  <c r="G75"/>
  <c r="L71"/>
  <c r="E75"/>
  <c r="J59"/>
  <c r="J95" s="1"/>
  <c r="H61"/>
  <c r="H97" s="1"/>
  <c r="H104" i="66" s="1"/>
  <c r="D95" i="48"/>
  <c r="D102" i="66" s="1"/>
  <c r="G61" i="48"/>
  <c r="G97" s="1"/>
  <c r="G104" i="66" s="1"/>
  <c r="F61" i="48"/>
  <c r="F97" s="1"/>
  <c r="F104" i="66" s="1"/>
  <c r="I73" i="48"/>
  <c r="L48"/>
  <c r="K73"/>
  <c r="K85" s="1"/>
  <c r="J73"/>
  <c r="I72"/>
  <c r="I84" s="1"/>
  <c r="H47" i="51"/>
  <c r="H51" s="1"/>
  <c r="E80"/>
  <c r="F80"/>
  <c r="D80"/>
  <c r="J26"/>
  <c r="O15"/>
  <c r="G80"/>
  <c r="E95" i="48"/>
  <c r="E102" i="66" s="1"/>
  <c r="F95" i="48"/>
  <c r="F102" i="66" s="1"/>
  <c r="C95" i="48"/>
  <c r="C102" i="66" s="1"/>
  <c r="D94" i="48"/>
  <c r="D101" i="66" s="1"/>
  <c r="D63" i="48"/>
  <c r="C94"/>
  <c r="C101" i="66" s="1"/>
  <c r="C63" i="48"/>
  <c r="E96"/>
  <c r="E103" i="66" s="1"/>
  <c r="Q26" i="48"/>
  <c r="F94"/>
  <c r="F101" i="66" s="1"/>
  <c r="F96" i="48"/>
  <c r="F103" i="66" s="1"/>
  <c r="G95" i="48"/>
  <c r="G102" i="66" s="1"/>
  <c r="H60" i="48"/>
  <c r="G94"/>
  <c r="G101" i="66" s="1"/>
  <c r="H95" i="48"/>
  <c r="H102" i="66" s="1"/>
  <c r="G96" i="48"/>
  <c r="G103" i="66" s="1"/>
  <c r="I59" i="48"/>
  <c r="K59"/>
  <c r="H94"/>
  <c r="D96"/>
  <c r="D103" i="66" s="1"/>
  <c r="J15" i="48"/>
  <c r="E94"/>
  <c r="E101" i="66" s="1"/>
  <c r="E28" i="43"/>
  <c r="F28" s="1"/>
  <c r="G28" s="1"/>
  <c r="H28" s="1"/>
  <c r="E26" i="38"/>
  <c r="E47" s="1"/>
  <c r="E57" s="1"/>
  <c r="O11" i="66" l="1"/>
  <c r="N11"/>
  <c r="U56"/>
  <c r="U111" i="65"/>
  <c r="U117" s="1"/>
  <c r="U61" i="66"/>
  <c r="U99" i="65"/>
  <c r="U116" s="1"/>
  <c r="L8" i="63"/>
  <c r="V108" i="65"/>
  <c r="K9" i="66"/>
  <c r="V66"/>
  <c r="X33" s="1"/>
  <c r="AP33" s="1"/>
  <c r="V87" i="65"/>
  <c r="T118"/>
  <c r="AN26" i="66"/>
  <c r="AG26"/>
  <c r="V96" i="65"/>
  <c r="V63"/>
  <c r="B64" i="66"/>
  <c r="B34"/>
  <c r="AH37"/>
  <c r="AF45"/>
  <c r="AG38"/>
  <c r="AH45"/>
  <c r="D14" i="64"/>
  <c r="K14" s="1"/>
  <c r="AI37" i="66"/>
  <c r="AH38"/>
  <c r="AP26"/>
  <c r="AF38"/>
  <c r="AM32"/>
  <c r="AI32"/>
  <c r="AL26"/>
  <c r="AG45"/>
  <c r="AE37"/>
  <c r="AN32"/>
  <c r="AJ32"/>
  <c r="AK37"/>
  <c r="AM37"/>
  <c r="AP32"/>
  <c r="AO26"/>
  <c r="AL32"/>
  <c r="AG32"/>
  <c r="AK26"/>
  <c r="AI26"/>
  <c r="AF32"/>
  <c r="AJ26"/>
  <c r="AK32"/>
  <c r="AF26"/>
  <c r="AH26"/>
  <c r="AE43"/>
  <c r="AE48" s="1"/>
  <c r="C4" i="67" s="1"/>
  <c r="G95" i="51"/>
  <c r="G101" s="1"/>
  <c r="J135" i="66"/>
  <c r="O135" s="1"/>
  <c r="T135" s="1"/>
  <c r="F48"/>
  <c r="G109"/>
  <c r="I44" s="1"/>
  <c r="G109" i="48"/>
  <c r="G99" i="66" s="1"/>
  <c r="H108"/>
  <c r="J47" s="1"/>
  <c r="AI47" s="1"/>
  <c r="H108" i="48"/>
  <c r="H98" i="66" s="1"/>
  <c r="D78"/>
  <c r="F29" s="1"/>
  <c r="D76" i="38"/>
  <c r="D72" i="66" s="1"/>
  <c r="Q16" i="63"/>
  <c r="R16"/>
  <c r="E48" i="66"/>
  <c r="I108"/>
  <c r="K47" s="1"/>
  <c r="I108" i="48"/>
  <c r="I98" i="66" s="1"/>
  <c r="E109"/>
  <c r="G44" s="1"/>
  <c r="AF44" s="1"/>
  <c r="E109" i="48"/>
  <c r="E99" i="66" s="1"/>
  <c r="K19" i="63"/>
  <c r="L106" i="66"/>
  <c r="N45" s="1"/>
  <c r="L106" i="48"/>
  <c r="L96" i="66" s="1"/>
  <c r="C79"/>
  <c r="E28" s="1"/>
  <c r="AD28" s="1"/>
  <c r="C77" i="38"/>
  <c r="C73" i="66" s="1"/>
  <c r="I41"/>
  <c r="K109"/>
  <c r="M44" s="1"/>
  <c r="K109" i="48"/>
  <c r="K99" i="66" s="1"/>
  <c r="I106"/>
  <c r="K45" s="1"/>
  <c r="I106" i="48"/>
  <c r="I96" i="66" s="1"/>
  <c r="J17"/>
  <c r="L17" s="1"/>
  <c r="I122"/>
  <c r="K43" s="1"/>
  <c r="I91" i="51"/>
  <c r="I114" i="66" s="1"/>
  <c r="F41"/>
  <c r="J106"/>
  <c r="L45" s="1"/>
  <c r="AJ45" s="1"/>
  <c r="J106" i="48"/>
  <c r="J96" i="66" s="1"/>
  <c r="H123"/>
  <c r="J38" s="1"/>
  <c r="AI38" s="1"/>
  <c r="H92" i="51"/>
  <c r="H115" i="66" s="1"/>
  <c r="C78"/>
  <c r="E29" s="1"/>
  <c r="AD29" s="1"/>
  <c r="C76" i="38"/>
  <c r="C72" i="66" s="1"/>
  <c r="H41"/>
  <c r="F109"/>
  <c r="H44" s="1"/>
  <c r="F109" i="48"/>
  <c r="F99" i="66" s="1"/>
  <c r="E79"/>
  <c r="G28" s="1"/>
  <c r="E77" i="38"/>
  <c r="E73" i="66" s="1"/>
  <c r="D79"/>
  <c r="F28" s="1"/>
  <c r="D77" i="38"/>
  <c r="D73" i="66" s="1"/>
  <c r="B116"/>
  <c r="B37" s="1"/>
  <c r="F95" i="51"/>
  <c r="F101" s="1"/>
  <c r="D95"/>
  <c r="D101" s="1"/>
  <c r="E95"/>
  <c r="E101" s="1"/>
  <c r="AD48" i="66"/>
  <c r="B4" i="67" s="1"/>
  <c r="B10" s="1"/>
  <c r="G41" i="66"/>
  <c r="Y37"/>
  <c r="D7" i="64"/>
  <c r="J7" s="1"/>
  <c r="M4" i="66"/>
  <c r="K135"/>
  <c r="P135" s="1"/>
  <c r="U135" s="1"/>
  <c r="L8"/>
  <c r="L135"/>
  <c r="Q135" s="1"/>
  <c r="V135" s="1"/>
  <c r="E118"/>
  <c r="G118"/>
  <c r="D118"/>
  <c r="F118"/>
  <c r="B120"/>
  <c r="C37" s="1"/>
  <c r="J21"/>
  <c r="M21" s="1"/>
  <c r="H101"/>
  <c r="J101"/>
  <c r="J102"/>
  <c r="J15" i="38"/>
  <c r="K15" s="1"/>
  <c r="O16" i="66"/>
  <c r="N16"/>
  <c r="J19"/>
  <c r="D15"/>
  <c r="D15" i="63"/>
  <c r="R15" s="1"/>
  <c r="M20" i="66"/>
  <c r="L20"/>
  <c r="K113" i="55"/>
  <c r="K119" s="1"/>
  <c r="J113"/>
  <c r="J119" s="1"/>
  <c r="L113"/>
  <c r="L119" s="1"/>
  <c r="G113"/>
  <c r="G119" s="1"/>
  <c r="Q113"/>
  <c r="Q119" s="1"/>
  <c r="O4" i="63"/>
  <c r="S113" i="55"/>
  <c r="S119" s="1"/>
  <c r="U113"/>
  <c r="U119" s="1"/>
  <c r="P113"/>
  <c r="P119" s="1"/>
  <c r="N113"/>
  <c r="N119" s="1"/>
  <c r="F113"/>
  <c r="F119" s="1"/>
  <c r="T113"/>
  <c r="T119" s="1"/>
  <c r="D113"/>
  <c r="D119" s="1"/>
  <c r="O113"/>
  <c r="O119" s="1"/>
  <c r="E113"/>
  <c r="E119" s="1"/>
  <c r="V113"/>
  <c r="V119" s="1"/>
  <c r="D111" i="48"/>
  <c r="D117" s="1"/>
  <c r="I113" i="55"/>
  <c r="I119" s="1"/>
  <c r="O20" i="63"/>
  <c r="P20"/>
  <c r="J21"/>
  <c r="M113" i="55"/>
  <c r="M119" s="1"/>
  <c r="O9" i="63"/>
  <c r="P9"/>
  <c r="J17"/>
  <c r="J19"/>
  <c r="R113" i="55"/>
  <c r="L58" i="48"/>
  <c r="L94" s="1"/>
  <c r="L101" i="66" s="1"/>
  <c r="F101" i="55"/>
  <c r="F118" s="1"/>
  <c r="R101"/>
  <c r="N101"/>
  <c r="N118" s="1"/>
  <c r="J101"/>
  <c r="J118" s="1"/>
  <c r="M101"/>
  <c r="E101"/>
  <c r="E118" s="1"/>
  <c r="U101"/>
  <c r="U118" s="1"/>
  <c r="G101"/>
  <c r="G118" s="1"/>
  <c r="K101"/>
  <c r="K118" s="1"/>
  <c r="L101"/>
  <c r="L118" s="1"/>
  <c r="H101"/>
  <c r="T101"/>
  <c r="T118" s="1"/>
  <c r="P101"/>
  <c r="P118" s="1"/>
  <c r="Q101"/>
  <c r="Q118" s="1"/>
  <c r="O101"/>
  <c r="O118" s="1"/>
  <c r="V101"/>
  <c r="V118" s="1"/>
  <c r="S101"/>
  <c r="S118" s="1"/>
  <c r="I101"/>
  <c r="I118" s="1"/>
  <c r="E56" i="38"/>
  <c r="H113" i="55"/>
  <c r="C95" i="51"/>
  <c r="C101" s="1"/>
  <c r="J46" i="38"/>
  <c r="E63" i="48"/>
  <c r="K28" i="38"/>
  <c r="J28" i="51"/>
  <c r="J58" s="1"/>
  <c r="J69" s="1"/>
  <c r="K17" i="38"/>
  <c r="J17" i="51"/>
  <c r="J59" s="1"/>
  <c r="I48"/>
  <c r="I81" s="1"/>
  <c r="I119" i="66" s="1"/>
  <c r="I70" i="51"/>
  <c r="K94" i="48"/>
  <c r="K101" i="66" s="1"/>
  <c r="K82" i="48"/>
  <c r="L59"/>
  <c r="L95" s="1"/>
  <c r="L102" i="66" s="1"/>
  <c r="L83" i="48"/>
  <c r="F87"/>
  <c r="G87"/>
  <c r="J85"/>
  <c r="I61"/>
  <c r="I97" s="1"/>
  <c r="I104" i="66" s="1"/>
  <c r="I85" i="48"/>
  <c r="E87"/>
  <c r="C100" i="51"/>
  <c r="I62"/>
  <c r="F84"/>
  <c r="F100" s="1"/>
  <c r="G84"/>
  <c r="G100" s="1"/>
  <c r="E84"/>
  <c r="E100" s="1"/>
  <c r="D84"/>
  <c r="D100" s="1"/>
  <c r="H73"/>
  <c r="C111" i="48"/>
  <c r="D59" i="43"/>
  <c r="C59"/>
  <c r="H87" i="48"/>
  <c r="G63"/>
  <c r="C99"/>
  <c r="M70"/>
  <c r="M71"/>
  <c r="M83" s="1"/>
  <c r="F63"/>
  <c r="I75"/>
  <c r="K61"/>
  <c r="K97" s="1"/>
  <c r="K104" i="66" s="1"/>
  <c r="J61" i="48"/>
  <c r="J97" s="1"/>
  <c r="J104" i="66" s="1"/>
  <c r="M48" i="48"/>
  <c r="L73"/>
  <c r="L85" s="1"/>
  <c r="J72"/>
  <c r="J84" s="1"/>
  <c r="E99"/>
  <c r="E116" s="1"/>
  <c r="H63"/>
  <c r="I47" i="51"/>
  <c r="P15"/>
  <c r="K26"/>
  <c r="H80"/>
  <c r="H118" i="66" s="1"/>
  <c r="G99" i="48"/>
  <c r="G116" s="1"/>
  <c r="K15"/>
  <c r="I94"/>
  <c r="I101" i="66" s="1"/>
  <c r="F99" i="48"/>
  <c r="F116" s="1"/>
  <c r="R26"/>
  <c r="D99"/>
  <c r="D116" s="1"/>
  <c r="I60"/>
  <c r="K95"/>
  <c r="K102" i="66" s="1"/>
  <c r="I95" i="48"/>
  <c r="I102" i="66" s="1"/>
  <c r="H96" i="48"/>
  <c r="H103" i="66" s="1"/>
  <c r="D39" i="43"/>
  <c r="C39"/>
  <c r="F49"/>
  <c r="F51" s="1"/>
  <c r="H49"/>
  <c r="H51" s="1"/>
  <c r="I28"/>
  <c r="E49"/>
  <c r="G49"/>
  <c r="G51" s="1"/>
  <c r="D49" i="38"/>
  <c r="D36"/>
  <c r="E36"/>
  <c r="D37"/>
  <c r="D67" s="1"/>
  <c r="D76" i="66" s="1"/>
  <c r="C37" i="38"/>
  <c r="C67" s="1"/>
  <c r="C76" i="66" s="1"/>
  <c r="E37" i="38"/>
  <c r="E67" s="1"/>
  <c r="E76" i="66" s="1"/>
  <c r="C49" i="38"/>
  <c r="C36"/>
  <c r="F26"/>
  <c r="F47" s="1"/>
  <c r="F57" s="1"/>
  <c r="E49"/>
  <c r="J14" i="64" l="1"/>
  <c r="U118" i="65"/>
  <c r="V61" i="66"/>
  <c r="B61" s="1"/>
  <c r="C33" s="1"/>
  <c r="V99" i="65"/>
  <c r="V116" s="1"/>
  <c r="V56" i="66"/>
  <c r="B56" s="1"/>
  <c r="V111" i="65"/>
  <c r="V117" s="1"/>
  <c r="Y33" i="66"/>
  <c r="D10" i="63"/>
  <c r="R10" s="1"/>
  <c r="D10" i="66"/>
  <c r="AG41"/>
  <c r="E3" i="67" s="1"/>
  <c r="G102" i="51"/>
  <c r="AE28" i="66"/>
  <c r="AG44"/>
  <c r="AG48" s="1"/>
  <c r="E4" i="67" s="1"/>
  <c r="AK45" i="66"/>
  <c r="AF41"/>
  <c r="D3" i="67" s="1"/>
  <c r="AH44" i="66"/>
  <c r="AH48" s="1"/>
  <c r="F4" i="67" s="1"/>
  <c r="E102" i="51"/>
  <c r="AI44" i="66"/>
  <c r="AI48" s="1"/>
  <c r="G4" i="67" s="1"/>
  <c r="AI41" i="66"/>
  <c r="G3" i="67" s="1"/>
  <c r="F102" i="51"/>
  <c r="AH41" i="66"/>
  <c r="F3" i="67" s="1"/>
  <c r="G48" i="66"/>
  <c r="AF48"/>
  <c r="D4" i="67" s="1"/>
  <c r="I48" i="66"/>
  <c r="AE29"/>
  <c r="AF28"/>
  <c r="M17"/>
  <c r="D102" i="51"/>
  <c r="H119" i="55"/>
  <c r="D16" i="64"/>
  <c r="J16" s="1"/>
  <c r="K7"/>
  <c r="F79" i="66"/>
  <c r="H28" s="1"/>
  <c r="AG28" s="1"/>
  <c r="F77" i="38"/>
  <c r="F73" i="66" s="1"/>
  <c r="J108"/>
  <c r="L47" s="1"/>
  <c r="AJ47" s="1"/>
  <c r="J108" i="48"/>
  <c r="J98" i="66" s="1"/>
  <c r="C91"/>
  <c r="E25" s="1"/>
  <c r="AD25" s="1"/>
  <c r="C79" i="43"/>
  <c r="C85" i="66" s="1"/>
  <c r="J14"/>
  <c r="M14" s="1"/>
  <c r="I123"/>
  <c r="K38" s="1"/>
  <c r="I92" i="51"/>
  <c r="I115" i="66" s="1"/>
  <c r="J122"/>
  <c r="L43" s="1"/>
  <c r="AJ43" s="1"/>
  <c r="J91" i="51"/>
  <c r="J114" i="66" s="1"/>
  <c r="H48"/>
  <c r="M107"/>
  <c r="O46" s="1"/>
  <c r="M107" i="48"/>
  <c r="M97" i="66" s="1"/>
  <c r="I109"/>
  <c r="K44" s="1"/>
  <c r="I109" i="48"/>
  <c r="I99" i="66" s="1"/>
  <c r="K106"/>
  <c r="M45" s="1"/>
  <c r="K106" i="48"/>
  <c r="K96" i="66" s="1"/>
  <c r="L21"/>
  <c r="J48"/>
  <c r="K18" i="63"/>
  <c r="L109" i="66"/>
  <c r="N44" s="1"/>
  <c r="L109" i="48"/>
  <c r="L99" i="66" s="1"/>
  <c r="D91"/>
  <c r="F25" s="1"/>
  <c r="D79" i="43"/>
  <c r="D85" i="66" s="1"/>
  <c r="J109"/>
  <c r="L44" s="1"/>
  <c r="AJ44" s="1"/>
  <c r="J109" i="48"/>
  <c r="J99" i="66" s="1"/>
  <c r="K20" i="63"/>
  <c r="L107" i="66"/>
  <c r="N46" s="1"/>
  <c r="AK46" s="1"/>
  <c r="L107" i="48"/>
  <c r="L97" i="66" s="1"/>
  <c r="E78"/>
  <c r="G29" s="1"/>
  <c r="AF29" s="1"/>
  <c r="E76" i="38"/>
  <c r="E72" i="66" s="1"/>
  <c r="D21" i="64"/>
  <c r="J21" s="1"/>
  <c r="J41" i="66"/>
  <c r="D9" i="64"/>
  <c r="B124" i="66"/>
  <c r="O15"/>
  <c r="N15"/>
  <c r="M19"/>
  <c r="L19"/>
  <c r="J18"/>
  <c r="D79" i="38"/>
  <c r="E111" i="48"/>
  <c r="E117" s="1"/>
  <c r="E118" s="1"/>
  <c r="D118"/>
  <c r="F111"/>
  <c r="F117" s="1"/>
  <c r="F118" s="1"/>
  <c r="G111"/>
  <c r="G117" s="1"/>
  <c r="G118" s="1"/>
  <c r="R119" i="55"/>
  <c r="F37" i="38"/>
  <c r="F67" s="1"/>
  <c r="F76" i="66" s="1"/>
  <c r="H111" i="48"/>
  <c r="H117" s="1"/>
  <c r="J18" i="63"/>
  <c r="P19"/>
  <c r="O19"/>
  <c r="O17"/>
  <c r="P17"/>
  <c r="J14"/>
  <c r="M82" i="48"/>
  <c r="M58"/>
  <c r="M94" s="1"/>
  <c r="M101" i="66" s="1"/>
  <c r="H95" i="51"/>
  <c r="H101" s="1"/>
  <c r="O21" i="63"/>
  <c r="P21"/>
  <c r="H118" i="55"/>
  <c r="H99" i="48"/>
  <c r="H116" s="1"/>
  <c r="C102" i="51"/>
  <c r="L15" i="38"/>
  <c r="K46"/>
  <c r="I73" i="51"/>
  <c r="I51"/>
  <c r="K28"/>
  <c r="K58" s="1"/>
  <c r="K69" s="1"/>
  <c r="L28" i="38"/>
  <c r="J48" i="51"/>
  <c r="J81" s="1"/>
  <c r="J119" i="66" s="1"/>
  <c r="J70" i="51"/>
  <c r="K17"/>
  <c r="K59" s="1"/>
  <c r="L17" i="38"/>
  <c r="C61" i="43"/>
  <c r="D61"/>
  <c r="M118" i="55"/>
  <c r="M120" s="1"/>
  <c r="C116" i="48"/>
  <c r="R118" i="55"/>
  <c r="C117" i="48"/>
  <c r="D69" i="43"/>
  <c r="D88" i="66" s="1"/>
  <c r="D41" i="43"/>
  <c r="C69"/>
  <c r="C88" i="66" s="1"/>
  <c r="C41" i="43"/>
  <c r="E59"/>
  <c r="E51"/>
  <c r="H84" i="51"/>
  <c r="J62"/>
  <c r="G59" i="43"/>
  <c r="F59"/>
  <c r="H59"/>
  <c r="C79" i="38"/>
  <c r="C59"/>
  <c r="I87" i="48"/>
  <c r="O120" i="55"/>
  <c r="E39" i="43"/>
  <c r="D59" i="38"/>
  <c r="E59"/>
  <c r="M59" i="48"/>
  <c r="N70"/>
  <c r="N71"/>
  <c r="N83" s="1"/>
  <c r="N48"/>
  <c r="M73"/>
  <c r="M85" s="1"/>
  <c r="L61"/>
  <c r="L97" s="1"/>
  <c r="L104" i="66" s="1"/>
  <c r="K72" i="48"/>
  <c r="K84" s="1"/>
  <c r="Q15" i="51"/>
  <c r="L26"/>
  <c r="J47"/>
  <c r="I80"/>
  <c r="I118" i="66" s="1"/>
  <c r="S26" i="48"/>
  <c r="J87"/>
  <c r="J60"/>
  <c r="J75"/>
  <c r="I96"/>
  <c r="I103" i="66" s="1"/>
  <c r="I63" i="48"/>
  <c r="L15"/>
  <c r="G39" i="43"/>
  <c r="F39"/>
  <c r="H39"/>
  <c r="D66" i="38"/>
  <c r="D75" i="66" s="1"/>
  <c r="J28" i="43"/>
  <c r="I49"/>
  <c r="D39" i="38"/>
  <c r="C66"/>
  <c r="C75" i="66" s="1"/>
  <c r="C39" i="38"/>
  <c r="G26"/>
  <c r="G47" s="1"/>
  <c r="E66"/>
  <c r="E75" i="66" s="1"/>
  <c r="V118" i="65" l="1"/>
  <c r="B66" i="66"/>
  <c r="B33"/>
  <c r="N10"/>
  <c r="O10"/>
  <c r="C25" i="67"/>
  <c r="B25" s="1"/>
  <c r="B15" s="1"/>
  <c r="AK44" i="66"/>
  <c r="K48"/>
  <c r="AE25"/>
  <c r="K41"/>
  <c r="K16" i="64"/>
  <c r="L14" i="66"/>
  <c r="H120" i="55"/>
  <c r="D17" i="64"/>
  <c r="J17" s="1"/>
  <c r="K21"/>
  <c r="F91" i="66"/>
  <c r="H25" s="1"/>
  <c r="F79" i="43"/>
  <c r="F85" i="66" s="1"/>
  <c r="M109"/>
  <c r="O44" s="1"/>
  <c r="M109" i="48"/>
  <c r="M99" i="66" s="1"/>
  <c r="H91"/>
  <c r="J25" s="1"/>
  <c r="H79" i="43"/>
  <c r="H85" i="66" s="1"/>
  <c r="J123"/>
  <c r="L38" s="1"/>
  <c r="AJ38" s="1"/>
  <c r="J92" i="51"/>
  <c r="J115" i="66" s="1"/>
  <c r="D19" i="64"/>
  <c r="J19" s="1"/>
  <c r="K122" i="66"/>
  <c r="M43" s="1"/>
  <c r="K91" i="51"/>
  <c r="K114" i="66" s="1"/>
  <c r="K108"/>
  <c r="M47" s="1"/>
  <c r="K108" i="48"/>
  <c r="K98" i="66" s="1"/>
  <c r="N107"/>
  <c r="P46" s="1"/>
  <c r="AL46" s="1"/>
  <c r="N107" i="48"/>
  <c r="N97" i="66" s="1"/>
  <c r="G91"/>
  <c r="I25" s="1"/>
  <c r="G79" i="43"/>
  <c r="G85" i="66" s="1"/>
  <c r="E91"/>
  <c r="G25" s="1"/>
  <c r="E79" i="43"/>
  <c r="E85" i="66" s="1"/>
  <c r="M106"/>
  <c r="O45" s="1"/>
  <c r="M106" i="48"/>
  <c r="F30" i="66"/>
  <c r="L48"/>
  <c r="AJ48"/>
  <c r="H4" i="67" s="1"/>
  <c r="D18" i="64"/>
  <c r="K18" s="1"/>
  <c r="J9"/>
  <c r="K9"/>
  <c r="I95" i="51"/>
  <c r="I101" s="1"/>
  <c r="D12" i="63"/>
  <c r="D13" i="66"/>
  <c r="L18"/>
  <c r="M18"/>
  <c r="C81" i="43"/>
  <c r="D81"/>
  <c r="D87" s="1"/>
  <c r="E79" i="38"/>
  <c r="R120" i="55"/>
  <c r="M96" i="66"/>
  <c r="I111" i="48"/>
  <c r="I117" s="1"/>
  <c r="P18" i="63"/>
  <c r="O18"/>
  <c r="N82" i="48"/>
  <c r="N58"/>
  <c r="N94" s="1"/>
  <c r="N101" i="66" s="1"/>
  <c r="O14" i="63"/>
  <c r="P14"/>
  <c r="I99" i="48"/>
  <c r="I116" s="1"/>
  <c r="C71" i="43"/>
  <c r="D71"/>
  <c r="D86" s="1"/>
  <c r="G57" i="38"/>
  <c r="G37"/>
  <c r="G67" s="1"/>
  <c r="G76" i="66" s="1"/>
  <c r="H118" i="48"/>
  <c r="C118"/>
  <c r="L46" i="38"/>
  <c r="M15"/>
  <c r="J51" i="51"/>
  <c r="L28"/>
  <c r="L58" s="1"/>
  <c r="L69" s="1"/>
  <c r="M28" i="38"/>
  <c r="J73" i="51"/>
  <c r="K48"/>
  <c r="K81" s="1"/>
  <c r="K119" i="66" s="1"/>
  <c r="K70" i="51"/>
  <c r="L17"/>
  <c r="L59" s="1"/>
  <c r="M17" i="38"/>
  <c r="F61" i="43"/>
  <c r="G61"/>
  <c r="E61"/>
  <c r="F56" i="38"/>
  <c r="H100" i="51"/>
  <c r="H102" s="1"/>
  <c r="H69" i="43"/>
  <c r="H88" i="66" s="1"/>
  <c r="H41" i="43"/>
  <c r="E69"/>
  <c r="E88" i="66" s="1"/>
  <c r="E41" i="43"/>
  <c r="I59"/>
  <c r="I51"/>
  <c r="G69"/>
  <c r="G88" i="66" s="1"/>
  <c r="G41" i="43"/>
  <c r="H61"/>
  <c r="F69"/>
  <c r="F88" i="66" s="1"/>
  <c r="F41" i="43"/>
  <c r="K62" i="51"/>
  <c r="I84"/>
  <c r="I100" s="1"/>
  <c r="F120" i="55"/>
  <c r="Q120"/>
  <c r="K120"/>
  <c r="S120"/>
  <c r="T120"/>
  <c r="P120"/>
  <c r="U120"/>
  <c r="J120"/>
  <c r="V120"/>
  <c r="I39" i="43"/>
  <c r="O70" i="48"/>
  <c r="O71"/>
  <c r="O83" s="1"/>
  <c r="M95"/>
  <c r="M102" i="66" s="1"/>
  <c r="N59" i="48"/>
  <c r="M61"/>
  <c r="M97" s="1"/>
  <c r="M104" i="66" s="1"/>
  <c r="O48" i="48"/>
  <c r="N73"/>
  <c r="N85" s="1"/>
  <c r="L72"/>
  <c r="L84" s="1"/>
  <c r="I120" i="55"/>
  <c r="L120"/>
  <c r="G120"/>
  <c r="N120"/>
  <c r="E120"/>
  <c r="R15" i="51"/>
  <c r="J80"/>
  <c r="M26"/>
  <c r="K47"/>
  <c r="K87" i="48"/>
  <c r="K60"/>
  <c r="K75"/>
  <c r="J96"/>
  <c r="J103" i="66" s="1"/>
  <c r="J111" i="48"/>
  <c r="J117" s="1"/>
  <c r="J63"/>
  <c r="M15"/>
  <c r="T26"/>
  <c r="C69" i="38"/>
  <c r="D69"/>
  <c r="D84" s="1"/>
  <c r="E69"/>
  <c r="E84" s="1"/>
  <c r="K28" i="43"/>
  <c r="J49"/>
  <c r="E39" i="38"/>
  <c r="F49"/>
  <c r="F36"/>
  <c r="H26"/>
  <c r="H47" s="1"/>
  <c r="D8" i="63" l="1"/>
  <c r="R8" s="1"/>
  <c r="D9" i="66"/>
  <c r="AH25"/>
  <c r="I102" i="51"/>
  <c r="AI25" i="66"/>
  <c r="J95" i="51"/>
  <c r="J101" s="1"/>
  <c r="G30" i="66"/>
  <c r="AF25"/>
  <c r="AF30" s="1"/>
  <c r="D2" i="67" s="1"/>
  <c r="AG25" i="66"/>
  <c r="K17" i="64"/>
  <c r="K19"/>
  <c r="D20"/>
  <c r="J20" s="1"/>
  <c r="O107" i="66"/>
  <c r="Q46" s="1"/>
  <c r="O107" i="48"/>
  <c r="O97" i="66" s="1"/>
  <c r="I91"/>
  <c r="K25" s="1"/>
  <c r="I79" i="43"/>
  <c r="I85" i="66" s="1"/>
  <c r="F78"/>
  <c r="H29" s="1"/>
  <c r="AG29" s="1"/>
  <c r="F76" i="38"/>
  <c r="F72" i="66" s="1"/>
  <c r="N106"/>
  <c r="P45" s="1"/>
  <c r="AL45" s="1"/>
  <c r="N106" i="48"/>
  <c r="N96" i="66" s="1"/>
  <c r="M48"/>
  <c r="AJ41"/>
  <c r="H3" i="67" s="1"/>
  <c r="L41" i="66"/>
  <c r="N109"/>
  <c r="P44" s="1"/>
  <c r="AL44" s="1"/>
  <c r="N109" i="48"/>
  <c r="N99" i="66" s="1"/>
  <c r="K123"/>
  <c r="M38" s="1"/>
  <c r="K92" i="51"/>
  <c r="K115" i="66" s="1"/>
  <c r="K17" i="63"/>
  <c r="L122" i="66"/>
  <c r="N43" s="1"/>
  <c r="AK43" s="1"/>
  <c r="L91" i="51"/>
  <c r="L114" i="66" s="1"/>
  <c r="K21" i="63"/>
  <c r="L108" i="66"/>
  <c r="N47" s="1"/>
  <c r="AK47" s="1"/>
  <c r="L108" i="48"/>
  <c r="L98" i="66" s="1"/>
  <c r="G79"/>
  <c r="I28" s="1"/>
  <c r="AH28" s="1"/>
  <c r="G77" i="38"/>
  <c r="G73" i="66" s="1"/>
  <c r="Q12" i="63"/>
  <c r="R12"/>
  <c r="J18" i="64"/>
  <c r="D13"/>
  <c r="J13" s="1"/>
  <c r="J118" i="66"/>
  <c r="J3"/>
  <c r="L3" s="1"/>
  <c r="N13"/>
  <c r="O13"/>
  <c r="C87" i="43"/>
  <c r="E81"/>
  <c r="E87" s="1"/>
  <c r="F81"/>
  <c r="F87" s="1"/>
  <c r="J3" i="63"/>
  <c r="P3" s="1"/>
  <c r="G81" i="43"/>
  <c r="H81"/>
  <c r="C86"/>
  <c r="I118" i="48"/>
  <c r="O82"/>
  <c r="O58"/>
  <c r="O94" s="1"/>
  <c r="O101" i="66" s="1"/>
  <c r="D88" i="43"/>
  <c r="J99" i="48"/>
  <c r="J116" s="1"/>
  <c r="J118" s="1"/>
  <c r="H71" i="43"/>
  <c r="G71"/>
  <c r="G86" s="1"/>
  <c r="E71"/>
  <c r="E86" s="1"/>
  <c r="F71"/>
  <c r="F86" s="1"/>
  <c r="H57" i="38"/>
  <c r="H37"/>
  <c r="H67" s="1"/>
  <c r="H76" i="66" s="1"/>
  <c r="K51" i="51"/>
  <c r="N15" i="38"/>
  <c r="M46"/>
  <c r="K73" i="51"/>
  <c r="N28" i="38"/>
  <c r="M28" i="51"/>
  <c r="M58" s="1"/>
  <c r="M69" s="1"/>
  <c r="M17"/>
  <c r="M59" s="1"/>
  <c r="N17" i="38"/>
  <c r="L70" i="51"/>
  <c r="L48"/>
  <c r="L81" s="1"/>
  <c r="L119" i="66" s="1"/>
  <c r="I61" i="43"/>
  <c r="G56" i="38"/>
  <c r="F59"/>
  <c r="J59" i="43"/>
  <c r="J51"/>
  <c r="I69"/>
  <c r="I88" i="66" s="1"/>
  <c r="I41" i="43"/>
  <c r="J84" i="51"/>
  <c r="J100" s="1"/>
  <c r="L62"/>
  <c r="C85" i="38"/>
  <c r="J39" i="43"/>
  <c r="P70" i="48"/>
  <c r="P71"/>
  <c r="P83" s="1"/>
  <c r="O59"/>
  <c r="N95"/>
  <c r="N102" i="66" s="1"/>
  <c r="P48" i="48"/>
  <c r="O73"/>
  <c r="O85" s="1"/>
  <c r="N61"/>
  <c r="N97" s="1"/>
  <c r="N104" i="66" s="1"/>
  <c r="M72" i="48"/>
  <c r="M84" s="1"/>
  <c r="K80" i="51"/>
  <c r="L47"/>
  <c r="S15"/>
  <c r="N26"/>
  <c r="U26" i="48"/>
  <c r="L87"/>
  <c r="L60"/>
  <c r="L75"/>
  <c r="N15"/>
  <c r="K96"/>
  <c r="K103" i="66" s="1"/>
  <c r="K63" i="48"/>
  <c r="K111"/>
  <c r="K117" s="1"/>
  <c r="C84" i="38"/>
  <c r="D85"/>
  <c r="D86" s="1"/>
  <c r="L28" i="43"/>
  <c r="K49"/>
  <c r="E85" i="38"/>
  <c r="E86" s="1"/>
  <c r="F39"/>
  <c r="F66"/>
  <c r="F75" i="66" s="1"/>
  <c r="G49" i="38"/>
  <c r="G36"/>
  <c r="I26"/>
  <c r="I47" s="1"/>
  <c r="H30" i="66" l="1"/>
  <c r="O9"/>
  <c r="N9"/>
  <c r="M3"/>
  <c r="J102" i="51"/>
  <c r="K20" i="64"/>
  <c r="M41" i="66"/>
  <c r="K95" i="51"/>
  <c r="K101" s="1"/>
  <c r="AG30" i="66"/>
  <c r="E2" i="67" s="1"/>
  <c r="H79" i="66"/>
  <c r="J28" s="1"/>
  <c r="AI28" s="1"/>
  <c r="H77" i="38"/>
  <c r="H73" i="66" s="1"/>
  <c r="O106"/>
  <c r="Q45" s="1"/>
  <c r="O106" i="48"/>
  <c r="O96" i="66" s="1"/>
  <c r="J91"/>
  <c r="L25" s="1"/>
  <c r="AJ25" s="1"/>
  <c r="J79" i="43"/>
  <c r="J85" i="66" s="1"/>
  <c r="AK48"/>
  <c r="I4" i="67" s="1"/>
  <c r="N48" i="66"/>
  <c r="G78"/>
  <c r="I29" s="1"/>
  <c r="G76" i="38"/>
  <c r="G72" i="66" s="1"/>
  <c r="M122"/>
  <c r="O43" s="1"/>
  <c r="M91" i="51"/>
  <c r="M114" i="66" s="1"/>
  <c r="M108"/>
  <c r="O47" s="1"/>
  <c r="M108" i="48"/>
  <c r="M98" i="66" s="1"/>
  <c r="O109"/>
  <c r="Q44" s="1"/>
  <c r="O109" i="48"/>
  <c r="O99" i="66" s="1"/>
  <c r="P107"/>
  <c r="R46" s="1"/>
  <c r="AM46" s="1"/>
  <c r="P107" i="48"/>
  <c r="P97" i="66" s="1"/>
  <c r="K14" i="63"/>
  <c r="L123" i="66"/>
  <c r="N38" s="1"/>
  <c r="AK38" s="1"/>
  <c r="L92" i="51"/>
  <c r="L115" i="66" s="1"/>
  <c r="K13" i="64"/>
  <c r="K118" i="66"/>
  <c r="C86" i="38"/>
  <c r="C88" i="43"/>
  <c r="I81"/>
  <c r="O3" i="63"/>
  <c r="D5" i="64" s="1"/>
  <c r="K5" s="1"/>
  <c r="F79" i="38"/>
  <c r="P82" i="48"/>
  <c r="P58"/>
  <c r="P94" s="1"/>
  <c r="P101" i="66" s="1"/>
  <c r="K99" i="48"/>
  <c r="K116" s="1"/>
  <c r="K118" s="1"/>
  <c r="I71" i="43"/>
  <c r="F88"/>
  <c r="E88"/>
  <c r="I57" i="38"/>
  <c r="I37"/>
  <c r="I67" s="1"/>
  <c r="I76" i="66" s="1"/>
  <c r="O15" i="38"/>
  <c r="N46"/>
  <c r="L73" i="51"/>
  <c r="L51"/>
  <c r="O28" i="38"/>
  <c r="N28" i="51"/>
  <c r="N58" s="1"/>
  <c r="N69" s="1"/>
  <c r="O17" i="38"/>
  <c r="N17" i="51"/>
  <c r="N59" s="1"/>
  <c r="M70"/>
  <c r="M48"/>
  <c r="M81" s="1"/>
  <c r="M119" i="66" s="1"/>
  <c r="G59" i="38"/>
  <c r="J61" i="43"/>
  <c r="H56" i="38"/>
  <c r="J69" i="43"/>
  <c r="J88" i="66" s="1"/>
  <c r="J41" i="43"/>
  <c r="K59"/>
  <c r="K51"/>
  <c r="M62" i="51"/>
  <c r="K84"/>
  <c r="K100" s="1"/>
  <c r="K102" s="1"/>
  <c r="H86" i="43"/>
  <c r="K39"/>
  <c r="P59" i="48"/>
  <c r="Q70"/>
  <c r="Q71"/>
  <c r="Q83" s="1"/>
  <c r="O95"/>
  <c r="O102" i="66" s="1"/>
  <c r="O61" i="48"/>
  <c r="O97" s="1"/>
  <c r="O104" i="66" s="1"/>
  <c r="P73" i="48"/>
  <c r="P85" s="1"/>
  <c r="Q48"/>
  <c r="N72"/>
  <c r="N84" s="1"/>
  <c r="O26" i="51"/>
  <c r="L80"/>
  <c r="M47"/>
  <c r="T15"/>
  <c r="M60" i="48"/>
  <c r="M75"/>
  <c r="O15"/>
  <c r="L96"/>
  <c r="L103" i="66" s="1"/>
  <c r="L63" i="48"/>
  <c r="L111"/>
  <c r="L117" s="1"/>
  <c r="V26"/>
  <c r="F69" i="38"/>
  <c r="F84" s="1"/>
  <c r="G87" i="43"/>
  <c r="G88" s="1"/>
  <c r="M28"/>
  <c r="L49"/>
  <c r="J26" i="38"/>
  <c r="J47" s="1"/>
  <c r="G66"/>
  <c r="G75" i="66" s="1"/>
  <c r="G39" i="38"/>
  <c r="H49"/>
  <c r="H36"/>
  <c r="I30" i="66" l="1"/>
  <c r="AH29"/>
  <c r="P109"/>
  <c r="R44" s="1"/>
  <c r="AM44" s="1"/>
  <c r="P109" i="48"/>
  <c r="P99" i="66" s="1"/>
  <c r="AK41"/>
  <c r="I3" i="67" s="1"/>
  <c r="N41" i="66"/>
  <c r="J5" i="64"/>
  <c r="K91" i="66"/>
  <c r="M25" s="1"/>
  <c r="K79" i="43"/>
  <c r="K85" i="66" s="1"/>
  <c r="N108"/>
  <c r="P47" s="1"/>
  <c r="AL47" s="1"/>
  <c r="N108" i="48"/>
  <c r="H78" i="66"/>
  <c r="J29" s="1"/>
  <c r="AI29" s="1"/>
  <c r="AI30" s="1"/>
  <c r="G2" i="67" s="1"/>
  <c r="H76" i="38"/>
  <c r="H72" i="66" s="1"/>
  <c r="N122"/>
  <c r="P43" s="1"/>
  <c r="AL43" s="1"/>
  <c r="N91" i="51"/>
  <c r="N114" i="66" s="1"/>
  <c r="Q107"/>
  <c r="S46" s="1"/>
  <c r="Q107" i="48"/>
  <c r="Q97" i="66" s="1"/>
  <c r="M123"/>
  <c r="O38" s="1"/>
  <c r="M92" i="51"/>
  <c r="M115" i="66" s="1"/>
  <c r="P106"/>
  <c r="R45" s="1"/>
  <c r="AM45" s="1"/>
  <c r="P106" i="48"/>
  <c r="P96" i="66" s="1"/>
  <c r="I79"/>
  <c r="K28" s="1"/>
  <c r="I77" i="38"/>
  <c r="O48" i="66"/>
  <c r="L95" i="51"/>
  <c r="L101" s="1"/>
  <c r="L118" i="66"/>
  <c r="J6"/>
  <c r="J81" i="43"/>
  <c r="G79" i="38"/>
  <c r="N98" i="66"/>
  <c r="Q82" i="48"/>
  <c r="Q58"/>
  <c r="Q94" s="1"/>
  <c r="Q101" i="66" s="1"/>
  <c r="I73"/>
  <c r="J6" i="63"/>
  <c r="L99" i="48"/>
  <c r="L116" s="1"/>
  <c r="L118" s="1"/>
  <c r="J71" i="43"/>
  <c r="J37" i="38"/>
  <c r="J67" s="1"/>
  <c r="J76" i="66" s="1"/>
  <c r="J57" i="38"/>
  <c r="P15"/>
  <c r="O46"/>
  <c r="M51" i="51"/>
  <c r="O28"/>
  <c r="O58" s="1"/>
  <c r="O69" s="1"/>
  <c r="P28" i="38"/>
  <c r="P17"/>
  <c r="O17" i="51"/>
  <c r="O59" s="1"/>
  <c r="N70"/>
  <c r="N48"/>
  <c r="N81" s="1"/>
  <c r="N119" i="66" s="1"/>
  <c r="K61" i="43"/>
  <c r="I56" i="38"/>
  <c r="K69" i="43"/>
  <c r="K88" i="66" s="1"/>
  <c r="K41" i="43"/>
  <c r="L59"/>
  <c r="L51"/>
  <c r="N62" i="51"/>
  <c r="L84"/>
  <c r="L100" s="1"/>
  <c r="M73"/>
  <c r="H59" i="38"/>
  <c r="M87" i="48"/>
  <c r="L39" i="43"/>
  <c r="R70" i="48"/>
  <c r="R71"/>
  <c r="R83" s="1"/>
  <c r="P95"/>
  <c r="P102" i="66" s="1"/>
  <c r="Q59" i="48"/>
  <c r="P61"/>
  <c r="P97" s="1"/>
  <c r="P104" i="66" s="1"/>
  <c r="Q73" i="48"/>
  <c r="Q85" s="1"/>
  <c r="R48"/>
  <c r="O72"/>
  <c r="O84" s="1"/>
  <c r="N47" i="51"/>
  <c r="P26"/>
  <c r="M80"/>
  <c r="M118" i="66" s="1"/>
  <c r="U15" i="51"/>
  <c r="N60" i="48"/>
  <c r="N87"/>
  <c r="N75"/>
  <c r="P15"/>
  <c r="M96"/>
  <c r="M103" i="66" s="1"/>
  <c r="M111" i="48"/>
  <c r="M63"/>
  <c r="F85" i="38"/>
  <c r="F86" s="1"/>
  <c r="G69"/>
  <c r="G84" s="1"/>
  <c r="H87" i="43"/>
  <c r="H88" s="1"/>
  <c r="I86"/>
  <c r="N28"/>
  <c r="M49"/>
  <c r="I49" i="38"/>
  <c r="I36"/>
  <c r="H66"/>
  <c r="H75" i="66" s="1"/>
  <c r="H39" i="38"/>
  <c r="K26"/>
  <c r="K47" s="1"/>
  <c r="O41" i="66" l="1"/>
  <c r="J30"/>
  <c r="K3" i="63"/>
  <c r="L91" i="66"/>
  <c r="N25" s="1"/>
  <c r="AK25" s="1"/>
  <c r="L79" i="43"/>
  <c r="L85" i="66" s="1"/>
  <c r="AH30"/>
  <c r="R107"/>
  <c r="T46" s="1"/>
  <c r="AN46" s="1"/>
  <c r="R107" i="48"/>
  <c r="R97" i="66" s="1"/>
  <c r="I78"/>
  <c r="K29" s="1"/>
  <c r="I76" i="38"/>
  <c r="I72" i="66" s="1"/>
  <c r="N123"/>
  <c r="P38" s="1"/>
  <c r="AL38" s="1"/>
  <c r="N92" i="51"/>
  <c r="N115" i="66" s="1"/>
  <c r="J79"/>
  <c r="L28" s="1"/>
  <c r="AJ28" s="1"/>
  <c r="J77" i="38"/>
  <c r="J73" i="66" s="1"/>
  <c r="AL48"/>
  <c r="J4" i="67" s="1"/>
  <c r="P48" i="66"/>
  <c r="Q109"/>
  <c r="S44" s="1"/>
  <c r="Q109" i="48"/>
  <c r="Q99" i="66" s="1"/>
  <c r="O122"/>
  <c r="Q43" s="1"/>
  <c r="O91" i="51"/>
  <c r="O114" i="66" s="1"/>
  <c r="O108"/>
  <c r="Q47" s="1"/>
  <c r="O108" i="48"/>
  <c r="O98" i="66" s="1"/>
  <c r="Q106"/>
  <c r="S45" s="1"/>
  <c r="Q106" i="48"/>
  <c r="Q96" i="66" s="1"/>
  <c r="L102" i="51"/>
  <c r="M95"/>
  <c r="J7" i="66"/>
  <c r="L6"/>
  <c r="M6"/>
  <c r="H79" i="38"/>
  <c r="K81" i="43"/>
  <c r="P6" i="63"/>
  <c r="O6"/>
  <c r="R82" i="48"/>
  <c r="R58"/>
  <c r="R94" s="1"/>
  <c r="R101" i="66" s="1"/>
  <c r="P15" i="63"/>
  <c r="O15"/>
  <c r="J7"/>
  <c r="M99" i="48"/>
  <c r="K71" i="43"/>
  <c r="K37" i="38"/>
  <c r="K67" s="1"/>
  <c r="K76" i="66" s="1"/>
  <c r="K57" i="38"/>
  <c r="P46"/>
  <c r="Q15"/>
  <c r="N51" i="51"/>
  <c r="P28"/>
  <c r="P58" s="1"/>
  <c r="P69" s="1"/>
  <c r="Q28" i="38"/>
  <c r="Q17"/>
  <c r="P17" i="51"/>
  <c r="P59" s="1"/>
  <c r="O70"/>
  <c r="O48"/>
  <c r="O81" s="1"/>
  <c r="O119" i="66" s="1"/>
  <c r="N73" i="51"/>
  <c r="L61" i="43"/>
  <c r="J56" i="38"/>
  <c r="I59"/>
  <c r="M117" i="48"/>
  <c r="L69" i="43"/>
  <c r="L88" i="66" s="1"/>
  <c r="L41" i="43"/>
  <c r="M59"/>
  <c r="M51"/>
  <c r="O62" i="51"/>
  <c r="M84"/>
  <c r="M39" i="43"/>
  <c r="S70" i="48"/>
  <c r="S71"/>
  <c r="S83" s="1"/>
  <c r="R59"/>
  <c r="Q95"/>
  <c r="Q102" i="66" s="1"/>
  <c r="Q61" i="48"/>
  <c r="Q97" s="1"/>
  <c r="Q104" i="66" s="1"/>
  <c r="R73" i="48"/>
  <c r="R85" s="1"/>
  <c r="S48"/>
  <c r="P72"/>
  <c r="P84" s="1"/>
  <c r="O47" i="51"/>
  <c r="N80"/>
  <c r="V15"/>
  <c r="Q26"/>
  <c r="O87" i="48"/>
  <c r="O60"/>
  <c r="O75"/>
  <c r="Q15"/>
  <c r="N96"/>
  <c r="N103" i="66" s="1"/>
  <c r="N111" i="48"/>
  <c r="N117" s="1"/>
  <c r="N63"/>
  <c r="G85" i="38"/>
  <c r="G86" s="1"/>
  <c r="H69"/>
  <c r="J86" i="43"/>
  <c r="I87"/>
  <c r="I88" s="1"/>
  <c r="N49"/>
  <c r="O28"/>
  <c r="L26" i="38"/>
  <c r="L47" s="1"/>
  <c r="J36"/>
  <c r="J49"/>
  <c r="I66"/>
  <c r="I75" i="66" s="1"/>
  <c r="I39" i="38"/>
  <c r="B23" i="26"/>
  <c r="B16"/>
  <c r="B22"/>
  <c r="B15"/>
  <c r="B21"/>
  <c r="B14"/>
  <c r="B20"/>
  <c r="B13"/>
  <c r="B19"/>
  <c r="B12"/>
  <c r="B18"/>
  <c r="B11"/>
  <c r="B17"/>
  <c r="B10"/>
  <c r="B4"/>
  <c r="B5"/>
  <c r="B6"/>
  <c r="B7"/>
  <c r="B8"/>
  <c r="B9"/>
  <c r="B3"/>
  <c r="C2"/>
  <c r="C3" s="1"/>
  <c r="N95" i="51" l="1"/>
  <c r="N101" s="1"/>
  <c r="K30" i="66"/>
  <c r="F2" i="67"/>
  <c r="M101" i="51"/>
  <c r="R109" i="66"/>
  <c r="T44" s="1"/>
  <c r="AN44" s="1"/>
  <c r="R109" i="48"/>
  <c r="R99" i="66" s="1"/>
  <c r="K79"/>
  <c r="M28" s="1"/>
  <c r="K77" i="38"/>
  <c r="P122" i="66"/>
  <c r="R43" s="1"/>
  <c r="AM43" s="1"/>
  <c r="P91" i="51"/>
  <c r="P114" i="66" s="1"/>
  <c r="P108"/>
  <c r="R47" s="1"/>
  <c r="AM47" s="1"/>
  <c r="P108" i="48"/>
  <c r="P98" i="66" s="1"/>
  <c r="AL41"/>
  <c r="J3" i="67" s="1"/>
  <c r="P41" i="66"/>
  <c r="S107"/>
  <c r="U46" s="1"/>
  <c r="S107" i="48"/>
  <c r="M91" i="66"/>
  <c r="O25" s="1"/>
  <c r="M79" i="43"/>
  <c r="M85" i="66" s="1"/>
  <c r="O123"/>
  <c r="Q38" s="1"/>
  <c r="O92" i="51"/>
  <c r="O115" i="66" s="1"/>
  <c r="J78"/>
  <c r="L29" s="1"/>
  <c r="AJ29" s="1"/>
  <c r="J76" i="38"/>
  <c r="J72" i="66" s="1"/>
  <c r="R106"/>
  <c r="T45" s="1"/>
  <c r="AN45" s="1"/>
  <c r="R106" i="48"/>
  <c r="R96" i="66" s="1"/>
  <c r="Q48"/>
  <c r="D15" i="64"/>
  <c r="J15" s="1"/>
  <c r="D6"/>
  <c r="K6" s="1"/>
  <c r="N118" i="66"/>
  <c r="M7"/>
  <c r="L7"/>
  <c r="I79" i="38"/>
  <c r="I85" s="1"/>
  <c r="K73" i="66"/>
  <c r="L81" i="43"/>
  <c r="S97" i="66"/>
  <c r="M116" i="48"/>
  <c r="M118" s="1"/>
  <c r="P10" i="63"/>
  <c r="O10"/>
  <c r="P11"/>
  <c r="O11"/>
  <c r="S82" i="48"/>
  <c r="S58"/>
  <c r="S94" s="1"/>
  <c r="S101" i="66" s="1"/>
  <c r="O7" i="63"/>
  <c r="P7"/>
  <c r="N99" i="48"/>
  <c r="N116" s="1"/>
  <c r="N118" s="1"/>
  <c r="L71" i="43"/>
  <c r="I69" i="38"/>
  <c r="I84" s="1"/>
  <c r="L57"/>
  <c r="L37"/>
  <c r="L67" s="1"/>
  <c r="L76" i="66" s="1"/>
  <c r="Q46" i="38"/>
  <c r="R15"/>
  <c r="R28"/>
  <c r="Q28" i="51"/>
  <c r="Q58" s="1"/>
  <c r="Q69" s="1"/>
  <c r="J59" i="38"/>
  <c r="P48" i="51"/>
  <c r="P81" s="1"/>
  <c r="P119" i="66" s="1"/>
  <c r="P70" i="51"/>
  <c r="O51"/>
  <c r="Q17"/>
  <c r="Q59" s="1"/>
  <c r="R17" i="38"/>
  <c r="O73" i="51"/>
  <c r="M61" i="43"/>
  <c r="K56" i="38"/>
  <c r="M100" i="51"/>
  <c r="H84" i="38"/>
  <c r="M69" i="43"/>
  <c r="M88" i="66" s="1"/>
  <c r="M41" i="43"/>
  <c r="N59"/>
  <c r="N51"/>
  <c r="N84" i="51"/>
  <c r="N100" s="1"/>
  <c r="P62"/>
  <c r="N39" i="43"/>
  <c r="T71" i="48"/>
  <c r="T83" s="1"/>
  <c r="T70"/>
  <c r="R95"/>
  <c r="R102" i="66" s="1"/>
  <c r="S59" i="48"/>
  <c r="R61"/>
  <c r="R97" s="1"/>
  <c r="R104" i="66" s="1"/>
  <c r="S73" i="48"/>
  <c r="S85" s="1"/>
  <c r="T48"/>
  <c r="Q72"/>
  <c r="Q84" s="1"/>
  <c r="P47" i="51"/>
  <c r="O80"/>
  <c r="R26"/>
  <c r="P87" i="48"/>
  <c r="P60"/>
  <c r="P75"/>
  <c r="O96"/>
  <c r="O103" i="66" s="1"/>
  <c r="O111" i="48"/>
  <c r="O117" s="1"/>
  <c r="O63"/>
  <c r="R15"/>
  <c r="H85" i="38"/>
  <c r="K86" i="43"/>
  <c r="J87"/>
  <c r="J88" s="1"/>
  <c r="P28"/>
  <c r="O49"/>
  <c r="K49" i="38"/>
  <c r="K36"/>
  <c r="M26"/>
  <c r="M47" s="1"/>
  <c r="J39"/>
  <c r="J66"/>
  <c r="J75" i="66" s="1"/>
  <c r="D2" i="26"/>
  <c r="C23"/>
  <c r="C16"/>
  <c r="C22"/>
  <c r="C15"/>
  <c r="C21"/>
  <c r="C14"/>
  <c r="C20"/>
  <c r="C12"/>
  <c r="C18"/>
  <c r="C11"/>
  <c r="C17"/>
  <c r="C10"/>
  <c r="C19"/>
  <c r="C4"/>
  <c r="C5"/>
  <c r="C6"/>
  <c r="C7"/>
  <c r="C8"/>
  <c r="C9"/>
  <c r="C13"/>
  <c r="C2" i="2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N102" i="51" l="1"/>
  <c r="O95"/>
  <c r="O101" s="1"/>
  <c r="Q41" i="66"/>
  <c r="M102" i="51"/>
  <c r="D12" i="64"/>
  <c r="J12" s="1"/>
  <c r="N91" i="66"/>
  <c r="P25" s="1"/>
  <c r="AL25" s="1"/>
  <c r="N79" i="43"/>
  <c r="N85" i="66" s="1"/>
  <c r="K78"/>
  <c r="M29" s="1"/>
  <c r="M30" s="1"/>
  <c r="K76" i="38"/>
  <c r="K72" i="66" s="1"/>
  <c r="S109"/>
  <c r="U44" s="1"/>
  <c r="S109" i="48"/>
  <c r="S99" i="66" s="1"/>
  <c r="S106"/>
  <c r="U45" s="1"/>
  <c r="S106" i="48"/>
  <c r="S96" i="66" s="1"/>
  <c r="D11" i="64"/>
  <c r="K11" s="1"/>
  <c r="L30" i="66"/>
  <c r="Q108"/>
  <c r="S47" s="1"/>
  <c r="Q108" i="48"/>
  <c r="Q98" i="66" s="1"/>
  <c r="P123"/>
  <c r="R38" s="1"/>
  <c r="AM38" s="1"/>
  <c r="P92" i="51"/>
  <c r="P115" i="66" s="1"/>
  <c r="T107"/>
  <c r="V46" s="1"/>
  <c r="AO46" s="1"/>
  <c r="T107" i="48"/>
  <c r="T97" i="66" s="1"/>
  <c r="Q122"/>
  <c r="S43" s="1"/>
  <c r="Q91" i="51"/>
  <c r="Q114" i="66" s="1"/>
  <c r="K6" i="63"/>
  <c r="L79" i="66"/>
  <c r="N28" s="1"/>
  <c r="AK28" s="1"/>
  <c r="L77" i="38"/>
  <c r="L73" i="66" s="1"/>
  <c r="AM48"/>
  <c r="K4" i="67" s="1"/>
  <c r="R48" i="66"/>
  <c r="D8" i="64"/>
  <c r="J8" s="1"/>
  <c r="AJ30" i="66"/>
  <c r="H2" i="67" s="1"/>
  <c r="J6" i="64"/>
  <c r="K15"/>
  <c r="O118" i="66"/>
  <c r="M81" i="43"/>
  <c r="J79" i="38"/>
  <c r="I86"/>
  <c r="T82" i="48"/>
  <c r="T58"/>
  <c r="T94" s="1"/>
  <c r="T101" i="66" s="1"/>
  <c r="O99" i="48"/>
  <c r="O116" s="1"/>
  <c r="O118" s="1"/>
  <c r="M71" i="43"/>
  <c r="M37" i="38"/>
  <c r="M67" s="1"/>
  <c r="M76" i="66" s="1"/>
  <c r="M57" i="38"/>
  <c r="H86"/>
  <c r="R46"/>
  <c r="S15"/>
  <c r="P51" i="51"/>
  <c r="P73"/>
  <c r="S28" i="38"/>
  <c r="R28" i="51"/>
  <c r="R58" s="1"/>
  <c r="R69" s="1"/>
  <c r="S17" i="38"/>
  <c r="R17" i="51"/>
  <c r="R59" s="1"/>
  <c r="Q48"/>
  <c r="Q81" s="1"/>
  <c r="Q119" i="66" s="1"/>
  <c r="Q70" i="51"/>
  <c r="N61" i="43"/>
  <c r="L56" i="38"/>
  <c r="K59"/>
  <c r="N69" i="43"/>
  <c r="N88" i="66" s="1"/>
  <c r="N41" i="43"/>
  <c r="O59"/>
  <c r="O51"/>
  <c r="Q62" i="51"/>
  <c r="O84"/>
  <c r="O100" s="1"/>
  <c r="O39" i="43"/>
  <c r="S95" i="48"/>
  <c r="S102" i="66" s="1"/>
  <c r="U70" i="48"/>
  <c r="U71"/>
  <c r="U83" s="1"/>
  <c r="T59"/>
  <c r="S61"/>
  <c r="S97" s="1"/>
  <c r="S104" i="66" s="1"/>
  <c r="T73" i="48"/>
  <c r="T85" s="1"/>
  <c r="U48"/>
  <c r="R72"/>
  <c r="R84" s="1"/>
  <c r="Q47" i="51"/>
  <c r="P80"/>
  <c r="S26"/>
  <c r="Q60" i="48"/>
  <c r="Q87"/>
  <c r="Q75"/>
  <c r="S15"/>
  <c r="P96"/>
  <c r="P103" i="66" s="1"/>
  <c r="P111" i="48"/>
  <c r="P117" s="1"/>
  <c r="P63"/>
  <c r="J69" i="38"/>
  <c r="J84" s="1"/>
  <c r="K87" i="43"/>
  <c r="K88" s="1"/>
  <c r="L86"/>
  <c r="P49"/>
  <c r="Q28"/>
  <c r="L36" i="38"/>
  <c r="L49"/>
  <c r="N26"/>
  <c r="N47" s="1"/>
  <c r="K39"/>
  <c r="K66"/>
  <c r="K75" i="66" s="1"/>
  <c r="E2" i="26"/>
  <c r="D23"/>
  <c r="D16"/>
  <c r="D22"/>
  <c r="D15"/>
  <c r="D21"/>
  <c r="D14"/>
  <c r="D20"/>
  <c r="D13"/>
  <c r="D19"/>
  <c r="D12"/>
  <c r="D18"/>
  <c r="D11"/>
  <c r="D17"/>
  <c r="D10"/>
  <c r="D4"/>
  <c r="D5"/>
  <c r="D6"/>
  <c r="D7"/>
  <c r="D8"/>
  <c r="D9"/>
  <c r="D3"/>
  <c r="O102" i="51" l="1"/>
  <c r="P95"/>
  <c r="P101" s="1"/>
  <c r="K12" i="64"/>
  <c r="J11"/>
  <c r="K8"/>
  <c r="O91" i="66"/>
  <c r="Q25" s="1"/>
  <c r="O79" i="43"/>
  <c r="O85" i="66" s="1"/>
  <c r="Q123"/>
  <c r="S38" s="1"/>
  <c r="Q92" i="51"/>
  <c r="Q115" i="66" s="1"/>
  <c r="R122"/>
  <c r="T43" s="1"/>
  <c r="AN43" s="1"/>
  <c r="R91" i="51"/>
  <c r="R114" i="66" s="1"/>
  <c r="T109"/>
  <c r="V44" s="1"/>
  <c r="AO44" s="1"/>
  <c r="T109" i="48"/>
  <c r="T99" i="66" s="1"/>
  <c r="K7" i="63"/>
  <c r="L78" i="66"/>
  <c r="N29" s="1"/>
  <c r="L76" i="38"/>
  <c r="L72" i="66" s="1"/>
  <c r="M79"/>
  <c r="O28" s="1"/>
  <c r="M77" i="38"/>
  <c r="M73" i="66" s="1"/>
  <c r="T106"/>
  <c r="V45" s="1"/>
  <c r="AO45" s="1"/>
  <c r="T106" i="48"/>
  <c r="T96" i="66" s="1"/>
  <c r="AM41"/>
  <c r="K3" i="67" s="1"/>
  <c r="R41" i="66"/>
  <c r="S48"/>
  <c r="R108"/>
  <c r="T47" s="1"/>
  <c r="AN47" s="1"/>
  <c r="R108" i="48"/>
  <c r="R98" i="66" s="1"/>
  <c r="U107"/>
  <c r="W46" s="1"/>
  <c r="U107" i="48"/>
  <c r="U97" i="66" s="1"/>
  <c r="P118"/>
  <c r="N81" i="43"/>
  <c r="K79" i="38"/>
  <c r="U82" i="48"/>
  <c r="U58"/>
  <c r="U94" s="1"/>
  <c r="U101" i="66" s="1"/>
  <c r="P99" i="48"/>
  <c r="P116" s="1"/>
  <c r="P118" s="1"/>
  <c r="N71" i="43"/>
  <c r="N57" i="38"/>
  <c r="N37"/>
  <c r="N67" s="1"/>
  <c r="N76" i="66" s="1"/>
  <c r="S46" i="38"/>
  <c r="T15"/>
  <c r="L59"/>
  <c r="Q73" i="51"/>
  <c r="S28"/>
  <c r="S58" s="1"/>
  <c r="S69" s="1"/>
  <c r="T28" i="38"/>
  <c r="R70" i="51"/>
  <c r="R48"/>
  <c r="R81" s="1"/>
  <c r="R119" i="66" s="1"/>
  <c r="S17" i="51"/>
  <c r="S59" s="1"/>
  <c r="T17" i="38"/>
  <c r="Q51" i="51"/>
  <c r="O61" i="43"/>
  <c r="M56" i="38"/>
  <c r="O69" i="43"/>
  <c r="O88" i="66" s="1"/>
  <c r="O41" i="43"/>
  <c r="P59"/>
  <c r="P51"/>
  <c r="P84" i="51"/>
  <c r="P100" s="1"/>
  <c r="P102" s="1"/>
  <c r="R62"/>
  <c r="P39" i="43"/>
  <c r="T95" i="48"/>
  <c r="T102" i="66" s="1"/>
  <c r="V70" i="48"/>
  <c r="V71"/>
  <c r="V83" s="1"/>
  <c r="U59"/>
  <c r="T61"/>
  <c r="T97" s="1"/>
  <c r="T104" i="66" s="1"/>
  <c r="U73" i="48"/>
  <c r="U85" s="1"/>
  <c r="V48"/>
  <c r="S72"/>
  <c r="S84" s="1"/>
  <c r="R47" i="51"/>
  <c r="T26"/>
  <c r="Q80"/>
  <c r="Q96" i="48"/>
  <c r="Q103" i="66" s="1"/>
  <c r="Q111" i="48"/>
  <c r="Q117" s="1"/>
  <c r="Q63"/>
  <c r="T15"/>
  <c r="R60"/>
  <c r="R75"/>
  <c r="J85" i="38"/>
  <c r="J86" s="1"/>
  <c r="K69"/>
  <c r="K84" s="1"/>
  <c r="L87" i="43"/>
  <c r="L88" s="1"/>
  <c r="M86"/>
  <c r="R28"/>
  <c r="Q49"/>
  <c r="M49" i="38"/>
  <c r="M36"/>
  <c r="O26"/>
  <c r="O47" s="1"/>
  <c r="L66"/>
  <c r="L75" i="66" s="1"/>
  <c r="L39" i="38"/>
  <c r="F2" i="26"/>
  <c r="E23"/>
  <c r="E16"/>
  <c r="E22"/>
  <c r="E15"/>
  <c r="E21"/>
  <c r="E14"/>
  <c r="E20"/>
  <c r="E19"/>
  <c r="E12"/>
  <c r="E18"/>
  <c r="E11"/>
  <c r="E17"/>
  <c r="E13"/>
  <c r="E10"/>
  <c r="E3"/>
  <c r="E5"/>
  <c r="E4"/>
  <c r="E8"/>
  <c r="E9"/>
  <c r="E7"/>
  <c r="E6"/>
  <c r="N30" i="66" l="1"/>
  <c r="AK29"/>
  <c r="AK30" s="1"/>
  <c r="I2" i="67" s="1"/>
  <c r="S41" i="66"/>
  <c r="Q95" i="51"/>
  <c r="Q101" s="1"/>
  <c r="S108" i="66"/>
  <c r="U47" s="1"/>
  <c r="S108" i="48"/>
  <c r="S98" i="66" s="1"/>
  <c r="P91"/>
  <c r="R25" s="1"/>
  <c r="AM25" s="1"/>
  <c r="P79" i="43"/>
  <c r="P85" i="66" s="1"/>
  <c r="N79"/>
  <c r="P28" s="1"/>
  <c r="AL28" s="1"/>
  <c r="N77" i="38"/>
  <c r="N73" i="66" s="1"/>
  <c r="T48"/>
  <c r="AN48"/>
  <c r="L4" i="67" s="1"/>
  <c r="M78" i="66"/>
  <c r="O29" s="1"/>
  <c r="M76" i="38"/>
  <c r="M72" i="66" s="1"/>
  <c r="U106"/>
  <c r="W45" s="1"/>
  <c r="U106" i="48"/>
  <c r="U96" i="66" s="1"/>
  <c r="U109"/>
  <c r="W44" s="1"/>
  <c r="U109" i="48"/>
  <c r="U99" i="66" s="1"/>
  <c r="R123"/>
  <c r="T38" s="1"/>
  <c r="AN38" s="1"/>
  <c r="R92" i="51"/>
  <c r="R115" i="66" s="1"/>
  <c r="S122"/>
  <c r="U43" s="1"/>
  <c r="S91" i="51"/>
  <c r="S114" i="66" s="1"/>
  <c r="V107"/>
  <c r="X46" s="1"/>
  <c r="AP46" s="1"/>
  <c r="V107" i="48"/>
  <c r="V97" i="66" s="1"/>
  <c r="B97" s="1"/>
  <c r="B46" s="1"/>
  <c r="Q118"/>
  <c r="L20" i="63"/>
  <c r="K20" i="66"/>
  <c r="L79" i="38"/>
  <c r="O81" i="43"/>
  <c r="V82" i="48"/>
  <c r="V58"/>
  <c r="V94" s="1"/>
  <c r="V101" i="66" s="1"/>
  <c r="Q99" i="48"/>
  <c r="Q116" s="1"/>
  <c r="Q118" s="1"/>
  <c r="O71" i="43"/>
  <c r="O57" i="38"/>
  <c r="O37"/>
  <c r="O67" s="1"/>
  <c r="O76" i="66" s="1"/>
  <c r="T46" i="38"/>
  <c r="U15"/>
  <c r="R51" i="51"/>
  <c r="T28"/>
  <c r="T58" s="1"/>
  <c r="T69" s="1"/>
  <c r="U28" i="38"/>
  <c r="S48" i="51"/>
  <c r="S81" s="1"/>
  <c r="S119" i="66" s="1"/>
  <c r="S70" i="51"/>
  <c r="T17"/>
  <c r="T59" s="1"/>
  <c r="U17" i="38"/>
  <c r="P61" i="43"/>
  <c r="N56" i="38"/>
  <c r="P69" i="43"/>
  <c r="P88" i="66" s="1"/>
  <c r="P41" i="43"/>
  <c r="Q59"/>
  <c r="Q51"/>
  <c r="Q84" i="51"/>
  <c r="Q100" s="1"/>
  <c r="S62"/>
  <c r="R73"/>
  <c r="M59" i="38"/>
  <c r="R87" i="48"/>
  <c r="Q39" i="43"/>
  <c r="U95" i="48"/>
  <c r="U102" i="66" s="1"/>
  <c r="V59" i="48"/>
  <c r="U61"/>
  <c r="U97" s="1"/>
  <c r="U104" i="66" s="1"/>
  <c r="V73" i="48"/>
  <c r="V85" s="1"/>
  <c r="T72"/>
  <c r="T84" s="1"/>
  <c r="S47" i="51"/>
  <c r="U26"/>
  <c r="R80"/>
  <c r="R118" i="66" s="1"/>
  <c r="S87" i="48"/>
  <c r="S60"/>
  <c r="S75"/>
  <c r="R96"/>
  <c r="R103" i="66" s="1"/>
  <c r="R63" i="48"/>
  <c r="R111"/>
  <c r="U15"/>
  <c r="L69" i="38"/>
  <c r="L84" s="1"/>
  <c r="K85"/>
  <c r="K86" s="1"/>
  <c r="M87" i="43"/>
  <c r="M88" s="1"/>
  <c r="N86"/>
  <c r="S28"/>
  <c r="R49"/>
  <c r="P26" i="38"/>
  <c r="P47" s="1"/>
  <c r="M66"/>
  <c r="M75" i="66" s="1"/>
  <c r="M39" i="38"/>
  <c r="N49"/>
  <c r="N36"/>
  <c r="G2" i="26"/>
  <c r="F23"/>
  <c r="F22"/>
  <c r="F21"/>
  <c r="F16"/>
  <c r="F15"/>
  <c r="F13"/>
  <c r="F12"/>
  <c r="F11"/>
  <c r="F14"/>
  <c r="F18"/>
  <c r="F20"/>
  <c r="F19"/>
  <c r="F4"/>
  <c r="F5"/>
  <c r="F6"/>
  <c r="F7"/>
  <c r="F8"/>
  <c r="F17"/>
  <c r="F10"/>
  <c r="F3"/>
  <c r="F9"/>
  <c r="B29" i="20"/>
  <c r="A29"/>
  <c r="B28"/>
  <c r="A28"/>
  <c r="B20"/>
  <c r="A20"/>
  <c r="B15"/>
  <c r="A15"/>
  <c r="Q102" i="51" l="1"/>
  <c r="B101" i="66"/>
  <c r="C45" s="1"/>
  <c r="O30"/>
  <c r="V109"/>
  <c r="X44" s="1"/>
  <c r="AP44" s="1"/>
  <c r="V109" i="48"/>
  <c r="V99" i="66" s="1"/>
  <c r="B99" s="1"/>
  <c r="B44" s="1"/>
  <c r="Y46"/>
  <c r="T108"/>
  <c r="V47" s="1"/>
  <c r="AO47" s="1"/>
  <c r="T108" i="48"/>
  <c r="T98" i="66" s="1"/>
  <c r="S123"/>
  <c r="U38" s="1"/>
  <c r="S92" i="51"/>
  <c r="S115" i="66" s="1"/>
  <c r="N78"/>
  <c r="P29" s="1"/>
  <c r="AL29" s="1"/>
  <c r="N76" i="38"/>
  <c r="N72" i="66" s="1"/>
  <c r="T122"/>
  <c r="V43" s="1"/>
  <c r="AO43" s="1"/>
  <c r="T91" i="51"/>
  <c r="T114" i="66" s="1"/>
  <c r="O79"/>
  <c r="Q28" s="1"/>
  <c r="O77" i="38"/>
  <c r="O73" i="66" s="1"/>
  <c r="V106"/>
  <c r="X45" s="1"/>
  <c r="AP45" s="1"/>
  <c r="V106" i="48"/>
  <c r="V96" i="66" s="1"/>
  <c r="B96" s="1"/>
  <c r="AN41"/>
  <c r="L3" i="67" s="1"/>
  <c r="T41" i="66"/>
  <c r="U48"/>
  <c r="Q91"/>
  <c r="S25" s="1"/>
  <c r="Q79" i="43"/>
  <c r="Q85" i="66" s="1"/>
  <c r="R95" i="51"/>
  <c r="K19" i="66"/>
  <c r="L19" i="63"/>
  <c r="L18"/>
  <c r="K18" i="66"/>
  <c r="M79" i="38"/>
  <c r="P81" i="43"/>
  <c r="R99" i="48"/>
  <c r="P71" i="43"/>
  <c r="P37" i="38"/>
  <c r="P67" s="1"/>
  <c r="P76" i="66" s="1"/>
  <c r="P57" i="38"/>
  <c r="U46"/>
  <c r="V15"/>
  <c r="S73" i="51"/>
  <c r="S51"/>
  <c r="V28" i="38"/>
  <c r="U28" i="51"/>
  <c r="U58" s="1"/>
  <c r="U69" s="1"/>
  <c r="T48"/>
  <c r="T81" s="1"/>
  <c r="T119" i="66" s="1"/>
  <c r="T70" i="51"/>
  <c r="U17"/>
  <c r="U59" s="1"/>
  <c r="V17" i="38"/>
  <c r="N59"/>
  <c r="Q61" i="43"/>
  <c r="O56" i="38"/>
  <c r="R117" i="48"/>
  <c r="R59" i="43"/>
  <c r="R51"/>
  <c r="Q69"/>
  <c r="Q88" i="66" s="1"/>
  <c r="Q41" i="43"/>
  <c r="R84" i="51"/>
  <c r="T62"/>
  <c r="R39" i="43"/>
  <c r="V95" i="48"/>
  <c r="V102" i="66" s="1"/>
  <c r="B102" s="1"/>
  <c r="V61" i="48"/>
  <c r="V97" s="1"/>
  <c r="V104" i="66" s="1"/>
  <c r="B104" s="1"/>
  <c r="C44" s="1"/>
  <c r="U72" i="48"/>
  <c r="U84" s="1"/>
  <c r="T47" i="51"/>
  <c r="S80"/>
  <c r="V26"/>
  <c r="S96" i="48"/>
  <c r="S103" i="66" s="1"/>
  <c r="S63" i="48"/>
  <c r="S111"/>
  <c r="S117" s="1"/>
  <c r="T87"/>
  <c r="T60"/>
  <c r="T75"/>
  <c r="V15"/>
  <c r="L85" i="38"/>
  <c r="L86" s="1"/>
  <c r="M69"/>
  <c r="N87" i="43"/>
  <c r="N88" s="1"/>
  <c r="O86"/>
  <c r="S49"/>
  <c r="T28"/>
  <c r="Q26" i="38"/>
  <c r="Q47" s="1"/>
  <c r="N66"/>
  <c r="N75" i="66" s="1"/>
  <c r="N39" i="38"/>
  <c r="O49"/>
  <c r="O36"/>
  <c r="H2" i="26"/>
  <c r="G23"/>
  <c r="G16"/>
  <c r="G22"/>
  <c r="G15"/>
  <c r="G21"/>
  <c r="G14"/>
  <c r="G20"/>
  <c r="G13"/>
  <c r="G19"/>
  <c r="G12"/>
  <c r="G18"/>
  <c r="G11"/>
  <c r="G17"/>
  <c r="G10"/>
  <c r="G4"/>
  <c r="G5"/>
  <c r="G6"/>
  <c r="G7"/>
  <c r="G8"/>
  <c r="G9"/>
  <c r="G3"/>
  <c r="B10" i="20"/>
  <c r="A10"/>
  <c r="S95" i="51" l="1"/>
  <c r="S101" s="1"/>
  <c r="U41" i="66"/>
  <c r="R101" i="51"/>
  <c r="T123" i="66"/>
  <c r="V38" s="1"/>
  <c r="AO38" s="1"/>
  <c r="T92" i="51"/>
  <c r="T115" i="66" s="1"/>
  <c r="Y44"/>
  <c r="B107"/>
  <c r="C46"/>
  <c r="R91"/>
  <c r="T25" s="1"/>
  <c r="AN25" s="1"/>
  <c r="R79" i="43"/>
  <c r="R85" i="66" s="1"/>
  <c r="Y45"/>
  <c r="V48"/>
  <c r="AO48"/>
  <c r="M4" i="67" s="1"/>
  <c r="AL30" i="66"/>
  <c r="J2" i="67" s="1"/>
  <c r="U108" i="66"/>
  <c r="W47" s="1"/>
  <c r="U108" i="48"/>
  <c r="U98" i="66" s="1"/>
  <c r="U122"/>
  <c r="W43" s="1"/>
  <c r="U91" i="51"/>
  <c r="U114" i="66" s="1"/>
  <c r="O78"/>
  <c r="Q29" s="1"/>
  <c r="O76" i="38"/>
  <c r="O72" i="66" s="1"/>
  <c r="P79"/>
  <c r="R28" s="1"/>
  <c r="AM28" s="1"/>
  <c r="P77" i="38"/>
  <c r="P73" i="66" s="1"/>
  <c r="P30"/>
  <c r="B106"/>
  <c r="B45"/>
  <c r="S118"/>
  <c r="B109"/>
  <c r="Q81" i="43"/>
  <c r="N79" i="38"/>
  <c r="N85" s="1"/>
  <c r="O8" i="63"/>
  <c r="P8"/>
  <c r="J23"/>
  <c r="R116" i="48"/>
  <c r="R118" s="1"/>
  <c r="S99"/>
  <c r="S116" s="1"/>
  <c r="S118" s="1"/>
  <c r="Q71" i="43"/>
  <c r="N69" i="38"/>
  <c r="N84" s="1"/>
  <c r="Q37"/>
  <c r="Q67" s="1"/>
  <c r="Q76" i="66" s="1"/>
  <c r="Q57" i="38"/>
  <c r="V46"/>
  <c r="O59"/>
  <c r="T73" i="51"/>
  <c r="V28"/>
  <c r="V58" s="1"/>
  <c r="V69" s="1"/>
  <c r="U48"/>
  <c r="U81" s="1"/>
  <c r="U119" i="66" s="1"/>
  <c r="U70" i="51"/>
  <c r="T51"/>
  <c r="V17"/>
  <c r="V59" s="1"/>
  <c r="R61" i="43"/>
  <c r="P56" i="38"/>
  <c r="R100" i="51"/>
  <c r="M84" i="38"/>
  <c r="R69" i="43"/>
  <c r="R88" i="66" s="1"/>
  <c r="R41" i="43"/>
  <c r="S59"/>
  <c r="S51"/>
  <c r="U62" i="51"/>
  <c r="S84"/>
  <c r="S100" s="1"/>
  <c r="S39" i="43"/>
  <c r="V72" i="48"/>
  <c r="V84" s="1"/>
  <c r="T80" i="51"/>
  <c r="U47"/>
  <c r="T96" i="48"/>
  <c r="T103" i="66" s="1"/>
  <c r="T63" i="48"/>
  <c r="T111"/>
  <c r="T117" s="1"/>
  <c r="U60"/>
  <c r="U87"/>
  <c r="U75"/>
  <c r="M85" i="38"/>
  <c r="O87" i="43"/>
  <c r="O88" s="1"/>
  <c r="P86"/>
  <c r="T49"/>
  <c r="U28"/>
  <c r="R26" i="38"/>
  <c r="R47" s="1"/>
  <c r="P36"/>
  <c r="P49"/>
  <c r="O39"/>
  <c r="O66"/>
  <c r="O75" i="66" s="1"/>
  <c r="I2" i="26"/>
  <c r="H23"/>
  <c r="H16"/>
  <c r="H22"/>
  <c r="H15"/>
  <c r="H21"/>
  <c r="H14"/>
  <c r="H20"/>
  <c r="H13"/>
  <c r="H19"/>
  <c r="H12"/>
  <c r="H18"/>
  <c r="H11"/>
  <c r="H17"/>
  <c r="H4"/>
  <c r="H5"/>
  <c r="H6"/>
  <c r="H7"/>
  <c r="H8"/>
  <c r="H9"/>
  <c r="H10"/>
  <c r="H3"/>
  <c r="D10" i="64" l="1"/>
  <c r="J10" s="1"/>
  <c r="S102" i="51"/>
  <c r="R102"/>
  <c r="Q30" i="66"/>
  <c r="T95" i="51"/>
  <c r="T101" s="1"/>
  <c r="W48" i="66"/>
  <c r="AO41"/>
  <c r="M3" i="67" s="1"/>
  <c r="V41" i="66"/>
  <c r="P78"/>
  <c r="R29" s="1"/>
  <c r="AM29" s="1"/>
  <c r="P76" i="38"/>
  <c r="P72" i="66" s="1"/>
  <c r="V108"/>
  <c r="X47" s="1"/>
  <c r="AP47" s="1"/>
  <c r="V108" i="48"/>
  <c r="V98" i="66" s="1"/>
  <c r="B98" s="1"/>
  <c r="B47" s="1"/>
  <c r="V122"/>
  <c r="X43" s="1"/>
  <c r="AP43" s="1"/>
  <c r="V91" i="51"/>
  <c r="V114" i="66" s="1"/>
  <c r="B114" s="1"/>
  <c r="S91"/>
  <c r="U25" s="1"/>
  <c r="S79" i="43"/>
  <c r="S85" i="66" s="1"/>
  <c r="U123"/>
  <c r="W38" s="1"/>
  <c r="U92" i="51"/>
  <c r="U115" i="66" s="1"/>
  <c r="Q79"/>
  <c r="S28" s="1"/>
  <c r="Q77" i="38"/>
  <c r="Q73" i="66" s="1"/>
  <c r="T118"/>
  <c r="L21" i="63"/>
  <c r="K21" i="66"/>
  <c r="D20" i="63"/>
  <c r="D20" i="66"/>
  <c r="K17"/>
  <c r="L17" i="63"/>
  <c r="R81" i="43"/>
  <c r="O79" i="38"/>
  <c r="O85" s="1"/>
  <c r="G27" i="63"/>
  <c r="G30"/>
  <c r="G26"/>
  <c r="G32"/>
  <c r="G25"/>
  <c r="G31"/>
  <c r="D55"/>
  <c r="N86" i="38"/>
  <c r="M3" i="63"/>
  <c r="F35" s="1"/>
  <c r="D57"/>
  <c r="D56"/>
  <c r="T99" i="48"/>
  <c r="T116" s="1"/>
  <c r="T118" s="1"/>
  <c r="R71" i="43"/>
  <c r="O69" i="38"/>
  <c r="O84" s="1"/>
  <c r="R57"/>
  <c r="R37"/>
  <c r="R67" s="1"/>
  <c r="R76" i="66" s="1"/>
  <c r="M86" i="38"/>
  <c r="U51" i="51"/>
  <c r="U73"/>
  <c r="V48"/>
  <c r="V81" s="1"/>
  <c r="V119" i="66" s="1"/>
  <c r="V70" i="51"/>
  <c r="S61" i="43"/>
  <c r="P59" i="38"/>
  <c r="Q56"/>
  <c r="T59" i="43"/>
  <c r="T51"/>
  <c r="S69"/>
  <c r="S88" i="66" s="1"/>
  <c r="S41" i="43"/>
  <c r="T84" i="51"/>
  <c r="T100" s="1"/>
  <c r="V62"/>
  <c r="T39" i="43"/>
  <c r="V47" i="51"/>
  <c r="U80"/>
  <c r="V87" i="48"/>
  <c r="V60"/>
  <c r="V75"/>
  <c r="U96"/>
  <c r="U103" i="66" s="1"/>
  <c r="U111" i="48"/>
  <c r="U117" s="1"/>
  <c r="U63"/>
  <c r="P87" i="43"/>
  <c r="P88" s="1"/>
  <c r="Q86"/>
  <c r="V28"/>
  <c r="U49"/>
  <c r="Q49" i="38"/>
  <c r="Q36"/>
  <c r="P66"/>
  <c r="P75" i="66" s="1"/>
  <c r="P39" i="38"/>
  <c r="S26"/>
  <c r="S47" s="1"/>
  <c r="J2" i="26"/>
  <c r="I23"/>
  <c r="I16"/>
  <c r="I22"/>
  <c r="I15"/>
  <c r="I21"/>
  <c r="I12"/>
  <c r="I18"/>
  <c r="I11"/>
  <c r="I17"/>
  <c r="I14"/>
  <c r="I20"/>
  <c r="I19"/>
  <c r="I10"/>
  <c r="I3"/>
  <c r="I13"/>
  <c r="I6"/>
  <c r="I5"/>
  <c r="I9"/>
  <c r="I4"/>
  <c r="I8"/>
  <c r="I7"/>
  <c r="T102" i="51" l="1"/>
  <c r="K10" i="64"/>
  <c r="U95" i="51"/>
  <c r="U101" s="1"/>
  <c r="W41" i="66"/>
  <c r="T91"/>
  <c r="V25" s="1"/>
  <c r="AO25" s="1"/>
  <c r="T79" i="43"/>
  <c r="T85" i="66" s="1"/>
  <c r="V123"/>
  <c r="X38" s="1"/>
  <c r="AP38" s="1"/>
  <c r="V92" i="51"/>
  <c r="V115" i="66" s="1"/>
  <c r="B115" s="1"/>
  <c r="Q78"/>
  <c r="S29" s="1"/>
  <c r="Q76" i="38"/>
  <c r="Q72" i="66" s="1"/>
  <c r="Q20" i="63"/>
  <c r="R20"/>
  <c r="X48" i="66"/>
  <c r="Y48" s="1"/>
  <c r="Y43"/>
  <c r="AM30"/>
  <c r="K2" i="67" s="1"/>
  <c r="R79" i="66"/>
  <c r="T28" s="1"/>
  <c r="AN28" s="1"/>
  <c r="R77" i="38"/>
  <c r="R73" i="66" s="1"/>
  <c r="Y47"/>
  <c r="R30"/>
  <c r="U118"/>
  <c r="B119"/>
  <c r="D18" i="63"/>
  <c r="D18" i="66"/>
  <c r="K14"/>
  <c r="L14" i="63"/>
  <c r="D19"/>
  <c r="D19" i="66"/>
  <c r="N20"/>
  <c r="O20"/>
  <c r="D52" i="63"/>
  <c r="P79" i="38"/>
  <c r="P85" s="1"/>
  <c r="S81" i="43"/>
  <c r="U99" i="48"/>
  <c r="U116" s="1"/>
  <c r="U118" s="1"/>
  <c r="S71" i="43"/>
  <c r="P69" i="38"/>
  <c r="P84" s="1"/>
  <c r="O86"/>
  <c r="S37"/>
  <c r="S67" s="1"/>
  <c r="S76" i="66" s="1"/>
  <c r="S57" i="38"/>
  <c r="V51" i="51"/>
  <c r="V73"/>
  <c r="T61" i="43"/>
  <c r="R56" i="38"/>
  <c r="Q59"/>
  <c r="U59" i="43"/>
  <c r="U51"/>
  <c r="T69"/>
  <c r="T88" i="66" s="1"/>
  <c r="T41" i="43"/>
  <c r="U84" i="51"/>
  <c r="U100" s="1"/>
  <c r="U39" i="43"/>
  <c r="V80" i="51"/>
  <c r="V118" i="66" s="1"/>
  <c r="V96" i="48"/>
  <c r="V103" i="66" s="1"/>
  <c r="B103" s="1"/>
  <c r="V63" i="48"/>
  <c r="V111"/>
  <c r="V117" s="1"/>
  <c r="R86" i="43"/>
  <c r="Q87"/>
  <c r="Q88" s="1"/>
  <c r="V49"/>
  <c r="T26" i="38"/>
  <c r="T47" s="1"/>
  <c r="R49"/>
  <c r="R36"/>
  <c r="Q39"/>
  <c r="Q66"/>
  <c r="Q75" i="66" s="1"/>
  <c r="K2" i="26"/>
  <c r="J19"/>
  <c r="J13"/>
  <c r="J16"/>
  <c r="J15"/>
  <c r="J14"/>
  <c r="J20"/>
  <c r="J23"/>
  <c r="J21"/>
  <c r="J12"/>
  <c r="J11"/>
  <c r="J10"/>
  <c r="J22"/>
  <c r="J18"/>
  <c r="J17"/>
  <c r="J4"/>
  <c r="J5"/>
  <c r="J6"/>
  <c r="J7"/>
  <c r="J8"/>
  <c r="J3"/>
  <c r="J9"/>
  <c r="U102" i="51" l="1"/>
  <c r="S30" i="66"/>
  <c r="AP48"/>
  <c r="N4" i="67" s="1"/>
  <c r="B20" s="1"/>
  <c r="R78" i="66"/>
  <c r="T29" s="1"/>
  <c r="AN29" s="1"/>
  <c r="AN30" s="1"/>
  <c r="L2" i="67" s="1"/>
  <c r="R76" i="38"/>
  <c r="R72" i="66" s="1"/>
  <c r="S79"/>
  <c r="U28" s="1"/>
  <c r="S77" i="38"/>
  <c r="S73" i="66" s="1"/>
  <c r="S20" i="63"/>
  <c r="R19"/>
  <c r="Q18"/>
  <c r="R18"/>
  <c r="AR48" i="66"/>
  <c r="C32" i="67" s="1"/>
  <c r="AS48" i="66"/>
  <c r="D32" i="67" s="1"/>
  <c r="AT48" i="66"/>
  <c r="E32" i="67" s="1"/>
  <c r="AQ48" i="66"/>
  <c r="B32" i="67" s="1"/>
  <c r="Z48" i="66"/>
  <c r="AA48"/>
  <c r="AC48"/>
  <c r="AB48"/>
  <c r="AP41"/>
  <c r="N3" i="67" s="1"/>
  <c r="X41" i="66"/>
  <c r="Y38"/>
  <c r="B108"/>
  <c r="C47"/>
  <c r="U91"/>
  <c r="W25" s="1"/>
  <c r="U79" i="43"/>
  <c r="U85" i="66" s="1"/>
  <c r="S19" i="63"/>
  <c r="C43" i="66"/>
  <c r="C48" s="1"/>
  <c r="C38"/>
  <c r="B43"/>
  <c r="B48" s="1"/>
  <c r="V95" i="51"/>
  <c r="V101" s="1"/>
  <c r="B118" i="66"/>
  <c r="B122" s="1"/>
  <c r="Q19" i="63"/>
  <c r="S18"/>
  <c r="D50"/>
  <c r="N18" i="66"/>
  <c r="O18"/>
  <c r="N19"/>
  <c r="O19"/>
  <c r="D51" i="63"/>
  <c r="T81" i="43"/>
  <c r="Q79" i="38"/>
  <c r="P86"/>
  <c r="V99" i="48"/>
  <c r="V116" s="1"/>
  <c r="V118" s="1"/>
  <c r="T71" i="43"/>
  <c r="T37" i="38"/>
  <c r="T67" s="1"/>
  <c r="T76" i="66" s="1"/>
  <c r="T57" i="38"/>
  <c r="U61" i="43"/>
  <c r="S56" i="38"/>
  <c r="V59" i="43"/>
  <c r="V51"/>
  <c r="U69"/>
  <c r="U88" i="66" s="1"/>
  <c r="U41" i="43"/>
  <c r="V84" i="51"/>
  <c r="V100" s="1"/>
  <c r="R59" i="38"/>
  <c r="V39" i="43"/>
  <c r="Q69" i="38"/>
  <c r="Q84" s="1"/>
  <c r="R87" i="43"/>
  <c r="R88" s="1"/>
  <c r="S86"/>
  <c r="R66" i="38"/>
  <c r="R75" i="66" s="1"/>
  <c r="R39" i="38"/>
  <c r="S49"/>
  <c r="S36"/>
  <c r="U26"/>
  <c r="U47" s="1"/>
  <c r="L2" i="26"/>
  <c r="K23"/>
  <c r="K16"/>
  <c r="K22"/>
  <c r="K15"/>
  <c r="K21"/>
  <c r="K14"/>
  <c r="K20"/>
  <c r="K12"/>
  <c r="K18"/>
  <c r="K11"/>
  <c r="K17"/>
  <c r="K10"/>
  <c r="K13"/>
  <c r="K19"/>
  <c r="K4"/>
  <c r="K5"/>
  <c r="K6"/>
  <c r="K7"/>
  <c r="K8"/>
  <c r="K9"/>
  <c r="K3"/>
  <c r="C10" i="67" l="1"/>
  <c r="D10" s="1"/>
  <c r="E10" s="1"/>
  <c r="F10" s="1"/>
  <c r="G10" s="1"/>
  <c r="H10" s="1"/>
  <c r="I10" s="1"/>
  <c r="J10" s="1"/>
  <c r="K10" s="1"/>
  <c r="L10" s="1"/>
  <c r="M10" s="1"/>
  <c r="N10" s="1"/>
  <c r="C15"/>
  <c r="D15" s="1"/>
  <c r="E15" s="1"/>
  <c r="F15" s="1"/>
  <c r="G15" s="1"/>
  <c r="H15" s="1"/>
  <c r="I15" s="1"/>
  <c r="J15" s="1"/>
  <c r="K15" s="1"/>
  <c r="L15" s="1"/>
  <c r="M15" s="1"/>
  <c r="N15" s="1"/>
  <c r="N27" i="63"/>
  <c r="O27"/>
  <c r="P27"/>
  <c r="K27"/>
  <c r="L27"/>
  <c r="M27"/>
  <c r="V91" i="66"/>
  <c r="X25" s="1"/>
  <c r="AP25" s="1"/>
  <c r="V79" i="43"/>
  <c r="V85" i="66" s="1"/>
  <c r="B85" s="1"/>
  <c r="B25" s="1"/>
  <c r="V102" i="51"/>
  <c r="S78" i="66"/>
  <c r="U29" s="1"/>
  <c r="S76" i="38"/>
  <c r="S72" i="66" s="1"/>
  <c r="T79"/>
  <c r="V28" s="1"/>
  <c r="AO28" s="1"/>
  <c r="T77" i="38"/>
  <c r="T73" i="66" s="1"/>
  <c r="T30"/>
  <c r="B123"/>
  <c r="B38"/>
  <c r="K3"/>
  <c r="L3" i="63"/>
  <c r="R79" i="38"/>
  <c r="U81" i="43"/>
  <c r="U71"/>
  <c r="U37" i="38"/>
  <c r="U67" s="1"/>
  <c r="U76" i="66" s="1"/>
  <c r="U57" i="38"/>
  <c r="V61" i="43"/>
  <c r="S59" i="38"/>
  <c r="T56"/>
  <c r="V69" i="43"/>
  <c r="V88" i="66" s="1"/>
  <c r="B88" s="1"/>
  <c r="C25" s="1"/>
  <c r="V41" i="43"/>
  <c r="Q85" i="38"/>
  <c r="Q86" s="1"/>
  <c r="R69"/>
  <c r="S87" i="43"/>
  <c r="S88" s="1"/>
  <c r="T86"/>
  <c r="V26" i="38"/>
  <c r="V47" s="1"/>
  <c r="S66"/>
  <c r="S75" i="66" s="1"/>
  <c r="S39" i="38"/>
  <c r="T36"/>
  <c r="T49"/>
  <c r="M2" i="26"/>
  <c r="L23"/>
  <c r="L16"/>
  <c r="L22"/>
  <c r="L15"/>
  <c r="L21"/>
  <c r="L14"/>
  <c r="L20"/>
  <c r="L13"/>
  <c r="L19"/>
  <c r="L12"/>
  <c r="L18"/>
  <c r="L11"/>
  <c r="L17"/>
  <c r="L4"/>
  <c r="L5"/>
  <c r="L6"/>
  <c r="L7"/>
  <c r="L8"/>
  <c r="L9"/>
  <c r="L10"/>
  <c r="L3"/>
  <c r="U30" i="66" l="1"/>
  <c r="Y25"/>
  <c r="U79"/>
  <c r="W28" s="1"/>
  <c r="U77" i="38"/>
  <c r="U73" i="66" s="1"/>
  <c r="T78"/>
  <c r="V29" s="1"/>
  <c r="AO29" s="1"/>
  <c r="T76" i="38"/>
  <c r="T72" i="66" s="1"/>
  <c r="B91"/>
  <c r="D14" i="63"/>
  <c r="D14" i="66"/>
  <c r="D21" i="63"/>
  <c r="D21" i="66"/>
  <c r="S79" i="38"/>
  <c r="V81" i="43"/>
  <c r="S15" i="63"/>
  <c r="V71" i="43"/>
  <c r="V37" i="38"/>
  <c r="V67" s="1"/>
  <c r="V76" i="66" s="1"/>
  <c r="V57" i="38"/>
  <c r="T59"/>
  <c r="U56"/>
  <c r="R84"/>
  <c r="R85"/>
  <c r="S69"/>
  <c r="S84" s="1"/>
  <c r="U86" i="43"/>
  <c r="T87"/>
  <c r="T88" s="1"/>
  <c r="U49" i="38"/>
  <c r="U36"/>
  <c r="T66"/>
  <c r="T75" i="66" s="1"/>
  <c r="T39" i="38"/>
  <c r="N2" i="26"/>
  <c r="M23"/>
  <c r="M16"/>
  <c r="M22"/>
  <c r="M15"/>
  <c r="M21"/>
  <c r="M14"/>
  <c r="M20"/>
  <c r="M13"/>
  <c r="M12"/>
  <c r="M18"/>
  <c r="M11"/>
  <c r="M17"/>
  <c r="M19"/>
  <c r="M3"/>
  <c r="M10"/>
  <c r="M7"/>
  <c r="M6"/>
  <c r="M8"/>
  <c r="M5"/>
  <c r="M4"/>
  <c r="M9"/>
  <c r="V30" i="66" l="1"/>
  <c r="Q21" i="63"/>
  <c r="R21"/>
  <c r="E30" s="1"/>
  <c r="V79" i="66"/>
  <c r="X28" s="1"/>
  <c r="AP28" s="1"/>
  <c r="V77" i="38"/>
  <c r="U78" i="66"/>
  <c r="W29" s="1"/>
  <c r="U76" i="38"/>
  <c r="U72" i="66" s="1"/>
  <c r="S14" i="63"/>
  <c r="R14"/>
  <c r="AO30" i="66"/>
  <c r="M2" i="67" s="1"/>
  <c r="S21" i="63"/>
  <c r="B76" i="66"/>
  <c r="C28" s="1"/>
  <c r="Q14" i="63"/>
  <c r="L6"/>
  <c r="K6" i="66"/>
  <c r="O14"/>
  <c r="N14"/>
  <c r="D17" i="63"/>
  <c r="D17" i="66"/>
  <c r="N21"/>
  <c r="O21"/>
  <c r="S16" i="63"/>
  <c r="D48"/>
  <c r="T79" i="38"/>
  <c r="V73" i="66"/>
  <c r="B73" s="1"/>
  <c r="B28" s="1"/>
  <c r="R86" i="38"/>
  <c r="U59"/>
  <c r="V56"/>
  <c r="S85"/>
  <c r="S86" s="1"/>
  <c r="T69"/>
  <c r="T84" s="1"/>
  <c r="U87" i="43"/>
  <c r="U88" s="1"/>
  <c r="V86"/>
  <c r="U39" i="38"/>
  <c r="U66"/>
  <c r="U75" i="66" s="1"/>
  <c r="V49" i="38"/>
  <c r="V36"/>
  <c r="O2" i="26"/>
  <c r="N16"/>
  <c r="N15"/>
  <c r="N23"/>
  <c r="N22"/>
  <c r="N21"/>
  <c r="N19"/>
  <c r="N20"/>
  <c r="N13"/>
  <c r="N18"/>
  <c r="N17"/>
  <c r="N10"/>
  <c r="N14"/>
  <c r="N12"/>
  <c r="N4"/>
  <c r="N5"/>
  <c r="N6"/>
  <c r="N7"/>
  <c r="N8"/>
  <c r="N9"/>
  <c r="N11"/>
  <c r="N3"/>
  <c r="W30" i="66" l="1"/>
  <c r="V78"/>
  <c r="X29" s="1"/>
  <c r="AP29" s="1"/>
  <c r="V76" i="38"/>
  <c r="V72" i="66" s="1"/>
  <c r="B72" s="1"/>
  <c r="B29" s="1"/>
  <c r="D49" i="63"/>
  <c r="R17"/>
  <c r="E27" s="1"/>
  <c r="Y28" i="66"/>
  <c r="Q17" i="63"/>
  <c r="D27" s="1"/>
  <c r="H27"/>
  <c r="S17"/>
  <c r="F27" s="1"/>
  <c r="B79" i="66"/>
  <c r="K7"/>
  <c r="L7" i="63"/>
  <c r="D3"/>
  <c r="R3" s="1"/>
  <c r="D3" i="66"/>
  <c r="N17"/>
  <c r="O17"/>
  <c r="U79" i="38"/>
  <c r="V59"/>
  <c r="U69"/>
  <c r="U84" s="1"/>
  <c r="T85"/>
  <c r="T86" s="1"/>
  <c r="V87" i="43"/>
  <c r="V88" s="1"/>
  <c r="V66" i="38"/>
  <c r="V75" i="66" s="1"/>
  <c r="B75" s="1"/>
  <c r="C29" s="1"/>
  <c r="V39" i="38"/>
  <c r="P2" i="26"/>
  <c r="O23"/>
  <c r="O16"/>
  <c r="O22"/>
  <c r="O15"/>
  <c r="O21"/>
  <c r="O14"/>
  <c r="O20"/>
  <c r="O19"/>
  <c r="O13"/>
  <c r="O12"/>
  <c r="O18"/>
  <c r="O11"/>
  <c r="O17"/>
  <c r="O10"/>
  <c r="O4"/>
  <c r="O5"/>
  <c r="O6"/>
  <c r="O7"/>
  <c r="O8"/>
  <c r="O9"/>
  <c r="O3"/>
  <c r="AP30" i="66" l="1"/>
  <c r="N2" i="67" s="1"/>
  <c r="Y29" i="66"/>
  <c r="X30"/>
  <c r="E51" i="63"/>
  <c r="E53"/>
  <c r="E50"/>
  <c r="E49"/>
  <c r="E52"/>
  <c r="Q3"/>
  <c r="B78" i="66"/>
  <c r="S3" i="63"/>
  <c r="N3" i="66"/>
  <c r="O3"/>
  <c r="D35" i="63"/>
  <c r="V79" i="38"/>
  <c r="V85" s="1"/>
  <c r="V69"/>
  <c r="V84" s="1"/>
  <c r="U85"/>
  <c r="U86" s="1"/>
  <c r="Q2" i="26"/>
  <c r="P23"/>
  <c r="P16"/>
  <c r="P22"/>
  <c r="P15"/>
  <c r="P21"/>
  <c r="P14"/>
  <c r="P20"/>
  <c r="P13"/>
  <c r="P19"/>
  <c r="P12"/>
  <c r="P18"/>
  <c r="P11"/>
  <c r="P17"/>
  <c r="P10"/>
  <c r="P4"/>
  <c r="P5"/>
  <c r="P6"/>
  <c r="P7"/>
  <c r="P8"/>
  <c r="P9"/>
  <c r="P3"/>
  <c r="D6" i="63" l="1"/>
  <c r="D6" i="66"/>
  <c r="V86" i="38"/>
  <c r="R2" i="26"/>
  <c r="Q23"/>
  <c r="Q16"/>
  <c r="Q22"/>
  <c r="Q15"/>
  <c r="Q21"/>
  <c r="Q12"/>
  <c r="Q18"/>
  <c r="Q11"/>
  <c r="Q17"/>
  <c r="Q14"/>
  <c r="Q20"/>
  <c r="Q13"/>
  <c r="Q19"/>
  <c r="Q3"/>
  <c r="Q10"/>
  <c r="Q7"/>
  <c r="Q9"/>
  <c r="Q4"/>
  <c r="Q8"/>
  <c r="Q6"/>
  <c r="Q5"/>
  <c r="Q6" i="63" l="1"/>
  <c r="R6"/>
  <c r="N6" i="66"/>
  <c r="O6"/>
  <c r="S2" i="26"/>
  <c r="R13"/>
  <c r="R19"/>
  <c r="R23"/>
  <c r="R22"/>
  <c r="R21"/>
  <c r="R14"/>
  <c r="R20"/>
  <c r="R15"/>
  <c r="R18"/>
  <c r="R16"/>
  <c r="R12"/>
  <c r="R11"/>
  <c r="R10"/>
  <c r="R4"/>
  <c r="R5"/>
  <c r="R6"/>
  <c r="R7"/>
  <c r="R8"/>
  <c r="R3"/>
  <c r="R17"/>
  <c r="R9"/>
  <c r="Q11" i="63" l="1"/>
  <c r="S11"/>
  <c r="D43"/>
  <c r="T2" i="26"/>
  <c r="S23"/>
  <c r="S16"/>
  <c r="S22"/>
  <c r="S15"/>
  <c r="S21"/>
  <c r="S14"/>
  <c r="S20"/>
  <c r="S12"/>
  <c r="S18"/>
  <c r="S11"/>
  <c r="S17"/>
  <c r="S10"/>
  <c r="S19"/>
  <c r="S4"/>
  <c r="S5"/>
  <c r="S6"/>
  <c r="S7"/>
  <c r="S8"/>
  <c r="S13"/>
  <c r="S9"/>
  <c r="S3"/>
  <c r="U2" l="1"/>
  <c r="T23"/>
  <c r="T16"/>
  <c r="T22"/>
  <c r="T15"/>
  <c r="T21"/>
  <c r="T14"/>
  <c r="T20"/>
  <c r="T13"/>
  <c r="T19"/>
  <c r="T12"/>
  <c r="T18"/>
  <c r="T11"/>
  <c r="T10"/>
  <c r="T4"/>
  <c r="T5"/>
  <c r="T6"/>
  <c r="T7"/>
  <c r="T8"/>
  <c r="T9"/>
  <c r="T17"/>
  <c r="T3"/>
  <c r="V2" l="1"/>
  <c r="U23"/>
  <c r="U16"/>
  <c r="U22"/>
  <c r="U15"/>
  <c r="U21"/>
  <c r="U14"/>
  <c r="U20"/>
  <c r="U19"/>
  <c r="U12"/>
  <c r="U18"/>
  <c r="U11"/>
  <c r="U17"/>
  <c r="U13"/>
  <c r="U10"/>
  <c r="U3"/>
  <c r="U9"/>
  <c r="U4"/>
  <c r="U8"/>
  <c r="U6"/>
  <c r="U5"/>
  <c r="U7"/>
  <c r="K23" i="63" l="1"/>
  <c r="N3" s="1"/>
  <c r="C5" i="64" s="1"/>
  <c r="W2" i="26"/>
  <c r="V23"/>
  <c r="V22"/>
  <c r="V16"/>
  <c r="V15"/>
  <c r="V13"/>
  <c r="V12"/>
  <c r="V11"/>
  <c r="V17"/>
  <c r="V21"/>
  <c r="V20"/>
  <c r="V19"/>
  <c r="V18"/>
  <c r="V14"/>
  <c r="V4"/>
  <c r="V5"/>
  <c r="V6"/>
  <c r="V7"/>
  <c r="V8"/>
  <c r="V9"/>
  <c r="V10"/>
  <c r="V3"/>
  <c r="L5" i="64" l="1"/>
  <c r="I5"/>
  <c r="X2" i="26"/>
  <c r="W23"/>
  <c r="W16"/>
  <c r="W22"/>
  <c r="W15"/>
  <c r="W21"/>
  <c r="W14"/>
  <c r="W13"/>
  <c r="W20"/>
  <c r="W19"/>
  <c r="W12"/>
  <c r="W18"/>
  <c r="W11"/>
  <c r="W17"/>
  <c r="W4"/>
  <c r="W5"/>
  <c r="W6"/>
  <c r="W7"/>
  <c r="W8"/>
  <c r="W10"/>
  <c r="W9"/>
  <c r="W3"/>
  <c r="Q8" i="63" l="1"/>
  <c r="Y2" i="26"/>
  <c r="X23"/>
  <c r="X16"/>
  <c r="X22"/>
  <c r="X15"/>
  <c r="X21"/>
  <c r="X14"/>
  <c r="X20"/>
  <c r="X13"/>
  <c r="X19"/>
  <c r="X12"/>
  <c r="X18"/>
  <c r="X11"/>
  <c r="X10"/>
  <c r="X17"/>
  <c r="X4"/>
  <c r="X5"/>
  <c r="X6"/>
  <c r="X7"/>
  <c r="X8"/>
  <c r="X9"/>
  <c r="X3"/>
  <c r="D30" i="63" l="1"/>
  <c r="Z2" i="26"/>
  <c r="Y23"/>
  <c r="Y16"/>
  <c r="Y22"/>
  <c r="Y15"/>
  <c r="Y19"/>
  <c r="Y12"/>
  <c r="Y18"/>
  <c r="Y11"/>
  <c r="Y17"/>
  <c r="Y21"/>
  <c r="Y14"/>
  <c r="Y20"/>
  <c r="Y10"/>
  <c r="Y3"/>
  <c r="Y13"/>
  <c r="Y9"/>
  <c r="Y5"/>
  <c r="Y7"/>
  <c r="Y6"/>
  <c r="Y4"/>
  <c r="Y8"/>
  <c r="AA2" l="1"/>
  <c r="Z20"/>
  <c r="Z13"/>
  <c r="Z16"/>
  <c r="Z15"/>
  <c r="Z21"/>
  <c r="Z14"/>
  <c r="Z23"/>
  <c r="Z12"/>
  <c r="Z11"/>
  <c r="Z22"/>
  <c r="Z19"/>
  <c r="Z18"/>
  <c r="Z4"/>
  <c r="Z5"/>
  <c r="Z6"/>
  <c r="Z7"/>
  <c r="Z8"/>
  <c r="Z3"/>
  <c r="Z17"/>
  <c r="Z10"/>
  <c r="Z9"/>
  <c r="Q15" i="63" l="1"/>
  <c r="S10"/>
  <c r="Q10"/>
  <c r="D42"/>
  <c r="AB2" i="26"/>
  <c r="AA23"/>
  <c r="AA16"/>
  <c r="AA22"/>
  <c r="AA15"/>
  <c r="AA21"/>
  <c r="AA14"/>
  <c r="AA19"/>
  <c r="AA12"/>
  <c r="AA18"/>
  <c r="AA11"/>
  <c r="AA17"/>
  <c r="AA13"/>
  <c r="AA4"/>
  <c r="AA5"/>
  <c r="AA6"/>
  <c r="AA7"/>
  <c r="AA8"/>
  <c r="AA20"/>
  <c r="AA10"/>
  <c r="AA9"/>
  <c r="AA3"/>
  <c r="AC2" l="1"/>
  <c r="AB23"/>
  <c r="AB16"/>
  <c r="AB22"/>
  <c r="AB15"/>
  <c r="AB21"/>
  <c r="AB14"/>
  <c r="AB20"/>
  <c r="AB13"/>
  <c r="AB19"/>
  <c r="AB12"/>
  <c r="AB18"/>
  <c r="AB11"/>
  <c r="AB10"/>
  <c r="AB4"/>
  <c r="AB5"/>
  <c r="AB6"/>
  <c r="AB7"/>
  <c r="AB8"/>
  <c r="AB9"/>
  <c r="AB17"/>
  <c r="AB3"/>
  <c r="AD2" l="1"/>
  <c r="AC23"/>
  <c r="AC16"/>
  <c r="AC22"/>
  <c r="AC15"/>
  <c r="AC21"/>
  <c r="AC14"/>
  <c r="AC13"/>
  <c r="AC19"/>
  <c r="AC12"/>
  <c r="AC18"/>
  <c r="AC11"/>
  <c r="AC17"/>
  <c r="AC20"/>
  <c r="AC10"/>
  <c r="AC3"/>
  <c r="AC4"/>
  <c r="AC8"/>
  <c r="AC6"/>
  <c r="AC7"/>
  <c r="AC5"/>
  <c r="AC9"/>
  <c r="AE2" l="1"/>
  <c r="AD16"/>
  <c r="AD15"/>
  <c r="AD23"/>
  <c r="AD22"/>
  <c r="AD20"/>
  <c r="AD14"/>
  <c r="AD19"/>
  <c r="AD18"/>
  <c r="AD17"/>
  <c r="AD21"/>
  <c r="AD12"/>
  <c r="AD13"/>
  <c r="AD4"/>
  <c r="AD5"/>
  <c r="AD6"/>
  <c r="AD7"/>
  <c r="AD11"/>
  <c r="AD10"/>
  <c r="AD8"/>
  <c r="AD3"/>
  <c r="AD9"/>
  <c r="AF2" l="1"/>
  <c r="AE23"/>
  <c r="AE16"/>
  <c r="AE22"/>
  <c r="AE15"/>
  <c r="AE21"/>
  <c r="AE14"/>
  <c r="AE20"/>
  <c r="AE13"/>
  <c r="AE19"/>
  <c r="AE12"/>
  <c r="AE18"/>
  <c r="AE11"/>
  <c r="AE17"/>
  <c r="AE4"/>
  <c r="AE5"/>
  <c r="AE6"/>
  <c r="AE7"/>
  <c r="AE8"/>
  <c r="AE10"/>
  <c r="AE3"/>
  <c r="AE9"/>
  <c r="AG2" l="1"/>
  <c r="AF23"/>
  <c r="AF16"/>
  <c r="AF22"/>
  <c r="AF15"/>
  <c r="AF21"/>
  <c r="AF14"/>
  <c r="AF20"/>
  <c r="AF13"/>
  <c r="AF19"/>
  <c r="AF12"/>
  <c r="AF18"/>
  <c r="AF11"/>
  <c r="AF10"/>
  <c r="AF17"/>
  <c r="AF4"/>
  <c r="AF5"/>
  <c r="AF6"/>
  <c r="AF7"/>
  <c r="AF8"/>
  <c r="AF9"/>
  <c r="AF3"/>
  <c r="AH2" l="1"/>
  <c r="AG23"/>
  <c r="AG16"/>
  <c r="AG22"/>
  <c r="AG15"/>
  <c r="AG19"/>
  <c r="AG12"/>
  <c r="AG18"/>
  <c r="AG11"/>
  <c r="AG17"/>
  <c r="AG21"/>
  <c r="AG14"/>
  <c r="AG13"/>
  <c r="AG10"/>
  <c r="AG3"/>
  <c r="AG20"/>
  <c r="AG7"/>
  <c r="AG8"/>
  <c r="AG9"/>
  <c r="AG6"/>
  <c r="AG5"/>
  <c r="AG4"/>
  <c r="AI2" l="1"/>
  <c r="AH13"/>
  <c r="AH20"/>
  <c r="AH23"/>
  <c r="AH22"/>
  <c r="AH21"/>
  <c r="AH14"/>
  <c r="AH16"/>
  <c r="AH19"/>
  <c r="AH18"/>
  <c r="AH15"/>
  <c r="AH12"/>
  <c r="AH11"/>
  <c r="AH4"/>
  <c r="AH5"/>
  <c r="AH6"/>
  <c r="AH7"/>
  <c r="AH3"/>
  <c r="AH10"/>
  <c r="AH8"/>
  <c r="AH9"/>
  <c r="AH17"/>
  <c r="AJ2" l="1"/>
  <c r="AI23"/>
  <c r="AI16"/>
  <c r="AI22"/>
  <c r="AI15"/>
  <c r="AI21"/>
  <c r="AI14"/>
  <c r="AI19"/>
  <c r="AI12"/>
  <c r="AI18"/>
  <c r="AI11"/>
  <c r="AI17"/>
  <c r="AI20"/>
  <c r="AI13"/>
  <c r="AI4"/>
  <c r="AI5"/>
  <c r="AI6"/>
  <c r="AI7"/>
  <c r="AI8"/>
  <c r="AI10"/>
  <c r="AI9"/>
  <c r="AI3"/>
  <c r="AK2" l="1"/>
  <c r="AJ23"/>
  <c r="AJ16"/>
  <c r="AJ22"/>
  <c r="AJ15"/>
  <c r="AJ21"/>
  <c r="AJ14"/>
  <c r="AJ20"/>
  <c r="AJ13"/>
  <c r="AJ19"/>
  <c r="AJ12"/>
  <c r="AJ18"/>
  <c r="AJ11"/>
  <c r="AJ10"/>
  <c r="AJ4"/>
  <c r="AJ5"/>
  <c r="AJ6"/>
  <c r="AJ7"/>
  <c r="AJ8"/>
  <c r="AJ9"/>
  <c r="AJ17"/>
  <c r="AJ3"/>
  <c r="AL2" l="1"/>
  <c r="AK23"/>
  <c r="AK16"/>
  <c r="AK22"/>
  <c r="AK15"/>
  <c r="AK21"/>
  <c r="AK14"/>
  <c r="AK20"/>
  <c r="AK19"/>
  <c r="AK12"/>
  <c r="AK18"/>
  <c r="AK11"/>
  <c r="AK17"/>
  <c r="AK13"/>
  <c r="AK10"/>
  <c r="AK3"/>
  <c r="AK6"/>
  <c r="AK9"/>
  <c r="AK4"/>
  <c r="AK7"/>
  <c r="AK8"/>
  <c r="AK5"/>
  <c r="AM2" l="1"/>
  <c r="AL23"/>
  <c r="AL22"/>
  <c r="AL16"/>
  <c r="AL15"/>
  <c r="AL13"/>
  <c r="AL20"/>
  <c r="AL12"/>
  <c r="AL11"/>
  <c r="AL17"/>
  <c r="AL14"/>
  <c r="AL19"/>
  <c r="AL18"/>
  <c r="AL21"/>
  <c r="AL4"/>
  <c r="AL5"/>
  <c r="AL6"/>
  <c r="AL7"/>
  <c r="AL8"/>
  <c r="AL9"/>
  <c r="AL10"/>
  <c r="AL3"/>
  <c r="AN2" l="1"/>
  <c r="AM23"/>
  <c r="AM16"/>
  <c r="AM22"/>
  <c r="AM15"/>
  <c r="AM21"/>
  <c r="AM14"/>
  <c r="AM13"/>
  <c r="AM20"/>
  <c r="AM19"/>
  <c r="AM12"/>
  <c r="AM18"/>
  <c r="AM11"/>
  <c r="AM17"/>
  <c r="AM4"/>
  <c r="AM5"/>
  <c r="AM6"/>
  <c r="AM7"/>
  <c r="AM8"/>
  <c r="AM10"/>
  <c r="AM9"/>
  <c r="AM3"/>
  <c r="AO2" l="1"/>
  <c r="AN23"/>
  <c r="AN16"/>
  <c r="AN22"/>
  <c r="AN15"/>
  <c r="AN21"/>
  <c r="AN14"/>
  <c r="AN20"/>
  <c r="AN13"/>
  <c r="AN19"/>
  <c r="AN12"/>
  <c r="AN18"/>
  <c r="AN11"/>
  <c r="AN10"/>
  <c r="AN17"/>
  <c r="AN4"/>
  <c r="AN5"/>
  <c r="AN6"/>
  <c r="AN7"/>
  <c r="AN8"/>
  <c r="AN9"/>
  <c r="AN3"/>
  <c r="AO23" l="1"/>
  <c r="AO16"/>
  <c r="AO22"/>
  <c r="AO15"/>
  <c r="AO19"/>
  <c r="AO12"/>
  <c r="AO18"/>
  <c r="AO11"/>
  <c r="AO21"/>
  <c r="AO14"/>
  <c r="AO20"/>
  <c r="AO13"/>
  <c r="AO10"/>
  <c r="AO3"/>
  <c r="AO17"/>
  <c r="AO5"/>
  <c r="AO8"/>
  <c r="AO4"/>
  <c r="AO7"/>
  <c r="AO9"/>
  <c r="AO6"/>
  <c r="C72" i="55"/>
  <c r="C73"/>
  <c r="D60" l="1"/>
  <c r="C84"/>
  <c r="C108" s="1"/>
  <c r="D61"/>
  <c r="C85"/>
  <c r="C109" s="1"/>
  <c r="C61"/>
  <c r="C60"/>
  <c r="C74"/>
  <c r="C75"/>
  <c r="C139" i="66" l="1"/>
  <c r="E36" s="1"/>
  <c r="AE36" s="1"/>
  <c r="C140"/>
  <c r="E26" s="1"/>
  <c r="C77" i="55"/>
  <c r="D96"/>
  <c r="D134" i="66" s="1"/>
  <c r="I134" s="1"/>
  <c r="N134" s="1"/>
  <c r="S134" s="1"/>
  <c r="C96" i="55"/>
  <c r="C134" i="66" s="1"/>
  <c r="C87" i="55"/>
  <c r="C111" s="1"/>
  <c r="C86"/>
  <c r="C110" s="1"/>
  <c r="C130" i="66"/>
  <c r="B130" s="1"/>
  <c r="B26" s="1"/>
  <c r="C129"/>
  <c r="B129" s="1"/>
  <c r="D62" i="55"/>
  <c r="D98" s="1"/>
  <c r="D136" i="66" s="1"/>
  <c r="I136" s="1"/>
  <c r="N136" s="1"/>
  <c r="S136" s="1"/>
  <c r="C62" i="55"/>
  <c r="C98" s="1"/>
  <c r="C136" i="66" s="1"/>
  <c r="C97" i="55"/>
  <c r="C135" i="66" s="1"/>
  <c r="C63" i="55"/>
  <c r="C99" s="1"/>
  <c r="C137" i="66" s="1"/>
  <c r="D63" i="55"/>
  <c r="D99" s="1"/>
  <c r="D137" i="66" s="1"/>
  <c r="I137" s="1"/>
  <c r="N137" s="1"/>
  <c r="S137" s="1"/>
  <c r="D97" i="55"/>
  <c r="D135" i="66" s="1"/>
  <c r="I135" s="1"/>
  <c r="N135" s="1"/>
  <c r="S135" s="1"/>
  <c r="Y36" l="1"/>
  <c r="AD36"/>
  <c r="AD26"/>
  <c r="AE26"/>
  <c r="Y26"/>
  <c r="C142"/>
  <c r="E27" s="1"/>
  <c r="H136"/>
  <c r="M136" s="1"/>
  <c r="R136" s="1"/>
  <c r="C141"/>
  <c r="E32" s="1"/>
  <c r="H137"/>
  <c r="M137" s="1"/>
  <c r="R137" s="1"/>
  <c r="H134"/>
  <c r="M134" s="1"/>
  <c r="R134" s="1"/>
  <c r="H135"/>
  <c r="M135" s="1"/>
  <c r="R135" s="1"/>
  <c r="C101" i="55"/>
  <c r="C65"/>
  <c r="C89"/>
  <c r="D101"/>
  <c r="D118" s="1"/>
  <c r="D120" s="1"/>
  <c r="D65"/>
  <c r="C132" i="66"/>
  <c r="B132" s="1"/>
  <c r="B27" s="1"/>
  <c r="C131"/>
  <c r="B131" s="1"/>
  <c r="B32" s="1"/>
  <c r="AD32" l="1"/>
  <c r="AD41" s="1"/>
  <c r="AE32"/>
  <c r="AE41" s="1"/>
  <c r="C3" i="67" s="1"/>
  <c r="Y27" i="66"/>
  <c r="AD27"/>
  <c r="AD30" s="1"/>
  <c r="B2" i="67" s="1"/>
  <c r="B8" s="1"/>
  <c r="AE27" i="66"/>
  <c r="AE30" s="1"/>
  <c r="C2" i="67" s="1"/>
  <c r="B134" i="66"/>
  <c r="C36" s="1"/>
  <c r="Y32"/>
  <c r="E41"/>
  <c r="Y41" s="1"/>
  <c r="E30"/>
  <c r="Y30" s="1"/>
  <c r="B137"/>
  <c r="C27" s="1"/>
  <c r="B136"/>
  <c r="B135"/>
  <c r="C113" i="55"/>
  <c r="C119" s="1"/>
  <c r="D47" i="63"/>
  <c r="D53"/>
  <c r="D46"/>
  <c r="C118" i="55"/>
  <c r="AS30" i="66" l="1"/>
  <c r="D30" i="67" s="1"/>
  <c r="N25" i="63" s="1"/>
  <c r="B139" i="66"/>
  <c r="D13" i="63" s="1"/>
  <c r="D45" s="1"/>
  <c r="C23" i="67"/>
  <c r="B23" s="1"/>
  <c r="B3"/>
  <c r="B18"/>
  <c r="C8" s="1"/>
  <c r="D8" s="1"/>
  <c r="E8" s="1"/>
  <c r="F8" s="1"/>
  <c r="G8" s="1"/>
  <c r="H8" s="1"/>
  <c r="I8" s="1"/>
  <c r="J8" s="1"/>
  <c r="K8" s="1"/>
  <c r="L8" s="1"/>
  <c r="M8" s="1"/>
  <c r="N8" s="1"/>
  <c r="AA30" i="66"/>
  <c r="B30"/>
  <c r="AT30"/>
  <c r="E30" i="67" s="1"/>
  <c r="AR30" i="66"/>
  <c r="C30" i="67" s="1"/>
  <c r="AB30" i="66"/>
  <c r="I27" i="63"/>
  <c r="J27"/>
  <c r="B140" i="66"/>
  <c r="D4" i="63" s="1"/>
  <c r="R4" s="1"/>
  <c r="C26" i="66"/>
  <c r="AQ41"/>
  <c r="B31" i="67" s="1"/>
  <c r="B142" i="66"/>
  <c r="D5" s="1"/>
  <c r="O5" s="1"/>
  <c r="AQ30"/>
  <c r="B30" i="67" s="1"/>
  <c r="K25" i="63" s="1"/>
  <c r="AC30" i="66"/>
  <c r="B141"/>
  <c r="C32"/>
  <c r="C41" s="1"/>
  <c r="AS41"/>
  <c r="D31" i="67" s="1"/>
  <c r="AR41" i="66"/>
  <c r="C31" i="67" s="1"/>
  <c r="AT41" i="66"/>
  <c r="E31" i="67" s="1"/>
  <c r="AC41" i="66"/>
  <c r="AA41"/>
  <c r="Z41"/>
  <c r="AB41"/>
  <c r="B41"/>
  <c r="Z30"/>
  <c r="S6" i="63"/>
  <c r="C120" i="55"/>
  <c r="D38" i="63"/>
  <c r="C24" i="67" l="1"/>
  <c r="B24" s="1"/>
  <c r="B14" s="1"/>
  <c r="B9"/>
  <c r="B13"/>
  <c r="O25" i="63"/>
  <c r="D12" i="66"/>
  <c r="N12" s="1"/>
  <c r="P25" i="63"/>
  <c r="B19" i="67"/>
  <c r="D4" i="66"/>
  <c r="O4" s="1"/>
  <c r="N26" i="63"/>
  <c r="O26"/>
  <c r="P26"/>
  <c r="K26"/>
  <c r="L26"/>
  <c r="M26"/>
  <c r="M25"/>
  <c r="L25"/>
  <c r="D5"/>
  <c r="Q5" s="1"/>
  <c r="Q13"/>
  <c r="R13"/>
  <c r="S13"/>
  <c r="D36"/>
  <c r="N5" i="66"/>
  <c r="C30"/>
  <c r="Q4" i="63"/>
  <c r="S4"/>
  <c r="D44"/>
  <c r="D9"/>
  <c r="D8" i="66"/>
  <c r="O12"/>
  <c r="S12" i="63"/>
  <c r="C9" i="67" l="1"/>
  <c r="D9" s="1"/>
  <c r="E9" s="1"/>
  <c r="F9" s="1"/>
  <c r="G9" s="1"/>
  <c r="H9" s="1"/>
  <c r="I9" s="1"/>
  <c r="J9" s="1"/>
  <c r="K9" s="1"/>
  <c r="L9" s="1"/>
  <c r="M9" s="1"/>
  <c r="N9" s="1"/>
  <c r="C14"/>
  <c r="D14" s="1"/>
  <c r="E14" s="1"/>
  <c r="F14" s="1"/>
  <c r="G14" s="1"/>
  <c r="H14" s="1"/>
  <c r="I14" s="1"/>
  <c r="J14" s="1"/>
  <c r="K14" s="1"/>
  <c r="L14" s="1"/>
  <c r="M14" s="1"/>
  <c r="N14" s="1"/>
  <c r="C13"/>
  <c r="D13" s="1"/>
  <c r="E13" s="1"/>
  <c r="F13" s="1"/>
  <c r="G13" s="1"/>
  <c r="H13" s="1"/>
  <c r="I13" s="1"/>
  <c r="J13" s="1"/>
  <c r="K13" s="1"/>
  <c r="L13" s="1"/>
  <c r="M13" s="1"/>
  <c r="N13" s="1"/>
  <c r="R5" i="63"/>
  <c r="D37"/>
  <c r="N4" i="66"/>
  <c r="S5" i="63"/>
  <c r="H30"/>
  <c r="R9"/>
  <c r="E26" s="1"/>
  <c r="D41"/>
  <c r="H26"/>
  <c r="S9"/>
  <c r="H31"/>
  <c r="D40"/>
  <c r="N8" i="66"/>
  <c r="O8"/>
  <c r="S8" i="63"/>
  <c r="Q9"/>
  <c r="D26" s="1"/>
  <c r="M4"/>
  <c r="F36" s="1"/>
  <c r="N4"/>
  <c r="C9" i="64" s="1"/>
  <c r="E31" i="63" l="1"/>
  <c r="I26"/>
  <c r="J26"/>
  <c r="L9" i="64"/>
  <c r="I9"/>
  <c r="F31" i="63"/>
  <c r="F30"/>
  <c r="E43"/>
  <c r="E47"/>
  <c r="E45"/>
  <c r="E40"/>
  <c r="E48"/>
  <c r="E42"/>
  <c r="E46"/>
  <c r="E41"/>
  <c r="E44"/>
  <c r="F26"/>
  <c r="D31"/>
  <c r="D7"/>
  <c r="R7" s="1"/>
  <c r="D7" i="66"/>
  <c r="E25" i="63" l="1"/>
  <c r="E32"/>
  <c r="H32"/>
  <c r="H25"/>
  <c r="S7"/>
  <c r="F25" s="1"/>
  <c r="N7" i="66"/>
  <c r="O7"/>
  <c r="Q7" i="63"/>
  <c r="D25" s="1"/>
  <c r="D39"/>
  <c r="M5"/>
  <c r="N5"/>
  <c r="I25" l="1"/>
  <c r="J25"/>
  <c r="N6"/>
  <c r="C7" i="64"/>
  <c r="M6" i="63"/>
  <c r="F37"/>
  <c r="E38"/>
  <c r="E35"/>
  <c r="E37"/>
  <c r="E39"/>
  <c r="E36"/>
  <c r="D32"/>
  <c r="F32"/>
  <c r="N7" l="1"/>
  <c r="C8" i="64" s="1"/>
  <c r="C6"/>
  <c r="I7"/>
  <c r="L7"/>
  <c r="M7" i="63"/>
  <c r="F38"/>
  <c r="L6" i="64" l="1"/>
  <c r="I6"/>
  <c r="L8"/>
  <c r="I8"/>
  <c r="F39" i="63"/>
  <c r="G37" s="1"/>
  <c r="M8" l="1"/>
  <c r="M9" s="1"/>
  <c r="G39"/>
  <c r="G36"/>
  <c r="G35"/>
  <c r="G38"/>
  <c r="F40" l="1"/>
  <c r="M10"/>
  <c r="F41"/>
  <c r="M11" l="1"/>
  <c r="F42"/>
  <c r="F43" l="1"/>
  <c r="M12" l="1"/>
  <c r="M13" s="1"/>
  <c r="F44" l="1"/>
  <c r="M14"/>
  <c r="F45"/>
  <c r="M15" l="1"/>
  <c r="F46"/>
  <c r="M16" l="1"/>
  <c r="F47"/>
  <c r="M17" l="1"/>
  <c r="F48"/>
  <c r="G43" s="1"/>
  <c r="G47" l="1"/>
  <c r="G46"/>
  <c r="G42"/>
  <c r="G45"/>
  <c r="G48"/>
  <c r="G41"/>
  <c r="G40"/>
  <c r="G44"/>
  <c r="M18"/>
  <c r="F49"/>
  <c r="M19" l="1"/>
  <c r="F50"/>
  <c r="M20" l="1"/>
  <c r="F51"/>
  <c r="M21" l="1"/>
  <c r="F53" s="1"/>
  <c r="F52"/>
  <c r="N8"/>
  <c r="G53" l="1"/>
  <c r="G51"/>
  <c r="N9"/>
  <c r="C10" i="64"/>
  <c r="G52" i="63"/>
  <c r="G49"/>
  <c r="G50"/>
  <c r="I10" i="64" l="1"/>
  <c r="L10"/>
  <c r="N10" i="63"/>
  <c r="C16" i="64"/>
  <c r="N11" i="63" l="1"/>
  <c r="C11" i="64"/>
  <c r="I16"/>
  <c r="L16"/>
  <c r="I11" l="1"/>
  <c r="L11"/>
  <c r="N12" i="63"/>
  <c r="C12" i="64"/>
  <c r="N13" i="63" l="1"/>
  <c r="C14" i="64"/>
  <c r="I12"/>
  <c r="L12"/>
  <c r="I14" l="1"/>
  <c r="L14"/>
  <c r="N14" i="63"/>
  <c r="C22" i="64"/>
  <c r="N15" i="63" l="1"/>
  <c r="C13" i="64"/>
  <c r="L22"/>
  <c r="I22"/>
  <c r="I13" l="1"/>
  <c r="L13"/>
  <c r="N16" i="63"/>
  <c r="C15" i="64"/>
  <c r="N17" i="63" l="1"/>
  <c r="C4" i="64"/>
  <c r="L15"/>
  <c r="I15"/>
  <c r="L4" l="1"/>
  <c r="I4"/>
  <c r="N18" i="63"/>
  <c r="C17" i="64"/>
  <c r="N19" i="63" l="1"/>
  <c r="C20" i="64"/>
  <c r="L17"/>
  <c r="I17"/>
  <c r="I20" l="1"/>
  <c r="L20"/>
  <c r="N20" i="63"/>
  <c r="C19" i="64"/>
  <c r="N21" i="63" l="1"/>
  <c r="C18" i="64" s="1"/>
  <c r="C21"/>
  <c r="I19"/>
  <c r="L19"/>
  <c r="L21" l="1"/>
  <c r="I21"/>
  <c r="L18"/>
  <c r="I18"/>
</calcChain>
</file>

<file path=xl/comments1.xml><?xml version="1.0" encoding="utf-8"?>
<comments xmlns="http://schemas.openxmlformats.org/spreadsheetml/2006/main">
  <authors>
    <author>Michel André Chabaneix</author>
  </authors>
  <commentList>
    <comment ref="U2" authorId="0">
      <text>
        <r>
          <rPr>
            <sz val="9"/>
            <color indexed="81"/>
            <rFont val="Tahoma"/>
            <family val="2"/>
          </rPr>
          <t>25% additional implementation cost from base case to accommodate smart DR for residential.</t>
        </r>
      </text>
    </comment>
    <comment ref="AE2" authorId="0">
      <text>
        <r>
          <rPr>
            <sz val="9"/>
            <color indexed="81"/>
            <rFont val="Tahoma"/>
            <family val="2"/>
          </rPr>
          <t>Assuming add 50% to reflect higher cost than smart incentives and technology enablement costs for the balancing services (DR management systems)</t>
        </r>
      </text>
    </comment>
    <comment ref="Q5" authorId="0">
      <text>
        <r>
          <rPr>
            <sz val="9"/>
            <color indexed="81"/>
            <rFont val="Tahoma"/>
            <family val="2"/>
          </rPr>
          <t>Assumes same technology cost as PCT.</t>
        </r>
      </text>
    </comment>
    <comment ref="R5" authorId="0">
      <text>
        <r>
          <rPr>
            <sz val="9"/>
            <color indexed="81"/>
            <rFont val="Tahoma"/>
            <family val="2"/>
          </rPr>
          <t>Assumes same installation cost as PCT.</t>
        </r>
      </text>
    </comment>
    <comment ref="L6" authorId="0">
      <text>
        <r>
          <rPr>
            <sz val="9"/>
            <color indexed="81"/>
            <rFont val="Tahoma"/>
            <family val="2"/>
          </rPr>
          <t>Based on 2009 FERC study saturation data.</t>
        </r>
      </text>
    </comment>
    <comment ref="L8" authorId="0">
      <text>
        <r>
          <rPr>
            <sz val="9"/>
            <color indexed="81"/>
            <rFont val="Tahoma"/>
            <family val="2"/>
          </rPr>
          <t xml:space="preserve">Assume 58% of cooling saturation, and 60% of commercial customers are in the small category.
</t>
        </r>
      </text>
    </comment>
    <comment ref="N8" authorId="0">
      <text>
        <r>
          <rPr>
            <sz val="9"/>
            <color indexed="81"/>
            <rFont val="Tahoma"/>
            <family val="2"/>
          </rPr>
          <t>Assumption: Assumes commercial AC is still operational in the winter due to internal heat sources (humans).</t>
        </r>
      </text>
    </comment>
    <comment ref="L9" authorId="0">
      <text>
        <r>
          <rPr>
            <sz val="9"/>
            <color indexed="81"/>
            <rFont val="Tahoma"/>
            <family val="2"/>
          </rPr>
          <t>Assume 58% of cooling saturation, and 30% of commercial customers are in the small category</t>
        </r>
      </text>
    </comment>
    <comment ref="W10" authorId="0">
      <text>
        <r>
          <rPr>
            <sz val="9"/>
            <color indexed="81"/>
            <rFont val="Tahoma"/>
            <family val="2"/>
          </rPr>
          <t>Assumes 25% of lighting systems have automation controls</t>
        </r>
      </text>
    </comment>
    <comment ref="N11" authorId="0">
      <text>
        <r>
          <rPr>
            <sz val="9"/>
            <color indexed="81"/>
            <rFont val="Tahoma"/>
            <family val="2"/>
          </rPr>
          <t>Assume there is more irrigation activity in the summer months than in the winter.</t>
        </r>
      </text>
    </comment>
    <comment ref="N12" authorId="0">
      <text>
        <r>
          <rPr>
            <b/>
            <sz val="9"/>
            <color indexed="81"/>
            <rFont val="Tahoma"/>
            <family val="2"/>
          </rPr>
          <t>Michel André Chabaneix:</t>
        </r>
        <r>
          <rPr>
            <sz val="9"/>
            <color indexed="81"/>
            <rFont val="Tahoma"/>
            <family val="2"/>
          </rPr>
          <t xml:space="preserve">
Process related isn't affected by seasonality.</t>
        </r>
      </text>
    </comment>
    <comment ref="Q12" authorId="0">
      <text>
        <r>
          <rPr>
            <sz val="9"/>
            <color indexed="81"/>
            <rFont val="Tahoma"/>
            <family val="2"/>
          </rPr>
          <t xml:space="preserve">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r>
      </text>
    </comment>
    <comment ref="Q13" authorId="0">
      <text>
        <r>
          <rPr>
            <sz val="9"/>
            <color indexed="81"/>
            <rFont val="Tahoma"/>
            <family val="2"/>
          </rPr>
          <t xml:space="preserve">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r>
      </text>
    </comment>
    <comment ref="N14" authorId="0">
      <text>
        <r>
          <rPr>
            <sz val="9"/>
            <color indexed="81"/>
            <rFont val="Tahoma"/>
            <family val="2"/>
          </rPr>
          <t>Assumption: External cold would</t>
        </r>
      </text>
    </comment>
  </commentList>
</comments>
</file>

<file path=xl/sharedStrings.xml><?xml version="1.0" encoding="utf-8"?>
<sst xmlns="http://schemas.openxmlformats.org/spreadsheetml/2006/main" count="1794" uniqueCount="549">
  <si>
    <t>TOU</t>
  </si>
  <si>
    <t>Year</t>
  </si>
  <si>
    <t>Industrial</t>
  </si>
  <si>
    <t>Residential</t>
  </si>
  <si>
    <t>Commercial</t>
  </si>
  <si>
    <t>Tier 1 - Highly Relevant</t>
  </si>
  <si>
    <t>Tier 2 - Relevant</t>
  </si>
  <si>
    <t>Tier 3 - Partial Relevance</t>
  </si>
  <si>
    <t>Tier 4 - Not Directly Relevant, but Related</t>
  </si>
  <si>
    <t xml:space="preserve"> </t>
  </si>
  <si>
    <t>Index</t>
  </si>
  <si>
    <t>Study</t>
  </si>
  <si>
    <t>Program Strategies</t>
  </si>
  <si>
    <t>Annual Attrition (%)</t>
  </si>
  <si>
    <t>Per Customer Impacts (kW)</t>
  </si>
  <si>
    <t>Marketing Cost</t>
  </si>
  <si>
    <t>Eligible Load (%)</t>
  </si>
  <si>
    <t>Program Participation (%)</t>
  </si>
  <si>
    <t>Event Participation (%)</t>
  </si>
  <si>
    <t>Single-family and Manufactured 20%; 
Multifamily 0%</t>
  </si>
  <si>
    <t>$280/water heat switch; 
$370/thermostat; 
$275/digital internet gateway</t>
  </si>
  <si>
    <t>Central Heating $32; 
Water Heating $8</t>
  </si>
  <si>
    <t>Central Heating 50%; 
Water Heating 100%</t>
  </si>
  <si>
    <t>1.74 central heat; 
0.58 water heat</t>
  </si>
  <si>
    <r>
      <t>Residential DLC (space and water heat)
[</t>
    </r>
    <r>
      <rPr>
        <i/>
        <sz val="11"/>
        <color theme="1"/>
        <rFont val="Calibri"/>
        <family val="2"/>
        <scheme val="minor"/>
      </rPr>
      <t>Table 35]</t>
    </r>
  </si>
  <si>
    <r>
      <t xml:space="preserve">Residential DLC (room and water heat)
</t>
    </r>
    <r>
      <rPr>
        <i/>
        <sz val="11"/>
        <color theme="1"/>
        <rFont val="Calibri"/>
        <family val="2"/>
        <scheme val="minor"/>
      </rPr>
      <t>[Table 38]</t>
    </r>
  </si>
  <si>
    <t>0.05 room heat;
0.58 water heat</t>
  </si>
  <si>
    <t>$280/water heat switch;
$280/baseboard switch;
$275/digital internet gateway</t>
  </si>
  <si>
    <t>Room Heating $32;
Water Heating $8</t>
  </si>
  <si>
    <t>Room Heating 50%;
Water Heating 100%</t>
  </si>
  <si>
    <t>Single-family and Manufactured 20%;
Multifamily 0% Room Heating, 20% Water Heat</t>
  </si>
  <si>
    <t>Vendor Costs</t>
  </si>
  <si>
    <t>$80/kW</t>
  </si>
  <si>
    <t>N/A</t>
  </si>
  <si>
    <t>Overhead: First Costs</t>
  </si>
  <si>
    <r>
      <t xml:space="preserve">Technology Cost </t>
    </r>
    <r>
      <rPr>
        <sz val="11"/>
        <color theme="1"/>
        <rFont val="Calibri"/>
        <family val="2"/>
        <scheme val="minor"/>
      </rPr>
      <t>(per new participant)</t>
    </r>
  </si>
  <si>
    <r>
      <t xml:space="preserve">Technical Potential 
</t>
    </r>
    <r>
      <rPr>
        <sz val="11"/>
        <color theme="1"/>
        <rFont val="Calibri"/>
        <family val="2"/>
        <scheme val="minor"/>
      </rPr>
      <t>(as a percent of gross)</t>
    </r>
  </si>
  <si>
    <r>
      <t xml:space="preserve">Residential Critical Peak Pricing
</t>
    </r>
    <r>
      <rPr>
        <i/>
        <sz val="11"/>
        <color theme="1"/>
        <rFont val="Calibri"/>
        <family val="2"/>
        <scheme val="minor"/>
      </rPr>
      <t>[Table 44]</t>
    </r>
  </si>
  <si>
    <r>
      <t xml:space="preserve">Annual Administrative Costs 
</t>
    </r>
    <r>
      <rPr>
        <sz val="11"/>
        <color theme="1"/>
        <rFont val="Calibri"/>
        <family val="2"/>
        <scheme val="minor"/>
      </rPr>
      <t>(% of annual costs)</t>
    </r>
  </si>
  <si>
    <r>
      <t xml:space="preserve">Annual Vendor Administrative Costs 
</t>
    </r>
    <r>
      <rPr>
        <sz val="11"/>
        <color theme="1"/>
        <rFont val="Calibri"/>
        <family val="2"/>
        <scheme val="minor"/>
      </rPr>
      <t>(% of annual costs)</t>
    </r>
  </si>
  <si>
    <t>Assumes administrative adder of 15%</t>
  </si>
  <si>
    <t>Smart Thermostat: $200 installation and $315 for the meter, based on $150 for the installed cost of radio frequency devices (CEC 2004 report) plus an additional $150 to upgrade to AMI and $15/customer communication charge.</t>
  </si>
  <si>
    <t>Marketing costs are based on one-half hour of staff time valued
at $50/hour (fully-loaded).</t>
  </si>
  <si>
    <t>This value accounts for annual per-customer communication of a
one-way transmission system.</t>
  </si>
  <si>
    <t>All residential customers are eligible.</t>
  </si>
  <si>
    <t>An average statewide reduction of 27% was found for the
California residential pilot CPP programs implemented in the
summer (Charles River Associates, 2005) with an on-peak rate
approximately 6 times the off-peak rate. PSE’s experience with a
C&amp;I pilot shows that winter events save about 50% less than
summer events; therefore, event participation was reduced to
15%.</t>
  </si>
  <si>
    <t>Gulf Power reported 8,500 participants as of October 2006, out of 350,000 residential customers (2.4%). (Sources: Jim Thompson presentation to PURC Energy Policy Roundtable, October 31, 2006; and FERC Form 861 data, 2005.) Gulf Power expects to reach at least 10% penetration. (Source: Dynamic Pricing, Advanced Metering and Demand Response in Electricity Markets, Severin Borenstein, Michael Jaske, and Arthur Rosenfeld, October 2002.) 2009 FERC study reports a 5% maximum participation rate.</t>
  </si>
  <si>
    <t>Event participation is captured in the average load impact.</t>
  </si>
  <si>
    <t>Based on PSE's estimate.</t>
  </si>
  <si>
    <t>$500 (per new participant)</t>
  </si>
  <si>
    <t>Assumes 10 hours of effort by staff, valued at $50/hour. An additional hour per year is assumed for ongoing marketing and customer support.</t>
  </si>
  <si>
    <r>
      <t xml:space="preserve">Incentive 
</t>
    </r>
    <r>
      <rPr>
        <sz val="11"/>
        <color theme="1"/>
        <rFont val="Calibri"/>
        <family val="2"/>
        <scheme val="minor"/>
      </rPr>
      <t>(annnual costs)</t>
    </r>
  </si>
  <si>
    <t>There are no customer incentives, but customers may have a lower bill than they would have on a standard rate.</t>
  </si>
  <si>
    <t>Standard program development assumption, including necessary internal labor, research, and IT/billing system changes.</t>
  </si>
  <si>
    <t>5% (as a percent of Load Basis)</t>
  </si>
  <si>
    <t>In the 2010 CA Statewide Nonresidential CPP Evaluation, program impacts ranged from 2.8% to 5.26% of load for SCE, SDG&amp;E and PG&amp;E. In 2011, load impacts ranged by utility: PG&amp;E averaged 5.9%, SCE averaged 5.7% and SDG&amp;E averaged 5.8%.</t>
  </si>
  <si>
    <t>Opt-in CPP programs typically exhibit low participation rates. In 2005, California experienced 1.1% participation rate across the state, which accounted for a total of 2.9% of peak load being enrolled. Individual utility participation ranged from 3.5% for PG&amp;E to 0.1% for SCE. PG&amp;E’s onpeak energy rates during High-Price Periods and Moderate-Price Periods are five times and three times higher, respectively, than on-peak energy rates during non-event days. High-Price Periods and Moderate-Price Periods are about 9.3 times and 3.3 times higher, respectively, than on-peak rates during non-event.</t>
  </si>
  <si>
    <t>Studies found 7% (composed of 5% change-of-service and 2% removals) from utilities, including: PacifiCorp, Xcel Energy, Eon US, Sacramento Municipal Utility District, Florida Power and Light (removals range from 1% to 3%). Removals are accounted for in event participation.</t>
  </si>
  <si>
    <t>Based on PSE’s central and water heating pilot. Per switch impacts are weighted by the morning and afternoon impacts.</t>
  </si>
  <si>
    <t>An additional utility administrative cost is added to the vendor program cost.</t>
  </si>
  <si>
    <t>Based on research of vendor bids and informal communications with vendors. Includes maintenance, administrative labor, and dispatch software.</t>
  </si>
  <si>
    <t>Based on PSE's Residential Demand Response Pilot Program. These costs include labor for installation.</t>
  </si>
  <si>
    <t>Assumes 0.5 hour of staff time, valued at $50/hour (fully loaded). Based on research of vendor bids and informal communications with vendors.</t>
  </si>
  <si>
    <t>Incentives range from $30 to $35 for most utilities for one piece of equipment and $8 for additional equipment. PSE’s pilot program offered $50 for both central and water heating.</t>
  </si>
  <si>
    <t>This value accounts for annual per-customer communication of a one-way transmission system.</t>
  </si>
  <si>
    <t>Assumes all electric central heating customers and associated loads qualify for the program.</t>
  </si>
  <si>
    <t>Assumes all central heating units and heat pumps can be retrofit, and the program employs a 50% cycling strategy. Due to the tank, water heaters can be shut off for the entire event (100% reduction).</t>
  </si>
  <si>
    <t>Assumes 20% of single-family and manufactured homes with electric central heating will participate. Minimal data for DLC heating programs exist; therefore, this assumption has been based on the average participation rate for national DLC cooling programs (between 15% and 20% of all residential customers, which translates to 20% to 30% of eligible customers). This is consistent with the 2009 FERC study estimate of 25% program participation for DLC cooling programs.
As customers with electric central heating will include water heating, the
water heating participation rates reflect the portion of electric water heaters
in homes with electric central heating.
Due to difficulties in reaching the multifamily segment, these customers
have been removed from the potential.</t>
  </si>
  <si>
    <t>Based on utility experience with DLC cooling programs, accounting for homeowners removing units and operational breakdowns (from 2.5% to 5.8%).</t>
  </si>
  <si>
    <t>Studies have found 7% (composed of 5 % change-of-service and 2% removals) from utilities, including: PacifiCorp, Xcel Energy, Eon US, Sacramento Municipal Utility District,,
Florida Power and Light (removals range from 1% to 3%). Removals are accounted for in event participation.</t>
  </si>
  <si>
    <t>Marketing costs are based on 0.5 hour of staff time, valued at $50/hour (fully loaded).</t>
  </si>
  <si>
    <t>Assumes all room units can be retrofit and the program employs a 50% cycling strategy. Due to the tank, water heating can be shut off for the entire event (100% reduction).</t>
  </si>
  <si>
    <t>Assumes 20% of customers with electric room heating will participate. Minimal data for DLC heating programs exists; therefore, the assumption is based on the average
participation rate for national programs for DLC AC programs (between 15% and 20% of all residential customers, which translates to 20% to 30% of eligible customers).
Due to the difficulty of reaching the multifamily segment, it is assumed that multifamily customers will only participate in this program’s water heating portion.
All customers with electric room heating will include water heating in the program; so participation rates have been adjusted to account for the percentage of electric heating
customers with electric water heat.</t>
  </si>
  <si>
    <r>
      <t xml:space="preserve">Commercial &amp; Industrial Critical Peak Pricing
</t>
    </r>
    <r>
      <rPr>
        <i/>
        <sz val="11"/>
        <color theme="1"/>
        <rFont val="Calibri"/>
        <family val="2"/>
        <scheme val="minor"/>
      </rPr>
      <t>[Table 46]</t>
    </r>
  </si>
  <si>
    <r>
      <t xml:space="preserve">Commercial &amp; Industrial Curtailment
</t>
    </r>
    <r>
      <rPr>
        <i/>
        <sz val="11"/>
        <color theme="1"/>
        <rFont val="Calibri"/>
        <family val="2"/>
        <scheme val="minor"/>
      </rPr>
      <t>[Table 41]</t>
    </r>
  </si>
  <si>
    <t>Administrative costs are rolled into the $/kW cost.</t>
  </si>
  <si>
    <t>Based on third-party aggregator bid.</t>
  </si>
  <si>
    <t>Included in third-party aggregator bid.</t>
  </si>
  <si>
    <t>Customers shed between 26.9% and 34% of load for day-of and dayahead events, respectively (2010 and 2011 Statewide Aggregator Demand Response Programs: Final Report, Christensen Associates).</t>
  </si>
  <si>
    <t>Programs across the country experience participation rates from 4% (the Mid American Curtailment Program has 4.5%) to 30% (Georgia Power and Indiana Michigan Power Company).</t>
  </si>
  <si>
    <t>Range of PJM and MidAm programs (90%-95%).</t>
  </si>
  <si>
    <t>LADWP DR Strategy_Model Input Assumptions 2013-12-19</t>
  </si>
  <si>
    <t>NCI</t>
  </si>
  <si>
    <t>CPP</t>
  </si>
  <si>
    <t>CII Curtailable Load</t>
  </si>
  <si>
    <t>Direct Load Control</t>
  </si>
  <si>
    <t>XRT</t>
  </si>
  <si>
    <t>AMP</t>
  </si>
  <si>
    <t>1. Assumed that duel-enrollment in DR programs is not allowed with this program. This value represents the maximum participation of eligible customers after adjusting to ensure dual-enrollment is not counted.
Navigant analysis, based on experience with other similar utilities and participation seen in CA IOU BIP programs, Capacity Bidding Programs, and FERC's National Assessment of Demand Resposne Potential. Participation expected to be refined for the X-Large and Large categories (i.e., the Premier Account customers), based on feedback from LADWP's Premier Accounts reps.
"2012 Load Impact Evaluation of California's Statewide Base Interruptible Program", Prepared for: Southern California Edison Co., Pacific Gas &amp; Electric Co., San Diego Gas &amp; Electric by Freeman, Sullivan &amp; Co., April 1, 2013.</t>
  </si>
  <si>
    <t>2. $/kW-yr: Annual estimate of monthly capacity incentive payments, based on incentives provided by Progress Energy Carolinas, KCP&amp;L, HECO, and CA IOUs in Capacity Bidding Programs. Based on $8/kW-month for a four month program season for LADWP.
$/kWh: Based on variable program incentives for KCP&amp;L's MPower C&amp;I curtailment program.</t>
  </si>
  <si>
    <t xml:space="preserve">3. Average of costs for customers with and without a Building Management System (BMS). $2500 on CII side assumes that roughly 50% of customers have BMS and thus their device costs are around $500; the others need some sort of low-cost BMS or gateway plus points. Does not include labor costs associated with installation and integration.     </t>
  </si>
  <si>
    <t>% of Customers w/ Eligible Equipment</t>
  </si>
  <si>
    <t xml:space="preserve">"1. ""Los Angeles Department of Water and Power Energy Efficiency and Demand Response Potential Study, Volume 1: Energy Efficiency Potential"", Global Energy Partners, February, 2011. 
In absence of additional information, small commercial CAC penetration is based on penetration of CAC for all commercial customers."       
</t>
  </si>
  <si>
    <t xml:space="preserve">2. Assumed that duel-enrollment in DR programs is not allowed with this program. This value represents the maximum participation of eligible customers after adjusting to ensure dual-enrollment is not counted.       
"3. For Res - CAC &amp; Small Comm CAC: Esource: Participation is the percent of customers with eligible equipment that participate, so the actual participation is closer to 12% of all customers for residential and less than 1% for small commercial. Source: ""Hot or Not: DLC Program Benchmarks: How Do You Compare?"",  Advanced Load Control Alliance-Spring 2012 
For Res Window AC &amp; Res Pool Pump: Navigant analysis. Information about participation in these program types is less commonly available. Direct load control for window AC is a recent development and customer participation rates are still uncertain."       
</t>
  </si>
  <si>
    <t>Red CAC 50% Cycling (25% max);
Res CAC 75% Cycling (25% max);
Res CAC 100% Cycling (25% max);
Small Comm CAC (1.2% max);
Res Window AC (5% max);
Res Poll Pump (10% max);
*maximum participation (% of customers w/ eligible equipment)</t>
  </si>
  <si>
    <t>Red CAC 50% Cycling (47%);
Res CAC 75% Cycling (47%);
Res CAC 100% Cycling (47%);
Small Comm CAC (58%);
Res Window AC (33%);
Res Poll Pump (9%);</t>
  </si>
  <si>
    <t>Red CAC 50% Cycling ($40/new participant, $40/existing participant, $40/kW (one time));
Res CAC 75% Cycling ($60/new participant, $60/existing participant, $60/kW (one time));
Res CAC 100% Cycling ($75/new participant, $75/existing participant, $75/kW (one time));
Small Comm CAC ($60/new participant, $60/existing participant, $60/kW (one time));
Res Window AC ($40/new participant, $40/existing participant, $40/kW (one time));
Res Poll Pump ($30/new participant, $30/existing participant, $30/kW (one time));</t>
  </si>
  <si>
    <t xml:space="preserve">"4. This incentive is in line with other incentives offered around the country. Source: ""Hot or Not: DLC Program Benchmarks: How Do You Compare?"",  Advanced Load Control Alliance-Spring 2012.
Choice of an annual incentive to both new and existing participants is based on incentives provided by other CA IOUs and PG&amp;E's experience that a higher rate of attrition occurs without an ongoing incentive (Discussion with Andrew Hoffman, PG&amp;E, 10/24/13). ESource says 39% of incentives are yearly and 39% are monthly with many fewer utilities providing non-cash incentives or one-time enrollment incentives.
For comparison, a 2.5 ton A/C signed up on SCE's Summer Discount Plan would be paid $56 and $159 annually for 50% and 100% cycling, respectively. A 2.5 ton A/C signed up on SDG&amp;E's Summer Saver program would be paid $29 and $95 annually for 50% and 100% cycling, respectively. The summer season (when A/C's are available for cycling) is 6 months long for SDG&amp;E and 5 months for SCE. LADWP's summer season is 4 months.
SDG&amp;E source: http://www.sdge.com/summer-saver-program
SCE source: https://www.sce.com/NR/sc3/tm2/pdf/ce177.pdf"       </t>
  </si>
  <si>
    <t>Red CAC 50% Cycling (1.1 devices per customer (load switch), $60/device (load switch));
Res CAC 75% Cycling (1.1 devices per customer (load switch), $60/device (load switch));
Res CAC 100% Cycling (1.1 devices per customer (load switch), $60/device (load switch));
Small Comm CAC (1.9 devices per customer (load switch), $100/device (load switch));
Res Window AC (1.1 devices per customer (load switch), $60/device (load switch));
Res Poll Pump (1.0 devices per customer (load switch), $60/device (load switch));</t>
  </si>
  <si>
    <t xml:space="preserve">4. Assumed in this analysis that LADWP does not offer this expanded TOU rate for mass market customers until AMI metering is in place, since interval metering is required for TOU. The costs presented here for AMI meters are only considered as part of the scenario analysis and are not included in the base case analysis. Meter quantites based on "Meter Prefix by Rate.xlsx" from LADWP.     
"5.  For X-Large, Large &amp; Medium Customers: Cost/device of AMI meter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Does include labor costs associated with installation and integration or transformer buildup.
For Res &amp; Small Customers: Cost/device of AMI based on ""Meter and meter build up costs 11-15-13.xlsx"" file from LADWP. Does not include labor costs associated with installation and integration or transformer buildup costs."     </t>
  </si>
  <si>
    <r>
      <t xml:space="preserve">Communication Costs </t>
    </r>
    <r>
      <rPr>
        <sz val="11"/>
        <color theme="1"/>
        <rFont val="Calibri"/>
        <family val="2"/>
        <scheme val="minor"/>
      </rPr>
      <t>(per Customer Per Year)</t>
    </r>
  </si>
  <si>
    <t>X-Large (N/A);
Large (N/A);
Medium (N/A);
Small (10% max, 2.7% initial);
Residential (20% max, 0.1% initial)</t>
  </si>
  <si>
    <t>X-Large (40%);
Large (30%);
Medium (8.2%);
Auto DR | Large (10%);
Auto DR | Medium (3%);</t>
  </si>
  <si>
    <t>X-Large ($32 $/kW-yr, $0.35/kWh);
Large ($32/kW-yr, $0.35/kWh);
Medium ($32 $/kW-yr, $0.35/kWh);
Auto DR | Large ($40/kW-yr, $0.35/kWh);
Auto DR | Medium ($40/kW-yr, $0.35/kWh);</t>
  </si>
  <si>
    <t>X-Large (N/A);
Large (N/A);
Medium (N/A);
Auto DR | Large (system, $2,500);
Auto DR | Medium (system, $2,500)</t>
  </si>
  <si>
    <t>X-Large (N/A);
Large (N/A);
Medium (N/A);
Small (1.6 devices per customer (TOU switch), $425 per device (TOU switch));
Residential (1.1 devices per customer (TOU switch), $103 per device (TOU switch))</t>
  </si>
  <si>
    <t>X-Large (11.5 devices per customer (AMI meter), $550 per device (AMI meter));
Large (11.5 devices per customer (AMI meter), $550 per device (AMI meter));
Medium (4.2 devices per customer (AMI meter), $550 per device (AMI meter));
Small (1.6 devices per customer (AMI meter), $425 per device (AMI meter));
Residential (1.1 devices per customer (AMI meter), $103 per device (AMI meter))</t>
  </si>
  <si>
    <t xml:space="preserve">"5. The costs for the AMI meters required for this program are only considered as part of the scenario analysis and are not included in the base case analysis.
Meter quantites procured from ""Meter Prefix by Rate.xlsx"" from LADWP."    
"6.  For X-Large, Large &amp; Medium Customers: Cost/device of AMI meter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Does include labor costs associated with installation and integration or transformer buildup.
For Res &amp; Small Customers: Cost/device of AMI based on ""Meter and meter build up costs 11-15-13.xlsx"" file from LADWP. Does not include labor costs associated with installation and integration or transformer buildup costs."    </t>
  </si>
  <si>
    <t>X-Large (30%);
Large (30%);
Medium (20%);
Small (3%);
Residential (11%)</t>
  </si>
  <si>
    <t xml:space="preserve">2. For X-Large &amp; Large CPP: The FSC Group, "2012 California Statewide Non-residential Critical Peak Pricing Evaluation," April 1, 2013    
3. For Med CPP &amp; Small CPP: Navigant Analysis. Participation from these customer groups are currently more uncertain within the industry.    
4. For Res CPP: Max participation at full saturation assumed to be 15%, based on SMUD's ability to surpass their 15% goal in the first year of their Res TOU &amp; CPP pilots. http://www.demandresponsetownmeeting.com/wp-content/uploads/2012/03/1A-0830-GEORGE.pdf. Adjusted to 11% to reflect participation levels in 2026, since the program is not expected to reach full saturation by then if not deployed until 2022.     </t>
  </si>
  <si>
    <t xml:space="preserve">1. For X-Large, Large &amp; Med TOU: Not included in the analysis, since these customers are already on default TOU. 
2. For Res TOU: Limited to 20% based on Oklahoma Gas &amp; Electric's experience (Email communications with Brian Eakin, Navigant, 10/25/13) as an "aggressively achievable goal" for LADWP. Small Commercial participation rates are less well known and assumed to participate at half the rate of residential. Assumed that duel-enrollment in DR programs is not allowed with this program. This value represents the maximum participation of eligible customers after adjusting to ensure dual-enrollment is not counted.     
3. LADWP Data Request for current number of customers on R1-B and A1-B TOU rates - "Monthly Rate Class Customers1.mdb"     
</t>
  </si>
  <si>
    <t>% Bill Reduction per Year</t>
  </si>
  <si>
    <t>X-Large (0%);
Large (0%);
Medium (0%);
Small (0%);
Residential (5%)</t>
  </si>
  <si>
    <t xml:space="preserve">7. This input is dependent on the actual CPP rate design and is expected to be refined once that rate is determined through further analysis. Preliminary estimate is based on typical bill savings for other utilities with CPP, such as OG&amp;E, and thought to be conservative.    
7. This input is dependent on the actual CPP rate design and is expected to be refined once that rate is determined through further analysis. Preliminary estimate is based on typical bill savings for other utilities with CPP, such as OG&amp;E, and thought to be conservative.    
7. This input is dependent on the actual CPP rate design and is expected to be refined once that rate is determined through further analysis. Preliminary estimate is based on typical bill savings for other utilities with CPP, such as OG&amp;E, and thought to be conservative.    
</t>
  </si>
  <si>
    <t>EV Service Rider</t>
  </si>
  <si>
    <t>X-Large (11.5 devices per customer (TOU meter), $550 per device (TOU meter));
Large (11.5 devices per customer (TOU meter), $550 per device (TOU meter));
Medium (4.2 devices per customer (TOU meter), $550 per device (TOU meter));
Small (1.6 devices per customer (TOU meter), $425 per device (TOU meter));
Residential (1.1 devices per customer (TOU meter), $103 per device (TOU meter))</t>
  </si>
  <si>
    <t xml:space="preserve">6. Meter quantites procured from "Meter Prefix by Rate.xlsx" from LADWP.      
7. Cost/device of TOU meter for X-Large/Large/Medium based on average cost of 600 kV and 34.5 kV C&amp;I meter costs in "Meter and meter build up costs 11-15-13.xlsx" from Jason Rondou, LADWP, 11/15/13. Also based on installed cost of $750 per C&amp;I TOU meter from "LADWP DR Data Request Memo_9-26-13 JR update 10-21-13.docx" from Jason Rondou, LADWP, 10/21/13. Cost/device of TOU meter with remote disconnect for Res/Small based on "Meter and meter build up costs 11-15-13.xlsx" file from LADWP. Does not include labor costs associated with installation and integration or transformer buildup costs.
8. NOTE: Level 2 EV chargers will be installed for these customers but we are assuming that these costs are not incurred for the purpose of DR and therefore not included in this analysis.       
</t>
  </si>
  <si>
    <t>2013 Total Qty of EV's in LADWP Territory = 4,052
2026 Total Qty of EV's in LADWP Territory = 230,000
2013 EV Service Rider Participants = 737
2026 EV Service Rider Participarion (% of Evs) = 18%
2026 EV Service Rider Participants = 39,846</t>
  </si>
  <si>
    <t xml:space="preserve">1. "According to the Center for Sustainable Energy (State Rebates) there are 4052 plug-in vehicles in LA." From "LADWP DR Data Request Memo_9-26-13 JR update 10-21-13.docx" provided by Jason Rondou, LADWP, 10/21/13.       
2. Jeffrey Dubin, et al., “Realizing the Potential of the Los Angeles Electric Vehicle Market,” Luskin Center for Innovation, UCLA Anderson School of Management, May 2011. Assumes constant growth of 3,161 EVs per year.       
3. "Partial Answers to Rates Questions Submitted via Email on August 15, 2013" in "Rates Follow Up Questions 8-15-13.docx" sent by LADWP on 9/4/13.       
4. Based on percentage of 2013 Total Qty of EV's in LADWP Territoy that are 2013 EV Service Rider Participants. Current participation assumed constant throughout analysis time period.       
5. Based on percentage of EV chargers by customer segment (e.g., Residential vs. Workplace/Public/Private). Navigant Research, "Electric Vehicle Charging Equipment ", Published 3Q 2013, "EVCE-13 Navigant Research.xlsx"       
</t>
  </si>
  <si>
    <t>CII Customers Maximum Participation (Qty of Customers) = 0
CII Customers Initial Participation (Qty of Customers) = 9</t>
  </si>
  <si>
    <t>CII Customers (3%)</t>
  </si>
  <si>
    <t xml:space="preserve">1. LADWP Data Request for current number of customers on XRT rates - "Monthly Rate Class Customers1.mdb"   
3. The analysis assumes that XRT is phased out over time.    </t>
  </si>
  <si>
    <t xml:space="preserve">2. Initial assumption; further analysis recommended   
</t>
  </si>
  <si>
    <t>CII Customers Maximum Participation (Qty of Customers) = 18
CII Customers Initial Participation (Qty of Customers) = 6</t>
  </si>
  <si>
    <t>CII Customers (5%)</t>
  </si>
  <si>
    <t xml:space="preserve">1. LADWP Data Requests and discussion with LADWP that the current number of berths participating in AMP has the potential to triple.   
</t>
  </si>
  <si>
    <t>Direct Load Control (DLC)</t>
  </si>
  <si>
    <t>Curtailable tariffs</t>
  </si>
  <si>
    <t>Time-of-use (TOU) rates</t>
  </si>
  <si>
    <t>Critical peak pricing (CPP) rates</t>
  </si>
  <si>
    <t>Peak time rebates (PTR)</t>
  </si>
  <si>
    <t>End uses are remotely cycled or shut down and customers are given a incentive payment for participating</t>
  </si>
  <si>
    <t>Eligible customers agree to reduce demand to pre-specified levels and receive an incentive payment that varies with the load curtailment level</t>
  </si>
  <si>
    <t>Divides every day into time periods and provides a schedule of rates for each period; the assumed price differential between the peak and off-peak periods is 2-to-1</t>
  </si>
  <si>
    <t>Customers pay a higher price during peak hours on a limited number of days of the year, and receive a discount during all other hours; the assumed price differential is 4.4-to-1 (based on PGE’s ongoing pilot)</t>
  </si>
  <si>
    <t>Customers are paid for peak period load reductions during a limited number of hours of the year</t>
  </si>
  <si>
    <t>Benefit-Cost Ratio</t>
  </si>
  <si>
    <t>Residential (1.54);
Small C&amp;I (1.69);
Medium C&amp;I (2.27);
Large C&amp;I (3.62)</t>
  </si>
  <si>
    <t>Large C&amp;I (2.97)</t>
  </si>
  <si>
    <t>Residential (1.18);
Small C&amp;I (0.33)</t>
  </si>
  <si>
    <t>Residential (1.85);
Small C&amp;I (1.48);
Medium C&amp;I (1.6);
Large C&amp;I (6.31)</t>
  </si>
  <si>
    <t>Residential (0.93);
Small C&amp;I (0.02)</t>
  </si>
  <si>
    <t>?</t>
  </si>
  <si>
    <t>*available within model</t>
  </si>
  <si>
    <t>Avoided peaking generation capacity ($95/kW-year);
Avoided wheeling charges ($18/kW-year);
Better pricing signals, more equitable cost allocation;
Possible environmental benefits;
Improved customer satisfaction;
Improved post-outage power restoration;
Improved distribution-level reliability;
Suppoer for more reliable integration of renewables</t>
  </si>
  <si>
    <t>Curtailment Tariff</t>
  </si>
  <si>
    <t>Automated Demand Response</t>
  </si>
  <si>
    <t>Water Heater Direct Load Control Pilot - Salem Smart Grid Project</t>
  </si>
  <si>
    <t>Smart Water Heater Direct Load Control Pilot</t>
  </si>
  <si>
    <t>PGE currently has 16 MW participating and available for curtailment in its Schedule 77, Firm Load Reduction Program. As reported previously, the tariff is callable up to 48 hours per year and PGE is on track to achieve the targeted 20 MW by 2015 as listed in Table 4-2. This past August, PGE transitioned Schedule 77 from a pilot to a program.</t>
  </si>
  <si>
    <t>As of November 14, PGE has enrolled nine customers. It is projected these customers may achieve roughly 3 MW of demand reduction, subject to validation this winter after equipment installation. We project that ADR will ramp up to 25 MW over the course of the pilot and be available for curtailment during both summer and winter seasons.</t>
  </si>
  <si>
    <t>As reported in PGE’s November 2011 IRP update, we have an operating Water Heater Direct Load Control (DLC) Pilot that is part of the Salem Smart Grid Project. This pilot is unique in that it tests responses to a mock regional pricing signal. It is, however, limited to less than 100 participants; it is not associated with “smart” appliances (i.e., the water heaters were retro-fitted with communication devices); and it is not scalable beyond the Salem demonstration project. The pilot is projected to run through 2014.</t>
  </si>
  <si>
    <t>PGE’s 2011 IRP update also described a very small pilot that would test a plug-in communication device in five “smart” electric water heaters with which PGE would test DLC. PGE is currently refining the communication interface’s technologies to achieve consistent and reliable signals to the water heater.
PGE is also exploring ways to support the Northwest Energy Efficiency Alliance and the Northwest Power and Conservation Council in order to encourage manufacturers to incorporate the sockets into their products for regional distribution.</t>
  </si>
  <si>
    <t>Critical Peak Pricing (CPP) Pilot</t>
  </si>
  <si>
    <t>The pilot experienced attrition its first year of operation, with the number of participants dropping from approximately 1,000 customers to approximately 610. The primary reasons that customers dropped out of the pilot were:
- The failure to save money;
- Difficulty in being able to shift / reduce load; and
- Discomfort and inconvenience.</t>
  </si>
  <si>
    <t>39% (first year)</t>
  </si>
  <si>
    <t>PGE concluded its CPP pilot for residential customers, Schedule 12, in October 2013, as authorized by the OPUC.
Recommendation to achieve the maximum benefit from a potential second CPP pilot:
• Pursue customer education as part of our strategic pricing roadmap to see what impact it plays on enrollment, retention and performance in our next pilot.
• Identify CPP and time-of-use requirements for new systems and programs.
• Continue to monitor DR programs and results from other utilities.
• Develop an education program to better inform customers regarding the purpose of, and how to effectively participate in, dynamic pricing options and DR programs.
• Evaluate and propose additional pilot alternatives that could help PGE develop a CPP program.
• Continue to implement PGE’s Customer Engagement Transformation program in which we will replace the current CIS and MDC. This will create the platforms on which a more cost-effective, fully scalable CPP program can be developed along with the other benefits discussed in PGE Exhibit 900 in Docket No. UE 262.</t>
  </si>
  <si>
    <t>Time-of-Day Pricing</t>
  </si>
  <si>
    <t>Time-of-Day (ToD) pricing currently applies to PGE’s Schedule 89 and Schedule 85 customers. This means that ToD pricing is available for all non-residential customers with monthly demand greater than 201 kW. As of January 2014, with Commission approval of UE 262 pricing, ToD pricing will also extend to Schedule 83 customers (i.e., non-residential customers with demand greater than 31 kW per month).</t>
  </si>
  <si>
    <t>Energy Tracker</t>
  </si>
  <si>
    <t>PGE released its Energy TrackerSM program in December 2011. This is an energy information tool that utilizes the interval data from PGE’s Advanced Metering Infrastructure system. It provides customers with energy use information that can help identify reduction and peak shifting strategies that customers may find useful to implement.
More recently, PGE is preparing a Phase 2 release of the Energy TrackerSM program, targeted for 2014. Along with a more customer-friendly look and feel, Phase 2 will provide more valuable information to customers in the form of optional alerts related to energy usage and projected billing amounts. With Phase 2 information, customers will be able to see their bill-to-date information along with a projected bill based on their current usage. Additionally, customers will be able to sign up for alerts that will notify them via email and / or text of: 1) current bill information; and 2) if they are projected to exceed preset thresholds. Because these are the two most commonly requested alerts by customers, we expect them to be used extensively.</t>
  </si>
  <si>
    <t>Future DR Actions</t>
  </si>
  <si>
    <t>Over the next three years (to 2016), PGE intends to take the following actions to further develop DR:
• Continue to implement the curtailment tariff to achieve the target 20 MW of capacity by 2015.
• Continue to develop and ramp up the ADR pilot to achieve 25 MW by 2017, and complete interim program evaluations in 2015 and 2016.
• Develop an education program and new dynamic pricing pilot (for instance the potential CPP pilot discussed above) in advance of the deployment of new CIS and MDC systems.
• Refine the smart water heater direct load control pilot. This will allow PGE to better position ourselves for the eventual introduction of scalable technologies.
• Continue to evaluate demand and energy savings associated with the two substation CVR pilot and then perform cost / benefit analysis.</t>
  </si>
  <si>
    <t>Cool Keeper Program (residential and small commercial DLC Air Conditioning program)</t>
  </si>
  <si>
    <t>Irrigation Load Control Program</t>
  </si>
  <si>
    <t>Inverted block structures for residential customers (inverted rate pricing, mandatory)</t>
  </si>
  <si>
    <t>TOU structures for residential and C&amp;I customers (optional)</t>
  </si>
  <si>
    <t>Participating Customers</t>
  </si>
  <si>
    <t>Utah (335 participating customers, 262 MWh enrolled loads);
Oregon (1,281 participating customers, 3,898 MWh enrolled loads);
Idaho (14,290 participating customers, 130,294 MWh enrolled);</t>
  </si>
  <si>
    <t>Participating customers as of December 31, 2011;
Residual on-peak portions of TOU loads and actual Inverted Rate Pricing loads after impacts of respective pricing structures, calendar year 2011.</t>
  </si>
  <si>
    <t>Impacts</t>
  </si>
  <si>
    <t>Utah (12-14 MWh shifted or saved due to rate, 3 kW coincident peak impact);
Oregon (311-355 MWh shifted or saved due to rate, 58-66 kW coincident peak impact);
Idaho (16,849-19,195 MWh shifted or saved due to rate, 1,896-2,160 kW coincident peak impact);</t>
  </si>
  <si>
    <t>Percent of Estimated Baseline Consumption Shifted or Saved</t>
  </si>
  <si>
    <t>Utah (4.5%-5.1%);
Oregon (7.4%-8.3%);
Idaho (11.5%-12.8%);</t>
  </si>
  <si>
    <t>Utah (706,948 participating customers, 7,314,347 MWh enrolled loads);
Wyoming (110,089 participating customers, 1,181,202 MWh enrolled loads);
Oregon (474,810 participating customers, 6,025,556 MWh enrolled loads);
Washington (104,404 participating customers, 1,789,050 MWh enrolled loads);
California (35,681 participating customers, 440,299 MWh enrolled loads);
Idaho (43,198 participating customers, 487,948 MWh enrolled loads);</t>
  </si>
  <si>
    <t>Utah (61,289-128,992 MWh shifted or saved due to rate, 12,940-27,235 kW coincident peak impact);
Wyoming (114,093-240,127 MWh shifted or saved due to rate, 17,054-35,893 kW coincident peak impact);
Oregon (474,810-6,025,556 MWh shifted or saved due to rate, 3,420-13,780 kW coincident peak impact);
Washington (57,658-232,347 MWh shifted or saved due to rate, 10,647-43,905 kW coincident peak impact);
California (2,243-9,037 MWh shifted or saved due to rate, 252-1,015 kW coincident peak impact);
Idaho (9,755-20,532 MWh shifted or saved due to rate, 1,098-2,311 kW coincident peak impact);</t>
  </si>
  <si>
    <t>Utah (0.8%-1.7%);
Wyoming (8.8%-16.9%);
Oregon (0.3%-1.2%);
Washington (3.1%-11.5%);
California (0.5%-2.0%);
Idaho (2.0%-4.0%);</t>
  </si>
  <si>
    <t>MW</t>
  </si>
  <si>
    <t>Winter</t>
  </si>
  <si>
    <t>Summer</t>
  </si>
  <si>
    <t>High Forecast</t>
  </si>
  <si>
    <t>Medium Forecast</t>
  </si>
  <si>
    <t>MWh/yr</t>
  </si>
  <si>
    <t>Industrial/Other</t>
  </si>
  <si>
    <t>Low Forecast</t>
  </si>
  <si>
    <t>Maximum Consumption (MWh/yr)</t>
  </si>
  <si>
    <t>Air Conditioning/Space Cooling - Residential</t>
  </si>
  <si>
    <t>Air Conditioning/Space Cooling - Commercial</t>
  </si>
  <si>
    <t>Air Conditioning/Space Cooling - Industrial</t>
  </si>
  <si>
    <t>Appliances &amp; Plug Loads - Residential</t>
  </si>
  <si>
    <t>Appliances &amp; Plug Loads - Commercial</t>
  </si>
  <si>
    <t>Appliances &amp; Plug Loads - Industrial</t>
  </si>
  <si>
    <t>Lighting - Residential</t>
  </si>
  <si>
    <t>Lighting - Commercial</t>
  </si>
  <si>
    <t>Lighting - Industrial</t>
  </si>
  <si>
    <t>Refrigeration, Motors &amp; Process Equipment - Residential</t>
  </si>
  <si>
    <t>Refrigeration, Motors &amp; Process Equipment - Commercial</t>
  </si>
  <si>
    <t>Refrigeration, Motors &amp; Process Equipment - Industrial</t>
  </si>
  <si>
    <t>Space Heating - Residential</t>
  </si>
  <si>
    <t>Space Heating - Commercial</t>
  </si>
  <si>
    <t>Space Heating - Industrial</t>
  </si>
  <si>
    <t>Water Heating - Residential</t>
  </si>
  <si>
    <t>Water Heating - Commercial</t>
  </si>
  <si>
    <t>Water Heating - Industrial</t>
  </si>
  <si>
    <t>Other - Residential</t>
  </si>
  <si>
    <t>Other - Commercial</t>
  </si>
  <si>
    <t>Refrigerated Warehouses</t>
  </si>
  <si>
    <t>Participation Rate</t>
  </si>
  <si>
    <t>Number of Res Customers</t>
  </si>
  <si>
    <t>Number of Comm Customers</t>
  </si>
  <si>
    <t>Number of Industrial Customers</t>
  </si>
  <si>
    <t>Portion of End Use from:</t>
  </si>
  <si>
    <t>NUMBER OF NEW PARTICIPANTS / INSTALLATIONS</t>
  </si>
  <si>
    <t>Number of New Participants / Installations</t>
  </si>
  <si>
    <t>Component</t>
  </si>
  <si>
    <t>d. Water Heating - Switch</t>
  </si>
  <si>
    <t>TOTAL -- NEW PART. /  INSTALL.</t>
  </si>
  <si>
    <t>NUMBER OF TOTAL PARTICIPANTS / INSTALLATIONS IN EACH YEAR</t>
  </si>
  <si>
    <t>Number of Total Participants / Installations</t>
  </si>
  <si>
    <t>TOTAL -- ANNUAL PART. / INSTALL.</t>
  </si>
  <si>
    <t>CUMULATIVE PEAK DEMAND SAVINGS (GROSS CUSTOMER LEVEL MW)</t>
  </si>
  <si>
    <t>Cumulative Peak Demand Reductions MW (Gross Customer Level)</t>
  </si>
  <si>
    <t xml:space="preserve">Total Equipment Budget </t>
  </si>
  <si>
    <t>Total Implementation Budget</t>
  </si>
  <si>
    <t>TOTAL IMPLEMENTATION COST</t>
  </si>
  <si>
    <t>TOTAL EQUIPMENT COST</t>
  </si>
  <si>
    <t>TOTAL PROGRAM COST</t>
  </si>
  <si>
    <t>DR Type</t>
  </si>
  <si>
    <t>Residential DR</t>
  </si>
  <si>
    <t>Commercial DR</t>
  </si>
  <si>
    <t>Customers</t>
  </si>
  <si>
    <t>Ramp Rate</t>
  </si>
  <si>
    <t>Turnover Rate</t>
  </si>
  <si>
    <t>Customer Information</t>
  </si>
  <si>
    <t>Eligible Residential Customers</t>
  </si>
  <si>
    <t>INPUTS</t>
  </si>
  <si>
    <t>% Residential w/ Switch</t>
  </si>
  <si>
    <t>Effective Participation</t>
  </si>
  <si>
    <t>% Residential w/ PCT</t>
  </si>
  <si>
    <t>c. Space Heating - Switch</t>
  </si>
  <si>
    <t>CALCULATIONS</t>
  </si>
  <si>
    <t>Saturation (availability)</t>
  </si>
  <si>
    <r>
      <t xml:space="preserve">Load Impact </t>
    </r>
    <r>
      <rPr>
        <sz val="10"/>
        <rFont val="Arial"/>
        <family val="2"/>
      </rPr>
      <t>(kW/customer)</t>
    </r>
  </si>
  <si>
    <t>% Commercial w/ Switch</t>
  </si>
  <si>
    <t>Eligible Commercial Customers</t>
  </si>
  <si>
    <t>Residential Space Heating - Direct Load Control</t>
  </si>
  <si>
    <t>Residential Water Heating - Direct Load Control</t>
  </si>
  <si>
    <t>% Industrial w/ Switch</t>
  </si>
  <si>
    <t>Curtailable/Interruptible Tariffs</t>
  </si>
  <si>
    <t>Load Aggregator</t>
  </si>
  <si>
    <t>Technology Cost</t>
  </si>
  <si>
    <t>Switch</t>
  </si>
  <si>
    <t>PCT</t>
  </si>
  <si>
    <t>DR Technology</t>
  </si>
  <si>
    <t>DR Component</t>
  </si>
  <si>
    <t>1A</t>
  </si>
  <si>
    <t>1B</t>
  </si>
  <si>
    <t>1C</t>
  </si>
  <si>
    <t>1D</t>
  </si>
  <si>
    <t>2A</t>
  </si>
  <si>
    <t>2B</t>
  </si>
  <si>
    <t>2C</t>
  </si>
  <si>
    <t>3A</t>
  </si>
  <si>
    <t>Water Heating - DLC</t>
  </si>
  <si>
    <t>Irrigation Pumping - DLC</t>
  </si>
  <si>
    <t>Installation Cost</t>
  </si>
  <si>
    <t>Capacity - Base</t>
  </si>
  <si>
    <t>Capacity - Smart</t>
  </si>
  <si>
    <t>Balancing</t>
  </si>
  <si>
    <t>TOTAL</t>
  </si>
  <si>
    <t xml:space="preserve"> -</t>
  </si>
  <si>
    <t>Space Cooling - CAC DLC</t>
  </si>
  <si>
    <t>Space Heating - DLC</t>
  </si>
  <si>
    <t>Water Heater Controls</t>
  </si>
  <si>
    <t>Space Cooling, Small - CAC DLC</t>
  </si>
  <si>
    <t>Space Cooling, Medium - CAC DLC</t>
  </si>
  <si>
    <t>ENABLEMENT COSTS (applied to new participants)</t>
  </si>
  <si>
    <t>IMPLEMENTATION COSTS (applied to all participants)</t>
  </si>
  <si>
    <t>TOTAL ENABLEMENT COST</t>
  </si>
  <si>
    <t>Residential Space Cooling - CAC Direct Load Control</t>
  </si>
  <si>
    <t>Residential Space Cooling - RAC Direct Load Control</t>
  </si>
  <si>
    <t>Space Cooling - RAC DLC</t>
  </si>
  <si>
    <t>a. Space Cooling - CAC PCT</t>
  </si>
  <si>
    <t>b. Space Cooling - RAC PCT</t>
  </si>
  <si>
    <t>c. Space Heating - PCT</t>
  </si>
  <si>
    <t>a. Space Cooling - CAC Switch</t>
  </si>
  <si>
    <t>b. Space Cooling - RAC Switch</t>
  </si>
  <si>
    <t xml:space="preserve">TOTAL ENABLEMENT COST </t>
  </si>
  <si>
    <t>Component A: Commercial Cooling, Small - Direct Load Control</t>
  </si>
  <si>
    <t>Component B: Commercial Space Cooling, Medium - Direct Load Control</t>
  </si>
  <si>
    <t>Component A: Residential Space Heating - Direct Load Control</t>
  </si>
  <si>
    <t>Component B: Residential Space Cooling - CAC Direct Load Control</t>
  </si>
  <si>
    <t>Component C: Residential Space Cooling - RAC Direct Load Control</t>
  </si>
  <si>
    <t>Component D: Residential Water Heating - Direct Load Control</t>
  </si>
  <si>
    <t>TOTAL ENABLEMENT COSTS</t>
  </si>
  <si>
    <t>AutoDR</t>
  </si>
  <si>
    <t>Lighting Controls</t>
  </si>
  <si>
    <t>% Industrial w/ AutoDR</t>
  </si>
  <si>
    <t>% Industrial w/ Curtailable/Interruptible Tariff Enablement</t>
  </si>
  <si>
    <t>Incentive</t>
  </si>
  <si>
    <t>RESIDENTIAL - CAPACITY - BASE DR</t>
  </si>
  <si>
    <t>RESIDENTIAL - CAPACITY - SMART DR</t>
  </si>
  <si>
    <t>COMMERCIAL - CAPACITY - BASE DR</t>
  </si>
  <si>
    <t>COMMERCIAL - CAPACITY - SMART DR</t>
  </si>
  <si>
    <r>
      <t xml:space="preserve">Enablement Cost </t>
    </r>
    <r>
      <rPr>
        <sz val="10"/>
        <rFont val="Arial"/>
        <family val="2"/>
      </rPr>
      <t>($/customer)</t>
    </r>
  </si>
  <si>
    <t>a. Space Cooling, Small - Switch</t>
  </si>
  <si>
    <t>b. Space Cooling, Medium - Switch</t>
  </si>
  <si>
    <t>Component A: Commercial Space Cooling, Small - Direct Load Control</t>
  </si>
  <si>
    <t>SUMMARY OF PROGRAM COSTS</t>
  </si>
  <si>
    <t>Component A: Irrigation Pumping - Direct Load Control</t>
  </si>
  <si>
    <t>Irrigation - Industrial</t>
  </si>
  <si>
    <t>a. Space Cooling, Small - PCT</t>
  </si>
  <si>
    <t>b. Space Cooling, Medium - AutoDR</t>
  </si>
  <si>
    <t>Refrigerated Warehouse Controls</t>
  </si>
  <si>
    <t>Agricultural / Industrial DR</t>
  </si>
  <si>
    <t>AGRICULTURAL / INDUSTRIAL - CAPACITY - BASE DR</t>
  </si>
  <si>
    <t>b. Curtailable/Interruptible Tariff</t>
  </si>
  <si>
    <t>Component B: Curtailable / Interruptible Tariffs</t>
  </si>
  <si>
    <t>Total Eligible Industrial Customers</t>
  </si>
  <si>
    <t>Eligible Agricultural Customers</t>
  </si>
  <si>
    <t>Eligible Non-Agricultural Customers</t>
  </si>
  <si>
    <t>Component C: Load Aggregator</t>
  </si>
  <si>
    <t>Component D: Refrigerated Warehouses</t>
  </si>
  <si>
    <t>a. Irrigation Pumping - Switch</t>
  </si>
  <si>
    <t>b. Curtailable/Interruptible - AutoDR</t>
  </si>
  <si>
    <t>c. Load Aggregator - AutoDR</t>
  </si>
  <si>
    <t>a. Irrigation Pumping - AutoDR</t>
  </si>
  <si>
    <t>d. Refrigerated Warehouses - Controls</t>
  </si>
  <si>
    <t>d. Water Heating - WH Controls</t>
  </si>
  <si>
    <t>% Residential w/ WH Controls</t>
  </si>
  <si>
    <t>% Commercial w/ AutoDR</t>
  </si>
  <si>
    <t>Total</t>
  </si>
  <si>
    <t>3B</t>
  </si>
  <si>
    <t>3C</t>
  </si>
  <si>
    <t>3D</t>
  </si>
  <si>
    <r>
      <t>Load Impact</t>
    </r>
    <r>
      <rPr>
        <sz val="11"/>
        <color theme="1"/>
        <rFont val="Calibri"/>
        <family val="2"/>
        <scheme val="minor"/>
      </rPr>
      <t xml:space="preserve"> (kW/customer)</t>
    </r>
  </si>
  <si>
    <r>
      <t>Enablement Costs</t>
    </r>
    <r>
      <rPr>
        <sz val="11"/>
        <color theme="1"/>
        <rFont val="Calibri"/>
        <family val="2"/>
        <scheme val="minor"/>
      </rPr>
      <t xml:space="preserve"> ($/customer)</t>
    </r>
  </si>
  <si>
    <r>
      <t xml:space="preserve">Saturation </t>
    </r>
    <r>
      <rPr>
        <sz val="11"/>
        <color theme="1"/>
        <rFont val="Calibri"/>
        <family val="2"/>
        <scheme val="minor"/>
      </rPr>
      <t>(%)</t>
    </r>
  </si>
  <si>
    <r>
      <t>Participation</t>
    </r>
    <r>
      <rPr>
        <sz val="11"/>
        <color theme="1"/>
        <rFont val="Calibri"/>
        <family val="2"/>
        <scheme val="minor"/>
      </rPr>
      <t xml:space="preserve"> (%)</t>
    </r>
  </si>
  <si>
    <r>
      <t>Saturation</t>
    </r>
    <r>
      <rPr>
        <sz val="11"/>
        <color theme="1"/>
        <rFont val="Calibri"/>
        <family val="2"/>
        <scheme val="minor"/>
      </rPr>
      <t xml:space="preserve"> (%)</t>
    </r>
  </si>
  <si>
    <r>
      <t xml:space="preserve">Load Impact </t>
    </r>
    <r>
      <rPr>
        <sz val="11"/>
        <color theme="1"/>
        <rFont val="Calibri"/>
        <family val="2"/>
        <scheme val="minor"/>
      </rPr>
      <t>(kW/customer)</t>
    </r>
  </si>
  <si>
    <r>
      <t xml:space="preserve">Participation </t>
    </r>
    <r>
      <rPr>
        <sz val="11"/>
        <color theme="1"/>
        <rFont val="Calibri"/>
        <family val="2"/>
        <scheme val="minor"/>
      </rPr>
      <t>(%)</t>
    </r>
  </si>
  <si>
    <r>
      <t>Implementation Cost</t>
    </r>
    <r>
      <rPr>
        <sz val="11"/>
        <color theme="1"/>
        <rFont val="Calibri"/>
        <family val="2"/>
        <scheme val="minor"/>
      </rPr>
      <t xml:space="preserve"> ($/kW-yr)</t>
    </r>
  </si>
  <si>
    <t>Load Impact Realization Rate
(to recognize interactions between EE and DR cause a reduction in the baseline demand for DR participants. Assume 5% reduction in the impacts)</t>
  </si>
  <si>
    <r>
      <t xml:space="preserve">Implementation Cost </t>
    </r>
    <r>
      <rPr>
        <sz val="10"/>
        <rFont val="Arial"/>
        <family val="2"/>
      </rPr>
      <t>($/kW-yr)</t>
    </r>
  </si>
  <si>
    <t>% Commercial w/ PCT</t>
  </si>
  <si>
    <t>Component C: Lighting Controls</t>
  </si>
  <si>
    <t>c. Lighting Controls - AutoDR</t>
  </si>
  <si>
    <t>Implementation Cost ($/kW-yr)</t>
  </si>
  <si>
    <t>AGRICULTURAL / INDUSTRIAL - CAPACITY - SMART DR</t>
  </si>
  <si>
    <t>Navigant NW Baseline Grid Characteristics and Forecasts</t>
  </si>
  <si>
    <t>Load Impact Seasonality</t>
  </si>
  <si>
    <t>(% load impact)</t>
  </si>
  <si>
    <t>The Space cooling went from 50% to 20%</t>
  </si>
  <si>
    <t>The Irrigation Pumping went from 90% to 0%</t>
  </si>
  <si>
    <t>These were changed for consistency with EE and Demand shaping in RPM.</t>
  </si>
  <si>
    <t>Real Levelized Costs</t>
  </si>
  <si>
    <t>MicroFin Financials</t>
  </si>
  <si>
    <t>Municipal/PUD</t>
  </si>
  <si>
    <t>Investor Owned Utility</t>
  </si>
  <si>
    <t>Indep. Power Producer</t>
  </si>
  <si>
    <t xml:space="preserve">Key Assumptions  </t>
  </si>
  <si>
    <t xml:space="preserve">Discount Rate </t>
  </si>
  <si>
    <t xml:space="preserve">Inflation Rate </t>
  </si>
  <si>
    <t>Data Source:</t>
  </si>
  <si>
    <t>Seventh Plan Assumptions +Global Inputs.xlsx</t>
  </si>
  <si>
    <t>Base year to use for inflation</t>
  </si>
  <si>
    <t xml:space="preserve"> Glossary</t>
  </si>
  <si>
    <t>Programmable Communicating Thermostats</t>
  </si>
  <si>
    <t xml:space="preserve">DLC </t>
  </si>
  <si>
    <t>CAC</t>
  </si>
  <si>
    <t>Central Air Conditioning</t>
  </si>
  <si>
    <t>RAC</t>
  </si>
  <si>
    <t>Room Air Conditioning</t>
  </si>
  <si>
    <t>Winter Peaking</t>
  </si>
  <si>
    <t>Summer Peaking</t>
  </si>
  <si>
    <t>Base</t>
  </si>
  <si>
    <t>Smart</t>
  </si>
  <si>
    <t>Base or Smart</t>
  </si>
  <si>
    <t>Type</t>
  </si>
  <si>
    <t>Ag/Industrial</t>
  </si>
  <si>
    <t>Year Round</t>
  </si>
  <si>
    <t>Peaking Type</t>
  </si>
  <si>
    <t>Formula error</t>
  </si>
  <si>
    <t>Cumulative Probabillity</t>
  </si>
  <si>
    <t>Bin 1</t>
  </si>
  <si>
    <t>Bin 2</t>
  </si>
  <si>
    <t>Pi chart percent</t>
  </si>
  <si>
    <t>Bin 3</t>
  </si>
  <si>
    <t>St. dev</t>
  </si>
  <si>
    <t>W potential 2020</t>
  </si>
  <si>
    <t>S potential 2020</t>
  </si>
  <si>
    <t>Real Levelized Costs ($/kW-yr)</t>
  </si>
  <si>
    <t>Top 60 system hours</t>
  </si>
  <si>
    <t>Q1</t>
  </si>
  <si>
    <t>Q2</t>
  </si>
  <si>
    <t>Q3</t>
  </si>
  <si>
    <t>Q4</t>
  </si>
  <si>
    <t>Assume load shifting</t>
  </si>
  <si>
    <t>Standard Hrs</t>
  </si>
  <si>
    <t>Net hours of dispatch</t>
  </si>
  <si>
    <t>Top 50 summer system hours</t>
  </si>
  <si>
    <t>Top 50 summer system hours (load shifting)</t>
  </si>
  <si>
    <t>Top 50  system hours (load shifting)</t>
  </si>
  <si>
    <t>Top 50 winter system hours</t>
  </si>
  <si>
    <t>2021 Potential W</t>
  </si>
  <si>
    <t>2021 Potential S</t>
  </si>
  <si>
    <t>Potential in 2035</t>
  </si>
  <si>
    <t>Potential in 2021</t>
  </si>
  <si>
    <t>Newly Installed kW</t>
  </si>
  <si>
    <t>$/kW</t>
  </si>
  <si>
    <t>Discount Rate Multiplier</t>
  </si>
  <si>
    <t>Bin</t>
  </si>
  <si>
    <t>$/year</t>
  </si>
  <si>
    <t>2021 Costs</t>
  </si>
  <si>
    <t>2035 Costs</t>
  </si>
  <si>
    <t>Weighted Average Costs</t>
  </si>
  <si>
    <t>Total Implementation Costs (Discounted)</t>
  </si>
  <si>
    <t>Real Levelized Costs in $2012 ($/kW-yr)</t>
  </si>
  <si>
    <t>RPM Input Preparation</t>
  </si>
  <si>
    <t xml:space="preserve">Total Lifetime Enablement Costs of an installation (Discounted) </t>
  </si>
  <si>
    <t>Res-Capacity-Base</t>
  </si>
  <si>
    <t>Com-Capacity-Base</t>
  </si>
  <si>
    <t>Ag-Ind-Capacity-Base</t>
  </si>
  <si>
    <t>Res-Capacity-Smart</t>
  </si>
  <si>
    <t>Total Potential -&gt; Total Potential Capacity (MW)</t>
  </si>
  <si>
    <t>2016 | SB1</t>
  </si>
  <si>
    <t>2018 | SB1</t>
  </si>
  <si>
    <t>2020 | SB1</t>
  </si>
  <si>
    <t>2022 | SB1</t>
  </si>
  <si>
    <t>2024 | SB1</t>
  </si>
  <si>
    <t>2026 | SB1</t>
  </si>
  <si>
    <t>2028 | SB1</t>
  </si>
  <si>
    <t>2030 | SB1</t>
  </si>
  <si>
    <t>2032 | SB1</t>
  </si>
  <si>
    <t>2034 | SB1</t>
  </si>
  <si>
    <t>Com-Capacity-Smart</t>
  </si>
  <si>
    <t>Ag-Ind-Capacity-Smart</t>
  </si>
  <si>
    <t>Cumulative kW</t>
  </si>
  <si>
    <t>2017 | SB1</t>
  </si>
  <si>
    <t>2019 | SB1</t>
  </si>
  <si>
    <t>2021 | SB1</t>
  </si>
  <si>
    <t>2023 | SB1</t>
  </si>
  <si>
    <t>2025 | SB1</t>
  </si>
  <si>
    <t>2027 | SB1</t>
  </si>
  <si>
    <t>2029 | SB1</t>
  </si>
  <si>
    <t>2031 | SB1</t>
  </si>
  <si>
    <t>2033 | SB1</t>
  </si>
  <si>
    <t>2035 | SB1</t>
  </si>
  <si>
    <t>INF</t>
  </si>
  <si>
    <t>Total for Weighting Calc</t>
  </si>
  <si>
    <t>Demand Response Price Bin 1</t>
  </si>
  <si>
    <t>Demand Response Price Bin 2</t>
  </si>
  <si>
    <t>Demand Response Price Bin 3</t>
  </si>
  <si>
    <t>New Resource Mwa</t>
  </si>
  <si>
    <t>Percentage of Capacity available</t>
  </si>
  <si>
    <t>New Resource MW</t>
  </si>
  <si>
    <t>Cumulative Potential (in MW)</t>
  </si>
  <si>
    <t>Potential Each Decision year for Two Year period (MW)</t>
  </si>
  <si>
    <t>Capacity Percentage</t>
  </si>
  <si>
    <t>Shaping</t>
  </si>
  <si>
    <t>Implementation Costs -&gt; Fixed O&amp;M ($/kW-yr)</t>
  </si>
  <si>
    <t>Enablement Costs -&gt; Construction ($/kW-yr)</t>
  </si>
  <si>
    <t>Bulk System T&amp;D Loss Factor</t>
  </si>
  <si>
    <t>Bulk System T&amp;D Credit ($/kw-yr)($/dailytherm-yr)</t>
  </si>
  <si>
    <t>Bulk System T&amp;D I2R Loss Component (%)</t>
  </si>
  <si>
    <t>Local System Dist Loss Factor</t>
  </si>
  <si>
    <t>Local System Dist Credit ($/kw-yr)($/dailytherm-yr)</t>
  </si>
  <si>
    <t>Local System Dist I2R Loss Component (%)</t>
  </si>
  <si>
    <t>&lt;------This should be 1, If Transmission Deferral in Implementation costs.</t>
  </si>
  <si>
    <t>Max Acquisitions over study</t>
  </si>
  <si>
    <t xml:space="preserve"> Space Cooling, Small - Switch</t>
  </si>
  <si>
    <t xml:space="preserve"> Space Cooling - CAC Switch</t>
  </si>
  <si>
    <t xml:space="preserve"> Irrigation Pumping - AutoDR</t>
  </si>
  <si>
    <t xml:space="preserve"> Irrigation Pumping - Switch</t>
  </si>
  <si>
    <t xml:space="preserve"> Space Cooling, Small - PCT</t>
  </si>
  <si>
    <t xml:space="preserve"> Space Cooling - CAC PCT</t>
  </si>
  <si>
    <t xml:space="preserve"> Curtailable/Interruptible Tariff</t>
  </si>
  <si>
    <t xml:space="preserve"> Curtailable/Interruptible - AutoDR</t>
  </si>
  <si>
    <t xml:space="preserve"> Space Cooling, Medium - Switch</t>
  </si>
  <si>
    <t xml:space="preserve"> Space Cooling, Medium - AutoDR</t>
  </si>
  <si>
    <t xml:space="preserve"> Space Cooling - RAC Switch</t>
  </si>
  <si>
    <t xml:space="preserve"> Space Cooling - RAC PCT</t>
  </si>
  <si>
    <t xml:space="preserve"> Load Aggregator - AutoDR</t>
  </si>
  <si>
    <t xml:space="preserve"> Space Heating - Switch</t>
  </si>
  <si>
    <t xml:space="preserve"> Lighting Controls - AutoDR</t>
  </si>
  <si>
    <t xml:space="preserve"> Space Heating - PCT</t>
  </si>
  <si>
    <t xml:space="preserve"> Refrigerated Warehouses - Controls</t>
  </si>
  <si>
    <t xml:space="preserve"> Water Heating - Switch</t>
  </si>
  <si>
    <t xml:space="preserve"> Water Heating - WH Controls</t>
  </si>
  <si>
    <t>Net Levelized Fixed Costs in $/kW-year</t>
  </si>
  <si>
    <t>Program</t>
  </si>
  <si>
    <t>Bin Weighted Average in $/kW-year</t>
  </si>
  <si>
    <t>Percent of Potential</t>
  </si>
  <si>
    <t>W potential 2021</t>
  </si>
  <si>
    <t>Potential in 2025</t>
  </si>
  <si>
    <t>2025 Costs</t>
  </si>
  <si>
    <t>Max</t>
  </si>
  <si>
    <t>Min</t>
  </si>
  <si>
    <t/>
  </si>
  <si>
    <t>7th Plan EE</t>
  </si>
  <si>
    <t>Navigant</t>
  </si>
  <si>
    <t>Refrigerated Warehouses (1 for Navigant assumption, 0 for 7th Plan EE)</t>
  </si>
  <si>
    <t>Winter Volume available in 2025 (MW)</t>
  </si>
  <si>
    <t>Winter Volume available in 2035 (MW)</t>
  </si>
  <si>
    <t>Summer Volume available in 2025 (MW)</t>
  </si>
  <si>
    <t>Summer Volume available in 2035 (MW)</t>
  </si>
  <si>
    <t>Summer Volume available in 2021 (MW)</t>
  </si>
  <si>
    <t>Winter Volume Available in 2021</t>
  </si>
  <si>
    <t>Ramp per Period</t>
  </si>
  <si>
    <t>Amount Available in first five years</t>
  </si>
  <si>
    <t>Potential Ramp Predictions by RPM Decision Period</t>
  </si>
  <si>
    <t>&lt;--------------Mostly Replacement Years------------------------&gt;</t>
  </si>
  <si>
    <t>&lt;-----------------------Ramp years--------------------------&gt;</t>
  </si>
  <si>
    <t>Max Acquisitions Check - Potential Study</t>
  </si>
  <si>
    <t>Max Acquisitions Check - RPM Inputs</t>
  </si>
  <si>
    <t>Demand Response Price Bin 1 - RPM</t>
  </si>
  <si>
    <t>Demand Response Price Bin 2 - RPM</t>
  </si>
  <si>
    <t>Demand Response Price Bin 3 - RPM</t>
  </si>
  <si>
    <t>Included in Update</t>
  </si>
  <si>
    <t>JO Edits below line</t>
  </si>
  <si>
    <t>Implied Load Growth Rate over Study period</t>
  </si>
  <si>
    <t>Industrial/Agricultural</t>
  </si>
  <si>
    <t>Yes</t>
  </si>
  <si>
    <t>No</t>
  </si>
  <si>
    <t>Currently Applied to DR Calculations ?</t>
  </si>
  <si>
    <t>1)</t>
  </si>
  <si>
    <t>2)</t>
  </si>
  <si>
    <t>All programs assumed to have a 5 year lifespan for levelized fixed cost calculations for simplicity (Used conservative estimate from BPA Stakeholders comments)</t>
  </si>
  <si>
    <t>Notes about current assumptions NOT directly from the Navigant Report</t>
  </si>
  <si>
    <t>Irrigation potential seems low (anecdotal, multiple external sources)</t>
  </si>
  <si>
    <t>3)</t>
  </si>
  <si>
    <t>4)</t>
  </si>
  <si>
    <t>5)</t>
  </si>
  <si>
    <t>Participation percentages low (anecdotal)</t>
  </si>
  <si>
    <t>6)</t>
  </si>
  <si>
    <t>Turnover rate adjustment is low (anecdotal)</t>
  </si>
  <si>
    <t>7)</t>
  </si>
  <si>
    <t>One year to implement program. (anecdotal)</t>
  </si>
  <si>
    <t>8)</t>
  </si>
  <si>
    <t xml:space="preserve"> Potential estimates should include Non-Firm DR Resources like time of Use Pricing and Critical Peak Pricing (program experience cited)</t>
  </si>
  <si>
    <t>9)</t>
  </si>
  <si>
    <t>No naturally assumed adoption, and thus cost proposition changes (anecdotal)</t>
  </si>
  <si>
    <t>10)</t>
  </si>
  <si>
    <t>Costs should be assessed on a seasonal basis.</t>
  </si>
  <si>
    <r>
      <t xml:space="preserve">Projected program costs </t>
    </r>
    <r>
      <rPr>
        <i/>
        <sz val="11"/>
        <color theme="1"/>
        <rFont val="Calibri"/>
        <family val="2"/>
        <scheme val="minor"/>
      </rPr>
      <t>overestimated</t>
    </r>
    <r>
      <rPr>
        <sz val="11"/>
        <color theme="1"/>
        <rFont val="Calibri"/>
        <family val="2"/>
        <scheme val="minor"/>
      </rPr>
      <t xml:space="preserve"> (some anecdotal, some offered potential reports, multiple stakeholders)</t>
    </r>
  </si>
  <si>
    <r>
      <t xml:space="preserve">Projected program costs </t>
    </r>
    <r>
      <rPr>
        <i/>
        <sz val="11"/>
        <color theme="1"/>
        <rFont val="Calibri"/>
        <family val="2"/>
        <scheme val="minor"/>
      </rPr>
      <t>underestimated</t>
    </r>
    <r>
      <rPr>
        <sz val="11"/>
        <color theme="1"/>
        <rFont val="Calibri"/>
        <family val="2"/>
        <scheme val="minor"/>
      </rPr>
      <t xml:space="preserve"> (some anecdotal, some offered potential reports, multiple stakeholders)</t>
    </r>
  </si>
  <si>
    <t>Notes from stakeholders comments not currently integrated into calculations, but are under consideration for inclusion in the calculations and the Plan</t>
  </si>
  <si>
    <t>Refrigerated Warehouses category is too large a chunk of estimated industrial customers, need revised DR estimate that aligns more with the EE assumptions for the Plan (Conclusive data from multiple sources, working on alignment, multiple internal and external stakeholders)</t>
  </si>
</sst>
</file>

<file path=xl/styles.xml><?xml version="1.0" encoding="utf-8"?>
<styleSheet xmlns="http://schemas.openxmlformats.org/spreadsheetml/2006/main">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m/d/\ h:mm"/>
    <numFmt numFmtId="166" formatCode="0.000"/>
    <numFmt numFmtId="167" formatCode="&quot;$&quot;#,##0"/>
    <numFmt numFmtId="168" formatCode="&quot;$&quot;#,##0.00"/>
    <numFmt numFmtId="169" formatCode="0.0"/>
    <numFmt numFmtId="170" formatCode="_(&quot;$&quot;* #,##0_);_(&quot;$&quot;* \(#,##0\);_(&quot;$&quot;* &quot;-&quot;??_);_(@_)"/>
    <numFmt numFmtId="171" formatCode="_(* #,##0.0_);_(* \(#,##0.0\);_(* &quot;-&quot;??_);_(@_)"/>
    <numFmt numFmtId="172" formatCode="0.000000000000000%"/>
  </numFmts>
  <fonts count="57">
    <font>
      <sz val="11"/>
      <color theme="1"/>
      <name val="Calibri"/>
      <family val="2"/>
      <scheme val="minor"/>
    </font>
    <font>
      <b/>
      <sz val="11"/>
      <color theme="1"/>
      <name val="Calibri"/>
      <family val="2"/>
      <scheme val="minor"/>
    </font>
    <font>
      <i/>
      <sz val="11"/>
      <color theme="1"/>
      <name val="Calibri"/>
      <family val="2"/>
      <scheme val="minor"/>
    </font>
    <font>
      <sz val="10"/>
      <name val="Palatino Linotype"/>
      <family val="1"/>
    </font>
    <font>
      <sz val="11"/>
      <color theme="1"/>
      <name val="Calibri"/>
      <family val="2"/>
      <scheme val="minor"/>
    </font>
    <font>
      <sz val="11"/>
      <name val="Calibri"/>
      <family val="2"/>
      <scheme val="minor"/>
    </font>
    <font>
      <u/>
      <sz val="9.9"/>
      <color theme="10"/>
      <name val="Calibri"/>
      <family val="2"/>
    </font>
    <font>
      <sz val="10"/>
      <name val="Arial"/>
      <family val="2"/>
    </font>
    <font>
      <u/>
      <sz val="10"/>
      <color indexed="12"/>
      <name val="Arial"/>
      <family val="2"/>
    </font>
    <font>
      <sz val="10"/>
      <color theme="1"/>
      <name val="Arial"/>
      <family val="2"/>
    </font>
    <font>
      <sz val="10"/>
      <color rgb="FF006100"/>
      <name val="Arial"/>
      <family val="2"/>
    </font>
    <font>
      <u/>
      <sz val="7.7"/>
      <color theme="10"/>
      <name val="Calibri"/>
      <family val="2"/>
    </font>
    <font>
      <u/>
      <sz val="7"/>
      <color theme="10"/>
      <name val="Arial"/>
      <family val="2"/>
    </font>
    <font>
      <b/>
      <sz val="10"/>
      <color indexed="9"/>
      <name val="Arial"/>
      <family val="2"/>
    </font>
    <font>
      <sz val="12"/>
      <name val="Times New Roman"/>
      <family val="1"/>
    </font>
    <font>
      <b/>
      <sz val="12"/>
      <name val="Times New Roman"/>
      <family val="1"/>
    </font>
    <font>
      <sz val="10"/>
      <name val="Helv"/>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b/>
      <sz val="13"/>
      <color indexed="56"/>
      <name val="Calibri"/>
      <family val="2"/>
    </font>
    <font>
      <b/>
      <sz val="11"/>
      <name val="Calibri"/>
      <family val="2"/>
      <scheme val="minor"/>
    </font>
    <font>
      <b/>
      <sz val="10"/>
      <name val="Arial"/>
      <family val="2"/>
    </font>
    <font>
      <sz val="10"/>
      <color indexed="12"/>
      <name val="Arial"/>
      <family val="2"/>
    </font>
    <font>
      <sz val="10"/>
      <name val="Arial"/>
      <family val="2"/>
    </font>
    <font>
      <b/>
      <sz val="12"/>
      <name val="Arial"/>
      <family val="2"/>
    </font>
    <font>
      <b/>
      <u/>
      <sz val="10"/>
      <name val="Arial"/>
      <family val="2"/>
    </font>
    <font>
      <sz val="10"/>
      <color indexed="10"/>
      <name val="Arial"/>
      <family val="2"/>
    </font>
    <font>
      <i/>
      <sz val="10"/>
      <color indexed="10"/>
      <name val="Arial"/>
      <family val="2"/>
    </font>
    <font>
      <b/>
      <sz val="11"/>
      <name val="Arial"/>
      <family val="2"/>
    </font>
    <font>
      <b/>
      <sz val="12"/>
      <color theme="0"/>
      <name val="Arial"/>
      <family val="2"/>
    </font>
    <font>
      <sz val="9"/>
      <color indexed="81"/>
      <name val="Tahoma"/>
      <family val="2"/>
    </font>
    <font>
      <b/>
      <sz val="9"/>
      <color indexed="81"/>
      <name val="Tahoma"/>
      <family val="2"/>
    </font>
    <font>
      <b/>
      <sz val="14"/>
      <color rgb="FF000000"/>
      <name val="Calibri"/>
      <family val="2"/>
    </font>
    <font>
      <b/>
      <sz val="14"/>
      <color rgb="FF000000"/>
      <name val="Arial"/>
      <family val="2"/>
    </font>
    <font>
      <sz val="14"/>
      <color rgb="FF000000"/>
      <name val="Calibri"/>
      <family val="2"/>
    </font>
    <font>
      <u/>
      <sz val="11"/>
      <color theme="1"/>
      <name val="Calibri"/>
      <family val="2"/>
      <scheme val="minor"/>
    </font>
    <font>
      <sz val="11"/>
      <color theme="0" tint="-0.34998626667073579"/>
      <name val="Calibri"/>
      <family val="2"/>
      <scheme val="minor"/>
    </font>
    <font>
      <b/>
      <sz val="11"/>
      <color theme="0" tint="-0.249977111117893"/>
      <name val="Calibri"/>
      <family val="2"/>
      <scheme val="minor"/>
    </font>
    <font>
      <sz val="11"/>
      <color theme="0" tint="-0.249977111117893"/>
      <name val="Calibri"/>
      <family val="2"/>
      <scheme val="minor"/>
    </font>
    <font>
      <sz val="11"/>
      <color rgb="FF000000"/>
      <name val="Calibri"/>
      <family val="2"/>
      <scheme val="minor"/>
    </font>
    <font>
      <sz val="11"/>
      <color theme="1"/>
      <name val="Arial"/>
      <family val="2"/>
    </font>
    <font>
      <b/>
      <u/>
      <sz val="11"/>
      <color theme="1"/>
      <name val="Calibri"/>
      <family val="2"/>
      <scheme val="minor"/>
    </font>
  </fonts>
  <fills count="5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C6EFCE"/>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8"/>
        <bgColor indexed="64"/>
      </patternFill>
    </fill>
    <fill>
      <patternFill patternType="solid">
        <fgColor indexed="43"/>
      </patternFill>
    </fill>
    <fill>
      <patternFill patternType="solid">
        <fgColor indexed="26"/>
      </patternFill>
    </fill>
    <fill>
      <patternFill patternType="solid">
        <fgColor rgb="FF00B0F0"/>
        <bgColor indexed="64"/>
      </patternFill>
    </fill>
    <fill>
      <patternFill patternType="solid">
        <fgColor indexed="41"/>
        <bgColor indexed="64"/>
      </patternFill>
    </fill>
    <fill>
      <patternFill patternType="solid">
        <fgColor theme="8" tint="0.79998168889431442"/>
        <bgColor indexed="64"/>
      </patternFill>
    </fill>
    <fill>
      <patternFill patternType="solid">
        <fgColor theme="6"/>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BF1DE"/>
        <bgColor indexed="64"/>
      </patternFill>
    </fill>
    <fill>
      <patternFill patternType="solid">
        <fgColor theme="7" tint="0.59999389629810485"/>
        <bgColor indexed="64"/>
      </patternFill>
    </fill>
    <fill>
      <patternFill patternType="solid">
        <fgColor rgb="FFD8E4BC"/>
        <bgColor indexed="64"/>
      </patternFill>
    </fill>
    <fill>
      <patternFill patternType="solid">
        <fgColor rgb="FFBFBFBF"/>
        <bgColor indexed="64"/>
      </patternFill>
    </fill>
    <fill>
      <patternFill patternType="solid">
        <fgColor theme="3" tint="0.59999389629810485"/>
        <bgColor indexed="64"/>
      </patternFill>
    </fill>
    <fill>
      <patternFill patternType="solid">
        <fgColor rgb="FFC4D79B"/>
        <bgColor indexed="64"/>
      </patternFill>
    </fill>
    <fill>
      <patternFill patternType="solid">
        <fgColor theme="9"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0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9" fillId="0" borderId="0"/>
    <xf numFmtId="0" fontId="7" fillId="0" borderId="0"/>
    <xf numFmtId="0" fontId="10" fillId="7" borderId="0" applyNumberFormat="0" applyBorder="0" applyAlignment="0" applyProtection="0"/>
    <xf numFmtId="43" fontId="9" fillId="0" borderId="0" applyFont="0" applyFill="0" applyBorder="0" applyAlignment="0" applyProtection="0"/>
    <xf numFmtId="9" fontId="4" fillId="0" borderId="0" applyFont="0" applyFill="0" applyBorder="0" applyAlignment="0" applyProtection="0"/>
    <xf numFmtId="0" fontId="11" fillId="0" borderId="0" applyNumberFormat="0" applyFill="0" applyBorder="0" applyAlignment="0" applyProtection="0">
      <alignment vertical="top"/>
      <protection locked="0"/>
    </xf>
    <xf numFmtId="0" fontId="9" fillId="0" borderId="0"/>
    <xf numFmtId="0" fontId="9" fillId="0" borderId="0"/>
    <xf numFmtId="43" fontId="9" fillId="0" borderId="0" applyFont="0" applyFill="0" applyBorder="0" applyAlignment="0" applyProtection="0"/>
    <xf numFmtId="44" fontId="4" fillId="0" borderId="0" applyFont="0" applyFill="0" applyBorder="0" applyAlignment="0" applyProtection="0"/>
    <xf numFmtId="9" fontId="9"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0" borderId="0"/>
    <xf numFmtId="0" fontId="7" fillId="0" borderId="0">
      <alignment readingOrder="1"/>
    </xf>
    <xf numFmtId="0" fontId="16" fillId="0" borderId="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6" borderId="0" applyNumberFormat="0" applyBorder="0" applyAlignment="0" applyProtection="0"/>
    <xf numFmtId="0" fontId="19" fillId="10" borderId="0" applyNumberFormat="0" applyBorder="0" applyAlignment="0" applyProtection="0"/>
    <xf numFmtId="0" fontId="20" fillId="27" borderId="23" applyNumberFormat="0" applyAlignment="0" applyProtection="0"/>
    <xf numFmtId="0" fontId="21" fillId="28" borderId="24" applyNumberFormat="0" applyAlignment="0" applyProtection="0"/>
    <xf numFmtId="44" fontId="7" fillId="0" borderId="0" applyFont="0" applyFill="0" applyBorder="0" applyAlignment="0" applyProtection="0"/>
    <xf numFmtId="0" fontId="7" fillId="29" borderId="0" applyNumberFormat="0" applyAlignment="0">
      <alignment horizontal="right"/>
    </xf>
    <xf numFmtId="0" fontId="7" fillId="30" borderId="0" applyNumberFormat="0" applyAlignment="0"/>
    <xf numFmtId="165" fontId="14" fillId="0" borderId="0"/>
    <xf numFmtId="0" fontId="22" fillId="0" borderId="0" applyNumberFormat="0" applyFill="0" applyBorder="0" applyAlignment="0" applyProtection="0"/>
    <xf numFmtId="0" fontId="23" fillId="11" borderId="0" applyNumberFormat="0" applyBorder="0" applyAlignment="0" applyProtection="0"/>
    <xf numFmtId="0" fontId="15" fillId="0" borderId="0">
      <alignment horizontal="center" wrapText="1"/>
    </xf>
    <xf numFmtId="0" fontId="24" fillId="0" borderId="25" applyNumberFormat="0" applyFill="0" applyAlignment="0" applyProtection="0"/>
    <xf numFmtId="0" fontId="13" fillId="31" borderId="6">
      <alignment horizontal="left"/>
    </xf>
    <xf numFmtId="0" fontId="25" fillId="0" borderId="26" applyNumberFormat="0" applyFill="0" applyAlignment="0" applyProtection="0"/>
    <xf numFmtId="0" fontId="25" fillId="0" borderId="0" applyNumberFormat="0" applyFill="0" applyBorder="0" applyAlignment="0" applyProtection="0"/>
    <xf numFmtId="0" fontId="26" fillId="14" borderId="23" applyNumberFormat="0" applyAlignment="0" applyProtection="0"/>
    <xf numFmtId="0" fontId="27" fillId="0" borderId="27" applyNumberFormat="0" applyFill="0" applyAlignment="0" applyProtection="0"/>
    <xf numFmtId="0" fontId="28" fillId="32" borderId="0" applyNumberFormat="0" applyBorder="0" applyAlignment="0" applyProtection="0"/>
    <xf numFmtId="0" fontId="7" fillId="33" borderId="28" applyNumberFormat="0" applyFont="0" applyAlignment="0" applyProtection="0"/>
    <xf numFmtId="0" fontId="29" fillId="27" borderId="29" applyNumberFormat="0" applyAlignment="0" applyProtection="0"/>
    <xf numFmtId="0" fontId="30" fillId="0" borderId="0" applyNumberFormat="0" applyFill="0" applyBorder="0" applyAlignment="0" applyProtection="0"/>
    <xf numFmtId="0" fontId="31" fillId="0" borderId="30" applyNumberFormat="0" applyFill="0" applyAlignment="0" applyProtection="0"/>
    <xf numFmtId="0" fontId="32" fillId="0" borderId="0" applyNumberFormat="0" applyFill="0" applyBorder="0" applyAlignment="0" applyProtection="0"/>
    <xf numFmtId="0" fontId="7" fillId="0" borderId="0"/>
    <xf numFmtId="0" fontId="7" fillId="0" borderId="0"/>
    <xf numFmtId="9" fontId="7" fillId="0" borderId="0" applyFont="0" applyFill="0" applyBorder="0" applyAlignment="0" applyProtection="0"/>
    <xf numFmtId="0" fontId="33" fillId="33" borderId="28" applyNumberFormat="0" applyFont="0" applyAlignment="0" applyProtection="0"/>
    <xf numFmtId="0" fontId="34" fillId="0" borderId="31" applyNumberFormat="0" applyFill="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38" fillId="0" borderId="0"/>
    <xf numFmtId="43" fontId="38" fillId="0" borderId="0" applyFont="0" applyFill="0" applyBorder="0" applyAlignment="0" applyProtection="0"/>
    <xf numFmtId="9" fontId="38" fillId="0" borderId="0" applyFont="0" applyFill="0" applyBorder="0" applyAlignment="0" applyProtection="0"/>
    <xf numFmtId="44" fontId="38" fillId="0" borderId="0" applyFont="0" applyFill="0" applyBorder="0" applyAlignment="0" applyProtection="0"/>
  </cellStyleXfs>
  <cellXfs count="502">
    <xf numFmtId="0" fontId="0" fillId="0" borderId="0" xfId="0"/>
    <xf numFmtId="0" fontId="0"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wrapText="1"/>
    </xf>
    <xf numFmtId="0" fontId="1" fillId="0" borderId="0" xfId="0" applyFont="1" applyAlignment="1">
      <alignment horizontal="left" vertical="center" wrapText="1"/>
    </xf>
    <xf numFmtId="9" fontId="0" fillId="0" borderId="0" xfId="2" applyFont="1"/>
    <xf numFmtId="44" fontId="0" fillId="0" borderId="0" xfId="1" applyFont="1"/>
    <xf numFmtId="9" fontId="0" fillId="0" borderId="1" xfId="2" applyFont="1" applyBorder="1" applyAlignment="1">
      <alignment horizontal="left" vertical="center" wrapText="1"/>
    </xf>
    <xf numFmtId="9" fontId="0" fillId="0" borderId="1" xfId="2" applyFont="1" applyBorder="1" applyAlignment="1">
      <alignment vertical="center" wrapText="1"/>
    </xf>
    <xf numFmtId="0" fontId="0" fillId="0" borderId="1" xfId="0" applyBorder="1" applyAlignment="1">
      <alignment vertical="center" wrapText="1"/>
    </xf>
    <xf numFmtId="44" fontId="0" fillId="0" borderId="1" xfId="1" applyFont="1" applyBorder="1" applyAlignment="1">
      <alignment vertical="center" wrapText="1"/>
    </xf>
    <xf numFmtId="6" fontId="0" fillId="0" borderId="1" xfId="0" applyNumberFormat="1" applyBorder="1" applyAlignment="1">
      <alignment vertical="center" wrapText="1"/>
    </xf>
    <xf numFmtId="9" fontId="0" fillId="0" borderId="1" xfId="2" applyFont="1" applyBorder="1" applyAlignment="1">
      <alignment vertical="center"/>
    </xf>
    <xf numFmtId="0" fontId="0" fillId="0" borderId="1" xfId="0" applyBorder="1" applyAlignment="1">
      <alignment horizontal="left" vertical="top" wrapText="1"/>
    </xf>
    <xf numFmtId="9" fontId="0" fillId="0" borderId="1" xfId="2" applyFont="1" applyBorder="1" applyAlignment="1">
      <alignment horizontal="left" vertical="top" wrapText="1"/>
    </xf>
    <xf numFmtId="9" fontId="0" fillId="0" borderId="1" xfId="2" applyFont="1" applyBorder="1" applyAlignment="1">
      <alignment wrapText="1"/>
    </xf>
    <xf numFmtId="44" fontId="0" fillId="0" borderId="1" xfId="1" applyFont="1" applyBorder="1" applyAlignment="1">
      <alignment wrapText="1"/>
    </xf>
    <xf numFmtId="9" fontId="0" fillId="0" borderId="1" xfId="2" applyFont="1" applyBorder="1"/>
    <xf numFmtId="0" fontId="0" fillId="0" borderId="1" xfId="0" applyFill="1" applyBorder="1" applyAlignment="1">
      <alignment vertical="center" wrapText="1"/>
    </xf>
    <xf numFmtId="44" fontId="0" fillId="0" borderId="1" xfId="1" applyFont="1" applyFill="1" applyBorder="1" applyAlignment="1">
      <alignment vertical="center" wrapText="1"/>
    </xf>
    <xf numFmtId="6" fontId="0" fillId="0" borderId="1" xfId="0" applyNumberFormat="1" applyBorder="1" applyAlignment="1">
      <alignment wrapText="1"/>
    </xf>
    <xf numFmtId="6" fontId="0" fillId="0" borderId="1" xfId="1" applyNumberFormat="1" applyFont="1" applyBorder="1" applyAlignment="1">
      <alignment wrapText="1"/>
    </xf>
    <xf numFmtId="0" fontId="0" fillId="0" borderId="1" xfId="0" applyFont="1" applyBorder="1" applyAlignment="1">
      <alignment horizontal="left" vertical="top" wrapText="1"/>
    </xf>
    <xf numFmtId="9" fontId="4" fillId="0" borderId="1" xfId="2" applyFont="1" applyBorder="1" applyAlignment="1">
      <alignment horizontal="center" vertical="top" wrapText="1"/>
    </xf>
    <xf numFmtId="0" fontId="0" fillId="0" borderId="1" xfId="0" applyFont="1" applyBorder="1" applyAlignment="1">
      <alignment horizontal="center" vertical="top" wrapText="1"/>
    </xf>
    <xf numFmtId="9" fontId="4" fillId="0" borderId="1" xfId="2" applyFont="1" applyBorder="1" applyAlignment="1">
      <alignment horizontal="center" vertical="center" wrapText="1"/>
    </xf>
    <xf numFmtId="44" fontId="4" fillId="0" borderId="1" xfId="1" applyFont="1" applyBorder="1" applyAlignment="1">
      <alignment horizontal="center" vertical="center" wrapText="1"/>
    </xf>
    <xf numFmtId="0" fontId="0" fillId="0" borderId="0" xfId="0" applyFont="1" applyAlignment="1">
      <alignment horizontal="left" vertical="center" wrapText="1"/>
    </xf>
    <xf numFmtId="9" fontId="0" fillId="0" borderId="1" xfId="2" applyFont="1" applyBorder="1" applyAlignment="1">
      <alignment horizontal="center" vertical="top" wrapText="1"/>
    </xf>
    <xf numFmtId="9" fontId="0" fillId="0" borderId="1" xfId="2" applyFont="1" applyBorder="1" applyAlignment="1">
      <alignment horizontal="center" vertical="center" wrapText="1"/>
    </xf>
    <xf numFmtId="9" fontId="4" fillId="0" borderId="6" xfId="2" applyFont="1" applyBorder="1" applyAlignment="1">
      <alignment horizontal="center" vertical="center" wrapText="1"/>
    </xf>
    <xf numFmtId="9" fontId="4" fillId="0" borderId="21" xfId="2" applyFont="1" applyBorder="1" applyAlignment="1">
      <alignment horizontal="center" vertical="center" wrapText="1"/>
    </xf>
    <xf numFmtId="9" fontId="0" fillId="0" borderId="6" xfId="2" applyFont="1" applyBorder="1" applyAlignment="1">
      <alignment horizontal="center" vertical="center" wrapText="1"/>
    </xf>
    <xf numFmtId="0" fontId="0" fillId="0" borderId="21" xfId="0" applyFont="1" applyBorder="1" applyAlignment="1">
      <alignment horizontal="center" vertical="center" wrapText="1"/>
    </xf>
    <xf numFmtId="0" fontId="0" fillId="0" borderId="0" xfId="0"/>
    <xf numFmtId="0" fontId="0" fillId="0" borderId="6" xfId="0" applyFont="1" applyBorder="1" applyAlignment="1">
      <alignment horizontal="center" vertical="center" wrapText="1"/>
    </xf>
    <xf numFmtId="9" fontId="0" fillId="0" borderId="22" xfId="2" applyFont="1" applyBorder="1" applyAlignment="1">
      <alignment horizontal="center" vertical="center" wrapText="1"/>
    </xf>
    <xf numFmtId="44" fontId="0" fillId="0" borderId="1" xfId="1" applyFont="1" applyBorder="1" applyAlignment="1">
      <alignment horizontal="center" vertical="center" wrapText="1"/>
    </xf>
    <xf numFmtId="0" fontId="0" fillId="0" borderId="21" xfId="0" applyBorder="1" applyAlignment="1">
      <alignment wrapText="1"/>
    </xf>
    <xf numFmtId="0" fontId="0" fillId="0" borderId="0" xfId="0"/>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top"/>
    </xf>
    <xf numFmtId="9" fontId="0" fillId="0" borderId="1" xfId="2" applyFont="1" applyBorder="1" applyAlignment="1">
      <alignment horizontal="left" vertical="top"/>
    </xf>
    <xf numFmtId="44" fontId="0" fillId="0" borderId="1" xfId="1" applyFont="1" applyBorder="1"/>
    <xf numFmtId="0" fontId="0" fillId="0" borderId="1" xfId="0" applyFill="1" applyBorder="1"/>
    <xf numFmtId="9" fontId="0" fillId="0" borderId="1" xfId="2" applyFont="1"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0" fontId="0" fillId="0" borderId="1" xfId="0" applyFill="1" applyBorder="1" applyAlignment="1">
      <alignment wrapText="1"/>
    </xf>
    <xf numFmtId="0" fontId="2" fillId="0" borderId="1" xfId="0" applyFont="1" applyFill="1" applyBorder="1"/>
    <xf numFmtId="49" fontId="0" fillId="0" borderId="1" xfId="0" applyNumberFormat="1" applyBorder="1"/>
    <xf numFmtId="0" fontId="0" fillId="0" borderId="1" xfId="0" applyBorder="1" applyAlignment="1">
      <alignment horizontal="left" vertical="center"/>
    </xf>
    <xf numFmtId="0" fontId="1" fillId="0" borderId="0" xfId="0" applyFont="1"/>
    <xf numFmtId="0" fontId="0" fillId="0" borderId="0" xfId="0"/>
    <xf numFmtId="0" fontId="0" fillId="0" borderId="0" xfId="0"/>
    <xf numFmtId="0" fontId="1" fillId="0" borderId="0" xfId="0" applyFont="1"/>
    <xf numFmtId="0" fontId="0" fillId="4" borderId="1" xfId="0" applyFill="1" applyBorder="1"/>
    <xf numFmtId="0" fontId="0" fillId="4" borderId="20" xfId="0" applyFill="1" applyBorder="1" applyAlignment="1">
      <alignment horizontal="center"/>
    </xf>
    <xf numFmtId="164" fontId="0" fillId="8" borderId="1" xfId="3" applyNumberFormat="1" applyFont="1" applyFill="1" applyBorder="1" applyAlignment="1"/>
    <xf numFmtId="0" fontId="5" fillId="0" borderId="0" xfId="0" applyFont="1"/>
    <xf numFmtId="164" fontId="5" fillId="8" borderId="1" xfId="3" applyNumberFormat="1" applyFont="1" applyFill="1" applyBorder="1" applyAlignment="1"/>
    <xf numFmtId="0" fontId="0" fillId="0" borderId="0" xfId="0"/>
    <xf numFmtId="0" fontId="0" fillId="4" borderId="20" xfId="0" applyFill="1" applyBorder="1" applyAlignment="1">
      <alignment horizontal="center"/>
    </xf>
    <xf numFmtId="164" fontId="0" fillId="8" borderId="1" xfId="3" applyNumberFormat="1" applyFont="1" applyFill="1" applyBorder="1" applyAlignment="1"/>
    <xf numFmtId="164" fontId="5" fillId="8" borderId="1" xfId="3" applyNumberFormat="1" applyFont="1" applyFill="1" applyBorder="1" applyAlignment="1"/>
    <xf numFmtId="0" fontId="0" fillId="4" borderId="1" xfId="0" applyFill="1" applyBorder="1"/>
    <xf numFmtId="0" fontId="5" fillId="4" borderId="1" xfId="0" applyFont="1" applyFill="1" applyBorder="1"/>
    <xf numFmtId="3" fontId="0" fillId="0" borderId="1" xfId="0" applyNumberFormat="1" applyBorder="1" applyAlignment="1">
      <alignment horizontal="right"/>
    </xf>
    <xf numFmtId="0" fontId="0" fillId="0" borderId="0" xfId="0"/>
    <xf numFmtId="0" fontId="1" fillId="0" borderId="0" xfId="0" applyFont="1"/>
    <xf numFmtId="0" fontId="0" fillId="4" borderId="1" xfId="0" applyFill="1" applyBorder="1"/>
    <xf numFmtId="164" fontId="0" fillId="8" borderId="1" xfId="3" applyNumberFormat="1" applyFont="1" applyFill="1" applyBorder="1" applyAlignment="1"/>
    <xf numFmtId="0" fontId="5" fillId="0" borderId="0" xfId="0" applyFont="1"/>
    <xf numFmtId="0" fontId="1" fillId="4" borderId="20" xfId="0" applyFont="1" applyFill="1" applyBorder="1" applyAlignment="1">
      <alignment horizontal="center"/>
    </xf>
    <xf numFmtId="0" fontId="38" fillId="0" borderId="0" xfId="100"/>
    <xf numFmtId="0" fontId="40" fillId="0" borderId="0" xfId="100" applyFont="1"/>
    <xf numFmtId="0" fontId="38" fillId="0" borderId="0" xfId="100" applyFill="1" applyBorder="1"/>
    <xf numFmtId="0" fontId="38" fillId="35" borderId="7" xfId="100" applyFill="1" applyBorder="1"/>
    <xf numFmtId="0" fontId="36" fillId="35" borderId="8" xfId="100" applyFont="1" applyFill="1" applyBorder="1" applyAlignment="1">
      <alignment horizontal="center"/>
    </xf>
    <xf numFmtId="3" fontId="36" fillId="35" borderId="20" xfId="100" applyNumberFormat="1" applyFont="1" applyFill="1" applyBorder="1" applyAlignment="1">
      <alignment horizontal="center" wrapText="1"/>
    </xf>
    <xf numFmtId="0" fontId="38" fillId="0" borderId="2" xfId="100" applyBorder="1"/>
    <xf numFmtId="3" fontId="38" fillId="0" borderId="11" xfId="100" applyNumberFormat="1" applyBorder="1" applyAlignment="1">
      <alignment horizontal="center"/>
    </xf>
    <xf numFmtId="37" fontId="38" fillId="0" borderId="2" xfId="101" applyNumberFormat="1" applyBorder="1"/>
    <xf numFmtId="0" fontId="38" fillId="0" borderId="19" xfId="100" applyBorder="1"/>
    <xf numFmtId="3" fontId="7" fillId="0" borderId="10" xfId="102" applyNumberFormat="1" applyFont="1" applyBorder="1" applyAlignment="1">
      <alignment horizontal="center"/>
    </xf>
    <xf numFmtId="0" fontId="38" fillId="0" borderId="20" xfId="100" applyBorder="1"/>
    <xf numFmtId="3" fontId="38" fillId="0" borderId="12" xfId="100" applyNumberFormat="1" applyBorder="1" applyAlignment="1">
      <alignment horizontal="center"/>
    </xf>
    <xf numFmtId="37" fontId="7" fillId="0" borderId="19" xfId="100" applyNumberFormat="1" applyFont="1" applyBorder="1" applyAlignment="1">
      <alignment horizontal="center"/>
    </xf>
    <xf numFmtId="37" fontId="38" fillId="0" borderId="19" xfId="100" applyNumberFormat="1" applyBorder="1" applyAlignment="1">
      <alignment horizontal="center"/>
    </xf>
    <xf numFmtId="0" fontId="38" fillId="0" borderId="1" xfId="100" applyBorder="1"/>
    <xf numFmtId="3" fontId="38" fillId="0" borderId="22" xfId="100" applyNumberFormat="1" applyBorder="1" applyAlignment="1">
      <alignment horizontal="center"/>
    </xf>
    <xf numFmtId="37" fontId="38" fillId="0" borderId="1" xfId="100" applyNumberFormat="1" applyBorder="1" applyAlignment="1">
      <alignment horizontal="center"/>
    </xf>
    <xf numFmtId="0" fontId="38" fillId="0" borderId="13" xfId="100" applyBorder="1"/>
    <xf numFmtId="37" fontId="38" fillId="0" borderId="13" xfId="100" applyNumberFormat="1" applyBorder="1" applyAlignment="1">
      <alignment horizontal="center"/>
    </xf>
    <xf numFmtId="0" fontId="40" fillId="0" borderId="0" xfId="100" applyFont="1" applyBorder="1"/>
    <xf numFmtId="37" fontId="38" fillId="0" borderId="0" xfId="100" applyNumberFormat="1" applyBorder="1" applyAlignment="1">
      <alignment horizontal="center"/>
    </xf>
    <xf numFmtId="0" fontId="38" fillId="0" borderId="0" xfId="100" applyBorder="1"/>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8" fillId="0" borderId="10" xfId="100" applyBorder="1"/>
    <xf numFmtId="9" fontId="37" fillId="0" borderId="19" xfId="100" applyNumberFormat="1" applyFont="1" applyBorder="1" applyAlignment="1">
      <alignment horizontal="center"/>
    </xf>
    <xf numFmtId="37" fontId="38" fillId="0" borderId="20" xfId="100" applyNumberFormat="1" applyBorder="1" applyAlignment="1">
      <alignment horizontal="center"/>
    </xf>
    <xf numFmtId="0" fontId="38" fillId="35" borderId="2" xfId="100" applyFill="1" applyBorder="1" applyAlignment="1">
      <alignment vertical="center"/>
    </xf>
    <xf numFmtId="0" fontId="38" fillId="0" borderId="9" xfId="100" applyBorder="1"/>
    <xf numFmtId="37" fontId="42" fillId="0" borderId="19" xfId="100" quotePrefix="1" applyNumberFormat="1" applyFont="1" applyBorder="1" applyAlignment="1">
      <alignment horizontal="right"/>
    </xf>
    <xf numFmtId="0" fontId="7" fillId="0" borderId="1" xfId="100" applyFont="1" applyBorder="1"/>
    <xf numFmtId="0" fontId="7" fillId="0" borderId="22" xfId="100" applyFont="1" applyBorder="1"/>
    <xf numFmtId="37" fontId="7" fillId="0" borderId="1" xfId="100" applyNumberFormat="1" applyFont="1" applyBorder="1" applyAlignment="1">
      <alignment horizontal="center"/>
    </xf>
    <xf numFmtId="0" fontId="7" fillId="0" borderId="0" xfId="100" applyFont="1" applyBorder="1"/>
    <xf numFmtId="37" fontId="38" fillId="0" borderId="0" xfId="100" applyNumberFormat="1" applyBorder="1"/>
    <xf numFmtId="37" fontId="7" fillId="0" borderId="0" xfId="100" applyNumberFormat="1" applyFont="1" applyBorder="1" applyAlignment="1">
      <alignment horizontal="center"/>
    </xf>
    <xf numFmtId="0" fontId="38" fillId="0" borderId="0" xfId="100" quotePrefix="1"/>
    <xf numFmtId="0" fontId="36" fillId="35" borderId="20" xfId="100" applyFont="1" applyFill="1" applyBorder="1" applyAlignment="1">
      <alignment horizontal="center" vertical="center"/>
    </xf>
    <xf numFmtId="0" fontId="38" fillId="0" borderId="7" xfId="100" applyBorder="1"/>
    <xf numFmtId="5" fontId="7" fillId="0" borderId="19" xfId="103" applyNumberFormat="1" applyFont="1" applyFill="1" applyBorder="1" applyAlignment="1">
      <alignment horizontal="center"/>
    </xf>
    <xf numFmtId="5" fontId="7" fillId="0" borderId="19" xfId="103" applyNumberFormat="1" applyFont="1" applyBorder="1"/>
    <xf numFmtId="0" fontId="7" fillId="0" borderId="1" xfId="100" applyFont="1" applyFill="1" applyBorder="1"/>
    <xf numFmtId="5" fontId="38" fillId="0" borderId="1" xfId="100" applyNumberFormat="1" applyBorder="1" applyAlignment="1">
      <alignment horizontal="center"/>
    </xf>
    <xf numFmtId="0" fontId="7" fillId="0" borderId="0" xfId="100" applyFont="1" applyFill="1" applyBorder="1"/>
    <xf numFmtId="5" fontId="38" fillId="0" borderId="0" xfId="100" applyNumberFormat="1" applyBorder="1" applyAlignment="1">
      <alignment horizontal="center"/>
    </xf>
    <xf numFmtId="5" fontId="41" fillId="0" borderId="0" xfId="100" applyNumberFormat="1" applyFont="1" applyBorder="1" applyAlignment="1">
      <alignment horizontal="left"/>
    </xf>
    <xf numFmtId="0" fontId="36" fillId="0" borderId="2" xfId="100" applyFont="1" applyBorder="1"/>
    <xf numFmtId="0" fontId="7" fillId="0" borderId="2" xfId="100" applyFont="1" applyBorder="1"/>
    <xf numFmtId="7" fontId="37" fillId="0" borderId="0" xfId="103" applyNumberFormat="1" applyFont="1" applyBorder="1" applyAlignment="1">
      <alignment horizontal="center"/>
    </xf>
    <xf numFmtId="0" fontId="7" fillId="0" borderId="21" xfId="100" applyFont="1" applyBorder="1"/>
    <xf numFmtId="5" fontId="38" fillId="0" borderId="0" xfId="100" applyNumberFormat="1" applyBorder="1"/>
    <xf numFmtId="9" fontId="38" fillId="0" borderId="0" xfId="102" applyBorder="1"/>
    <xf numFmtId="5" fontId="38" fillId="0" borderId="0" xfId="100" applyNumberFormat="1" applyFill="1" applyBorder="1"/>
    <xf numFmtId="0" fontId="36" fillId="0" borderId="0" xfId="100" applyFont="1" applyFill="1" applyBorder="1"/>
    <xf numFmtId="0" fontId="36" fillId="0" borderId="7" xfId="100" applyFont="1" applyFill="1" applyBorder="1" applyAlignment="1">
      <alignment horizontal="center" vertical="center"/>
    </xf>
    <xf numFmtId="0" fontId="36" fillId="0" borderId="9" xfId="100" applyFont="1" applyFill="1" applyBorder="1" applyAlignment="1">
      <alignment horizontal="center" vertical="center"/>
    </xf>
    <xf numFmtId="0" fontId="36" fillId="0" borderId="2" xfId="100" applyFont="1" applyFill="1" applyBorder="1" applyAlignment="1">
      <alignment horizontal="center"/>
    </xf>
    <xf numFmtId="167" fontId="38" fillId="0" borderId="19" xfId="100" applyNumberFormat="1" applyBorder="1"/>
    <xf numFmtId="0" fontId="7" fillId="0" borderId="10" xfId="100" applyFont="1" applyBorder="1"/>
    <xf numFmtId="167" fontId="37" fillId="0" borderId="0" xfId="100" applyNumberFormat="1" applyFont="1" applyBorder="1" applyAlignment="1">
      <alignment horizontal="center"/>
    </xf>
    <xf numFmtId="167" fontId="7" fillId="0" borderId="19" xfId="100" applyNumberFormat="1" applyFont="1" applyBorder="1" applyAlignment="1">
      <alignment horizontal="center"/>
    </xf>
    <xf numFmtId="167" fontId="37" fillId="0" borderId="0" xfId="100" applyNumberFormat="1" applyFont="1" applyFill="1" applyBorder="1" applyAlignment="1">
      <alignment horizontal="center"/>
    </xf>
    <xf numFmtId="167" fontId="7" fillId="0" borderId="19" xfId="102" applyNumberFormat="1" applyFont="1" applyBorder="1" applyAlignment="1">
      <alignment horizontal="center"/>
    </xf>
    <xf numFmtId="167" fontId="7" fillId="0" borderId="19" xfId="100" applyNumberFormat="1" applyFont="1" applyFill="1" applyBorder="1" applyAlignment="1">
      <alignment horizontal="center"/>
    </xf>
    <xf numFmtId="0" fontId="7" fillId="0" borderId="10" xfId="100" applyFont="1" applyFill="1" applyBorder="1"/>
    <xf numFmtId="167" fontId="37" fillId="0" borderId="0" xfId="100" applyNumberFormat="1" applyFont="1" applyFill="1" applyBorder="1"/>
    <xf numFmtId="0" fontId="7" fillId="0" borderId="21" xfId="100" applyFont="1" applyFill="1" applyBorder="1"/>
    <xf numFmtId="0" fontId="7" fillId="0" borderId="6" xfId="100" applyFont="1" applyFill="1" applyBorder="1"/>
    <xf numFmtId="167" fontId="38" fillId="0" borderId="1" xfId="100" applyNumberFormat="1" applyBorder="1" applyAlignment="1">
      <alignment horizontal="center"/>
    </xf>
    <xf numFmtId="167" fontId="38" fillId="0" borderId="0" xfId="100" applyNumberFormat="1" applyBorder="1"/>
    <xf numFmtId="0" fontId="36" fillId="0" borderId="22" xfId="100" applyFont="1" applyFill="1" applyBorder="1"/>
    <xf numFmtId="167" fontId="7" fillId="0" borderId="1" xfId="100" applyNumberFormat="1" applyFont="1" applyBorder="1" applyAlignment="1">
      <alignment horizontal="center"/>
    </xf>
    <xf numFmtId="0" fontId="36" fillId="0" borderId="21" xfId="100" applyFont="1" applyFill="1" applyBorder="1"/>
    <xf numFmtId="167" fontId="36" fillId="0" borderId="1" xfId="100" applyNumberFormat="1" applyFont="1" applyBorder="1" applyAlignment="1">
      <alignment horizontal="center"/>
    </xf>
    <xf numFmtId="0" fontId="40" fillId="34" borderId="32" xfId="100" applyFont="1" applyFill="1" applyBorder="1" applyAlignment="1">
      <alignment horizontal="left"/>
    </xf>
    <xf numFmtId="0" fontId="7" fillId="34" borderId="33" xfId="100" applyFont="1" applyFill="1" applyBorder="1" applyAlignment="1">
      <alignment horizontal="left"/>
    </xf>
    <xf numFmtId="0" fontId="39" fillId="34" borderId="33" xfId="100" applyFont="1" applyFill="1" applyBorder="1" applyAlignment="1">
      <alignment horizontal="left"/>
    </xf>
    <xf numFmtId="0" fontId="38" fillId="34" borderId="33" xfId="100" applyFill="1" applyBorder="1"/>
    <xf numFmtId="0" fontId="38" fillId="34" borderId="34" xfId="100" applyFill="1" applyBorder="1"/>
    <xf numFmtId="0" fontId="7" fillId="34" borderId="35" xfId="100" applyFont="1" applyFill="1" applyBorder="1" applyAlignment="1">
      <alignment horizontal="left"/>
    </xf>
    <xf numFmtId="0" fontId="7" fillId="34" borderId="0" xfId="100" applyFont="1" applyFill="1" applyBorder="1" applyAlignment="1">
      <alignment horizontal="left"/>
    </xf>
    <xf numFmtId="0" fontId="7" fillId="34" borderId="1" xfId="100" applyFont="1" applyFill="1" applyBorder="1" applyAlignment="1">
      <alignment horizontal="left"/>
    </xf>
    <xf numFmtId="0" fontId="36" fillId="34" borderId="1" xfId="100" applyFont="1" applyFill="1" applyBorder="1" applyAlignment="1">
      <alignment horizontal="center"/>
    </xf>
    <xf numFmtId="0" fontId="36" fillId="34" borderId="4" xfId="100" applyFont="1" applyFill="1" applyBorder="1" applyAlignment="1">
      <alignment horizontal="center"/>
    </xf>
    <xf numFmtId="0" fontId="7" fillId="34" borderId="36" xfId="100" applyFont="1" applyFill="1" applyBorder="1" applyAlignment="1">
      <alignment horizontal="left"/>
    </xf>
    <xf numFmtId="0" fontId="7" fillId="34" borderId="18" xfId="100" applyFont="1" applyFill="1" applyBorder="1" applyAlignment="1">
      <alignment horizontal="left"/>
    </xf>
    <xf numFmtId="0" fontId="39" fillId="34" borderId="0" xfId="100" applyFont="1" applyFill="1" applyBorder="1" applyAlignment="1">
      <alignment horizontal="left"/>
    </xf>
    <xf numFmtId="0" fontId="38" fillId="34" borderId="0" xfId="100" applyFill="1" applyBorder="1"/>
    <xf numFmtId="0" fontId="38" fillId="34" borderId="37" xfId="100" applyFill="1" applyBorder="1"/>
    <xf numFmtId="0" fontId="7" fillId="0" borderId="19" xfId="100" applyFont="1" applyBorder="1"/>
    <xf numFmtId="0" fontId="7" fillId="36" borderId="0" xfId="100" applyFont="1" applyFill="1" applyBorder="1" applyAlignment="1">
      <alignment horizontal="left"/>
    </xf>
    <xf numFmtId="3" fontId="7" fillId="36" borderId="18" xfId="100" applyNumberFormat="1" applyFont="1" applyFill="1" applyBorder="1" applyAlignment="1">
      <alignment horizontal="left"/>
    </xf>
    <xf numFmtId="3" fontId="7" fillId="36" borderId="17" xfId="100" applyNumberFormat="1" applyFont="1" applyFill="1" applyBorder="1" applyAlignment="1">
      <alignment horizontal="left"/>
    </xf>
    <xf numFmtId="0" fontId="7" fillId="36" borderId="0" xfId="100" applyFont="1" applyFill="1" applyAlignment="1">
      <alignment horizontal="left"/>
    </xf>
    <xf numFmtId="0" fontId="39" fillId="36" borderId="0" xfId="100" applyFont="1" applyFill="1" applyAlignment="1">
      <alignment horizontal="left"/>
    </xf>
    <xf numFmtId="0" fontId="38" fillId="36" borderId="0" xfId="100" applyFill="1"/>
    <xf numFmtId="9" fontId="38" fillId="36" borderId="1" xfId="2" applyFont="1" applyFill="1" applyBorder="1" applyAlignment="1">
      <alignment horizontal="right"/>
    </xf>
    <xf numFmtId="9" fontId="7" fillId="36" borderId="1" xfId="2" applyFont="1" applyFill="1" applyBorder="1" applyAlignment="1">
      <alignment horizontal="right"/>
    </xf>
    <xf numFmtId="0" fontId="39" fillId="36" borderId="0" xfId="100" applyFont="1" applyFill="1" applyBorder="1" applyAlignment="1">
      <alignment horizontal="left"/>
    </xf>
    <xf numFmtId="0" fontId="38" fillId="36" borderId="0" xfId="100" applyFill="1" applyBorder="1"/>
    <xf numFmtId="0" fontId="36" fillId="36" borderId="0" xfId="100" applyFont="1" applyFill="1"/>
    <xf numFmtId="0" fontId="39" fillId="5" borderId="14" xfId="100" applyFont="1" applyFill="1" applyBorder="1" applyAlignment="1">
      <alignment horizontal="left"/>
    </xf>
    <xf numFmtId="0" fontId="39" fillId="5" borderId="15" xfId="100" applyFont="1" applyFill="1" applyBorder="1" applyAlignment="1">
      <alignment horizontal="left"/>
    </xf>
    <xf numFmtId="0" fontId="38" fillId="5" borderId="15" xfId="100" applyFill="1" applyBorder="1"/>
    <xf numFmtId="0" fontId="38" fillId="5" borderId="16" xfId="100" applyFill="1" applyBorder="1"/>
    <xf numFmtId="0" fontId="36" fillId="35" borderId="20" xfId="100" applyFont="1" applyFill="1" applyBorder="1" applyAlignment="1">
      <alignment horizontal="center" vertic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40" fillId="34" borderId="35" xfId="100" applyFont="1" applyFill="1" applyBorder="1" applyAlignment="1">
      <alignment horizontal="left"/>
    </xf>
    <xf numFmtId="0" fontId="43" fillId="5" borderId="14" xfId="100" applyFont="1" applyFill="1" applyBorder="1"/>
    <xf numFmtId="0" fontId="36" fillId="5" borderId="15" xfId="100" applyFont="1" applyFill="1" applyBorder="1"/>
    <xf numFmtId="0" fontId="7" fillId="34" borderId="1" xfId="100" applyFont="1" applyFill="1" applyBorder="1" applyAlignment="1">
      <alignment horizontal="left" vertical="top" wrapText="1"/>
    </xf>
    <xf numFmtId="4" fontId="38" fillId="0" borderId="19" xfId="100" applyNumberFormat="1" applyFill="1" applyBorder="1" applyAlignment="1">
      <alignment horizontal="center"/>
    </xf>
    <xf numFmtId="5" fontId="36" fillId="0" borderId="0" xfId="100" applyNumberFormat="1" applyFont="1" applyFill="1" applyBorder="1"/>
    <xf numFmtId="0" fontId="0" fillId="38" borderId="1" xfId="0" applyFill="1" applyBorder="1"/>
    <xf numFmtId="0" fontId="0" fillId="40" borderId="1" xfId="0" applyFill="1" applyBorder="1"/>
    <xf numFmtId="0" fontId="1" fillId="38" borderId="1" xfId="0" applyFont="1" applyFill="1" applyBorder="1" applyAlignment="1">
      <alignment vertical="center" wrapText="1"/>
    </xf>
    <xf numFmtId="0" fontId="1" fillId="40" borderId="1" xfId="0" applyFont="1" applyFill="1" applyBorder="1" applyAlignment="1">
      <alignment vertical="center" wrapText="1"/>
    </xf>
    <xf numFmtId="0" fontId="0" fillId="38" borderId="22" xfId="0" applyFill="1" applyBorder="1"/>
    <xf numFmtId="0" fontId="0" fillId="0" borderId="1" xfId="0" applyBorder="1" applyAlignment="1">
      <alignment horizontal="left" vertical="center"/>
    </xf>
    <xf numFmtId="44" fontId="0" fillId="38" borderId="1" xfId="1" applyFont="1" applyFill="1" applyBorder="1"/>
    <xf numFmtId="44" fontId="0" fillId="40" borderId="1" xfId="1" applyFont="1" applyFill="1" applyBorder="1"/>
    <xf numFmtId="168" fontId="7" fillId="0" borderId="19" xfId="100" applyNumberFormat="1" applyFont="1" applyBorder="1" applyAlignment="1">
      <alignment horizontal="center"/>
    </xf>
    <xf numFmtId="0" fontId="1" fillId="6" borderId="1" xfId="0" applyFont="1" applyFill="1" applyBorder="1" applyAlignment="1">
      <alignment vertical="center" wrapText="1"/>
    </xf>
    <xf numFmtId="0" fontId="0" fillId="6" borderId="1" xfId="0"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9" xfId="0" applyFont="1" applyBorder="1" applyAlignment="1">
      <alignment vertical="center"/>
    </xf>
    <xf numFmtId="0" fontId="2" fillId="0" borderId="1" xfId="0" applyFont="1" applyBorder="1" applyAlignment="1">
      <alignment horizontal="center" vertical="center"/>
    </xf>
    <xf numFmtId="0" fontId="36" fillId="35" borderId="1" xfId="100" applyFont="1" applyFill="1" applyBorder="1" applyAlignment="1">
      <alignment horizont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6" fillId="35" borderId="20" xfId="100" applyFont="1" applyFill="1" applyBorder="1" applyAlignment="1">
      <alignment horizontal="center" vertical="center"/>
    </xf>
    <xf numFmtId="6" fontId="0" fillId="40" borderId="1" xfId="1" applyNumberFormat="1" applyFont="1" applyFill="1" applyBorder="1"/>
    <xf numFmtId="44" fontId="0" fillId="38" borderId="1" xfId="1" applyNumberFormat="1" applyFont="1" applyFill="1" applyBorder="1"/>
    <xf numFmtId="44" fontId="0" fillId="6" borderId="1" xfId="0" applyNumberFormat="1" applyFill="1" applyBorder="1"/>
    <xf numFmtId="9" fontId="0" fillId="38" borderId="1" xfId="2" applyFont="1" applyFill="1" applyBorder="1"/>
    <xf numFmtId="0" fontId="7" fillId="0" borderId="0" xfId="93" applyFont="1" applyFill="1" applyBorder="1"/>
    <xf numFmtId="10" fontId="37" fillId="0" borderId="0" xfId="93" applyNumberFormat="1" applyFont="1" applyFill="1" applyBorder="1" applyAlignment="1">
      <alignment horizontal="right"/>
    </xf>
    <xf numFmtId="9" fontId="7" fillId="36" borderId="4" xfId="2" applyFont="1" applyFill="1" applyBorder="1" applyAlignment="1">
      <alignment horizontal="right"/>
    </xf>
    <xf numFmtId="9" fontId="7" fillId="36" borderId="18" xfId="2" applyFont="1" applyFill="1" applyBorder="1" applyAlignment="1">
      <alignment horizontal="right"/>
    </xf>
    <xf numFmtId="9" fontId="7" fillId="36" borderId="17" xfId="2" applyFont="1" applyFill="1" applyBorder="1" applyAlignment="1">
      <alignment horizontal="right"/>
    </xf>
    <xf numFmtId="166" fontId="37" fillId="0" borderId="0" xfId="93" applyNumberFormat="1" applyFont="1" applyFill="1" applyBorder="1" applyAlignment="1">
      <alignment horizontal="right"/>
    </xf>
    <xf numFmtId="39" fontId="7" fillId="0" borderId="1" xfId="100" applyNumberFormat="1" applyFont="1" applyBorder="1" applyAlignment="1">
      <alignment horizontal="center"/>
    </xf>
    <xf numFmtId="0" fontId="38" fillId="0" borderId="0" xfId="100" applyFill="1"/>
    <xf numFmtId="0" fontId="37" fillId="0" borderId="19" xfId="103" applyNumberFormat="1" applyFont="1" applyBorder="1" applyAlignment="1">
      <alignment horizontal="center"/>
    </xf>
    <xf numFmtId="168" fontId="37" fillId="0" borderId="11" xfId="103" applyNumberFormat="1" applyFont="1" applyBorder="1" applyAlignment="1">
      <alignment horizontal="center"/>
    </xf>
    <xf numFmtId="0" fontId="1" fillId="0" borderId="12" xfId="0" applyFont="1" applyBorder="1" applyAlignment="1">
      <alignment vertical="top" wrapText="1"/>
    </xf>
    <xf numFmtId="0" fontId="0" fillId="0" borderId="0" xfId="0" applyAlignment="1">
      <alignment vertical="top" wrapText="1"/>
    </xf>
    <xf numFmtId="0" fontId="36" fillId="0" borderId="1" xfId="100" applyFont="1" applyFill="1" applyBorder="1"/>
    <xf numFmtId="0" fontId="36" fillId="0" borderId="0" xfId="100" applyFont="1" applyFill="1"/>
    <xf numFmtId="0" fontId="7" fillId="0" borderId="0" xfId="100" applyFont="1" applyFill="1" applyBorder="1" applyAlignment="1">
      <alignment horizontal="left"/>
    </xf>
    <xf numFmtId="0" fontId="39" fillId="0" borderId="0" xfId="100" applyFont="1" applyFill="1" applyBorder="1" applyAlignment="1">
      <alignment horizontal="left"/>
    </xf>
    <xf numFmtId="0" fontId="7" fillId="0" borderId="0" xfId="100" applyFont="1" applyFill="1" applyAlignment="1">
      <alignment horizontal="left"/>
    </xf>
    <xf numFmtId="0" fontId="39" fillId="0" borderId="0" xfId="100" applyFont="1" applyFill="1" applyAlignment="1">
      <alignment horizontal="left"/>
    </xf>
    <xf numFmtId="169" fontId="37" fillId="0" borderId="11" xfId="1" applyNumberFormat="1" applyFont="1" applyBorder="1" applyAlignment="1">
      <alignment horizontal="center"/>
    </xf>
    <xf numFmtId="44" fontId="0" fillId="38" borderId="22" xfId="1" applyFont="1" applyFill="1" applyBorder="1"/>
    <xf numFmtId="2" fontId="37" fillId="0" borderId="11" xfId="103" applyNumberFormat="1" applyFont="1" applyBorder="1" applyAlignment="1">
      <alignment horizontal="center"/>
    </xf>
    <xf numFmtId="0" fontId="36" fillId="0" borderId="2" xfId="100" applyFont="1" applyFill="1" applyBorder="1" applyAlignment="1">
      <alignment horizontal="center" vertical="center"/>
    </xf>
    <xf numFmtId="167" fontId="37" fillId="0" borderId="19" xfId="100" applyNumberFormat="1" applyFont="1" applyFill="1" applyBorder="1" applyAlignment="1">
      <alignment horizontal="center"/>
    </xf>
    <xf numFmtId="167" fontId="37" fillId="0" borderId="19" xfId="100" applyNumberFormat="1" applyFont="1" applyBorder="1" applyAlignment="1">
      <alignment horizontal="center"/>
    </xf>
    <xf numFmtId="167" fontId="37" fillId="0" borderId="20" xfId="100" applyNumberFormat="1" applyFont="1" applyFill="1" applyBorder="1"/>
    <xf numFmtId="0" fontId="37" fillId="0" borderId="0" xfId="100" applyNumberFormat="1" applyFont="1" applyBorder="1" applyAlignment="1">
      <alignment horizontal="center"/>
    </xf>
    <xf numFmtId="0" fontId="38" fillId="0" borderId="11" xfId="100" applyBorder="1"/>
    <xf numFmtId="0" fontId="7" fillId="0" borderId="10" xfId="100" applyFont="1" applyFill="1" applyBorder="1" applyAlignment="1">
      <alignment horizontal="left" vertical="center"/>
    </xf>
    <xf numFmtId="0" fontId="7" fillId="34" borderId="2" xfId="100" applyFont="1" applyFill="1" applyBorder="1" applyAlignment="1">
      <alignment horizontal="left"/>
    </xf>
    <xf numFmtId="3" fontId="7" fillId="36" borderId="4" xfId="100" applyNumberFormat="1" applyFont="1" applyFill="1" applyBorder="1" applyAlignment="1">
      <alignment horizontal="left"/>
    </xf>
    <xf numFmtId="3" fontId="7" fillId="36" borderId="2" xfId="100" applyNumberFormat="1" applyFont="1" applyFill="1" applyBorder="1" applyAlignment="1">
      <alignment horizontal="left"/>
    </xf>
    <xf numFmtId="0" fontId="7" fillId="34" borderId="14" xfId="100" applyFont="1" applyFill="1" applyBorder="1" applyAlignment="1">
      <alignment horizontal="left"/>
    </xf>
    <xf numFmtId="3" fontId="36" fillId="36" borderId="39" xfId="100" applyNumberFormat="1" applyFont="1" applyFill="1" applyBorder="1" applyAlignment="1">
      <alignment horizontal="left"/>
    </xf>
    <xf numFmtId="0" fontId="36" fillId="34" borderId="38" xfId="100" applyFont="1" applyFill="1" applyBorder="1" applyAlignment="1">
      <alignment horizontal="left"/>
    </xf>
    <xf numFmtId="169" fontId="37" fillId="0" borderId="0" xfId="100" applyNumberFormat="1" applyFont="1" applyBorder="1" applyAlignment="1">
      <alignment horizontal="center"/>
    </xf>
    <xf numFmtId="0" fontId="1" fillId="0" borderId="11" xfId="0" applyFont="1" applyBorder="1" applyAlignment="1">
      <alignment vertical="center"/>
    </xf>
    <xf numFmtId="9" fontId="5" fillId="38" borderId="1" xfId="2" applyFont="1" applyFill="1" applyBorder="1"/>
    <xf numFmtId="9" fontId="0" fillId="40" borderId="1" xfId="2" applyFont="1" applyFill="1" applyBorder="1"/>
    <xf numFmtId="0" fontId="0" fillId="0" borderId="0" xfId="0" applyFill="1" applyBorder="1"/>
    <xf numFmtId="9" fontId="0" fillId="6" borderId="1" xfId="2" applyFont="1" applyFill="1" applyBorder="1"/>
    <xf numFmtId="44" fontId="5" fillId="38" borderId="1" xfId="1" applyFont="1" applyFill="1" applyBorder="1"/>
    <xf numFmtId="170" fontId="5" fillId="38" borderId="1" xfId="1" applyNumberFormat="1" applyFont="1" applyFill="1" applyBorder="1"/>
    <xf numFmtId="0" fontId="5" fillId="38" borderId="1" xfId="0" applyFont="1" applyFill="1" applyBorder="1"/>
    <xf numFmtId="0" fontId="5" fillId="40" borderId="1" xfId="0" applyFont="1" applyFill="1" applyBorder="1"/>
    <xf numFmtId="44" fontId="5" fillId="6" borderId="1" xfId="0" applyNumberFormat="1" applyFont="1" applyFill="1" applyBorder="1"/>
    <xf numFmtId="0" fontId="5" fillId="6" borderId="1" xfId="0" applyFont="1" applyFill="1" applyBorder="1"/>
    <xf numFmtId="0" fontId="1" fillId="41" borderId="40" xfId="0" applyFont="1" applyFill="1" applyBorder="1"/>
    <xf numFmtId="0" fontId="0" fillId="41" borderId="15" xfId="0" applyFill="1" applyBorder="1"/>
    <xf numFmtId="0" fontId="0" fillId="41" borderId="16" xfId="0" applyFill="1" applyBorder="1"/>
    <xf numFmtId="0" fontId="5" fillId="0" borderId="20" xfId="0" applyFont="1" applyBorder="1" applyAlignment="1">
      <alignment wrapText="1"/>
    </xf>
    <xf numFmtId="0" fontId="5" fillId="4" borderId="20" xfId="0" applyFont="1" applyFill="1" applyBorder="1"/>
    <xf numFmtId="0" fontId="1" fillId="0" borderId="0" xfId="0" applyFont="1" applyFill="1" applyBorder="1"/>
    <xf numFmtId="9" fontId="5" fillId="43" borderId="1" xfId="2" applyFont="1" applyFill="1" applyBorder="1"/>
    <xf numFmtId="9" fontId="0" fillId="43" borderId="1" xfId="2" applyFont="1" applyFill="1" applyBorder="1"/>
    <xf numFmtId="9" fontId="0" fillId="44" borderId="1" xfId="2" applyFont="1" applyFill="1" applyBorder="1"/>
    <xf numFmtId="9" fontId="0" fillId="45" borderId="1" xfId="0" applyNumberFormat="1" applyFill="1" applyBorder="1"/>
    <xf numFmtId="0" fontId="1" fillId="45" borderId="1" xfId="0" applyFont="1" applyFill="1" applyBorder="1" applyAlignment="1">
      <alignment horizontal="center" vertical="center" wrapText="1"/>
    </xf>
    <xf numFmtId="0" fontId="1" fillId="45" borderId="22" xfId="0" applyFont="1" applyFill="1" applyBorder="1" applyAlignment="1">
      <alignment horizontal="center" vertical="center" wrapText="1"/>
    </xf>
    <xf numFmtId="0" fontId="1" fillId="44" borderId="1" xfId="0" applyFont="1" applyFill="1" applyBorder="1" applyAlignment="1">
      <alignment horizontal="center" vertical="center" wrapText="1"/>
    </xf>
    <xf numFmtId="0" fontId="1" fillId="43" borderId="1" xfId="0" applyFont="1" applyFill="1" applyBorder="1" applyAlignment="1">
      <alignment horizontal="center" vertical="center" wrapText="1"/>
    </xf>
    <xf numFmtId="44" fontId="0" fillId="0" borderId="0" xfId="0" applyNumberFormat="1"/>
    <xf numFmtId="0" fontId="36" fillId="35" borderId="2" xfId="100" applyFont="1" applyFill="1" applyBorder="1" applyAlignment="1">
      <alignment horizontal="center" vertical="center"/>
    </xf>
    <xf numFmtId="0" fontId="36" fillId="35" borderId="1" xfId="100" applyFont="1" applyFill="1" applyBorder="1" applyAlignment="1">
      <alignment horizontal="center"/>
    </xf>
    <xf numFmtId="0" fontId="47" fillId="0" borderId="0" xfId="0" applyFont="1" applyAlignment="1">
      <alignment horizontal="center" vertical="center" wrapText="1" readingOrder="1"/>
    </xf>
    <xf numFmtId="0" fontId="47" fillId="0" borderId="43" xfId="0" applyFont="1" applyBorder="1" applyAlignment="1">
      <alignment horizontal="center" vertical="center" wrapText="1" readingOrder="1"/>
    </xf>
    <xf numFmtId="0" fontId="49" fillId="0" borderId="44" xfId="0" applyFont="1" applyBorder="1" applyAlignment="1">
      <alignment horizontal="center" vertical="center" wrapText="1" readingOrder="1"/>
    </xf>
    <xf numFmtId="0" fontId="49" fillId="0" borderId="0" xfId="0" applyFont="1" applyAlignment="1">
      <alignment horizontal="center" vertical="center" wrapText="1" readingOrder="1"/>
    </xf>
    <xf numFmtId="0" fontId="49" fillId="0" borderId="45" xfId="0" applyFont="1" applyBorder="1" applyAlignment="1">
      <alignment horizontal="center" vertical="center" wrapText="1" readingOrder="1"/>
    </xf>
    <xf numFmtId="0" fontId="49" fillId="0" borderId="46" xfId="0" applyFont="1" applyBorder="1" applyAlignment="1">
      <alignment horizontal="center" vertical="center" wrapText="1" readingOrder="1"/>
    </xf>
    <xf numFmtId="0" fontId="49" fillId="0" borderId="43" xfId="0" applyFont="1" applyBorder="1" applyAlignment="1">
      <alignment horizontal="center" vertical="center" wrapText="1" readingOrder="1"/>
    </xf>
    <xf numFmtId="0" fontId="49" fillId="0" borderId="47" xfId="0" applyFont="1" applyBorder="1" applyAlignment="1">
      <alignment horizontal="center" vertical="center" wrapText="1" readingOrder="1"/>
    </xf>
    <xf numFmtId="0" fontId="49" fillId="0" borderId="0" xfId="0" applyFont="1" applyFill="1" applyBorder="1" applyAlignment="1">
      <alignment horizontal="center" vertical="center" wrapText="1" readingOrder="1"/>
    </xf>
    <xf numFmtId="5" fontId="38" fillId="0" borderId="0" xfId="100" applyNumberFormat="1"/>
    <xf numFmtId="0" fontId="50" fillId="0" borderId="0" xfId="0" applyFont="1"/>
    <xf numFmtId="0" fontId="0" fillId="46" borderId="0" xfId="0" applyFill="1"/>
    <xf numFmtId="0" fontId="36" fillId="35" borderId="0" xfId="100" applyFont="1" applyFill="1" applyBorder="1" applyAlignment="1">
      <alignment horizontal="center" vertical="center"/>
    </xf>
    <xf numFmtId="3" fontId="7" fillId="2" borderId="10" xfId="102" applyNumberFormat="1" applyFont="1" applyFill="1" applyBorder="1" applyAlignment="1">
      <alignment horizontal="center"/>
    </xf>
    <xf numFmtId="169" fontId="0" fillId="0" borderId="0" xfId="0" applyNumberFormat="1"/>
    <xf numFmtId="43" fontId="0" fillId="0" borderId="0" xfId="0" applyNumberFormat="1"/>
    <xf numFmtId="170" fontId="0" fillId="0" borderId="1" xfId="1" applyNumberFormat="1" applyFont="1" applyBorder="1"/>
    <xf numFmtId="9" fontId="0" fillId="0" borderId="1" xfId="0" applyNumberFormat="1" applyBorder="1"/>
    <xf numFmtId="43" fontId="0" fillId="0" borderId="1" xfId="3" applyFont="1" applyBorder="1"/>
    <xf numFmtId="2" fontId="0" fillId="0" borderId="1" xfId="0" applyNumberFormat="1" applyBorder="1"/>
    <xf numFmtId="0" fontId="36" fillId="35" borderId="19" xfId="100" applyFont="1" applyFill="1" applyBorder="1" applyAlignment="1">
      <alignment horizontal="center" vertical="center"/>
    </xf>
    <xf numFmtId="0" fontId="1" fillId="0" borderId="1" xfId="0" applyFont="1" applyBorder="1"/>
    <xf numFmtId="169" fontId="0" fillId="0" borderId="1" xfId="0" applyNumberFormat="1" applyBorder="1"/>
    <xf numFmtId="0" fontId="1" fillId="0" borderId="1" xfId="0" applyFont="1" applyFill="1" applyBorder="1"/>
    <xf numFmtId="43" fontId="0" fillId="0" borderId="1" xfId="0" applyNumberFormat="1" applyBorder="1"/>
    <xf numFmtId="171" fontId="0" fillId="0" borderId="1" xfId="3" applyNumberFormat="1" applyFont="1" applyBorder="1"/>
    <xf numFmtId="171" fontId="0" fillId="0" borderId="1" xfId="0" applyNumberFormat="1" applyBorder="1"/>
    <xf numFmtId="5" fontId="0" fillId="0" borderId="1" xfId="1" applyNumberFormat="1" applyFont="1" applyBorder="1"/>
    <xf numFmtId="0" fontId="51" fillId="0" borderId="0" xfId="0" applyFont="1"/>
    <xf numFmtId="0" fontId="0" fillId="0" borderId="0" xfId="0" applyBorder="1" applyAlignment="1"/>
    <xf numFmtId="170" fontId="0" fillId="0" borderId="0" xfId="1" applyNumberFormat="1" applyFont="1" applyBorder="1" applyAlignment="1"/>
    <xf numFmtId="0" fontId="38" fillId="0" borderId="0" xfId="100" applyBorder="1" applyAlignment="1"/>
    <xf numFmtId="0" fontId="7" fillId="0" borderId="0" xfId="100" applyFont="1" applyBorder="1" applyAlignment="1"/>
    <xf numFmtId="0" fontId="1" fillId="38" borderId="1" xfId="0" applyFont="1" applyFill="1" applyBorder="1" applyAlignment="1">
      <alignment horizontal="center" vertical="center"/>
    </xf>
    <xf numFmtId="0" fontId="1" fillId="40" borderId="1" xfId="0" applyFont="1" applyFill="1" applyBorder="1" applyAlignment="1">
      <alignment horizontal="center" vertical="center"/>
    </xf>
    <xf numFmtId="0" fontId="36" fillId="35" borderId="2" xfId="100" applyFont="1" applyFill="1" applyBorder="1" applyAlignment="1">
      <alignment horizontal="center" vertical="center"/>
    </xf>
    <xf numFmtId="0" fontId="36" fillId="35" borderId="1" xfId="100" applyFont="1" applyFill="1" applyBorder="1" applyAlignment="1">
      <alignment horizontal="center"/>
    </xf>
    <xf numFmtId="170" fontId="38" fillId="0" borderId="0" xfId="1" applyNumberFormat="1" applyFont="1"/>
    <xf numFmtId="1" fontId="38" fillId="0" borderId="0" xfId="100" applyNumberFormat="1"/>
    <xf numFmtId="0" fontId="7" fillId="0" borderId="20" xfId="100" applyFont="1" applyBorder="1"/>
    <xf numFmtId="0" fontId="38" fillId="0" borderId="21" xfId="100" applyBorder="1"/>
    <xf numFmtId="0" fontId="38" fillId="0" borderId="22" xfId="100" applyBorder="1"/>
    <xf numFmtId="170" fontId="0" fillId="0" borderId="0" xfId="1" applyNumberFormat="1" applyFont="1"/>
    <xf numFmtId="0" fontId="1" fillId="3" borderId="1" xfId="0" applyFont="1" applyFill="1" applyBorder="1"/>
    <xf numFmtId="0" fontId="36" fillId="35" borderId="20" xfId="100" applyFont="1" applyFill="1" applyBorder="1" applyAlignment="1">
      <alignment horizontal="center" vertical="center"/>
    </xf>
    <xf numFmtId="0" fontId="36" fillId="35" borderId="1" xfId="100" applyFont="1" applyFill="1" applyBorder="1" applyAlignment="1">
      <alignment horizont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168" fontId="38" fillId="0" borderId="0" xfId="100" applyNumberFormat="1" applyBorder="1"/>
    <xf numFmtId="0" fontId="36" fillId="35" borderId="2" xfId="100" applyFont="1" applyFill="1" applyBorder="1" applyAlignment="1">
      <alignment horizontal="center" vertical="center"/>
    </xf>
    <xf numFmtId="0" fontId="36" fillId="35" borderId="1" xfId="100" applyFont="1" applyFill="1" applyBorder="1" applyAlignment="1">
      <alignment horizontal="center"/>
    </xf>
    <xf numFmtId="0" fontId="36" fillId="35" borderId="20" xfId="100" applyFont="1" applyFill="1" applyBorder="1" applyAlignment="1">
      <alignment horizontal="center"/>
    </xf>
    <xf numFmtId="44" fontId="38" fillId="47" borderId="1" xfId="100" applyNumberFormat="1" applyFill="1" applyBorder="1"/>
    <xf numFmtId="9" fontId="7" fillId="45" borderId="1" xfId="2" applyFont="1" applyFill="1" applyBorder="1" applyAlignment="1">
      <alignment horizontal="right"/>
    </xf>
    <xf numFmtId="9" fontId="7" fillId="48" borderId="1" xfId="2" applyFont="1" applyFill="1" applyBorder="1" applyAlignment="1">
      <alignment horizontal="right"/>
    </xf>
    <xf numFmtId="3" fontId="7" fillId="4" borderId="18" xfId="100" applyNumberFormat="1" applyFont="1" applyFill="1" applyBorder="1" applyAlignment="1">
      <alignment horizontal="left"/>
    </xf>
    <xf numFmtId="9" fontId="7" fillId="45" borderId="4" xfId="2" applyFont="1" applyFill="1" applyBorder="1" applyAlignment="1">
      <alignment horizontal="right"/>
    </xf>
    <xf numFmtId="9" fontId="7" fillId="45" borderId="18" xfId="2" applyFont="1" applyFill="1" applyBorder="1" applyAlignment="1">
      <alignment horizontal="right"/>
    </xf>
    <xf numFmtId="9" fontId="7" fillId="45" borderId="17" xfId="2" applyFont="1" applyFill="1" applyBorder="1" applyAlignment="1">
      <alignment horizontal="right"/>
    </xf>
    <xf numFmtId="9" fontId="38" fillId="48" borderId="1" xfId="2" applyFont="1" applyFill="1" applyBorder="1" applyAlignment="1">
      <alignment horizontal="right"/>
    </xf>
    <xf numFmtId="44" fontId="38" fillId="0" borderId="1" xfId="1" applyNumberFormat="1" applyFont="1" applyBorder="1"/>
    <xf numFmtId="44" fontId="38" fillId="0" borderId="0" xfId="100" applyNumberFormat="1" applyFill="1" applyBorder="1"/>
    <xf numFmtId="44" fontId="38" fillId="0" borderId="0" xfId="100" applyNumberFormat="1"/>
    <xf numFmtId="44" fontId="38" fillId="47" borderId="20" xfId="100" applyNumberFormat="1" applyFill="1" applyBorder="1"/>
    <xf numFmtId="0" fontId="1" fillId="0" borderId="0" xfId="0" applyFont="1" applyAlignment="1">
      <alignment wrapText="1"/>
    </xf>
    <xf numFmtId="0" fontId="7" fillId="0" borderId="7" xfId="100" applyFont="1" applyBorder="1"/>
    <xf numFmtId="44" fontId="38" fillId="0" borderId="20" xfId="1" applyNumberFormat="1" applyFont="1" applyBorder="1"/>
    <xf numFmtId="4" fontId="38" fillId="0" borderId="0" xfId="100" applyNumberFormat="1"/>
    <xf numFmtId="1" fontId="0" fillId="0" borderId="0" xfId="0" applyNumberFormat="1"/>
    <xf numFmtId="1" fontId="0" fillId="49" borderId="0" xfId="0" applyNumberFormat="1" applyFill="1"/>
    <xf numFmtId="0" fontId="52" fillId="0" borderId="0" xfId="0" applyFont="1" applyAlignment="1">
      <alignment wrapText="1"/>
    </xf>
    <xf numFmtId="1" fontId="53" fillId="0" borderId="0" xfId="0" applyNumberFormat="1" applyFont="1"/>
    <xf numFmtId="0" fontId="53" fillId="0" borderId="0" xfId="0" applyFont="1"/>
    <xf numFmtId="2" fontId="0" fillId="49" borderId="0" xfId="0" applyNumberFormat="1" applyFill="1"/>
    <xf numFmtId="9" fontId="0" fillId="0" borderId="0" xfId="2" applyNumberFormat="1" applyFont="1"/>
    <xf numFmtId="9" fontId="0" fillId="49" borderId="0" xfId="2" applyFont="1" applyFill="1"/>
    <xf numFmtId="9" fontId="0" fillId="49" borderId="0" xfId="0" applyNumberFormat="1" applyFill="1"/>
    <xf numFmtId="0" fontId="54" fillId="0" borderId="48" xfId="0" applyFont="1" applyBorder="1"/>
    <xf numFmtId="10" fontId="0" fillId="50" borderId="40" xfId="0" applyNumberFormat="1" applyFill="1" applyBorder="1" applyAlignment="1">
      <alignment horizontal="center"/>
    </xf>
    <xf numFmtId="8" fontId="0" fillId="50" borderId="42" xfId="0" applyNumberFormat="1" applyFill="1" applyBorder="1" applyAlignment="1">
      <alignment horizontal="center"/>
    </xf>
    <xf numFmtId="9" fontId="0" fillId="50" borderId="42" xfId="0" applyNumberFormat="1" applyFill="1" applyBorder="1" applyAlignment="1">
      <alignment horizontal="center"/>
    </xf>
    <xf numFmtId="10" fontId="0" fillId="50" borderId="42" xfId="0" applyNumberFormat="1" applyFill="1" applyBorder="1" applyAlignment="1">
      <alignment horizontal="center"/>
    </xf>
    <xf numFmtId="0" fontId="0" fillId="2" borderId="0" xfId="0" applyFill="1"/>
    <xf numFmtId="0" fontId="36" fillId="35" borderId="2" xfId="100" applyFont="1" applyFill="1" applyBorder="1" applyAlignment="1">
      <alignment horizontal="center" vertical="center"/>
    </xf>
    <xf numFmtId="0" fontId="0" fillId="6" borderId="0" xfId="0" applyFill="1"/>
    <xf numFmtId="5" fontId="0" fillId="6" borderId="1" xfId="1" applyNumberFormat="1" applyFont="1" applyFill="1" applyBorder="1"/>
    <xf numFmtId="43" fontId="0" fillId="6" borderId="0" xfId="3" applyFont="1" applyFill="1"/>
    <xf numFmtId="9" fontId="0" fillId="6" borderId="0" xfId="0" applyNumberFormat="1" applyFill="1" applyBorder="1" applyAlignment="1">
      <alignment horizontal="right"/>
    </xf>
    <xf numFmtId="9" fontId="0" fillId="6" borderId="0" xfId="0" applyNumberFormat="1" applyFill="1" applyBorder="1"/>
    <xf numFmtId="0" fontId="0" fillId="51" borderId="0" xfId="0" applyFill="1"/>
    <xf numFmtId="0" fontId="0" fillId="51" borderId="1" xfId="0" applyFill="1" applyBorder="1"/>
    <xf numFmtId="5" fontId="0" fillId="51" borderId="1" xfId="1" applyNumberFormat="1" applyFont="1" applyFill="1" applyBorder="1"/>
    <xf numFmtId="43" fontId="0" fillId="51" borderId="0" xfId="3" applyFont="1" applyFill="1"/>
    <xf numFmtId="9" fontId="0" fillId="51" borderId="0" xfId="0" applyNumberFormat="1" applyFill="1" applyBorder="1"/>
    <xf numFmtId="0" fontId="0" fillId="42" borderId="0" xfId="0" applyFill="1"/>
    <xf numFmtId="0" fontId="0" fillId="42" borderId="1" xfId="0" applyFill="1" applyBorder="1"/>
    <xf numFmtId="5" fontId="0" fillId="42" borderId="1" xfId="1" applyNumberFormat="1" applyFont="1" applyFill="1" applyBorder="1"/>
    <xf numFmtId="43" fontId="0" fillId="42" borderId="0" xfId="3" applyFont="1" applyFill="1"/>
    <xf numFmtId="9" fontId="0" fillId="42" borderId="0" xfId="0" applyNumberFormat="1" applyFill="1" applyBorder="1"/>
    <xf numFmtId="172" fontId="0" fillId="0" borderId="0" xfId="0" applyNumberFormat="1"/>
    <xf numFmtId="0" fontId="0" fillId="0" borderId="0" xfId="0" quotePrefix="1"/>
    <xf numFmtId="44" fontId="0" fillId="0" borderId="1" xfId="1" applyNumberFormat="1" applyFont="1" applyBorder="1"/>
    <xf numFmtId="1" fontId="0" fillId="52" borderId="1" xfId="0" applyNumberFormat="1" applyFill="1" applyBorder="1"/>
    <xf numFmtId="0" fontId="0" fillId="0" borderId="0" xfId="0" applyAlignment="1">
      <alignment wrapText="1"/>
    </xf>
    <xf numFmtId="1" fontId="0" fillId="49" borderId="1" xfId="0" applyNumberFormat="1" applyFill="1" applyBorder="1"/>
    <xf numFmtId="0" fontId="1" fillId="0" borderId="1" xfId="0" applyFont="1" applyBorder="1" applyAlignment="1">
      <alignment wrapText="1"/>
    </xf>
    <xf numFmtId="0" fontId="0" fillId="0" borderId="0" xfId="0" applyFill="1"/>
    <xf numFmtId="0" fontId="0" fillId="52" borderId="40" xfId="0" applyFill="1" applyBorder="1"/>
    <xf numFmtId="1" fontId="0" fillId="53" borderId="0" xfId="0" applyNumberFormat="1" applyFill="1"/>
    <xf numFmtId="0" fontId="55" fillId="0" borderId="0" xfId="0" applyFont="1" applyBorder="1" applyAlignment="1">
      <alignment horizontal="center" vertical="center" wrapText="1"/>
    </xf>
    <xf numFmtId="0" fontId="2" fillId="0" borderId="0" xfId="0" applyFont="1"/>
    <xf numFmtId="0" fontId="2" fillId="0" borderId="0" xfId="0" applyFont="1" applyFill="1" applyBorder="1"/>
    <xf numFmtId="44" fontId="5" fillId="40" borderId="1" xfId="1" applyFont="1" applyFill="1" applyBorder="1"/>
    <xf numFmtId="0" fontId="56" fillId="0" borderId="0" xfId="0" applyFont="1" applyAlignment="1">
      <alignment horizontal="left"/>
    </xf>
    <xf numFmtId="10" fontId="0" fillId="49" borderId="0" xfId="0" applyNumberFormat="1" applyFill="1"/>
    <xf numFmtId="0" fontId="36" fillId="0" borderId="19" xfId="100" applyFont="1" applyFill="1" applyBorder="1" applyAlignment="1">
      <alignment horizontal="center" vertical="center"/>
    </xf>
    <xf numFmtId="43" fontId="0" fillId="0" borderId="0" xfId="3" applyFont="1"/>
    <xf numFmtId="0" fontId="1" fillId="0" borderId="1" xfId="0" applyFont="1" applyBorder="1" applyAlignment="1">
      <alignment horizontal="center" vertical="center" wrapText="1"/>
    </xf>
    <xf numFmtId="44" fontId="1" fillId="0" borderId="1" xfId="1" applyFont="1" applyBorder="1" applyAlignment="1">
      <alignment horizontal="center" vertical="center" wrapText="1"/>
    </xf>
    <xf numFmtId="0" fontId="0" fillId="0" borderId="2" xfId="0" applyFont="1" applyBorder="1" applyAlignment="1">
      <alignment horizontal="center" vertical="top" wrapText="1"/>
    </xf>
    <xf numFmtId="0" fontId="0" fillId="0" borderId="19" xfId="0" applyFont="1" applyBorder="1" applyAlignment="1">
      <alignment horizontal="center" vertical="top" wrapText="1"/>
    </xf>
    <xf numFmtId="0" fontId="0" fillId="0" borderId="20" xfId="0" applyFont="1" applyBorder="1" applyAlignment="1">
      <alignment horizontal="center" vertical="top"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9" fontId="1" fillId="0" borderId="21" xfId="2" applyFont="1" applyBorder="1" applyAlignment="1">
      <alignment horizontal="center" vertical="center" wrapText="1"/>
    </xf>
    <xf numFmtId="9" fontId="1" fillId="0" borderId="22" xfId="2" applyFont="1" applyBorder="1" applyAlignment="1">
      <alignment horizontal="center" vertical="center" wrapText="1"/>
    </xf>
    <xf numFmtId="9" fontId="1" fillId="0" borderId="1" xfId="2" applyFont="1" applyBorder="1" applyAlignment="1">
      <alignment horizontal="center" vertical="center" wrapText="1"/>
    </xf>
    <xf numFmtId="49" fontId="0" fillId="0" borderId="1" xfId="0" applyNumberFormat="1" applyBorder="1" applyAlignment="1">
      <alignment horizontal="center"/>
    </xf>
    <xf numFmtId="0" fontId="0" fillId="0" borderId="1" xfId="0" applyBorder="1" applyAlignment="1">
      <alignment vertical="center"/>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49" fontId="0" fillId="0" borderId="2"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 xfId="0" applyNumberFormat="1" applyBorder="1" applyAlignment="1">
      <alignment horizontal="center" vertical="top"/>
    </xf>
    <xf numFmtId="49" fontId="0" fillId="0" borderId="19" xfId="0" applyNumberFormat="1" applyBorder="1" applyAlignment="1">
      <alignment horizontal="center" vertical="top"/>
    </xf>
    <xf numFmtId="49" fontId="0" fillId="0" borderId="20" xfId="0" applyNumberFormat="1" applyBorder="1" applyAlignment="1">
      <alignment horizontal="center" vertical="top"/>
    </xf>
    <xf numFmtId="0" fontId="0" fillId="0" borderId="2"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49" fontId="0" fillId="0" borderId="1" xfId="0" applyNumberFormat="1" applyBorder="1" applyAlignment="1">
      <alignment horizontal="center" vertical="center" wrapText="1"/>
    </xf>
    <xf numFmtId="9" fontId="1" fillId="0" borderId="1" xfId="2" applyFont="1" applyBorder="1" applyAlignment="1">
      <alignment horizontal="center" vertical="top" wrapText="1"/>
    </xf>
    <xf numFmtId="0" fontId="5" fillId="2" borderId="20" xfId="0" applyFont="1" applyFill="1" applyBorder="1" applyAlignment="1">
      <alignment horizontal="center"/>
    </xf>
    <xf numFmtId="0" fontId="5" fillId="2" borderId="1" xfId="0" applyFont="1" applyFill="1" applyBorder="1" applyAlignment="1">
      <alignment horizontal="center"/>
    </xf>
    <xf numFmtId="0" fontId="35" fillId="2" borderId="1" xfId="0" applyFont="1" applyFill="1" applyBorder="1" applyAlignment="1">
      <alignment horizontal="center"/>
    </xf>
    <xf numFmtId="0" fontId="35" fillId="34" borderId="20" xfId="0" applyFont="1" applyFill="1" applyBorder="1" applyAlignment="1">
      <alignment horizontal="center"/>
    </xf>
    <xf numFmtId="0" fontId="35" fillId="34" borderId="1" xfId="0" applyFont="1" applyFill="1" applyBorder="1" applyAlignment="1">
      <alignment horizontal="center"/>
    </xf>
    <xf numFmtId="0" fontId="1" fillId="3" borderId="8" xfId="0" applyFont="1" applyFill="1" applyBorder="1" applyAlignment="1">
      <alignment horizontal="center"/>
    </xf>
    <xf numFmtId="0" fontId="1" fillId="3" borderId="12" xfId="0" applyFont="1" applyFill="1" applyBorder="1" applyAlignment="1">
      <alignment horizontal="center"/>
    </xf>
    <xf numFmtId="0" fontId="1" fillId="44" borderId="7" xfId="0" applyFont="1" applyFill="1" applyBorder="1" applyAlignment="1">
      <alignment horizontal="center" vertical="center" wrapText="1"/>
    </xf>
    <xf numFmtId="0" fontId="1" fillId="44" borderId="9" xfId="0" applyFont="1" applyFill="1" applyBorder="1" applyAlignment="1">
      <alignment horizontal="center" vertical="center" wrapText="1"/>
    </xf>
    <xf numFmtId="0" fontId="1" fillId="45" borderId="7" xfId="0" applyFont="1" applyFill="1" applyBorder="1" applyAlignment="1">
      <alignment horizontal="center" vertical="center" wrapText="1"/>
    </xf>
    <xf numFmtId="0" fontId="1" fillId="45" borderId="9" xfId="0" applyFont="1" applyFill="1" applyBorder="1" applyAlignment="1">
      <alignment horizontal="center" vertical="center" wrapText="1"/>
    </xf>
    <xf numFmtId="0" fontId="1" fillId="37" borderId="21" xfId="0" applyFont="1" applyFill="1" applyBorder="1" applyAlignment="1">
      <alignment horizontal="center"/>
    </xf>
    <xf numFmtId="0" fontId="1" fillId="37" borderId="22" xfId="0" applyFont="1" applyFill="1" applyBorder="1" applyAlignment="1">
      <alignment horizontal="center"/>
    </xf>
    <xf numFmtId="0" fontId="1" fillId="40" borderId="1" xfId="0" applyFont="1" applyFill="1" applyBorder="1" applyAlignment="1">
      <alignment horizontal="center" vertical="center" wrapText="1"/>
    </xf>
    <xf numFmtId="0" fontId="1" fillId="6" borderId="2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0" fillId="37" borderId="1" xfId="0" applyFill="1" applyBorder="1" applyAlignment="1">
      <alignment horizontal="center"/>
    </xf>
    <xf numFmtId="0" fontId="0" fillId="3" borderId="8"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1" fillId="40" borderId="1" xfId="0" applyFont="1" applyFill="1" applyBorder="1" applyAlignment="1">
      <alignment horizontal="center" vertical="center"/>
    </xf>
    <xf numFmtId="0" fontId="1" fillId="40" borderId="2" xfId="0" applyFont="1" applyFill="1" applyBorder="1" applyAlignment="1">
      <alignment horizontal="center" vertical="center" wrapText="1"/>
    </xf>
    <xf numFmtId="0" fontId="1" fillId="40" borderId="2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5" borderId="8" xfId="0" applyFont="1" applyFill="1" applyBorder="1" applyAlignment="1">
      <alignment horizontal="center"/>
    </xf>
    <xf numFmtId="0" fontId="1" fillId="5" borderId="12" xfId="0" applyFont="1" applyFill="1" applyBorder="1" applyAlignment="1">
      <alignment horizontal="center"/>
    </xf>
    <xf numFmtId="0" fontId="1" fillId="43" borderId="7" xfId="0" applyFont="1" applyFill="1" applyBorder="1" applyAlignment="1">
      <alignment horizontal="center" vertical="center" wrapText="1"/>
    </xf>
    <xf numFmtId="0" fontId="1" fillId="43" borderId="9" xfId="0" applyFont="1" applyFill="1"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 fillId="38" borderId="1" xfId="0" applyFont="1" applyFill="1" applyBorder="1" applyAlignment="1">
      <alignment horizontal="center" vertical="center"/>
    </xf>
    <xf numFmtId="0" fontId="1" fillId="38"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5" borderId="21" xfId="0" applyFont="1" applyFill="1" applyBorder="1" applyAlignment="1">
      <alignment horizontal="center"/>
    </xf>
    <xf numFmtId="0" fontId="1" fillId="5" borderId="6" xfId="0" applyFont="1" applyFill="1" applyBorder="1" applyAlignment="1">
      <alignment horizontal="center"/>
    </xf>
    <xf numFmtId="0" fontId="1" fillId="5" borderId="22" xfId="0" applyFont="1" applyFill="1" applyBorder="1" applyAlignment="1">
      <alignment horizontal="center"/>
    </xf>
    <xf numFmtId="0" fontId="36" fillId="35" borderId="1" xfId="100" applyFont="1" applyFill="1" applyBorder="1" applyAlignment="1">
      <alignment horizontal="center" vertical="center"/>
    </xf>
    <xf numFmtId="5" fontId="36" fillId="35" borderId="1" xfId="100" applyNumberFormat="1" applyFont="1" applyFill="1" applyBorder="1" applyAlignment="1">
      <alignment horizontal="center"/>
    </xf>
    <xf numFmtId="0" fontId="44" fillId="39" borderId="14" xfId="100" applyFont="1" applyFill="1" applyBorder="1" applyAlignment="1">
      <alignment horizontal="left"/>
    </xf>
    <xf numFmtId="0" fontId="44" fillId="39" borderId="15" xfId="100" applyFont="1" applyFill="1" applyBorder="1" applyAlignment="1">
      <alignment horizontal="left"/>
    </xf>
    <xf numFmtId="0" fontId="44" fillId="39" borderId="16" xfId="100" applyFont="1" applyFill="1" applyBorder="1" applyAlignment="1">
      <alignment horizontal="left"/>
    </xf>
    <xf numFmtId="0" fontId="36" fillId="34" borderId="2" xfId="100" applyFont="1" applyFill="1" applyBorder="1" applyAlignment="1">
      <alignment horizontal="center"/>
    </xf>
    <xf numFmtId="0" fontId="36" fillId="34" borderId="5" xfId="100" applyFont="1" applyFill="1" applyBorder="1" applyAlignment="1">
      <alignment horizontal="center"/>
    </xf>
    <xf numFmtId="0" fontId="36" fillId="35" borderId="1" xfId="100" applyFont="1" applyFill="1" applyBorder="1" applyAlignment="1">
      <alignment horizontal="center"/>
    </xf>
    <xf numFmtId="0" fontId="36" fillId="35" borderId="2" xfId="100" applyFont="1" applyFill="1" applyBorder="1" applyAlignment="1">
      <alignment horizontal="center"/>
    </xf>
    <xf numFmtId="0" fontId="36" fillId="35" borderId="20" xfId="100" applyFont="1" applyFill="1" applyBorder="1" applyAlignment="1">
      <alignment horizontal="center"/>
    </xf>
    <xf numFmtId="0" fontId="36" fillId="35" borderId="2" xfId="100" applyFont="1" applyFill="1" applyBorder="1" applyAlignment="1">
      <alignment horizontal="center" wrapText="1"/>
    </xf>
    <xf numFmtId="0" fontId="36" fillId="35" borderId="20" xfId="100" applyFont="1" applyFill="1" applyBorder="1" applyAlignment="1">
      <alignment horizontal="center" wrapText="1"/>
    </xf>
    <xf numFmtId="0" fontId="36" fillId="35" borderId="2" xfId="100" applyFont="1" applyFill="1" applyBorder="1" applyAlignment="1">
      <alignment horizontal="center" vertical="center" wrapText="1"/>
    </xf>
    <xf numFmtId="0" fontId="38" fillId="35" borderId="20" xfId="100" applyFill="1" applyBorder="1" applyAlignment="1">
      <alignment horizontal="center" vertical="center" wrapText="1"/>
    </xf>
    <xf numFmtId="0" fontId="36" fillId="35" borderId="21" xfId="100" applyFont="1" applyFill="1" applyBorder="1" applyAlignment="1">
      <alignment horizontal="center" vertical="center" wrapText="1"/>
    </xf>
    <xf numFmtId="0" fontId="36" fillId="35" borderId="6" xfId="100" applyFont="1" applyFill="1" applyBorder="1" applyAlignment="1">
      <alignment horizontal="center" vertical="center" wrapText="1"/>
    </xf>
    <xf numFmtId="0" fontId="36" fillId="35" borderId="2" xfId="100" applyFont="1" applyFill="1" applyBorder="1" applyAlignment="1">
      <alignment horizontal="center" vertical="center"/>
    </xf>
    <xf numFmtId="0" fontId="36" fillId="35" borderId="20" xfId="100" applyFont="1" applyFill="1" applyBorder="1" applyAlignment="1">
      <alignment horizontal="center" vertical="center"/>
    </xf>
    <xf numFmtId="0" fontId="36" fillId="35" borderId="20" xfId="100" applyFont="1" applyFill="1" applyBorder="1" applyAlignment="1">
      <alignment horizontal="center" vertical="center" wrapText="1"/>
    </xf>
    <xf numFmtId="0" fontId="36" fillId="34" borderId="21" xfId="100" applyFont="1" applyFill="1" applyBorder="1" applyAlignment="1">
      <alignment horizontal="center"/>
    </xf>
    <xf numFmtId="0" fontId="36" fillId="34" borderId="6" xfId="100" applyFont="1" applyFill="1" applyBorder="1" applyAlignment="1">
      <alignment horizontal="center"/>
    </xf>
    <xf numFmtId="0" fontId="36" fillId="34" borderId="41" xfId="100" applyFont="1" applyFill="1" applyBorder="1" applyAlignment="1">
      <alignment horizontal="center"/>
    </xf>
    <xf numFmtId="0" fontId="36" fillId="35" borderId="21" xfId="100" applyFont="1" applyFill="1" applyBorder="1" applyAlignment="1">
      <alignment horizontal="center"/>
    </xf>
    <xf numFmtId="0" fontId="36" fillId="35" borderId="6" xfId="100" applyFont="1" applyFill="1" applyBorder="1" applyAlignment="1">
      <alignment horizontal="center"/>
    </xf>
    <xf numFmtId="0" fontId="36" fillId="35" borderId="22" xfId="100" applyFont="1" applyFill="1" applyBorder="1" applyAlignment="1">
      <alignment horizontal="center"/>
    </xf>
    <xf numFmtId="5" fontId="36" fillId="35" borderId="21" xfId="100" applyNumberFormat="1" applyFont="1" applyFill="1" applyBorder="1" applyAlignment="1">
      <alignment horizontal="center"/>
    </xf>
    <xf numFmtId="5" fontId="36" fillId="35" borderId="6" xfId="100" applyNumberFormat="1" applyFont="1" applyFill="1" applyBorder="1" applyAlignment="1">
      <alignment horizontal="center"/>
    </xf>
    <xf numFmtId="5" fontId="36" fillId="35" borderId="22" xfId="100" applyNumberFormat="1" applyFont="1" applyFill="1" applyBorder="1" applyAlignment="1">
      <alignment horizontal="center"/>
    </xf>
    <xf numFmtId="0" fontId="36" fillId="35" borderId="21" xfId="100" applyFont="1" applyFill="1" applyBorder="1" applyAlignment="1">
      <alignment horizontal="center" vertical="center"/>
    </xf>
    <xf numFmtId="0" fontId="36" fillId="35" borderId="22" xfId="100" applyFont="1" applyFill="1" applyBorder="1" applyAlignment="1">
      <alignment horizontal="center" vertical="center"/>
    </xf>
    <xf numFmtId="0" fontId="36" fillId="35" borderId="7" xfId="100" applyFont="1" applyFill="1" applyBorder="1" applyAlignment="1">
      <alignment horizontal="center" vertical="center"/>
    </xf>
    <xf numFmtId="0" fontId="36" fillId="35" borderId="8" xfId="100" applyFont="1" applyFill="1" applyBorder="1" applyAlignment="1">
      <alignment horizontal="center" vertical="center"/>
    </xf>
    <xf numFmtId="0" fontId="48" fillId="0" borderId="0" xfId="0" applyFont="1" applyAlignment="1">
      <alignment horizontal="center" wrapText="1" readingOrder="1"/>
    </xf>
    <xf numFmtId="0" fontId="48" fillId="0" borderId="43" xfId="0" applyFont="1" applyBorder="1" applyAlignment="1">
      <alignment horizontal="center" wrapText="1" readingOrder="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55" fillId="0" borderId="49" xfId="0" applyFont="1" applyBorder="1" applyAlignment="1">
      <alignment horizontal="center" vertical="center" wrapText="1"/>
    </xf>
    <xf numFmtId="0" fontId="55" fillId="0" borderId="50" xfId="0" applyFont="1" applyBorder="1" applyAlignment="1">
      <alignment horizontal="center" vertical="center" wrapText="1"/>
    </xf>
    <xf numFmtId="0" fontId="55" fillId="0" borderId="42" xfId="0" applyFont="1" applyBorder="1" applyAlignment="1">
      <alignment horizontal="center" vertical="center" wrapText="1"/>
    </xf>
  </cellXfs>
  <cellStyles count="104">
    <cellStyle name="20% - Accent1 2" xfId="39"/>
    <cellStyle name="20% - Accent2 2" xfId="40"/>
    <cellStyle name="20% - Accent3 2" xfId="41"/>
    <cellStyle name="20% - Accent4 2" xfId="42"/>
    <cellStyle name="20% - Accent5 2" xfId="43"/>
    <cellStyle name="20% - Accent6 2" xfId="44"/>
    <cellStyle name="40% - Accent1 2" xfId="45"/>
    <cellStyle name="40% - Accent2 2" xfId="46"/>
    <cellStyle name="40% - Accent3 2" xfId="47"/>
    <cellStyle name="40% - Accent4 2" xfId="48"/>
    <cellStyle name="40% - Accent5 2" xfId="49"/>
    <cellStyle name="40%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Bad 2" xfId="63"/>
    <cellStyle name="Calculation 2" xfId="64"/>
    <cellStyle name="Check Cell 2" xfId="65"/>
    <cellStyle name="Comma" xfId="3" builtinId="3"/>
    <cellStyle name="Comma 2" xfId="7"/>
    <cellStyle name="Comma 2 2" xfId="26"/>
    <cellStyle name="Comma 2 3" xfId="25"/>
    <cellStyle name="Comma 2 4" xfId="14"/>
    <cellStyle name="Comma 3" xfId="19"/>
    <cellStyle name="Comma 3 2" xfId="29"/>
    <cellStyle name="Comma 3 3" xfId="33"/>
    <cellStyle name="Comma 4" xfId="90"/>
    <cellStyle name="Comma 4 2" xfId="96"/>
    <cellStyle name="Comma 5" xfId="101"/>
    <cellStyle name="Currency" xfId="1" builtinId="4"/>
    <cellStyle name="Currency 2" xfId="20"/>
    <cellStyle name="Currency 3" xfId="66"/>
    <cellStyle name="Currency 4" xfId="103"/>
    <cellStyle name="Data Field" xfId="67"/>
    <cellStyle name="Data Name" xfId="68"/>
    <cellStyle name="Date/Time" xfId="69"/>
    <cellStyle name="Explanatory Text 2" xfId="70"/>
    <cellStyle name="Good 2" xfId="13"/>
    <cellStyle name="Good 3" xfId="71"/>
    <cellStyle name="Heading" xfId="72"/>
    <cellStyle name="Heading 1 2" xfId="73"/>
    <cellStyle name="Heading 2 2" xfId="74"/>
    <cellStyle name="Heading 2 3" xfId="89"/>
    <cellStyle name="Heading 3 2" xfId="75"/>
    <cellStyle name="Heading 4 2" xfId="76"/>
    <cellStyle name="Hyperlink 2" xfId="5"/>
    <cellStyle name="Hyperlink 2 2" xfId="22"/>
    <cellStyle name="Hyperlink 3" xfId="9"/>
    <cellStyle name="Hyperlink 4" xfId="16"/>
    <cellStyle name="Hyperlink 5" xfId="4"/>
    <cellStyle name="Input 2" xfId="77"/>
    <cellStyle name="Linked Cell 2" xfId="78"/>
    <cellStyle name="Neutral 2" xfId="79"/>
    <cellStyle name="Normal" xfId="0" builtinId="0"/>
    <cellStyle name="Normal 10" xfId="93"/>
    <cellStyle name="Normal 10 2" xfId="99"/>
    <cellStyle name="Normal 11" xfId="100"/>
    <cellStyle name="Normal 2" xfId="6"/>
    <cellStyle name="Normal 2 2" xfId="10"/>
    <cellStyle name="Normal 3" xfId="11"/>
    <cellStyle name="Normal 3 2" xfId="17"/>
    <cellStyle name="Normal 3 2 2" xfId="27"/>
    <cellStyle name="Normal 3 2 3" xfId="23"/>
    <cellStyle name="Normal 3 3" xfId="24"/>
    <cellStyle name="Normal 3 4" xfId="31"/>
    <cellStyle name="Normal 4" xfId="12"/>
    <cellStyle name="Normal 5" xfId="18"/>
    <cellStyle name="Normal 5 2" xfId="28"/>
    <cellStyle name="Normal 5 3" xfId="32"/>
    <cellStyle name="Normal 6" xfId="35"/>
    <cellStyle name="Normal 7" xfId="36"/>
    <cellStyle name="Normal 7 2" xfId="94"/>
    <cellStyle name="Normal 8" xfId="37"/>
    <cellStyle name="Normal 9" xfId="91"/>
    <cellStyle name="Normal 9 2" xfId="97"/>
    <cellStyle name="Note 2" xfId="80"/>
    <cellStyle name="Note 3" xfId="88"/>
    <cellStyle name="Output 2" xfId="81"/>
    <cellStyle name="Percent" xfId="2" builtinId="5"/>
    <cellStyle name="Percent 2" xfId="8"/>
    <cellStyle name="Percent 2 2" xfId="15"/>
    <cellStyle name="Percent 3" xfId="21"/>
    <cellStyle name="Percent 3 2" xfId="30"/>
    <cellStyle name="Percent 3 3" xfId="34"/>
    <cellStyle name="Percent 4" xfId="87"/>
    <cellStyle name="Percent 4 2" xfId="95"/>
    <cellStyle name="Percent 5" xfId="92"/>
    <cellStyle name="Percent 5 2" xfId="98"/>
    <cellStyle name="Percent 6" xfId="102"/>
    <cellStyle name="Style 1" xfId="38"/>
    <cellStyle name="Title 2" xfId="82"/>
    <cellStyle name="Total 2" xfId="83"/>
    <cellStyle name="Warning Text 2" xfId="84"/>
    <cellStyle name="표준_ENERGY CONSUMP" xfId="85"/>
    <cellStyle name="常规_海外市场服务网站资料操作BOM" xfId="86"/>
  </cellStyles>
  <dxfs count="3">
    <dxf>
      <fill>
        <patternFill patternType="lightDown">
          <fgColor theme="1"/>
          <bgColor theme="0" tint="-0.14996795556505021"/>
        </patternFill>
      </fill>
    </dxf>
    <dxf>
      <fill>
        <patternFill patternType="lightDown">
          <fgColor theme="1"/>
          <bgColor theme="0" tint="-0.14996795556505021"/>
        </patternFill>
      </fill>
    </dxf>
    <dxf>
      <font>
        <color rgb="FF9C0006"/>
      </font>
      <fill>
        <patternFill>
          <bgColor rgb="FFFFC7CE"/>
        </patternFill>
      </fill>
    </dxf>
  </dxfs>
  <tableStyles count="0" defaultTableStyle="TableStyleMedium2" defaultPivotStyle="PivotStyleLight16"/>
  <colors>
    <mruColors>
      <color rgb="FFD8E4BC"/>
      <color rgb="FFC4D79B"/>
      <color rgb="FFEBF1DE"/>
      <color rgb="FF9BBB59"/>
      <color rgb="FF7D98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19.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theme" Target="theme/theme1.xml"/><Relationship Id="rId10" Type="http://schemas.openxmlformats.org/officeDocument/2006/relationships/worksheet" Target="worksheets/sheet8.xml"/><Relationship Id="rId19" Type="http://schemas.openxmlformats.org/officeDocument/2006/relationships/worksheet" Target="worksheets/sheet17.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worksheet" Target="worksheets/sheet20.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Program and Bin Costs</a:t>
            </a:r>
          </a:p>
        </c:rich>
      </c:tx>
    </c:title>
    <c:plotArea>
      <c:layout/>
      <c:barChart>
        <c:barDir val="col"/>
        <c:grouping val="clustered"/>
        <c:ser>
          <c:idx val="0"/>
          <c:order val="0"/>
          <c:tx>
            <c:v>Program Costs</c:v>
          </c:tx>
          <c:cat>
            <c:strRef>
              <c:f>CostByType_Summary!$C$35:$C$53</c:f>
              <c:strCache>
                <c:ptCount val="19"/>
                <c:pt idx="0">
                  <c:v> Curtailable/Interruptible Tariff</c:v>
                </c:pt>
                <c:pt idx="1">
                  <c:v> Curtailable/Interruptible - AutoDR</c:v>
                </c:pt>
                <c:pt idx="2">
                  <c:v> Refrigerated Warehouses - Controls</c:v>
                </c:pt>
                <c:pt idx="3">
                  <c:v> Space Cooling, Medium - Switch</c:v>
                </c:pt>
                <c:pt idx="4">
                  <c:v> Space Cooling, Small - Switch</c:v>
                </c:pt>
                <c:pt idx="5">
                  <c:v> Space Heating - Switch</c:v>
                </c:pt>
                <c:pt idx="6">
                  <c:v> Load Aggregator - AutoDR</c:v>
                </c:pt>
                <c:pt idx="7">
                  <c:v> Space Cooling - CAC Switch</c:v>
                </c:pt>
                <c:pt idx="8">
                  <c:v> Water Heating - Switch</c:v>
                </c:pt>
                <c:pt idx="9">
                  <c:v> Irrigation Pumping - AutoDR</c:v>
                </c:pt>
                <c:pt idx="10">
                  <c:v> Lighting Controls - AutoDR</c:v>
                </c:pt>
                <c:pt idx="11">
                  <c:v> Space Cooling, Medium - AutoDR</c:v>
                </c:pt>
                <c:pt idx="12">
                  <c:v> Space Cooling - RAC Switch</c:v>
                </c:pt>
                <c:pt idx="13">
                  <c:v> Irrigation Pumping - Switch</c:v>
                </c:pt>
                <c:pt idx="14">
                  <c:v> Space Cooling, Small - PCT</c:v>
                </c:pt>
                <c:pt idx="15">
                  <c:v> Water Heating - WH Controls</c:v>
                </c:pt>
                <c:pt idx="16">
                  <c:v> Space Cooling - CAC PCT</c:v>
                </c:pt>
                <c:pt idx="17">
                  <c:v> Space Cooling - RAC PCT</c:v>
                </c:pt>
                <c:pt idx="18">
                  <c:v> Space Heating - PCT</c:v>
                </c:pt>
              </c:strCache>
            </c:strRef>
          </c:cat>
          <c:val>
            <c:numRef>
              <c:f>CostByType_Summary!$D$35:$D$53</c:f>
              <c:numCache>
                <c:formatCode>"$"#,##0_);\("$"#,##0\)</c:formatCode>
                <c:ptCount val="19"/>
                <c:pt idx="0">
                  <c:v>-12.801495436350621</c:v>
                </c:pt>
                <c:pt idx="1">
                  <c:v>-2.89634952270971</c:v>
                </c:pt>
                <c:pt idx="2">
                  <c:v>2.8162842750556054</c:v>
                </c:pt>
                <c:pt idx="3">
                  <c:v>3.8790081167624422</c:v>
                </c:pt>
                <c:pt idx="4">
                  <c:v>11.146941807761703</c:v>
                </c:pt>
                <c:pt idx="5">
                  <c:v>27.888866341245944</c:v>
                </c:pt>
                <c:pt idx="6">
                  <c:v>28.723299484134781</c:v>
                </c:pt>
                <c:pt idx="7">
                  <c:v>47.063324955098665</c:v>
                </c:pt>
                <c:pt idx="8">
                  <c:v>48.858484036950806</c:v>
                </c:pt>
                <c:pt idx="9">
                  <c:v>54.737778125855897</c:v>
                </c:pt>
                <c:pt idx="10">
                  <c:v>54.737778125855911</c:v>
                </c:pt>
                <c:pt idx="11">
                  <c:v>55.124745458356394</c:v>
                </c:pt>
                <c:pt idx="12">
                  <c:v>61.154496295103471</c:v>
                </c:pt>
                <c:pt idx="13">
                  <c:v>75.655865942112143</c:v>
                </c:pt>
                <c:pt idx="14">
                  <c:v>89.045790879359203</c:v>
                </c:pt>
                <c:pt idx="15">
                  <c:v>152.09804593591335</c:v>
                </c:pt>
                <c:pt idx="16">
                  <c:v>153.08506177241881</c:v>
                </c:pt>
                <c:pt idx="17">
                  <c:v>153.08506177241884</c:v>
                </c:pt>
                <c:pt idx="18">
                  <c:v>153.08506177241887</c:v>
                </c:pt>
              </c:numCache>
            </c:numRef>
          </c:val>
        </c:ser>
        <c:axId val="134526464"/>
        <c:axId val="134528000"/>
      </c:barChart>
      <c:lineChart>
        <c:grouping val="standard"/>
        <c:ser>
          <c:idx val="1"/>
          <c:order val="1"/>
          <c:tx>
            <c:v>Bin Costs</c:v>
          </c:tx>
          <c:spPr>
            <a:ln w="73025"/>
          </c:spPr>
          <c:marker>
            <c:symbol val="none"/>
          </c:marker>
          <c:cat>
            <c:strRef>
              <c:f>CostByType_Summary!$B$34</c:f>
              <c:strCache>
                <c:ptCount val="1"/>
                <c:pt idx="0">
                  <c:v>Bin</c:v>
                </c:pt>
              </c:strCache>
            </c:strRef>
          </c:cat>
          <c:val>
            <c:numRef>
              <c:f>CostByType_Summary!$E$35:$E$53</c:f>
              <c:numCache>
                <c:formatCode>_(* #,##0.00_);_(* \(#,##0.00\);_(* "-"??_);_(@_)</c:formatCode>
                <c:ptCount val="19"/>
                <c:pt idx="0">
                  <c:v>-5.2033259726394308</c:v>
                </c:pt>
                <c:pt idx="1">
                  <c:v>-5.2033259726394308</c:v>
                </c:pt>
                <c:pt idx="2">
                  <c:v>-5.2033259726394308</c:v>
                </c:pt>
                <c:pt idx="3">
                  <c:v>-5.2033259726394308</c:v>
                </c:pt>
                <c:pt idx="4">
                  <c:v>-5.2033259726394308</c:v>
                </c:pt>
                <c:pt idx="5">
                  <c:v>44.527657964054306</c:v>
                </c:pt>
                <c:pt idx="6">
                  <c:v>44.527657964054306</c:v>
                </c:pt>
                <c:pt idx="7">
                  <c:v>44.527657964054306</c:v>
                </c:pt>
                <c:pt idx="8">
                  <c:v>44.527657964054306</c:v>
                </c:pt>
                <c:pt idx="9">
                  <c:v>44.527657964054306</c:v>
                </c:pt>
                <c:pt idx="10">
                  <c:v>44.527657964054306</c:v>
                </c:pt>
                <c:pt idx="11">
                  <c:v>44.527657964054306</c:v>
                </c:pt>
                <c:pt idx="12">
                  <c:v>44.527657964054306</c:v>
                </c:pt>
                <c:pt idx="13">
                  <c:v>44.527657964054306</c:v>
                </c:pt>
                <c:pt idx="14">
                  <c:v>151.81411550874975</c:v>
                </c:pt>
                <c:pt idx="15">
                  <c:v>151.81411550874975</c:v>
                </c:pt>
                <c:pt idx="16">
                  <c:v>151.81411550874975</c:v>
                </c:pt>
                <c:pt idx="17">
                  <c:v>151.81411550874975</c:v>
                </c:pt>
                <c:pt idx="18">
                  <c:v>151.81411550874975</c:v>
                </c:pt>
              </c:numCache>
            </c:numRef>
          </c:val>
        </c:ser>
        <c:marker val="1"/>
        <c:axId val="134526464"/>
        <c:axId val="134528000"/>
      </c:lineChart>
      <c:catAx>
        <c:axId val="134526464"/>
        <c:scaling>
          <c:orientation val="minMax"/>
        </c:scaling>
        <c:axPos val="b"/>
        <c:tickLblPos val="low"/>
        <c:crossAx val="134528000"/>
        <c:crosses val="autoZero"/>
        <c:auto val="1"/>
        <c:lblAlgn val="ctr"/>
        <c:lblOffset val="100"/>
      </c:catAx>
      <c:valAx>
        <c:axId val="134528000"/>
        <c:scaling>
          <c:orientation val="minMax"/>
        </c:scaling>
        <c:axPos val="l"/>
        <c:majorGridlines/>
        <c:numFmt formatCode="&quot;$&quot;#,##0_);\(&quot;$&quot;#,##0\)" sourceLinked="1"/>
        <c:tickLblPos val="nextTo"/>
        <c:crossAx val="134526464"/>
        <c:crosses val="autoZero"/>
        <c:crossBetween val="between"/>
      </c:valAx>
    </c:plotArea>
    <c:legend>
      <c:legendPos val="r"/>
    </c:legend>
    <c:plotVisOnly val="1"/>
    <c:dispBlanksAs val="zero"/>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418359580052494"/>
          <c:y val="5.1400554097404488E-2"/>
          <c:w val="0.7198167104112001"/>
          <c:h val="0.56121717662004578"/>
        </c:manualLayout>
      </c:layout>
      <c:areaChart>
        <c:grouping val="stacked"/>
        <c:ser>
          <c:idx val="1"/>
          <c:order val="0"/>
          <c:tx>
            <c:strRef>
              <c:f>'NW Baseline Energy by Use'!$A$10</c:f>
              <c:strCache>
                <c:ptCount val="1"/>
                <c:pt idx="0">
                  <c:v>Air Conditioning/Space Cooling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Use'!$B$10:$AO$10</c:f>
              <c:numCache>
                <c:formatCode>General</c:formatCode>
                <c:ptCount val="40"/>
                <c:pt idx="0">
                  <c:v>17875058.364626866</c:v>
                </c:pt>
                <c:pt idx="1">
                  <c:v>18195388.394981839</c:v>
                </c:pt>
                <c:pt idx="2">
                  <c:v>18521374.301752698</c:v>
                </c:pt>
                <c:pt idx="3">
                  <c:v>18853113.913692363</c:v>
                </c:pt>
                <c:pt idx="4">
                  <c:v>19190706.961772207</c:v>
                </c:pt>
                <c:pt idx="5">
                  <c:v>19534254.602150977</c:v>
                </c:pt>
                <c:pt idx="6">
                  <c:v>19883859.957484908</c:v>
                </c:pt>
                <c:pt idx="7">
                  <c:v>20239627.620270211</c:v>
                </c:pt>
                <c:pt idx="8">
                  <c:v>20601664.215863559</c:v>
                </c:pt>
                <c:pt idx="9">
                  <c:v>21054363.133481279</c:v>
                </c:pt>
                <c:pt idx="10">
                  <c:v>21301667.815247945</c:v>
                </c:pt>
                <c:pt idx="11">
                  <c:v>21551873.137487747</c:v>
                </c:pt>
                <c:pt idx="12">
                  <c:v>21805013.076185714</c:v>
                </c:pt>
                <c:pt idx="13">
                  <c:v>22061122.004799575</c:v>
                </c:pt>
                <c:pt idx="14">
                  <c:v>22320234.69890428</c:v>
                </c:pt>
                <c:pt idx="15">
                  <c:v>22582386.34089065</c:v>
                </c:pt>
                <c:pt idx="16">
                  <c:v>22847612.524718914</c:v>
                </c:pt>
                <c:pt idx="17">
                  <c:v>23115949.260727722</c:v>
                </c:pt>
                <c:pt idx="18">
                  <c:v>23387432.980499264</c:v>
                </c:pt>
                <c:pt idx="19">
                  <c:v>23608641.186362401</c:v>
                </c:pt>
                <c:pt idx="20">
                  <c:v>23653130.997788694</c:v>
                </c:pt>
                <c:pt idx="21">
                  <c:v>23861940.770290568</c:v>
                </c:pt>
                <c:pt idx="22">
                  <c:v>24074420.689822271</c:v>
                </c:pt>
                <c:pt idx="23">
                  <c:v>24290294.71202676</c:v>
                </c:pt>
                <c:pt idx="24">
                  <c:v>24509183.339985196</c:v>
                </c:pt>
                <c:pt idx="25">
                  <c:v>24730586.152036142</c:v>
                </c:pt>
                <c:pt idx="26">
                  <c:v>24953863.164185427</c:v>
                </c:pt>
                <c:pt idx="27">
                  <c:v>25178213.427249659</c:v>
                </c:pt>
                <c:pt idx="28">
                  <c:v>25402651.409727752</c:v>
                </c:pt>
                <c:pt idx="29">
                  <c:v>25625982.114197478</c:v>
                </c:pt>
                <c:pt idx="30">
                  <c:v>25753247.421845861</c:v>
                </c:pt>
                <c:pt idx="31">
                  <c:v>25967391.015977088</c:v>
                </c:pt>
                <c:pt idx="32">
                  <c:v>26183302.576061398</c:v>
                </c:pt>
                <c:pt idx="33">
                  <c:v>26400996.665471293</c:v>
                </c:pt>
                <c:pt idx="34">
                  <c:v>26620487.968110174</c:v>
                </c:pt>
                <c:pt idx="35">
                  <c:v>26841791.011226747</c:v>
                </c:pt>
                <c:pt idx="36">
                  <c:v>27064920.808875158</c:v>
                </c:pt>
                <c:pt idx="37">
                  <c:v>27289892.124292739</c:v>
                </c:pt>
                <c:pt idx="38">
                  <c:v>27516720.216094092</c:v>
                </c:pt>
                <c:pt idx="39">
                  <c:v>27745420.087288171</c:v>
                </c:pt>
              </c:numCache>
            </c:numRef>
          </c:val>
        </c:ser>
        <c:ser>
          <c:idx val="2"/>
          <c:order val="1"/>
          <c:tx>
            <c:strRef>
              <c:f>'NW Baseline Energy by Use'!$A$11</c:f>
              <c:strCache>
                <c:ptCount val="1"/>
                <c:pt idx="0">
                  <c:v>Appliances &amp; Plug Loads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Use'!$B$11:$AO$11</c:f>
              <c:numCache>
                <c:formatCode>General</c:formatCode>
                <c:ptCount val="40"/>
                <c:pt idx="0">
                  <c:v>7508065.5504521728</c:v>
                </c:pt>
                <c:pt idx="1">
                  <c:v>7704014.8442957075</c:v>
                </c:pt>
                <c:pt idx="2">
                  <c:v>7904807.7401940674</c:v>
                </c:pt>
                <c:pt idx="3">
                  <c:v>8110559.6537306262</c:v>
                </c:pt>
                <c:pt idx="4">
                  <c:v>8321388.9376477236</c:v>
                </c:pt>
                <c:pt idx="5">
                  <c:v>8537416.5054942705</c:v>
                </c:pt>
                <c:pt idx="6">
                  <c:v>8758766.0774807222</c:v>
                </c:pt>
                <c:pt idx="7">
                  <c:v>8985564.4509863723</c:v>
                </c:pt>
                <c:pt idx="8">
                  <c:v>9217941.1651202794</c:v>
                </c:pt>
                <c:pt idx="9">
                  <c:v>9494035.4750925601</c:v>
                </c:pt>
                <c:pt idx="10">
                  <c:v>9616931.5347121339</c:v>
                </c:pt>
                <c:pt idx="11">
                  <c:v>9741392.6555234399</c:v>
                </c:pt>
                <c:pt idx="12">
                  <c:v>9867438.6630656328</c:v>
                </c:pt>
                <c:pt idx="13">
                  <c:v>9995089.3333942257</c:v>
                </c:pt>
                <c:pt idx="14">
                  <c:v>10124364.98818545</c:v>
                </c:pt>
                <c:pt idx="15">
                  <c:v>10255285.89902232</c:v>
                </c:pt>
                <c:pt idx="16">
                  <c:v>10387872.818186792</c:v>
                </c:pt>
                <c:pt idx="17">
                  <c:v>10522146.758625796</c:v>
                </c:pt>
                <c:pt idx="18">
                  <c:v>10658128.758387435</c:v>
                </c:pt>
                <c:pt idx="19">
                  <c:v>10771449.5871528</c:v>
                </c:pt>
                <c:pt idx="20">
                  <c:v>11007978.674871022</c:v>
                </c:pt>
                <c:pt idx="21">
                  <c:v>11134990.046652315</c:v>
                </c:pt>
                <c:pt idx="22">
                  <c:v>11262149.556958672</c:v>
                </c:pt>
                <c:pt idx="23">
                  <c:v>11389671.371506117</c:v>
                </c:pt>
                <c:pt idx="24">
                  <c:v>11517840.869415985</c:v>
                </c:pt>
                <c:pt idx="25">
                  <c:v>11647025.729921211</c:v>
                </c:pt>
                <c:pt idx="26">
                  <c:v>11777689.673507271</c:v>
                </c:pt>
                <c:pt idx="27">
                  <c:v>11910406.245977068</c:v>
                </c:pt>
                <c:pt idx="28">
                  <c:v>12045875.152247015</c:v>
                </c:pt>
                <c:pt idx="29">
                  <c:v>12184939.434322517</c:v>
                </c:pt>
                <c:pt idx="30">
                  <c:v>12392433.86259583</c:v>
                </c:pt>
                <c:pt idx="31">
                  <c:v>12543531.203489164</c:v>
                </c:pt>
                <c:pt idx="32">
                  <c:v>12696345.65106868</c:v>
                </c:pt>
                <c:pt idx="33">
                  <c:v>12850895.793587187</c:v>
                </c:pt>
                <c:pt idx="34">
                  <c:v>13007200.688960493</c:v>
                </c:pt>
                <c:pt idx="35">
                  <c:v>13165279.32276376</c:v>
                </c:pt>
                <c:pt idx="36">
                  <c:v>13325150.972173484</c:v>
                </c:pt>
                <c:pt idx="37">
                  <c:v>13486835.11777797</c:v>
                </c:pt>
                <c:pt idx="38">
                  <c:v>13650351.445678186</c:v>
                </c:pt>
                <c:pt idx="39">
                  <c:v>13815719.753488246</c:v>
                </c:pt>
              </c:numCache>
            </c:numRef>
          </c:val>
        </c:ser>
        <c:ser>
          <c:idx val="3"/>
          <c:order val="2"/>
          <c:tx>
            <c:strRef>
              <c:f>'NW Baseline Energy by Use'!$A$12</c:f>
              <c:strCache>
                <c:ptCount val="1"/>
                <c:pt idx="0">
                  <c:v>Lighting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Use'!$B$12:$AO$12</c:f>
              <c:numCache>
                <c:formatCode>General</c:formatCode>
                <c:ptCount val="40"/>
                <c:pt idx="0">
                  <c:v>12938032.97484665</c:v>
                </c:pt>
                <c:pt idx="1">
                  <c:v>13348039.527946135</c:v>
                </c:pt>
                <c:pt idx="2">
                  <c:v>13769300.352206016</c:v>
                </c:pt>
                <c:pt idx="3">
                  <c:v>14202102.077338919</c:v>
                </c:pt>
                <c:pt idx="4">
                  <c:v>14646738.562778816</c:v>
                </c:pt>
                <c:pt idx="5">
                  <c:v>15103510.624711946</c:v>
                </c:pt>
                <c:pt idx="6">
                  <c:v>15572726.387736829</c:v>
                </c:pt>
                <c:pt idx="7">
                  <c:v>16054701.663653765</c:v>
                </c:pt>
                <c:pt idx="8">
                  <c:v>16549759.656587407</c:v>
                </c:pt>
                <c:pt idx="9">
                  <c:v>17126794.013861518</c:v>
                </c:pt>
                <c:pt idx="10">
                  <c:v>17362109.721160289</c:v>
                </c:pt>
                <c:pt idx="11">
                  <c:v>17600556.508580498</c:v>
                </c:pt>
                <c:pt idx="12">
                  <c:v>17842175.23839302</c:v>
                </c:pt>
                <c:pt idx="13">
                  <c:v>18087007.07410771</c:v>
                </c:pt>
                <c:pt idx="14">
                  <c:v>18335093.778918084</c:v>
                </c:pt>
                <c:pt idx="15">
                  <c:v>18586477.649576358</c:v>
                </c:pt>
                <c:pt idx="16">
                  <c:v>18841201.523119092</c:v>
                </c:pt>
                <c:pt idx="17">
                  <c:v>19099308.704954576</c:v>
                </c:pt>
                <c:pt idx="18">
                  <c:v>19360843.289755851</c:v>
                </c:pt>
                <c:pt idx="19">
                  <c:v>19581509.3718132</c:v>
                </c:pt>
                <c:pt idx="20">
                  <c:v>20243511.133822896</c:v>
                </c:pt>
                <c:pt idx="21">
                  <c:v>20509746.104185585</c:v>
                </c:pt>
                <c:pt idx="22">
                  <c:v>20774649.740178861</c:v>
                </c:pt>
                <c:pt idx="23">
                  <c:v>21038974.692969363</c:v>
                </c:pt>
                <c:pt idx="24">
                  <c:v>21303728.470508397</c:v>
                </c:pt>
                <c:pt idx="25">
                  <c:v>21570216.000687655</c:v>
                </c:pt>
                <c:pt idx="26">
                  <c:v>21840085.651327033</c:v>
                </c:pt>
                <c:pt idx="27">
                  <c:v>22115382.052256707</c:v>
                </c:pt>
                <c:pt idx="28">
                  <c:v>22398602.855379343</c:v>
                </c:pt>
                <c:pt idx="29">
                  <c:v>22692761.356994532</c:v>
                </c:pt>
                <c:pt idx="30">
                  <c:v>23231039.839931864</c:v>
                </c:pt>
                <c:pt idx="31">
                  <c:v>23564431.953687496</c:v>
                </c:pt>
                <c:pt idx="32">
                  <c:v>23901947.09196312</c:v>
                </c:pt>
                <c:pt idx="33">
                  <c:v>24243632.315481111</c:v>
                </c:pt>
                <c:pt idx="34">
                  <c:v>24589535.562717866</c:v>
                </c:pt>
                <c:pt idx="35">
                  <c:v>24939704.929942247</c:v>
                </c:pt>
                <c:pt idx="36">
                  <c:v>25294189.408725511</c:v>
                </c:pt>
                <c:pt idx="37">
                  <c:v>25653038.15295599</c:v>
                </c:pt>
                <c:pt idx="38">
                  <c:v>26016301.22972047</c:v>
                </c:pt>
                <c:pt idx="39">
                  <c:v>26384028.873059567</c:v>
                </c:pt>
              </c:numCache>
            </c:numRef>
          </c:val>
        </c:ser>
        <c:ser>
          <c:idx val="4"/>
          <c:order val="3"/>
          <c:tx>
            <c:strRef>
              <c:f>'NW Baseline Energy by Use'!$A$13</c:f>
              <c:strCache>
                <c:ptCount val="1"/>
                <c:pt idx="0">
                  <c:v>Refrigeration, Motors &amp; Process Equipment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Use'!$B$13:$AO$13</c:f>
              <c:numCache>
                <c:formatCode>General</c:formatCode>
                <c:ptCount val="40"/>
                <c:pt idx="0">
                  <c:v>7789867.564067537</c:v>
                </c:pt>
                <c:pt idx="1">
                  <c:v>7802224.0223681219</c:v>
                </c:pt>
                <c:pt idx="2">
                  <c:v>7811930.9489164473</c:v>
                </c:pt>
                <c:pt idx="3">
                  <c:v>7818876.8589515984</c:v>
                </c:pt>
                <c:pt idx="4">
                  <c:v>7822946.856835329</c:v>
                </c:pt>
                <c:pt idx="5">
                  <c:v>7824022.4777995022</c:v>
                </c:pt>
                <c:pt idx="6">
                  <c:v>7821981.8569591176</c:v>
                </c:pt>
                <c:pt idx="7">
                  <c:v>7816699.2394024916</c:v>
                </c:pt>
                <c:pt idx="8">
                  <c:v>7808045.1417811746</c:v>
                </c:pt>
                <c:pt idx="9">
                  <c:v>7827220.27064736</c:v>
                </c:pt>
                <c:pt idx="10">
                  <c:v>7860247.093451581</c:v>
                </c:pt>
                <c:pt idx="11">
                  <c:v>7893020.9455171563</c:v>
                </c:pt>
                <c:pt idx="12">
                  <c:v>7925531.8190021887</c:v>
                </c:pt>
                <c:pt idx="13">
                  <c:v>7957769.7363049388</c:v>
                </c:pt>
                <c:pt idx="14">
                  <c:v>7989724.3029737873</c:v>
                </c:pt>
                <c:pt idx="15">
                  <c:v>8021384.9997692546</c:v>
                </c:pt>
                <c:pt idx="16">
                  <c:v>8052741.1059087692</c:v>
                </c:pt>
                <c:pt idx="17">
                  <c:v>8083781.6171330623</c:v>
                </c:pt>
                <c:pt idx="18">
                  <c:v>8114495.5564464442</c:v>
                </c:pt>
                <c:pt idx="19">
                  <c:v>8126469.9403944006</c:v>
                </c:pt>
                <c:pt idx="20">
                  <c:v>7764929.0663065808</c:v>
                </c:pt>
                <c:pt idx="21">
                  <c:v>7741385.9451200552</c:v>
                </c:pt>
                <c:pt idx="22">
                  <c:v>7720600.6076458255</c:v>
                </c:pt>
                <c:pt idx="23">
                  <c:v>7701945.9787136344</c:v>
                </c:pt>
                <c:pt idx="24">
                  <c:v>7684578.7634441173</c:v>
                </c:pt>
                <c:pt idx="25">
                  <c:v>7667402.9358132044</c:v>
                </c:pt>
                <c:pt idx="26">
                  <c:v>7649030.4800635632</c:v>
                </c:pt>
                <c:pt idx="27">
                  <c:v>7627736.8518926939</c:v>
                </c:pt>
                <c:pt idx="28">
                  <c:v>7601412.6286672959</c:v>
                </c:pt>
                <c:pt idx="29">
                  <c:v>7567509.8588895239</c:v>
                </c:pt>
                <c:pt idx="30">
                  <c:v>7327847.4928133087</c:v>
                </c:pt>
                <c:pt idx="31">
                  <c:v>7264074.8834938761</c:v>
                </c:pt>
                <c:pt idx="32">
                  <c:v>7198556.9679919332</c:v>
                </c:pt>
                <c:pt idx="33">
                  <c:v>7131267.6438659243</c:v>
                </c:pt>
                <c:pt idx="34">
                  <c:v>7062180.1155608995</c:v>
                </c:pt>
                <c:pt idx="35">
                  <c:v>6991267.6159958076</c:v>
                </c:pt>
                <c:pt idx="36">
                  <c:v>6918502.6706937524</c:v>
                </c:pt>
                <c:pt idx="37">
                  <c:v>6843857.8324217517</c:v>
                </c:pt>
                <c:pt idx="38">
                  <c:v>6767305.0272414414</c:v>
                </c:pt>
                <c:pt idx="39">
                  <c:v>6688815.8261228558</c:v>
                </c:pt>
              </c:numCache>
            </c:numRef>
          </c:val>
        </c:ser>
        <c:ser>
          <c:idx val="5"/>
          <c:order val="4"/>
          <c:tx>
            <c:strRef>
              <c:f>'NW Baseline Energy by Use'!$A$14</c:f>
              <c:strCache>
                <c:ptCount val="1"/>
                <c:pt idx="0">
                  <c:v>Space Heating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Use'!$B$14:$AO$14</c:f>
              <c:numCache>
                <c:formatCode>General</c:formatCode>
                <c:ptCount val="40"/>
                <c:pt idx="0">
                  <c:v>3915970.210627438</c:v>
                </c:pt>
                <c:pt idx="1">
                  <c:v>3947689.3970011468</c:v>
                </c:pt>
                <c:pt idx="2">
                  <c:v>3979101.841930849</c:v>
                </c:pt>
                <c:pt idx="3">
                  <c:v>4010182.4679344292</c:v>
                </c:pt>
                <c:pt idx="4">
                  <c:v>4040905.2511140099</c:v>
                </c:pt>
                <c:pt idx="5">
                  <c:v>4071243.2555930591</c:v>
                </c:pt>
                <c:pt idx="6">
                  <c:v>4101168.6748850713</c:v>
                </c:pt>
                <c:pt idx="7">
                  <c:v>4130652.5363674792</c:v>
                </c:pt>
                <c:pt idx="8">
                  <c:v>4159665.0747942333</c:v>
                </c:pt>
                <c:pt idx="9">
                  <c:v>4205009.0143007999</c:v>
                </c:pt>
                <c:pt idx="10">
                  <c:v>4236219.6071711509</c:v>
                </c:pt>
                <c:pt idx="11">
                  <c:v>4267598.5720281387</c:v>
                </c:pt>
                <c:pt idx="12">
                  <c:v>4299145.8770781439</c:v>
                </c:pt>
                <c:pt idx="13">
                  <c:v>4330861.170617383</c:v>
                </c:pt>
                <c:pt idx="14">
                  <c:v>4362744.3725602608</c:v>
                </c:pt>
                <c:pt idx="15">
                  <c:v>4394795.0751031721</c:v>
                </c:pt>
                <c:pt idx="16">
                  <c:v>4427013.1476899805</c:v>
                </c:pt>
                <c:pt idx="17">
                  <c:v>4459398.1240490358</c:v>
                </c:pt>
                <c:pt idx="18">
                  <c:v>4491949.820901012</c:v>
                </c:pt>
                <c:pt idx="19">
                  <c:v>4514445.2112060003</c:v>
                </c:pt>
                <c:pt idx="20">
                  <c:v>4409812.3755957419</c:v>
                </c:pt>
                <c:pt idx="21">
                  <c:v>4420586.3483140599</c:v>
                </c:pt>
                <c:pt idx="22">
                  <c:v>4432496.0947524998</c:v>
                </c:pt>
                <c:pt idx="23">
                  <c:v>4445329.7997629233</c:v>
                </c:pt>
                <c:pt idx="24">
                  <c:v>4458801.9270506054</c:v>
                </c:pt>
                <c:pt idx="25">
                  <c:v>4472541.1755712042</c:v>
                </c:pt>
                <c:pt idx="26">
                  <c:v>4486076.2459659539</c:v>
                </c:pt>
                <c:pt idx="27">
                  <c:v>4498821.4552656207</c:v>
                </c:pt>
                <c:pt idx="28">
                  <c:v>4510059.7740292288</c:v>
                </c:pt>
                <c:pt idx="29">
                  <c:v>4518924.9906394146</c:v>
                </c:pt>
                <c:pt idx="30">
                  <c:v>4457865.2429147363</c:v>
                </c:pt>
                <c:pt idx="31">
                  <c:v>4456975.3830211544</c:v>
                </c:pt>
                <c:pt idx="32">
                  <c:v>4455707.1412816811</c:v>
                </c:pt>
                <c:pt idx="33">
                  <c:v>4454053.9495423501</c:v>
                </c:pt>
                <c:pt idx="34">
                  <c:v>4452008.8795449492</c:v>
                </c:pt>
                <c:pt idx="35">
                  <c:v>4449565.0004863888</c:v>
                </c:pt>
                <c:pt idx="36">
                  <c:v>4446715.1948845275</c:v>
                </c:pt>
                <c:pt idx="37">
                  <c:v>4443452.5308927046</c:v>
                </c:pt>
                <c:pt idx="38">
                  <c:v>4439769.7022842867</c:v>
                </c:pt>
                <c:pt idx="39">
                  <c:v>4435659.3990701716</c:v>
                </c:pt>
              </c:numCache>
            </c:numRef>
          </c:val>
        </c:ser>
        <c:ser>
          <c:idx val="6"/>
          <c:order val="5"/>
          <c:tx>
            <c:strRef>
              <c:f>'NW Baseline Energy by Use'!$A$15</c:f>
              <c:strCache>
                <c:ptCount val="1"/>
                <c:pt idx="0">
                  <c:v>Water Heating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Use'!$B$15:$AO$15</c:f>
              <c:numCache>
                <c:formatCode>General</c:formatCode>
                <c:ptCount val="40"/>
                <c:pt idx="0">
                  <c:v>1370406.4787949231</c:v>
                </c:pt>
                <c:pt idx="1">
                  <c:v>1396918.1803642253</c:v>
                </c:pt>
                <c:pt idx="2">
                  <c:v>1423941.9386672839</c:v>
                </c:pt>
                <c:pt idx="3">
                  <c:v>1451487.7534755939</c:v>
                </c:pt>
                <c:pt idx="4">
                  <c:v>1479565.5652454831</c:v>
                </c:pt>
                <c:pt idx="5">
                  <c:v>1508185.7626721803</c:v>
                </c:pt>
                <c:pt idx="6">
                  <c:v>1537358.7398990202</c:v>
                </c:pt>
                <c:pt idx="7">
                  <c:v>1567095.0871010229</c:v>
                </c:pt>
                <c:pt idx="8">
                  <c:v>1597405.8048489315</c:v>
                </c:pt>
                <c:pt idx="9">
                  <c:v>1634846.5493942399</c:v>
                </c:pt>
                <c:pt idx="10">
                  <c:v>1650878.7137444564</c:v>
                </c:pt>
                <c:pt idx="11">
                  <c:v>1667064.4550130954</c:v>
                </c:pt>
                <c:pt idx="12">
                  <c:v>1683405.1969316725</c:v>
                </c:pt>
                <c:pt idx="13">
                  <c:v>1699902.4510605682</c:v>
                </c:pt>
                <c:pt idx="14">
                  <c:v>1716557.5166923865</c:v>
                </c:pt>
                <c:pt idx="15">
                  <c:v>1733371.9299871523</c:v>
                </c:pt>
                <c:pt idx="16">
                  <c:v>1750347.1655587906</c:v>
                </c:pt>
                <c:pt idx="17">
                  <c:v>1767484.7897229171</c:v>
                </c:pt>
                <c:pt idx="18">
                  <c:v>1784786.1466032176</c:v>
                </c:pt>
                <c:pt idx="19">
                  <c:v>1798181.0307215999</c:v>
                </c:pt>
                <c:pt idx="20">
                  <c:v>1815571.8529729359</c:v>
                </c:pt>
                <c:pt idx="21">
                  <c:v>1829522.2735632362</c:v>
                </c:pt>
                <c:pt idx="22">
                  <c:v>1843536.7306424105</c:v>
                </c:pt>
                <c:pt idx="23">
                  <c:v>1857622.4621851556</c:v>
                </c:pt>
                <c:pt idx="24">
                  <c:v>1871788.7291466852</c:v>
                </c:pt>
                <c:pt idx="25">
                  <c:v>1886047.7486085161</c:v>
                </c:pt>
                <c:pt idx="26">
                  <c:v>1900414.3919745467</c:v>
                </c:pt>
                <c:pt idx="27">
                  <c:v>1914907.416922336</c:v>
                </c:pt>
                <c:pt idx="28">
                  <c:v>1929549.2824588281</c:v>
                </c:pt>
                <c:pt idx="29">
                  <c:v>1944367.3553905252</c:v>
                </c:pt>
                <c:pt idx="30">
                  <c:v>1961433.639697639</c:v>
                </c:pt>
                <c:pt idx="31">
                  <c:v>1976759.5314293606</c:v>
                </c:pt>
                <c:pt idx="32">
                  <c:v>1992202.3453770666</c:v>
                </c:pt>
                <c:pt idx="33">
                  <c:v>2007762.9441325504</c:v>
                </c:pt>
                <c:pt idx="34">
                  <c:v>2023442.1963380456</c:v>
                </c:pt>
                <c:pt idx="35">
                  <c:v>2039240.9767252163</c:v>
                </c:pt>
                <c:pt idx="36">
                  <c:v>2055160.1661543562</c:v>
                </c:pt>
                <c:pt idx="37">
                  <c:v>2071200.6516537999</c:v>
                </c:pt>
                <c:pt idx="38">
                  <c:v>2087363.3264595477</c:v>
                </c:pt>
                <c:pt idx="39">
                  <c:v>2103649.0900551011</c:v>
                </c:pt>
              </c:numCache>
            </c:numRef>
          </c:val>
        </c:ser>
        <c:ser>
          <c:idx val="7"/>
          <c:order val="6"/>
          <c:tx>
            <c:strRef>
              <c:f>'NW Baseline Energy by Use'!$A$16</c:f>
              <c:strCache>
                <c:ptCount val="1"/>
                <c:pt idx="0">
                  <c:v>Other - Commercial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Use'!$B$16:$AO$16</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axId val="114336128"/>
        <c:axId val="114337664"/>
      </c:areaChart>
      <c:catAx>
        <c:axId val="114336128"/>
        <c:scaling>
          <c:orientation val="minMax"/>
        </c:scaling>
        <c:axPos val="b"/>
        <c:numFmt formatCode="General" sourceLinked="1"/>
        <c:tickLblPos val="nextTo"/>
        <c:crossAx val="114337664"/>
        <c:crosses val="autoZero"/>
        <c:auto val="1"/>
        <c:lblAlgn val="ctr"/>
        <c:lblOffset val="100"/>
      </c:catAx>
      <c:valAx>
        <c:axId val="114337664"/>
        <c:scaling>
          <c:orientation val="minMax"/>
          <c:max val="140000000"/>
        </c:scaling>
        <c:axPos val="l"/>
        <c:majorGridlines/>
        <c:title>
          <c:tx>
            <c:rich>
              <a:bodyPr rot="-5400000" vert="horz"/>
              <a:lstStyle/>
              <a:p>
                <a:pPr>
                  <a:defRPr/>
                </a:pPr>
                <a:r>
                  <a:rPr lang="en-US"/>
                  <a:t>Total Consumption (MWh/yr)</a:t>
                </a:r>
              </a:p>
            </c:rich>
          </c:tx>
        </c:title>
        <c:numFmt formatCode="#,##0.00" sourceLinked="0"/>
        <c:tickLblPos val="nextTo"/>
        <c:crossAx val="114336128"/>
        <c:crosses val="autoZero"/>
        <c:crossBetween val="midCat"/>
      </c:valAx>
    </c:plotArea>
    <c:legend>
      <c:legendPos val="r"/>
      <c:layout>
        <c:manualLayout>
          <c:xMode val="edge"/>
          <c:yMode val="edge"/>
          <c:x val="1.9986001749781455E-2"/>
          <c:y val="0.70256211124293866"/>
          <c:w val="0.9633473315835549"/>
          <c:h val="0.29743788875705757"/>
        </c:manualLayout>
      </c:layout>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4461373578302784"/>
          <c:y val="3.3952659587276376E-2"/>
          <c:w val="0.73780293088363968"/>
          <c:h val="0.5864552481398535"/>
        </c:manualLayout>
      </c:layout>
      <c:areaChart>
        <c:grouping val="stacked"/>
        <c:ser>
          <c:idx val="1"/>
          <c:order val="0"/>
          <c:tx>
            <c:strRef>
              <c:f>'NW Baseline Energy by Use'!$A$17</c:f>
              <c:strCache>
                <c:ptCount val="1"/>
                <c:pt idx="0">
                  <c:v>Air Conditioning/Space Cooling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Use'!$B$17:$AO$17</c:f>
              <c:numCache>
                <c:formatCode>General</c:formatCode>
                <c:ptCount val="40"/>
                <c:pt idx="0">
                  <c:v>1818449.282354383</c:v>
                </c:pt>
                <c:pt idx="1">
                  <c:v>1825408.5708291982</c:v>
                </c:pt>
                <c:pt idx="2">
                  <c:v>1832104.6721023906</c:v>
                </c:pt>
                <c:pt idx="3">
                  <c:v>1838526.9705766295</c:v>
                </c:pt>
                <c:pt idx="4">
                  <c:v>1844664.5684020468</c:v>
                </c:pt>
                <c:pt idx="5">
                  <c:v>1850506.2789259343</c:v>
                </c:pt>
                <c:pt idx="6">
                  <c:v>1856040.6199997554</c:v>
                </c:pt>
                <c:pt idx="7">
                  <c:v>1861255.8071404542</c:v>
                </c:pt>
                <c:pt idx="8">
                  <c:v>1866139.7465429923</c:v>
                </c:pt>
                <c:pt idx="9">
                  <c:v>1876381.8787047602</c:v>
                </c:pt>
                <c:pt idx="10">
                  <c:v>1905258.5110501563</c:v>
                </c:pt>
                <c:pt idx="11">
                  <c:v>1934504.8972658883</c:v>
                </c:pt>
                <c:pt idx="12">
                  <c:v>1964124.5488486772</c:v>
                </c:pt>
                <c:pt idx="13">
                  <c:v>1994120.982714765</c:v>
                </c:pt>
                <c:pt idx="14">
                  <c:v>2024497.7203008637</c:v>
                </c:pt>
                <c:pt idx="15">
                  <c:v>2055258.2866323241</c:v>
                </c:pt>
                <c:pt idx="16">
                  <c:v>2086406.2093576787</c:v>
                </c:pt>
                <c:pt idx="17">
                  <c:v>2117945.0177486469</c:v>
                </c:pt>
                <c:pt idx="18">
                  <c:v>2149878.2416647389</c:v>
                </c:pt>
                <c:pt idx="19">
                  <c:v>2177898.7543000802</c:v>
                </c:pt>
                <c:pt idx="20">
                  <c:v>2206284.4732587994</c:v>
                </c:pt>
                <c:pt idx="21">
                  <c:v>2235040.1584701794</c:v>
                </c:pt>
                <c:pt idx="22">
                  <c:v>2264170.6319022072</c:v>
                </c:pt>
                <c:pt idx="23">
                  <c:v>2293680.7783701573</c:v>
                </c:pt>
                <c:pt idx="24">
                  <c:v>2323575.5463557132</c:v>
                </c:pt>
                <c:pt idx="25">
                  <c:v>2353859.9488367653</c:v>
                </c:pt>
                <c:pt idx="26">
                  <c:v>2384539.0641280259</c:v>
                </c:pt>
                <c:pt idx="27">
                  <c:v>2415618.0367325987</c:v>
                </c:pt>
                <c:pt idx="28">
                  <c:v>2447102.0782046458</c:v>
                </c:pt>
                <c:pt idx="29">
                  <c:v>2478996.468023303</c:v>
                </c:pt>
                <c:pt idx="30">
                  <c:v>2511306.5544779785</c:v>
                </c:pt>
                <c:pt idx="31">
                  <c:v>2544037.7555651986</c:v>
                </c:pt>
                <c:pt idx="32">
                  <c:v>2577195.5598971322</c:v>
                </c:pt>
                <c:pt idx="33">
                  <c:v>2610785.5276219677</c:v>
                </c:pt>
                <c:pt idx="34">
                  <c:v>2644813.2913562758</c:v>
                </c:pt>
                <c:pt idx="35">
                  <c:v>2679284.5571295335</c:v>
                </c:pt>
                <c:pt idx="36">
                  <c:v>2714205.1053409474</c:v>
                </c:pt>
                <c:pt idx="37">
                  <c:v>2749580.7917287606</c:v>
                </c:pt>
                <c:pt idx="38">
                  <c:v>2785417.5483521824</c:v>
                </c:pt>
                <c:pt idx="39">
                  <c:v>2821721.384586121</c:v>
                </c:pt>
              </c:numCache>
            </c:numRef>
          </c:val>
        </c:ser>
        <c:ser>
          <c:idx val="2"/>
          <c:order val="1"/>
          <c:tx>
            <c:strRef>
              <c:f>'NW Baseline Energy by Use'!$A$18</c:f>
              <c:strCache>
                <c:ptCount val="1"/>
                <c:pt idx="0">
                  <c:v>Appliances &amp; Plug Loads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Use'!$B$18:$AO$18</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ser>
          <c:idx val="3"/>
          <c:order val="2"/>
          <c:tx>
            <c:strRef>
              <c:f>'NW Baseline Energy by Use'!$A$19</c:f>
              <c:strCache>
                <c:ptCount val="1"/>
                <c:pt idx="0">
                  <c:v>Lighting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Use'!$B$19:$AO$19</c:f>
              <c:numCache>
                <c:formatCode>General</c:formatCode>
                <c:ptCount val="40"/>
                <c:pt idx="0">
                  <c:v>2548311.8846815131</c:v>
                </c:pt>
                <c:pt idx="1">
                  <c:v>2558064.3906773566</c:v>
                </c:pt>
                <c:pt idx="2">
                  <c:v>2567448.0752382008</c:v>
                </c:pt>
                <c:pt idx="3">
                  <c:v>2576448.0620333706</c:v>
                </c:pt>
                <c:pt idx="4">
                  <c:v>2585049.0791932526</c:v>
                </c:pt>
                <c:pt idx="5">
                  <c:v>2593235.4501299327</c:v>
                </c:pt>
                <c:pt idx="6">
                  <c:v>2600991.0841578664</c:v>
                </c:pt>
                <c:pt idx="7">
                  <c:v>2608299.4669103804</c:v>
                </c:pt>
                <c:pt idx="8">
                  <c:v>2615143.6505476818</c:v>
                </c:pt>
                <c:pt idx="9">
                  <c:v>2629496.6200616402</c:v>
                </c:pt>
                <c:pt idx="10">
                  <c:v>2669963.3331613191</c:v>
                </c:pt>
                <c:pt idx="11">
                  <c:v>2710948.2065370786</c:v>
                </c:pt>
                <c:pt idx="12">
                  <c:v>2752456.1610788852</c:v>
                </c:pt>
                <c:pt idx="13">
                  <c:v>2794492.1252714335</c:v>
                </c:pt>
                <c:pt idx="14">
                  <c:v>2837061.0339342495</c:v>
                </c:pt>
                <c:pt idx="15">
                  <c:v>2880167.8269158527</c:v>
                </c:pt>
                <c:pt idx="16">
                  <c:v>2923817.4477407979</c:v>
                </c:pt>
                <c:pt idx="17">
                  <c:v>2968014.8422083193</c:v>
                </c:pt>
                <c:pt idx="18">
                  <c:v>3012764.9569413587</c:v>
                </c:pt>
                <c:pt idx="19">
                  <c:v>3052031.9335111207</c:v>
                </c:pt>
                <c:pt idx="20">
                  <c:v>3091810.697582054</c:v>
                </c:pt>
                <c:pt idx="21">
                  <c:v>3132107.9195543076</c:v>
                </c:pt>
                <c:pt idx="22">
                  <c:v>3172930.3567669219</c:v>
                </c:pt>
                <c:pt idx="23">
                  <c:v>3214284.8546309513</c:v>
                </c:pt>
                <c:pt idx="24">
                  <c:v>3256178.3477773503</c:v>
                </c:pt>
                <c:pt idx="25">
                  <c:v>3298617.861219828</c:v>
                </c:pt>
                <c:pt idx="26">
                  <c:v>3341610.5115328538</c:v>
                </c:pt>
                <c:pt idx="27">
                  <c:v>3385163.5080450154</c:v>
                </c:pt>
                <c:pt idx="28">
                  <c:v>3429284.1540479367</c:v>
                </c:pt>
                <c:pt idx="29">
                  <c:v>3473979.8480209457</c:v>
                </c:pt>
                <c:pt idx="30">
                  <c:v>3519258.0848717061</c:v>
                </c:pt>
                <c:pt idx="31">
                  <c:v>3565126.4571930235</c:v>
                </c:pt>
                <c:pt idx="32">
                  <c:v>3611592.6565360213</c:v>
                </c:pt>
                <c:pt idx="33">
                  <c:v>3658664.4746999252</c:v>
                </c:pt>
                <c:pt idx="34">
                  <c:v>3706349.8050386426</c:v>
                </c:pt>
                <c:pt idx="35">
                  <c:v>3754656.6437843861</c:v>
                </c:pt>
                <c:pt idx="36">
                  <c:v>3803593.0913885371</c:v>
                </c:pt>
                <c:pt idx="37">
                  <c:v>3853167.3538799901</c:v>
                </c:pt>
                <c:pt idx="38">
                  <c:v>3903387.7442412027</c:v>
                </c:pt>
                <c:pt idx="39">
                  <c:v>3954262.6838021777</c:v>
                </c:pt>
              </c:numCache>
            </c:numRef>
          </c:val>
        </c:ser>
        <c:ser>
          <c:idx val="4"/>
          <c:order val="3"/>
          <c:tx>
            <c:strRef>
              <c:f>'NW Baseline Energy by Use'!$A$20</c:f>
              <c:strCache>
                <c:ptCount val="1"/>
                <c:pt idx="0">
                  <c:v>Refrigeration, Motors &amp; Process Equipment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Use'!$B$20:$AO$20</c:f>
              <c:numCache>
                <c:formatCode>General</c:formatCode>
                <c:ptCount val="40"/>
                <c:pt idx="0">
                  <c:v>21835361.019546222</c:v>
                </c:pt>
                <c:pt idx="1">
                  <c:v>21918925.943661131</c:v>
                </c:pt>
                <c:pt idx="2">
                  <c:v>21999330.599508502</c:v>
                </c:pt>
                <c:pt idx="3">
                  <c:v>22076447.518369567</c:v>
                </c:pt>
                <c:pt idx="4">
                  <c:v>22150145.842326809</c:v>
                </c:pt>
                <c:pt idx="5">
                  <c:v>22220291.245609995</c:v>
                </c:pt>
                <c:pt idx="6">
                  <c:v>22286745.854228899</c:v>
                </c:pt>
                <c:pt idx="7">
                  <c:v>22349368.16385648</c:v>
                </c:pt>
                <c:pt idx="8">
                  <c:v>22408012.955925655</c:v>
                </c:pt>
                <c:pt idx="9">
                  <c:v>22530997.223637842</c:v>
                </c:pt>
                <c:pt idx="10">
                  <c:v>22877738.646898251</c:v>
                </c:pt>
                <c:pt idx="11">
                  <c:v>23228919.95711372</c:v>
                </c:pt>
                <c:pt idx="12">
                  <c:v>23584583.3192208</c:v>
                </c:pt>
                <c:pt idx="13">
                  <c:v>23944770.963231936</c:v>
                </c:pt>
                <c:pt idx="14">
                  <c:v>24309525.173439939</c:v>
                </c:pt>
                <c:pt idx="15">
                  <c:v>24678888.277228855</c:v>
                </c:pt>
                <c:pt idx="16">
                  <c:v>25052902.633481052</c:v>
                </c:pt>
                <c:pt idx="17">
                  <c:v>25431610.620569624</c:v>
                </c:pt>
                <c:pt idx="18">
                  <c:v>25815054.623925656</c:v>
                </c:pt>
                <c:pt idx="19">
                  <c:v>26151516.033810724</c:v>
                </c:pt>
                <c:pt idx="20">
                  <c:v>26492362.725152329</c:v>
                </c:pt>
                <c:pt idx="21">
                  <c:v>26837651.853668448</c:v>
                </c:pt>
                <c:pt idx="22">
                  <c:v>27187441.32001809</c:v>
                </c:pt>
                <c:pt idx="23">
                  <c:v>27541789.779510513</c:v>
                </c:pt>
                <c:pt idx="24">
                  <c:v>27900756.651940983</c:v>
                </c:pt>
                <c:pt idx="25">
                  <c:v>28264402.131554715</c:v>
                </c:pt>
                <c:pt idx="26">
                  <c:v>28632787.197140727</c:v>
                </c:pt>
                <c:pt idx="27">
                  <c:v>29005973.622257192</c:v>
                </c:pt>
                <c:pt idx="28">
                  <c:v>29384023.985590085</c:v>
                </c:pt>
                <c:pt idx="29">
                  <c:v>29767001.68144688</c:v>
                </c:pt>
                <c:pt idx="30">
                  <c:v>30154970.930386923</c:v>
                </c:pt>
                <c:pt idx="31">
                  <c:v>30547996.789990488</c:v>
                </c:pt>
                <c:pt idx="32">
                  <c:v>30946145.165768035</c:v>
                </c:pt>
                <c:pt idx="33">
                  <c:v>31349482.822211813</c:v>
                </c:pt>
                <c:pt idx="34">
                  <c:v>31758077.393991377</c:v>
                </c:pt>
                <c:pt idx="35">
                  <c:v>32171997.39729511</c:v>
                </c:pt>
                <c:pt idx="36">
                  <c:v>32591312.241319504</c:v>
                </c:pt>
                <c:pt idx="37">
                  <c:v>33016092.239908222</c:v>
                </c:pt>
                <c:pt idx="38">
                  <c:v>33446408.623342846</c:v>
                </c:pt>
                <c:pt idx="39">
                  <c:v>33882333.550287306</c:v>
                </c:pt>
              </c:numCache>
            </c:numRef>
          </c:val>
        </c:ser>
        <c:ser>
          <c:idx val="5"/>
          <c:order val="4"/>
          <c:tx>
            <c:strRef>
              <c:f>'NW Baseline Energy by Use'!$A$21</c:f>
              <c:strCache>
                <c:ptCount val="1"/>
                <c:pt idx="0">
                  <c:v>Space Heating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Use'!$B$21:$AO$21</c:f>
              <c:numCache>
                <c:formatCode>General</c:formatCode>
                <c:ptCount val="40"/>
                <c:pt idx="0">
                  <c:v>606149.77570091304</c:v>
                </c:pt>
                <c:pt idx="1">
                  <c:v>608469.53858293605</c:v>
                </c:pt>
                <c:pt idx="2">
                  <c:v>610701.5723955927</c:v>
                </c:pt>
                <c:pt idx="3">
                  <c:v>612842.33860635222</c:v>
                </c:pt>
                <c:pt idx="4">
                  <c:v>614888.20459850261</c:v>
                </c:pt>
                <c:pt idx="5">
                  <c:v>616835.44148771605</c:v>
                </c:pt>
                <c:pt idx="6">
                  <c:v>618680.22189105267</c:v>
                </c:pt>
                <c:pt idx="7">
                  <c:v>620418.61764739733</c:v>
                </c:pt>
                <c:pt idx="8">
                  <c:v>622046.59748830472</c:v>
                </c:pt>
                <c:pt idx="9">
                  <c:v>625460.64162623999</c:v>
                </c:pt>
                <c:pt idx="10">
                  <c:v>635086.18597823731</c:v>
                </c:pt>
                <c:pt idx="11">
                  <c:v>644834.9816233794</c:v>
                </c:pt>
                <c:pt idx="12">
                  <c:v>654708.19906060223</c:v>
                </c:pt>
                <c:pt idx="13">
                  <c:v>664707.01059534866</c:v>
                </c:pt>
                <c:pt idx="14">
                  <c:v>674832.5900398849</c:v>
                </c:pt>
                <c:pt idx="15">
                  <c:v>685086.11240269011</c:v>
                </c:pt>
                <c:pt idx="16">
                  <c:v>695468.7535666374</c:v>
                </c:pt>
                <c:pt idx="17">
                  <c:v>705981.68995566235</c:v>
                </c:pt>
                <c:pt idx="18">
                  <c:v>716626.09818963008</c:v>
                </c:pt>
                <c:pt idx="19">
                  <c:v>725966.26929792017</c:v>
                </c:pt>
                <c:pt idx="20">
                  <c:v>735428.17585033155</c:v>
                </c:pt>
                <c:pt idx="21">
                  <c:v>745013.40448999789</c:v>
                </c:pt>
                <c:pt idx="22">
                  <c:v>754723.56253962114</c:v>
                </c:pt>
                <c:pt idx="23">
                  <c:v>764560.27827099955</c:v>
                </c:pt>
                <c:pt idx="24">
                  <c:v>774525.20117806806</c:v>
                </c:pt>
                <c:pt idx="25">
                  <c:v>784620.00225349795</c:v>
                </c:pt>
                <c:pt idx="26">
                  <c:v>794846.37426890177</c:v>
                </c:pt>
                <c:pt idx="27">
                  <c:v>805206.03205868963</c:v>
                </c:pt>
                <c:pt idx="28">
                  <c:v>815700.71280762483</c:v>
                </c:pt>
                <c:pt idx="29">
                  <c:v>826332.17634212936</c:v>
                </c:pt>
                <c:pt idx="30">
                  <c:v>837102.20542538317</c:v>
                </c:pt>
                <c:pt idx="31">
                  <c:v>848012.60605627275</c:v>
                </c:pt>
                <c:pt idx="32">
                  <c:v>859065.20777223271</c:v>
                </c:pt>
                <c:pt idx="33">
                  <c:v>870261.86395603826</c:v>
                </c:pt>
                <c:pt idx="34">
                  <c:v>881604.45214659255</c:v>
                </c:pt>
                <c:pt idx="35">
                  <c:v>893094.87435376761</c:v>
                </c:pt>
                <c:pt idx="36">
                  <c:v>904735.05737734702</c:v>
                </c:pt>
                <c:pt idx="37">
                  <c:v>916526.95313012612</c:v>
                </c:pt>
                <c:pt idx="38">
                  <c:v>928472.53896522336</c:v>
                </c:pt>
                <c:pt idx="39">
                  <c:v>940573.81800765754</c:v>
                </c:pt>
              </c:numCache>
            </c:numRef>
          </c:val>
        </c:ser>
        <c:ser>
          <c:idx val="6"/>
          <c:order val="5"/>
          <c:tx>
            <c:strRef>
              <c:f>'NW Baseline Energy by Use'!$A$22</c:f>
              <c:strCache>
                <c:ptCount val="1"/>
                <c:pt idx="0">
                  <c:v>Water Heating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Use'!$B$22:$AO$22</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ser>
          <c:idx val="7"/>
          <c:order val="6"/>
          <c:tx>
            <c:strRef>
              <c:f>'NW Baseline Energy by Use'!$A$23</c:f>
              <c:strCache>
                <c:ptCount val="1"/>
                <c:pt idx="0">
                  <c:v>Irrigation - Industrial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Use'!$B$23:$AO$23</c:f>
              <c:numCache>
                <c:formatCode>General</c:formatCode>
                <c:ptCount val="40"/>
                <c:pt idx="0">
                  <c:v>6791946.6522974465</c:v>
                </c:pt>
                <c:pt idx="1">
                  <c:v>6817939.7424086519</c:v>
                </c:pt>
                <c:pt idx="2">
                  <c:v>6842949.8227376565</c:v>
                </c:pt>
                <c:pt idx="3">
                  <c:v>6866937.2438031957</c:v>
                </c:pt>
                <c:pt idx="4">
                  <c:v>6889861.3019047873</c:v>
                </c:pt>
                <c:pt idx="5">
                  <c:v>6911680.2146572173</c:v>
                </c:pt>
                <c:pt idx="6">
                  <c:v>6932351.095992079</c:v>
                </c:pt>
                <c:pt idx="7">
                  <c:v>6951829.9306151224</c:v>
                </c:pt>
                <c:pt idx="8">
                  <c:v>6970071.5479079317</c:v>
                </c:pt>
                <c:pt idx="9">
                  <c:v>7008326.1288432004</c:v>
                </c:pt>
                <c:pt idx="10">
                  <c:v>7116180.9633393306</c:v>
                </c:pt>
                <c:pt idx="11">
                  <c:v>7225416.8363863677</c:v>
                </c:pt>
                <c:pt idx="12">
                  <c:v>7336046.8634990696</c:v>
                </c:pt>
                <c:pt idx="13">
                  <c:v>7448084.1804342214</c:v>
                </c:pt>
                <c:pt idx="14">
                  <c:v>7561541.9398326566</c:v>
                </c:pt>
                <c:pt idx="15">
                  <c:v>7676433.3077388527</c:v>
                </c:pt>
                <c:pt idx="16">
                  <c:v>7792771.4599949261</c:v>
                </c:pt>
                <c:pt idx="17">
                  <c:v>7910569.5785056315</c:v>
                </c:pt>
                <c:pt idx="18">
                  <c:v>8029840.8473711303</c:v>
                </c:pt>
                <c:pt idx="19">
                  <c:v>8134498.0565856015</c:v>
                </c:pt>
                <c:pt idx="20">
                  <c:v>8240519.3191666035</c:v>
                </c:pt>
                <c:pt idx="21">
                  <c:v>8347922.4135510027</c:v>
                </c:pt>
                <c:pt idx="22">
                  <c:v>8456725.3498915415</c:v>
                </c:pt>
                <c:pt idx="23">
                  <c:v>8566946.373076912</c:v>
                </c:pt>
                <c:pt idx="24">
                  <c:v>8678603.9657911938</c:v>
                </c:pt>
                <c:pt idx="25">
                  <c:v>8791716.8516131714</c:v>
                </c:pt>
                <c:pt idx="26">
                  <c:v>8906303.9981560446</c:v>
                </c:pt>
                <c:pt idx="27">
                  <c:v>9022384.6202480569</c:v>
                </c:pt>
                <c:pt idx="28">
                  <c:v>9139978.183154583</c:v>
                </c:pt>
                <c:pt idx="29">
                  <c:v>9259104.4058422074</c:v>
                </c:pt>
                <c:pt idx="30">
                  <c:v>9379783.2642853465</c:v>
                </c:pt>
                <c:pt idx="31">
                  <c:v>9502034.9948159847</c:v>
                </c:pt>
                <c:pt idx="32">
                  <c:v>9625880.0975170247</c:v>
                </c:pt>
                <c:pt idx="33">
                  <c:v>9751339.3396599218</c:v>
                </c:pt>
                <c:pt idx="34">
                  <c:v>9878433.7591870762</c:v>
                </c:pt>
                <c:pt idx="35">
                  <c:v>10007184.668239653</c:v>
                </c:pt>
                <c:pt idx="36">
                  <c:v>10137613.656731334</c:v>
                </c:pt>
                <c:pt idx="37">
                  <c:v>10269742.595968699</c:v>
                </c:pt>
                <c:pt idx="38">
                  <c:v>10403593.642318757</c:v>
                </c:pt>
                <c:pt idx="39">
                  <c:v>10539189.240924297</c:v>
                </c:pt>
              </c:numCache>
            </c:numRef>
          </c:val>
        </c:ser>
        <c:axId val="114367104"/>
        <c:axId val="114401664"/>
      </c:areaChart>
      <c:catAx>
        <c:axId val="114367104"/>
        <c:scaling>
          <c:orientation val="minMax"/>
        </c:scaling>
        <c:axPos val="b"/>
        <c:numFmt formatCode="General" sourceLinked="1"/>
        <c:tickLblPos val="nextTo"/>
        <c:crossAx val="114401664"/>
        <c:crosses val="autoZero"/>
        <c:auto val="1"/>
        <c:lblAlgn val="ctr"/>
        <c:lblOffset val="100"/>
      </c:catAx>
      <c:valAx>
        <c:axId val="114401664"/>
        <c:scaling>
          <c:orientation val="minMax"/>
          <c:max val="140000000"/>
        </c:scaling>
        <c:axPos val="l"/>
        <c:majorGridlines/>
        <c:title>
          <c:tx>
            <c:rich>
              <a:bodyPr rot="-5400000" vert="horz"/>
              <a:lstStyle/>
              <a:p>
                <a:pPr>
                  <a:defRPr/>
                </a:pPr>
                <a:r>
                  <a:rPr lang="en-US"/>
                  <a:t>Total Consumption (MWh/yr)</a:t>
                </a:r>
              </a:p>
            </c:rich>
          </c:tx>
        </c:title>
        <c:numFmt formatCode="#,##0.00" sourceLinked="0"/>
        <c:tickLblPos val="nextTo"/>
        <c:crossAx val="114367104"/>
        <c:crosses val="autoZero"/>
        <c:crossBetween val="midCat"/>
      </c:valAx>
    </c:plotArea>
    <c:legend>
      <c:legendPos val="r"/>
      <c:layout>
        <c:manualLayout>
          <c:xMode val="edge"/>
          <c:yMode val="edge"/>
          <c:x val="1.852777777777783E-2"/>
          <c:y val="0.70743191504731628"/>
          <c:w val="0.96480555555555902"/>
          <c:h val="0.28395554913433985"/>
        </c:manualLayout>
      </c:layout>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layout/>
    </c:title>
    <c:plotArea>
      <c:layout/>
      <c:pieChart>
        <c:varyColors val="1"/>
        <c:ser>
          <c:idx val="0"/>
          <c:order val="0"/>
          <c:tx>
            <c:v>Bin 1 in 2021</c:v>
          </c:tx>
          <c:cat>
            <c:strRef>
              <c:f>CostByType_Summary!$C$35:$C$39</c:f>
              <c:strCache>
                <c:ptCount val="5"/>
                <c:pt idx="0">
                  <c:v> Curtailable/Interruptible Tariff</c:v>
                </c:pt>
                <c:pt idx="1">
                  <c:v> Curtailable/Interruptible - AutoDR</c:v>
                </c:pt>
                <c:pt idx="2">
                  <c:v> Refrigerated Warehouses - Controls</c:v>
                </c:pt>
                <c:pt idx="3">
                  <c:v> Space Cooling, Medium - Switch</c:v>
                </c:pt>
                <c:pt idx="4">
                  <c:v> Space Cooling, Small - Switch</c:v>
                </c:pt>
              </c:strCache>
            </c:strRef>
          </c:cat>
          <c:val>
            <c:numRef>
              <c:f>CostByType_Summary!$F$35:$F$39</c:f>
              <c:numCache>
                <c:formatCode>0%</c:formatCode>
                <c:ptCount val="5"/>
                <c:pt idx="0">
                  <c:v>0.14120957915216442</c:v>
                </c:pt>
                <c:pt idx="1">
                  <c:v>0.14120957915216442</c:v>
                </c:pt>
                <c:pt idx="2">
                  <c:v>7.0604789576082183E-2</c:v>
                </c:pt>
                <c:pt idx="3">
                  <c:v>1.1914860588364995E-2</c:v>
                </c:pt>
                <c:pt idx="4">
                  <c:v>4.4482146196562766E-3</c:v>
                </c:pt>
              </c:numCache>
            </c:numRef>
          </c:val>
        </c:ser>
        <c:firstSliceAng val="0"/>
      </c:pieChart>
    </c:plotArea>
    <c:legend>
      <c:legendPos val="r"/>
      <c:layout/>
      <c:txPr>
        <a:bodyPr/>
        <a:lstStyle/>
        <a:p>
          <a:pPr rtl="0">
            <a:defRPr/>
          </a:pPr>
          <a:endParaRPr lang="en-US"/>
        </a:p>
      </c:txPr>
    </c:legend>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Bin 2 in 2021</a:t>
            </a:r>
          </a:p>
        </c:rich>
      </c:tx>
      <c:layout/>
    </c:title>
    <c:plotArea>
      <c:layout/>
      <c:pieChart>
        <c:varyColors val="1"/>
        <c:ser>
          <c:idx val="0"/>
          <c:order val="0"/>
          <c:cat>
            <c:strRef>
              <c:f>CostByType_Summary!$C$40:$C$48</c:f>
              <c:strCache>
                <c:ptCount val="9"/>
                <c:pt idx="0">
                  <c:v> Space Heating - Switch</c:v>
                </c:pt>
                <c:pt idx="1">
                  <c:v> Load Aggregator - AutoDR</c:v>
                </c:pt>
                <c:pt idx="2">
                  <c:v> Space Cooling - CAC Switch</c:v>
                </c:pt>
                <c:pt idx="3">
                  <c:v> Water Heating - Switch</c:v>
                </c:pt>
                <c:pt idx="4">
                  <c:v> Irrigation Pumping - AutoDR</c:v>
                </c:pt>
                <c:pt idx="5">
                  <c:v> Lighting Controls - AutoDR</c:v>
                </c:pt>
                <c:pt idx="6">
                  <c:v> Space Cooling, Medium - AutoDR</c:v>
                </c:pt>
                <c:pt idx="7">
                  <c:v> Space Cooling - RAC Switch</c:v>
                </c:pt>
                <c:pt idx="8">
                  <c:v> Irrigation Pumping - Switch</c:v>
                </c:pt>
              </c:strCache>
            </c:strRef>
          </c:cat>
          <c:val>
            <c:numRef>
              <c:f>CostByType_Summary!$F$40:$F$48</c:f>
              <c:numCache>
                <c:formatCode>0%</c:formatCode>
                <c:ptCount val="9"/>
                <c:pt idx="0">
                  <c:v>7.0926406994691049E-2</c:v>
                </c:pt>
                <c:pt idx="1">
                  <c:v>3.5302394788041092E-2</c:v>
                </c:pt>
                <c:pt idx="2">
                  <c:v>2.5939647281234934E-2</c:v>
                </c:pt>
                <c:pt idx="3">
                  <c:v>0.12250924844537547</c:v>
                </c:pt>
                <c:pt idx="4">
                  <c:v>4.336826650937442E-2</c:v>
                </c:pt>
                <c:pt idx="5">
                  <c:v>1.2459668748719954E-3</c:v>
                </c:pt>
                <c:pt idx="6">
                  <c:v>5.5602682745703236E-2</c:v>
                </c:pt>
                <c:pt idx="7">
                  <c:v>1.1672841276555435E-3</c:v>
                </c:pt>
                <c:pt idx="8">
                  <c:v>2.4919337497441019E-3</c:v>
                </c:pt>
              </c:numCache>
            </c:numRef>
          </c:val>
        </c:ser>
        <c:firstSliceAng val="0"/>
      </c:pieChart>
    </c:plotArea>
    <c:legend>
      <c:legendPos val="r"/>
      <c:layout/>
    </c:legend>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Bin 3 in 2021</a:t>
            </a:r>
          </a:p>
        </c:rich>
      </c:tx>
      <c:layout/>
    </c:title>
    <c:plotArea>
      <c:layout/>
      <c:pieChart>
        <c:varyColors val="1"/>
        <c:ser>
          <c:idx val="0"/>
          <c:order val="0"/>
          <c:cat>
            <c:strRef>
              <c:f>CostByType_Summary!$C$49:$C$53</c:f>
              <c:strCache>
                <c:ptCount val="5"/>
                <c:pt idx="0">
                  <c:v> Space Cooling, Small - PCT</c:v>
                </c:pt>
                <c:pt idx="1">
                  <c:v> Water Heating - WH Controls</c:v>
                </c:pt>
                <c:pt idx="2">
                  <c:v> Space Cooling - CAC PCT</c:v>
                </c:pt>
                <c:pt idx="3">
                  <c:v> Space Cooling - RAC PCT</c:v>
                </c:pt>
                <c:pt idx="4">
                  <c:v> Space Heating - PCT</c:v>
                </c:pt>
              </c:strCache>
            </c:strRef>
          </c:cat>
          <c:val>
            <c:numRef>
              <c:f>CostByType_Summary!$F$49:$F$53</c:f>
              <c:numCache>
                <c:formatCode>0%</c:formatCode>
                <c:ptCount val="5"/>
                <c:pt idx="0">
                  <c:v>5.1895837229323227E-3</c:v>
                </c:pt>
                <c:pt idx="1">
                  <c:v>1.3612138716152855E-2</c:v>
                </c:pt>
                <c:pt idx="2">
                  <c:v>6.0525843656214939E-2</c:v>
                </c:pt>
                <c:pt idx="3">
                  <c:v>2.7236629645296717E-2</c:v>
                </c:pt>
                <c:pt idx="4">
                  <c:v>0.16549494965427902</c:v>
                </c:pt>
              </c:numCache>
            </c:numRef>
          </c:val>
        </c:ser>
        <c:firstSliceAng val="0"/>
      </c:pieChart>
    </c:plotArea>
    <c:legend>
      <c:legendPos val="r"/>
      <c:layout/>
    </c:legend>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layout/>
    </c:title>
    <c:plotArea>
      <c:layout/>
      <c:pieChart>
        <c:varyColors val="1"/>
        <c:ser>
          <c:idx val="0"/>
          <c:order val="0"/>
          <c:tx>
            <c:strRef>
              <c:f>CostByType_Summary!$J$2</c:f>
              <c:strCache>
                <c:ptCount val="1"/>
                <c:pt idx="0">
                  <c:v>Potential in 2021</c:v>
                </c:pt>
              </c:strCache>
            </c:strRef>
          </c:tx>
          <c:dLbls>
            <c:showPercent val="1"/>
            <c:showLeaderLines val="1"/>
          </c:dLbls>
          <c:cat>
            <c:strRef>
              <c:f>CostByType_Summary!$C$3:$C$21</c:f>
              <c:strCache>
                <c:ptCount val="19"/>
                <c:pt idx="0">
                  <c:v>b. Curtailable/Interruptible Tariff</c:v>
                </c:pt>
                <c:pt idx="1">
                  <c:v>b. Curtailable/Interruptible - AutoDR</c:v>
                </c:pt>
                <c:pt idx="2">
                  <c:v>d. Refrigerated Warehouses - Controls</c:v>
                </c:pt>
                <c:pt idx="3">
                  <c:v>b. Space Cooling, Medium - Switch</c:v>
                </c:pt>
                <c:pt idx="4">
                  <c:v>a. Space Cooling, Small - Switch</c:v>
                </c:pt>
                <c:pt idx="5">
                  <c:v>c. Space Heating - Switch</c:v>
                </c:pt>
                <c:pt idx="6">
                  <c:v>c. Load Aggregator - AutoDR</c:v>
                </c:pt>
                <c:pt idx="7">
                  <c:v>a. Space Cooling - CAC Switch</c:v>
                </c:pt>
                <c:pt idx="8">
                  <c:v>d. Water Heating - Switch</c:v>
                </c:pt>
                <c:pt idx="9">
                  <c:v>c. Lighting Controls - AutoDR</c:v>
                </c:pt>
                <c:pt idx="10">
                  <c:v>a. Irrigation Pumping - AutoDR</c:v>
                </c:pt>
                <c:pt idx="11">
                  <c:v>b. Space Cooling, Medium - AutoDR</c:v>
                </c:pt>
                <c:pt idx="12">
                  <c:v>b. Space Cooling - RAC Switch</c:v>
                </c:pt>
                <c:pt idx="13">
                  <c:v>a. Irrigation Pumping - Switch</c:v>
                </c:pt>
                <c:pt idx="14">
                  <c:v>a. Space Cooling, Small - PCT</c:v>
                </c:pt>
                <c:pt idx="15">
                  <c:v>d. Water Heating - WH Controls</c:v>
                </c:pt>
                <c:pt idx="16">
                  <c:v>a. Space Cooling - CAC PCT</c:v>
                </c:pt>
                <c:pt idx="17">
                  <c:v>b. Space Cooling - RAC PCT</c:v>
                </c:pt>
                <c:pt idx="18">
                  <c:v>c. Space Heating - PCT</c:v>
                </c:pt>
              </c:strCache>
            </c:strRef>
          </c:cat>
          <c:val>
            <c:numRef>
              <c:f>CostByType_Summary!$J$3:$J$21</c:f>
              <c:numCache>
                <c:formatCode>_(* #,##0.00_);_(* \(#,##0.00\);_(* "-"??_);_(@_)</c:formatCode>
                <c:ptCount val="19"/>
                <c:pt idx="0">
                  <c:v>557.00757114508804</c:v>
                </c:pt>
                <c:pt idx="1">
                  <c:v>557.00757114508804</c:v>
                </c:pt>
                <c:pt idx="2">
                  <c:v>278.50378557254402</c:v>
                </c:pt>
                <c:pt idx="3">
                  <c:v>46.998706438364039</c:v>
                </c:pt>
                <c:pt idx="4">
                  <c:v>17.546183736989242</c:v>
                </c:pt>
                <c:pt idx="5">
                  <c:v>279.77242002533995</c:v>
                </c:pt>
                <c:pt idx="6">
                  <c:v>139.25189278627201</c:v>
                </c:pt>
                <c:pt idx="7">
                  <c:v>102.32011181699997</c:v>
                </c:pt>
                <c:pt idx="8">
                  <c:v>483.24327095285997</c:v>
                </c:pt>
                <c:pt idx="9">
                  <c:v>171.06808856875804</c:v>
                </c:pt>
                <c:pt idx="10">
                  <c:v>4.9147726865743069</c:v>
                </c:pt>
                <c:pt idx="11">
                  <c:v>219.32729671236555</c:v>
                </c:pt>
                <c:pt idx="12">
                  <c:v>4.6044050317649994</c:v>
                </c:pt>
                <c:pt idx="13">
                  <c:v>9.8295453731486138</c:v>
                </c:pt>
                <c:pt idx="14">
                  <c:v>20.470547693154121</c:v>
                </c:pt>
                <c:pt idx="15">
                  <c:v>53.69369677253998</c:v>
                </c:pt>
                <c:pt idx="16">
                  <c:v>238.74692757299991</c:v>
                </c:pt>
                <c:pt idx="17">
                  <c:v>107.43611740784996</c:v>
                </c:pt>
                <c:pt idx="18">
                  <c:v>652.80231339245984</c:v>
                </c:pt>
              </c:numCache>
            </c:numRef>
          </c:val>
        </c:ser>
        <c:firstSliceAng val="0"/>
      </c:pieChart>
    </c:plotArea>
    <c:legend>
      <c:legendPos val="r"/>
      <c:layout/>
    </c:legend>
    <c:plotVisOnly val="1"/>
  </c:chart>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layout/>
    </c:title>
    <c:plotArea>
      <c:layout/>
      <c:pieChart>
        <c:varyColors val="1"/>
        <c:ser>
          <c:idx val="0"/>
          <c:order val="0"/>
          <c:tx>
            <c:strRef>
              <c:f>CostByType_Summary!$L$2</c:f>
              <c:strCache>
                <c:ptCount val="1"/>
                <c:pt idx="0">
                  <c:v>Potential in 2035</c:v>
                </c:pt>
              </c:strCache>
            </c:strRef>
          </c:tx>
          <c:dLbls>
            <c:showPercent val="1"/>
            <c:showLeaderLines val="1"/>
          </c:dLbls>
          <c:cat>
            <c:strRef>
              <c:f>CostByType_Summary!$C$3:$C$21</c:f>
              <c:strCache>
                <c:ptCount val="19"/>
                <c:pt idx="0">
                  <c:v>b. Curtailable/Interruptible Tariff</c:v>
                </c:pt>
                <c:pt idx="1">
                  <c:v>b. Curtailable/Interruptible - AutoDR</c:v>
                </c:pt>
                <c:pt idx="2">
                  <c:v>d. Refrigerated Warehouses - Controls</c:v>
                </c:pt>
                <c:pt idx="3">
                  <c:v>b. Space Cooling, Medium - Switch</c:v>
                </c:pt>
                <c:pt idx="4">
                  <c:v>a. Space Cooling, Small - Switch</c:v>
                </c:pt>
                <c:pt idx="5">
                  <c:v>c. Space Heating - Switch</c:v>
                </c:pt>
                <c:pt idx="6">
                  <c:v>c. Load Aggregator - AutoDR</c:v>
                </c:pt>
                <c:pt idx="7">
                  <c:v>a. Space Cooling - CAC Switch</c:v>
                </c:pt>
                <c:pt idx="8">
                  <c:v>d. Water Heating - Switch</c:v>
                </c:pt>
                <c:pt idx="9">
                  <c:v>c. Lighting Controls - AutoDR</c:v>
                </c:pt>
                <c:pt idx="10">
                  <c:v>a. Irrigation Pumping - AutoDR</c:v>
                </c:pt>
                <c:pt idx="11">
                  <c:v>b. Space Cooling, Medium - AutoDR</c:v>
                </c:pt>
                <c:pt idx="12">
                  <c:v>b. Space Cooling - RAC Switch</c:v>
                </c:pt>
                <c:pt idx="13">
                  <c:v>a. Irrigation Pumping - Switch</c:v>
                </c:pt>
                <c:pt idx="14">
                  <c:v>a. Space Cooling, Small - PCT</c:v>
                </c:pt>
                <c:pt idx="15">
                  <c:v>d. Water Heating - WH Controls</c:v>
                </c:pt>
                <c:pt idx="16">
                  <c:v>a. Space Cooling - CAC PCT</c:v>
                </c:pt>
                <c:pt idx="17">
                  <c:v>b. Space Cooling - RAC PCT</c:v>
                </c:pt>
                <c:pt idx="18">
                  <c:v>c. Space Heating - PCT</c:v>
                </c:pt>
              </c:strCache>
            </c:strRef>
          </c:cat>
          <c:val>
            <c:numRef>
              <c:f>CostByType_Summary!$L$3:$L$21</c:f>
              <c:numCache>
                <c:formatCode>0.00</c:formatCode>
                <c:ptCount val="19"/>
                <c:pt idx="0">
                  <c:v>645.52420134275189</c:v>
                </c:pt>
                <c:pt idx="1">
                  <c:v>645.52420134275189</c:v>
                </c:pt>
                <c:pt idx="2">
                  <c:v>322.76210067137595</c:v>
                </c:pt>
                <c:pt idx="3">
                  <c:v>54.467486636487443</c:v>
                </c:pt>
                <c:pt idx="4">
                  <c:v>20.334528344288646</c:v>
                </c:pt>
                <c:pt idx="5">
                  <c:v>325.3987690913562</c:v>
                </c:pt>
                <c:pt idx="6">
                  <c:v>161.38105033568797</c:v>
                </c:pt>
                <c:pt idx="7">
                  <c:v>119.00686434898083</c:v>
                </c:pt>
                <c:pt idx="8">
                  <c:v>562.05241933961531</c:v>
                </c:pt>
                <c:pt idx="9" formatCode="_(* #,##0.00_);_(* \(#,##0.00\);_(* &quot;-&quot;??_);_(@_)">
                  <c:v>198.25330384928387</c:v>
                </c:pt>
                <c:pt idx="10">
                  <c:v>5.6958017765536937</c:v>
                </c:pt>
                <c:pt idx="11" formatCode="_(* #,##0.00_);_(* \(#,##0.00\);_(* &quot;-&quot;??_);_(@_)">
                  <c:v>254.18160430360808</c:v>
                </c:pt>
                <c:pt idx="12">
                  <c:v>5.3553088957041384</c:v>
                </c:pt>
                <c:pt idx="13">
                  <c:v>11.391603553107387</c:v>
                </c:pt>
                <c:pt idx="14" formatCode="_(* #,##0.00_);_(* \(#,##0.00\);_(* &quot;-&quot;??_);_(@_)">
                  <c:v>23.723616401670085</c:v>
                </c:pt>
                <c:pt idx="15">
                  <c:v>62.450268815512793</c:v>
                </c:pt>
                <c:pt idx="16">
                  <c:v>277.68268348095523</c:v>
                </c:pt>
                <c:pt idx="17">
                  <c:v>124.95720756642989</c:v>
                </c:pt>
                <c:pt idx="18">
                  <c:v>759.26379454649782</c:v>
                </c:pt>
              </c:numCache>
            </c:numRef>
          </c:val>
        </c:ser>
        <c:firstSliceAng val="0"/>
      </c:pieChart>
    </c:plotArea>
    <c:legend>
      <c:legendPos val="r"/>
      <c:layout/>
    </c:legend>
    <c:plotVisOnly val="1"/>
  </c:chart>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Energy</a:t>
            </a:r>
            <a:r>
              <a:rPr lang="en-US" baseline="0"/>
              <a:t> Associated with DR resources</a:t>
            </a:r>
            <a:endParaRPr lang="en-US"/>
          </a:p>
        </c:rich>
      </c:tx>
      <c:layout/>
    </c:title>
    <c:plotArea>
      <c:layout/>
      <c:barChart>
        <c:barDir val="col"/>
        <c:grouping val="clustered"/>
        <c:ser>
          <c:idx val="0"/>
          <c:order val="0"/>
          <c:tx>
            <c:strRef>
              <c:f>SetupForRPM!$A$36</c:f>
              <c:strCache>
                <c:ptCount val="1"/>
                <c:pt idx="0">
                  <c:v>Demand Response Price Bin 1</c:v>
                </c:pt>
              </c:strCache>
            </c:strRef>
          </c:tx>
          <c:val>
            <c:numRef>
              <c:f>SetupForRPM!$B$36:$E$36</c:f>
              <c:numCache>
                <c:formatCode>0%</c:formatCode>
                <c:ptCount val="4"/>
                <c:pt idx="0">
                  <c:v>8.6152556329361779E-3</c:v>
                </c:pt>
                <c:pt idx="1">
                  <c:v>0</c:v>
                </c:pt>
                <c:pt idx="2">
                  <c:v>1.7010675211068915E-2</c:v>
                </c:pt>
                <c:pt idx="3">
                  <c:v>0</c:v>
                </c:pt>
              </c:numCache>
            </c:numRef>
          </c:val>
        </c:ser>
        <c:ser>
          <c:idx val="1"/>
          <c:order val="1"/>
          <c:tx>
            <c:strRef>
              <c:f>SetupForRPM!$A$37</c:f>
              <c:strCache>
                <c:ptCount val="1"/>
                <c:pt idx="0">
                  <c:v>Demand Response Price Bin 2</c:v>
                </c:pt>
              </c:strCache>
            </c:strRef>
          </c:tx>
          <c:val>
            <c:numRef>
              <c:f>SetupForRPM!$B$37:$E$37</c:f>
              <c:numCache>
                <c:formatCode>0%</c:formatCode>
                <c:ptCount val="4"/>
                <c:pt idx="0">
                  <c:v>1.3966441478634056E-3</c:v>
                </c:pt>
                <c:pt idx="1">
                  <c:v>0</c:v>
                </c:pt>
                <c:pt idx="2">
                  <c:v>1.9757826797617711E-2</c:v>
                </c:pt>
                <c:pt idx="3">
                  <c:v>0</c:v>
                </c:pt>
              </c:numCache>
            </c:numRef>
          </c:val>
        </c:ser>
        <c:ser>
          <c:idx val="2"/>
          <c:order val="2"/>
          <c:tx>
            <c:strRef>
              <c:f>SetupForRPM!$A$38</c:f>
              <c:strCache>
                <c:ptCount val="1"/>
                <c:pt idx="0">
                  <c:v>Demand Response Price Bin 3</c:v>
                </c:pt>
              </c:strCache>
            </c:strRef>
          </c:tx>
          <c:val>
            <c:numRef>
              <c:f>SetupForRPM!$B$38:$E$38</c:f>
              <c:numCache>
                <c:formatCode>0%</c:formatCode>
                <c:ptCount val="4"/>
                <c:pt idx="0">
                  <c:v>1.5422312136181239E-2</c:v>
                </c:pt>
                <c:pt idx="1">
                  <c:v>0</c:v>
                </c:pt>
                <c:pt idx="2">
                  <c:v>1.3596633881456999E-3</c:v>
                </c:pt>
                <c:pt idx="3">
                  <c:v>0</c:v>
                </c:pt>
              </c:numCache>
            </c:numRef>
          </c:val>
        </c:ser>
        <c:axId val="136696192"/>
        <c:axId val="136697728"/>
      </c:barChart>
      <c:catAx>
        <c:axId val="136696192"/>
        <c:scaling>
          <c:orientation val="minMax"/>
        </c:scaling>
        <c:axPos val="b"/>
        <c:tickLblPos val="nextTo"/>
        <c:crossAx val="136697728"/>
        <c:crosses val="autoZero"/>
        <c:auto val="1"/>
        <c:lblAlgn val="ctr"/>
        <c:lblOffset val="100"/>
      </c:catAx>
      <c:valAx>
        <c:axId val="136697728"/>
        <c:scaling>
          <c:orientation val="minMax"/>
        </c:scaling>
        <c:axPos val="l"/>
        <c:majorGridlines/>
        <c:numFmt formatCode="0%" sourceLinked="1"/>
        <c:tickLblPos val="nextTo"/>
        <c:crossAx val="136696192"/>
        <c:crosses val="autoZero"/>
        <c:crossBetween val="between"/>
      </c:valAx>
    </c:plotArea>
    <c:legend>
      <c:legendPos val="r"/>
      <c:layout/>
    </c:legend>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lrMapOvr bg1="lt1" tx1="dk1" bg2="lt2" tx2="dk2" accent1="accent1" accent2="accent2" accent3="accent3" accent4="accent4" accent5="accent5" accent6="accent6" hlink="hlink" folHlink="folHlink"/>
  <c:chart>
    <c:title>
      <c:tx>
        <c:rich>
          <a:bodyPr/>
          <a:lstStyle/>
          <a:p>
            <a:pPr>
              <a:defRPr/>
            </a:pPr>
            <a:r>
              <a:rPr lang="en-US"/>
              <a:t>Potential Study</a:t>
            </a:r>
            <a:r>
              <a:rPr lang="en-US" baseline="0"/>
              <a:t> - Max Acquisitions</a:t>
            </a:r>
            <a:endParaRPr lang="en-US"/>
          </a:p>
        </c:rich>
      </c:tx>
      <c:layout/>
    </c:title>
    <c:plotArea>
      <c:layout/>
      <c:barChart>
        <c:barDir val="col"/>
        <c:grouping val="stacked"/>
        <c:ser>
          <c:idx val="0"/>
          <c:order val="0"/>
          <c:tx>
            <c:strRef>
              <c:f>SetupForRPM!$A$8</c:f>
              <c:strCache>
                <c:ptCount val="1"/>
                <c:pt idx="0">
                  <c:v>Demand Response Price Bin 1</c:v>
                </c:pt>
              </c:strCache>
            </c:strRef>
          </c:tx>
          <c:cat>
            <c:strRef>
              <c:f>SetupForRPM!$B$7:$N$7</c:f>
              <c:strCache>
                <c:ptCount val="13"/>
                <c:pt idx="0">
                  <c:v>2016 | SB1</c:v>
                </c:pt>
                <c:pt idx="1">
                  <c:v>2017 | SB1</c:v>
                </c:pt>
                <c:pt idx="2">
                  <c:v>2018 | SB1</c:v>
                </c:pt>
                <c:pt idx="3">
                  <c:v>2019 | SB1</c:v>
                </c:pt>
                <c:pt idx="4">
                  <c:v>2020 | SB1</c:v>
                </c:pt>
                <c:pt idx="5">
                  <c:v>2021 | SB1</c:v>
                </c:pt>
                <c:pt idx="6">
                  <c:v>2022 | SB1</c:v>
                </c:pt>
                <c:pt idx="7">
                  <c:v>2024 | SB1</c:v>
                </c:pt>
                <c:pt idx="8">
                  <c:v>2026 | SB1</c:v>
                </c:pt>
                <c:pt idx="9">
                  <c:v>2028 | SB1</c:v>
                </c:pt>
                <c:pt idx="10">
                  <c:v>2030 | SB1</c:v>
                </c:pt>
                <c:pt idx="11">
                  <c:v>2032 | SB1</c:v>
                </c:pt>
                <c:pt idx="12">
                  <c:v>2034 | SB1</c:v>
                </c:pt>
              </c:strCache>
            </c:strRef>
          </c:cat>
          <c:val>
            <c:numRef>
              <c:f>SetupForRPM!$B$8:$N$8</c:f>
              <c:numCache>
                <c:formatCode>0</c:formatCode>
                <c:ptCount val="13"/>
                <c:pt idx="0">
                  <c:v>69.487272587765702</c:v>
                </c:pt>
                <c:pt idx="1">
                  <c:v>349.08781844846874</c:v>
                </c:pt>
                <c:pt idx="2">
                  <c:v>632.10768827723177</c:v>
                </c:pt>
                <c:pt idx="3">
                  <c:v>918.17504284785218</c:v>
                </c:pt>
                <c:pt idx="4">
                  <c:v>1207.936941592043</c:v>
                </c:pt>
                <c:pt idx="5">
                  <c:v>1439.2407819637924</c:v>
                </c:pt>
                <c:pt idx="6">
                  <c:v>1474.6487283490894</c:v>
                </c:pt>
                <c:pt idx="7">
                  <c:v>1509.5968833237646</c:v>
                </c:pt>
                <c:pt idx="8">
                  <c:v>1543.5490458997442</c:v>
                </c:pt>
                <c:pt idx="9">
                  <c:v>1579.599272554728</c:v>
                </c:pt>
                <c:pt idx="10">
                  <c:v>1615.1317390139757</c:v>
                </c:pt>
                <c:pt idx="11">
                  <c:v>1651.4634943780827</c:v>
                </c:pt>
                <c:pt idx="12">
                  <c:v>1688.6125183376557</c:v>
                </c:pt>
              </c:numCache>
            </c:numRef>
          </c:val>
        </c:ser>
        <c:ser>
          <c:idx val="1"/>
          <c:order val="1"/>
          <c:tx>
            <c:strRef>
              <c:f>SetupForRPM!$A$9</c:f>
              <c:strCache>
                <c:ptCount val="1"/>
                <c:pt idx="0">
                  <c:v>Demand Response Price Bin 2</c:v>
                </c:pt>
              </c:strCache>
            </c:strRef>
          </c:tx>
          <c:cat>
            <c:strRef>
              <c:f>SetupForRPM!$B$7:$N$7</c:f>
              <c:strCache>
                <c:ptCount val="13"/>
                <c:pt idx="0">
                  <c:v>2016 | SB1</c:v>
                </c:pt>
                <c:pt idx="1">
                  <c:v>2017 | SB1</c:v>
                </c:pt>
                <c:pt idx="2">
                  <c:v>2018 | SB1</c:v>
                </c:pt>
                <c:pt idx="3">
                  <c:v>2019 | SB1</c:v>
                </c:pt>
                <c:pt idx="4">
                  <c:v>2020 | SB1</c:v>
                </c:pt>
                <c:pt idx="5">
                  <c:v>2021 | SB1</c:v>
                </c:pt>
                <c:pt idx="6">
                  <c:v>2022 | SB1</c:v>
                </c:pt>
                <c:pt idx="7">
                  <c:v>2024 | SB1</c:v>
                </c:pt>
                <c:pt idx="8">
                  <c:v>2026 | SB1</c:v>
                </c:pt>
                <c:pt idx="9">
                  <c:v>2028 | SB1</c:v>
                </c:pt>
                <c:pt idx="10">
                  <c:v>2030 | SB1</c:v>
                </c:pt>
                <c:pt idx="11">
                  <c:v>2032 | SB1</c:v>
                </c:pt>
                <c:pt idx="12">
                  <c:v>2034 | SB1</c:v>
                </c:pt>
              </c:strCache>
            </c:strRef>
          </c:cat>
          <c:val>
            <c:numRef>
              <c:f>SetupForRPM!$B$9:$N$9</c:f>
              <c:numCache>
                <c:formatCode>0</c:formatCode>
                <c:ptCount val="13"/>
                <c:pt idx="0">
                  <c:v>74.117545549469682</c:v>
                </c:pt>
                <c:pt idx="1">
                  <c:v>364.47163332383542</c:v>
                </c:pt>
                <c:pt idx="2">
                  <c:v>644.65561642591729</c:v>
                </c:pt>
                <c:pt idx="3">
                  <c:v>913.72657870153751</c:v>
                </c:pt>
                <c:pt idx="4">
                  <c:v>1171.1374274965722</c:v>
                </c:pt>
                <c:pt idx="5">
                  <c:v>1396.167237091621</c:v>
                </c:pt>
                <c:pt idx="6">
                  <c:v>1432.3456905332923</c:v>
                </c:pt>
                <c:pt idx="7">
                  <c:v>1468.0153370352921</c:v>
                </c:pt>
                <c:pt idx="8">
                  <c:v>1502.8118645131312</c:v>
                </c:pt>
                <c:pt idx="9">
                  <c:v>1537.5468324686726</c:v>
                </c:pt>
                <c:pt idx="10">
                  <c:v>1571.8331786750155</c:v>
                </c:pt>
                <c:pt idx="11">
                  <c:v>1606.8841257637732</c:v>
                </c:pt>
                <c:pt idx="12">
                  <c:v>1642.7167254938979</c:v>
                </c:pt>
              </c:numCache>
            </c:numRef>
          </c:val>
        </c:ser>
        <c:ser>
          <c:idx val="2"/>
          <c:order val="2"/>
          <c:tx>
            <c:strRef>
              <c:f>SetupForRPM!$A$10</c:f>
              <c:strCache>
                <c:ptCount val="1"/>
                <c:pt idx="0">
                  <c:v>Demand Response Price Bin 3</c:v>
                </c:pt>
              </c:strCache>
            </c:strRef>
          </c:tx>
          <c:cat>
            <c:strRef>
              <c:f>SetupForRPM!$B$7:$N$7</c:f>
              <c:strCache>
                <c:ptCount val="13"/>
                <c:pt idx="0">
                  <c:v>2016 | SB1</c:v>
                </c:pt>
                <c:pt idx="1">
                  <c:v>2017 | SB1</c:v>
                </c:pt>
                <c:pt idx="2">
                  <c:v>2018 | SB1</c:v>
                </c:pt>
                <c:pt idx="3">
                  <c:v>2019 | SB1</c:v>
                </c:pt>
                <c:pt idx="4">
                  <c:v>2020 | SB1</c:v>
                </c:pt>
                <c:pt idx="5">
                  <c:v>2021 | SB1</c:v>
                </c:pt>
                <c:pt idx="6">
                  <c:v>2022 | SB1</c:v>
                </c:pt>
                <c:pt idx="7">
                  <c:v>2024 | SB1</c:v>
                </c:pt>
                <c:pt idx="8">
                  <c:v>2026 | SB1</c:v>
                </c:pt>
                <c:pt idx="9">
                  <c:v>2028 | SB1</c:v>
                </c:pt>
                <c:pt idx="10">
                  <c:v>2030 | SB1</c:v>
                </c:pt>
                <c:pt idx="11">
                  <c:v>2032 | SB1</c:v>
                </c:pt>
                <c:pt idx="12">
                  <c:v>2034 | SB1</c:v>
                </c:pt>
              </c:strCache>
            </c:strRef>
          </c:cat>
          <c:val>
            <c:numRef>
              <c:f>SetupForRPM!$B$10:$N$10</c:f>
              <c:numCache>
                <c:formatCode>0</c:formatCode>
                <c:ptCount val="13"/>
                <c:pt idx="0">
                  <c:v>35.921408334857922</c:v>
                </c:pt>
                <c:pt idx="1">
                  <c:v>199.27722109937702</c:v>
                </c:pt>
                <c:pt idx="2">
                  <c:v>394.97583222057898</c:v>
                </c:pt>
                <c:pt idx="3">
                  <c:v>624.16312839116949</c:v>
                </c:pt>
                <c:pt idx="4">
                  <c:v>888.00154370617065</c:v>
                </c:pt>
                <c:pt idx="5">
                  <c:v>1058.9768903199856</c:v>
                </c:pt>
                <c:pt idx="6">
                  <c:v>1087.2442957153037</c:v>
                </c:pt>
                <c:pt idx="7">
                  <c:v>1115.0974290044685</c:v>
                </c:pt>
                <c:pt idx="8">
                  <c:v>1142.3303370629003</c:v>
                </c:pt>
                <c:pt idx="9">
                  <c:v>1168.5696850431234</c:v>
                </c:pt>
                <c:pt idx="10">
                  <c:v>1194.4929821242131</c:v>
                </c:pt>
                <c:pt idx="11">
                  <c:v>1220.9913582049455</c:v>
                </c:pt>
                <c:pt idx="12">
                  <c:v>1248.0775708110659</c:v>
                </c:pt>
              </c:numCache>
            </c:numRef>
          </c:val>
        </c:ser>
        <c:overlap val="100"/>
        <c:axId val="136820608"/>
        <c:axId val="136822144"/>
      </c:barChart>
      <c:lineChart>
        <c:grouping val="stacked"/>
        <c:ser>
          <c:idx val="3"/>
          <c:order val="3"/>
          <c:tx>
            <c:strRef>
              <c:f>SetupForRPM!$A$13</c:f>
              <c:strCache>
                <c:ptCount val="1"/>
                <c:pt idx="0">
                  <c:v>Demand Response Price Bin 1 - RPM</c:v>
                </c:pt>
              </c:strCache>
            </c:strRef>
          </c:tx>
          <c:marker>
            <c:symbol val="none"/>
          </c:marker>
          <c:val>
            <c:numRef>
              <c:f>SetupForRPM!$B$13:$N$13</c:f>
              <c:numCache>
                <c:formatCode>0</c:formatCode>
                <c:ptCount val="13"/>
                <c:pt idx="0">
                  <c:v>241.58738831840861</c:v>
                </c:pt>
                <c:pt idx="1">
                  <c:v>483.17477663681723</c:v>
                </c:pt>
                <c:pt idx="2">
                  <c:v>724.7621649552259</c:v>
                </c:pt>
                <c:pt idx="3">
                  <c:v>966.34955327363446</c:v>
                </c:pt>
                <c:pt idx="4">
                  <c:v>1207.936941592043</c:v>
                </c:pt>
                <c:pt idx="5">
                  <c:v>1449.5243299104516</c:v>
                </c:pt>
                <c:pt idx="6">
                  <c:v>1688.6125183376557</c:v>
                </c:pt>
                <c:pt idx="7">
                  <c:v>1688.6125183376557</c:v>
                </c:pt>
                <c:pt idx="8">
                  <c:v>1688.6125183376557</c:v>
                </c:pt>
                <c:pt idx="9">
                  <c:v>1688.6125183376557</c:v>
                </c:pt>
                <c:pt idx="10">
                  <c:v>1688.6125183376557</c:v>
                </c:pt>
                <c:pt idx="11">
                  <c:v>1688.6125183376557</c:v>
                </c:pt>
                <c:pt idx="12">
                  <c:v>1688.6125183376557</c:v>
                </c:pt>
              </c:numCache>
            </c:numRef>
          </c:val>
        </c:ser>
        <c:ser>
          <c:idx val="4"/>
          <c:order val="4"/>
          <c:tx>
            <c:strRef>
              <c:f>SetupForRPM!$A$14</c:f>
              <c:strCache>
                <c:ptCount val="1"/>
                <c:pt idx="0">
                  <c:v>Demand Response Price Bin 2 - RPM</c:v>
                </c:pt>
              </c:strCache>
            </c:strRef>
          </c:tx>
          <c:marker>
            <c:symbol val="none"/>
          </c:marker>
          <c:val>
            <c:numRef>
              <c:f>SetupForRPM!$B$14:$N$14</c:f>
              <c:numCache>
                <c:formatCode>0</c:formatCode>
                <c:ptCount val="13"/>
                <c:pt idx="0">
                  <c:v>234.22748549931444</c:v>
                </c:pt>
                <c:pt idx="1">
                  <c:v>468.45497099862888</c:v>
                </c:pt>
                <c:pt idx="2">
                  <c:v>702.68245649794335</c:v>
                </c:pt>
                <c:pt idx="3">
                  <c:v>936.90994199725776</c:v>
                </c:pt>
                <c:pt idx="4">
                  <c:v>1171.1374274965722</c:v>
                </c:pt>
                <c:pt idx="5">
                  <c:v>1405.3649129958867</c:v>
                </c:pt>
                <c:pt idx="6">
                  <c:v>1639.5923984952012</c:v>
                </c:pt>
                <c:pt idx="7">
                  <c:v>1642.7167254938979</c:v>
                </c:pt>
                <c:pt idx="8">
                  <c:v>1642.7167254938979</c:v>
                </c:pt>
                <c:pt idx="9">
                  <c:v>1642.7167254938979</c:v>
                </c:pt>
                <c:pt idx="10">
                  <c:v>1642.7167254938979</c:v>
                </c:pt>
                <c:pt idx="11">
                  <c:v>1642.7167254938979</c:v>
                </c:pt>
                <c:pt idx="12">
                  <c:v>1642.7167254938979</c:v>
                </c:pt>
              </c:numCache>
            </c:numRef>
          </c:val>
        </c:ser>
        <c:ser>
          <c:idx val="5"/>
          <c:order val="5"/>
          <c:tx>
            <c:strRef>
              <c:f>SetupForRPM!$A$15</c:f>
              <c:strCache>
                <c:ptCount val="1"/>
                <c:pt idx="0">
                  <c:v>Demand Response Price Bin 3 - RPM</c:v>
                </c:pt>
              </c:strCache>
            </c:strRef>
          </c:tx>
          <c:marker>
            <c:symbol val="none"/>
          </c:marker>
          <c:val>
            <c:numRef>
              <c:f>SetupForRPM!$B$15:$N$15</c:f>
              <c:numCache>
                <c:formatCode>0</c:formatCode>
                <c:ptCount val="13"/>
                <c:pt idx="0">
                  <c:v>177.60030874123413</c:v>
                </c:pt>
                <c:pt idx="1">
                  <c:v>355.20061748246826</c:v>
                </c:pt>
                <c:pt idx="2">
                  <c:v>532.80092622370239</c:v>
                </c:pt>
                <c:pt idx="3">
                  <c:v>710.40123496493652</c:v>
                </c:pt>
                <c:pt idx="4">
                  <c:v>888.00154370617065</c:v>
                </c:pt>
                <c:pt idx="5">
                  <c:v>1065.6018524474048</c:v>
                </c:pt>
                <c:pt idx="6">
                  <c:v>1243.2021611886389</c:v>
                </c:pt>
                <c:pt idx="7">
                  <c:v>1248.0775708110659</c:v>
                </c:pt>
                <c:pt idx="8">
                  <c:v>1248.0775708110659</c:v>
                </c:pt>
                <c:pt idx="9">
                  <c:v>1248.0775708110659</c:v>
                </c:pt>
                <c:pt idx="10">
                  <c:v>1248.0775708110659</c:v>
                </c:pt>
                <c:pt idx="11">
                  <c:v>1248.0775708110659</c:v>
                </c:pt>
                <c:pt idx="12">
                  <c:v>1248.0775708110659</c:v>
                </c:pt>
              </c:numCache>
            </c:numRef>
          </c:val>
        </c:ser>
        <c:marker val="1"/>
        <c:axId val="136820608"/>
        <c:axId val="136822144"/>
      </c:lineChart>
      <c:catAx>
        <c:axId val="136820608"/>
        <c:scaling>
          <c:orientation val="minMax"/>
        </c:scaling>
        <c:axPos val="b"/>
        <c:tickLblPos val="nextTo"/>
        <c:crossAx val="136822144"/>
        <c:crosses val="autoZero"/>
        <c:auto val="1"/>
        <c:lblAlgn val="ctr"/>
        <c:lblOffset val="100"/>
      </c:catAx>
      <c:valAx>
        <c:axId val="136822144"/>
        <c:scaling>
          <c:orientation val="minMax"/>
        </c:scaling>
        <c:axPos val="l"/>
        <c:majorGridlines/>
        <c:numFmt formatCode="0" sourceLinked="1"/>
        <c:tickLblPos val="nextTo"/>
        <c:crossAx val="136820608"/>
        <c:crosses val="autoZero"/>
        <c:crossBetween val="between"/>
      </c:valAx>
    </c:plotArea>
    <c:legend>
      <c:legendPos val="r"/>
      <c:layout/>
    </c:legend>
    <c:plotVisOnly val="1"/>
    <c:dispBlanksAs val="zero"/>
  </c:chart>
  <c:printSettings>
    <c:headerFooter alignWithMargins="0">
      <c:oddHeader>&amp;A</c:oddHeader>
      <c:oddFooter>Page &amp;P</c:oddFooter>
    </c:headerFooter>
    <c:pageMargins b="1" l="0.75000000000000044" r="0.75000000000000044"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3905818022747277"/>
          <c:y val="3.3797624611991997E-2"/>
          <c:w val="0.73926115485564259"/>
          <c:h val="0.58834358034012857"/>
        </c:manualLayout>
      </c:layout>
      <c:areaChart>
        <c:grouping val="stacked"/>
        <c:ser>
          <c:idx val="1"/>
          <c:order val="0"/>
          <c:tx>
            <c:strRef>
              <c:f>'NW Baseline Energy by Use'!$A$3</c:f>
              <c:strCache>
                <c:ptCount val="1"/>
                <c:pt idx="0">
                  <c:v>Air Conditioning/Space Cooling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Use'!$B$3:$AO$3</c:f>
              <c:numCache>
                <c:formatCode>General</c:formatCode>
                <c:ptCount val="40"/>
                <c:pt idx="0">
                  <c:v>937875.49041188555</c:v>
                </c:pt>
                <c:pt idx="1">
                  <c:v>955572.82178553054</c:v>
                </c:pt>
                <c:pt idx="2">
                  <c:v>973533.61371793365</c:v>
                </c:pt>
                <c:pt idx="3">
                  <c:v>991761.3996921113</c:v>
                </c:pt>
                <c:pt idx="4">
                  <c:v>1010259.7578648989</c:v>
                </c:pt>
                <c:pt idx="5">
                  <c:v>1029032.3116106873</c:v>
                </c:pt>
                <c:pt idx="6">
                  <c:v>1048082.7300716016</c:v>
                </c:pt>
                <c:pt idx="7">
                  <c:v>1067414.7287141997</c:v>
                </c:pt>
                <c:pt idx="8">
                  <c:v>1087032.0698927653</c:v>
                </c:pt>
                <c:pt idx="9">
                  <c:v>1111601.3588165999</c:v>
                </c:pt>
                <c:pt idx="10">
                  <c:v>1141073.5724658968</c:v>
                </c:pt>
                <c:pt idx="11">
                  <c:v>1171254.1076339204</c:v>
                </c:pt>
                <c:pt idx="12">
                  <c:v>1202158.9769360488</c:v>
                </c:pt>
                <c:pt idx="13">
                  <c:v>1233804.6181729212</c:v>
                </c:pt>
                <c:pt idx="14">
                  <c:v>1266207.8288298433</c:v>
                </c:pt>
                <c:pt idx="15">
                  <c:v>1299385.7737480798</c:v>
                </c:pt>
                <c:pt idx="16">
                  <c:v>1333355.9929566716</c:v>
                </c:pt>
                <c:pt idx="17">
                  <c:v>1368136.4096681001</c:v>
                </c:pt>
                <c:pt idx="18">
                  <c:v>1403745.338441164</c:v>
                </c:pt>
                <c:pt idx="19">
                  <c:v>1438023.3522192</c:v>
                </c:pt>
                <c:pt idx="20">
                  <c:v>1473058.2021817716</c:v>
                </c:pt>
                <c:pt idx="21">
                  <c:v>1508865.6651532135</c:v>
                </c:pt>
                <c:pt idx="22">
                  <c:v>1545461.8348171688</c:v>
                </c:pt>
                <c:pt idx="23">
                  <c:v>1582863.0343791696</c:v>
                </c:pt>
                <c:pt idx="24">
                  <c:v>1621086.1954573654</c:v>
                </c:pt>
                <c:pt idx="25">
                  <c:v>1660148.3080037411</c:v>
                </c:pt>
                <c:pt idx="26">
                  <c:v>1700066.7963381871</c:v>
                </c:pt>
                <c:pt idx="27">
                  <c:v>1740859.4338516349</c:v>
                </c:pt>
                <c:pt idx="28">
                  <c:v>1782544.3498237492</c:v>
                </c:pt>
                <c:pt idx="29">
                  <c:v>1825140.0363712949</c:v>
                </c:pt>
                <c:pt idx="30">
                  <c:v>1868665.3555296299</c:v>
                </c:pt>
                <c:pt idx="31">
                  <c:v>1913139.5464698547</c:v>
                </c:pt>
                <c:pt idx="32">
                  <c:v>1958582.2328541661</c:v>
                </c:pt>
                <c:pt idx="33">
                  <c:v>2005013.4303320344</c:v>
                </c:pt>
                <c:pt idx="34">
                  <c:v>2052453.5541798547</c:v>
                </c:pt>
                <c:pt idx="35">
                  <c:v>2100923.4270867826</c:v>
                </c:pt>
                <c:pt idx="36">
                  <c:v>2150444.2870895127</c:v>
                </c:pt>
                <c:pt idx="37">
                  <c:v>2201037.6774516939</c:v>
                </c:pt>
                <c:pt idx="38">
                  <c:v>2252725.9257404893</c:v>
                </c:pt>
                <c:pt idx="39">
                  <c:v>2305531.4489280526</c:v>
                </c:pt>
              </c:numCache>
            </c:numRef>
          </c:val>
        </c:ser>
        <c:ser>
          <c:idx val="2"/>
          <c:order val="1"/>
          <c:tx>
            <c:strRef>
              <c:f>'NW Baseline Energy by Use'!$A$4</c:f>
              <c:strCache>
                <c:ptCount val="1"/>
                <c:pt idx="0">
                  <c:v>Appliances &amp; Plug Loads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Use'!$B$4:$AO$4</c:f>
              <c:numCache>
                <c:formatCode>General</c:formatCode>
                <c:ptCount val="40"/>
                <c:pt idx="0">
                  <c:v>15636182.40596847</c:v>
                </c:pt>
                <c:pt idx="1">
                  <c:v>16187256.877066424</c:v>
                </c:pt>
                <c:pt idx="2">
                  <c:v>16747947.035925832</c:v>
                </c:pt>
                <c:pt idx="3">
                  <c:v>17318391.714470729</c:v>
                </c:pt>
                <c:pt idx="4">
                  <c:v>17898731.576438211</c:v>
                </c:pt>
                <c:pt idx="5">
                  <c:v>18489109.140303921</c:v>
                </c:pt>
                <c:pt idx="6">
                  <c:v>19089668.802484669</c:v>
                </c:pt>
                <c:pt idx="7">
                  <c:v>19700556.860821422</c:v>
                </c:pt>
                <c:pt idx="8">
                  <c:v>20321921.610320095</c:v>
                </c:pt>
                <c:pt idx="9">
                  <c:v>21042177.969075002</c:v>
                </c:pt>
                <c:pt idx="10">
                  <c:v>21863698.072463557</c:v>
                </c:pt>
                <c:pt idx="11">
                  <c:v>22708326.657967053</c:v>
                </c:pt>
                <c:pt idx="12">
                  <c:v>23576635.994592048</c:v>
                </c:pt>
                <c:pt idx="13">
                  <c:v>24469211.587433904</c:v>
                </c:pt>
                <c:pt idx="14">
                  <c:v>25386652.471021134</c:v>
                </c:pt>
                <c:pt idx="15">
                  <c:v>26329571.508973598</c:v>
                </c:pt>
                <c:pt idx="16">
                  <c:v>27298595.700107697</c:v>
                </c:pt>
                <c:pt idx="17">
                  <c:v>28294366.491124362</c:v>
                </c:pt>
                <c:pt idx="18">
                  <c:v>29317540.096018322</c:v>
                </c:pt>
                <c:pt idx="19">
                  <c:v>30322858.477642201</c:v>
                </c:pt>
                <c:pt idx="20">
                  <c:v>31353742.867550876</c:v>
                </c:pt>
                <c:pt idx="21">
                  <c:v>32410769.587977458</c:v>
                </c:pt>
                <c:pt idx="22">
                  <c:v>33494527.127489548</c:v>
                </c:pt>
                <c:pt idx="23">
                  <c:v>34605616.387415186</c:v>
                </c:pt>
                <c:pt idx="24">
                  <c:v>35744650.933119826</c:v>
                </c:pt>
                <c:pt idx="25">
                  <c:v>36912257.250228025</c:v>
                </c:pt>
                <c:pt idx="26">
                  <c:v>38109075.005885087</c:v>
                </c:pt>
                <c:pt idx="27">
                  <c:v>39335757.315155767</c:v>
                </c:pt>
                <c:pt idx="28">
                  <c:v>40592971.012658998</c:v>
                </c:pt>
                <c:pt idx="29">
                  <c:v>41881396.929539502</c:v>
                </c:pt>
                <c:pt idx="30">
                  <c:v>43201730.175879009</c:v>
                </c:pt>
                <c:pt idx="31">
                  <c:v>44554680.428651743</c:v>
                </c:pt>
                <c:pt idx="32">
                  <c:v>45940972.225330949</c:v>
                </c:pt>
                <c:pt idx="33">
                  <c:v>47361345.26325503</c:v>
                </c:pt>
                <c:pt idx="34">
                  <c:v>48816554.704864152</c:v>
                </c:pt>
                <c:pt idx="35">
                  <c:v>50307371.488920152</c:v>
                </c:pt>
                <c:pt idx="36">
                  <c:v>51834582.647824675</c:v>
                </c:pt>
                <c:pt idx="37">
                  <c:v>53398991.631152764</c:v>
                </c:pt>
                <c:pt idx="38">
                  <c:v>55001418.635521315</c:v>
                </c:pt>
                <c:pt idx="39">
                  <c:v>56642700.940914012</c:v>
                </c:pt>
              </c:numCache>
            </c:numRef>
          </c:val>
        </c:ser>
        <c:ser>
          <c:idx val="3"/>
          <c:order val="2"/>
          <c:tx>
            <c:strRef>
              <c:f>'NW Baseline Energy by Use'!$A$5</c:f>
              <c:strCache>
                <c:ptCount val="1"/>
                <c:pt idx="0">
                  <c:v>Lighting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Use'!$B$5:$AO$5</c:f>
              <c:numCache>
                <c:formatCode>General</c:formatCode>
                <c:ptCount val="40"/>
                <c:pt idx="0">
                  <c:v>8997915.9486697055</c:v>
                </c:pt>
                <c:pt idx="1">
                  <c:v>8972143.1820987333</c:v>
                </c:pt>
                <c:pt idx="2">
                  <c:v>8944908.3407089785</c:v>
                </c:pt>
                <c:pt idx="3">
                  <c:v>8916184.3462800235</c:v>
                </c:pt>
                <c:pt idx="4">
                  <c:v>8885943.514356086</c:v>
                </c:pt>
                <c:pt idx="5">
                  <c:v>8854158.0270824451</c:v>
                </c:pt>
                <c:pt idx="6">
                  <c:v>8820799.3776441142</c:v>
                </c:pt>
                <c:pt idx="7">
                  <c:v>8785838.9204938877</c:v>
                </c:pt>
                <c:pt idx="8">
                  <c:v>8749247.3043724578</c:v>
                </c:pt>
                <c:pt idx="9">
                  <c:v>8747688.6578940004</c:v>
                </c:pt>
                <c:pt idx="10">
                  <c:v>8778258.0420600139</c:v>
                </c:pt>
                <c:pt idx="11">
                  <c:v>8806990.5873457678</c:v>
                </c:pt>
                <c:pt idx="12">
                  <c:v>8833808.4224140458</c:v>
                </c:pt>
                <c:pt idx="13">
                  <c:v>8858631.1993051562</c:v>
                </c:pt>
                <c:pt idx="14">
                  <c:v>8881376.5756197348</c:v>
                </c:pt>
                <c:pt idx="15">
                  <c:v>8901959.5341812987</c:v>
                </c:pt>
                <c:pt idx="16">
                  <c:v>8920292.9582933877</c:v>
                </c:pt>
                <c:pt idx="17">
                  <c:v>8936286.9255638942</c:v>
                </c:pt>
                <c:pt idx="18">
                  <c:v>8949849.3039461561</c:v>
                </c:pt>
                <c:pt idx="19">
                  <c:v>8947332.6972184796</c:v>
                </c:pt>
                <c:pt idx="20">
                  <c:v>8942187.0993888509</c:v>
                </c:pt>
                <c:pt idx="21">
                  <c:v>8934324.3944726512</c:v>
                </c:pt>
                <c:pt idx="22">
                  <c:v>8923654.5123737808</c:v>
                </c:pt>
                <c:pt idx="23">
                  <c:v>8910085.1212321799</c:v>
                </c:pt>
                <c:pt idx="24">
                  <c:v>8893521.2914947793</c:v>
                </c:pt>
                <c:pt idx="25">
                  <c:v>8873866.0972392969</c:v>
                </c:pt>
                <c:pt idx="26">
                  <c:v>8851019.8084580041</c:v>
                </c:pt>
                <c:pt idx="27">
                  <c:v>8824880.604376398</c:v>
                </c:pt>
                <c:pt idx="28">
                  <c:v>8795343.7378234304</c:v>
                </c:pt>
                <c:pt idx="29">
                  <c:v>8762302.2723522056</c:v>
                </c:pt>
                <c:pt idx="30">
                  <c:v>8725646.2177322861</c:v>
                </c:pt>
                <c:pt idx="31">
                  <c:v>8685263.1847422644</c:v>
                </c:pt>
                <c:pt idx="32">
                  <c:v>8641038.0254067555</c:v>
                </c:pt>
                <c:pt idx="33">
                  <c:v>8592852.4403287247</c:v>
                </c:pt>
                <c:pt idx="34">
                  <c:v>8540585.6754391436</c:v>
                </c:pt>
                <c:pt idx="35">
                  <c:v>8484113.5808537975</c:v>
                </c:pt>
                <c:pt idx="36">
                  <c:v>8423309.4377291463</c:v>
                </c:pt>
                <c:pt idx="37">
                  <c:v>8358042.9845958045</c:v>
                </c:pt>
                <c:pt idx="38">
                  <c:v>8288181.2718034824</c:v>
                </c:pt>
                <c:pt idx="39">
                  <c:v>8213587.6542075127</c:v>
                </c:pt>
              </c:numCache>
            </c:numRef>
          </c:val>
        </c:ser>
        <c:ser>
          <c:idx val="4"/>
          <c:order val="3"/>
          <c:tx>
            <c:strRef>
              <c:f>'NW Baseline Energy by Use'!$A$6</c:f>
              <c:strCache>
                <c:ptCount val="1"/>
                <c:pt idx="0">
                  <c:v>Refrigeration, Motors &amp; Process Equipment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Use'!$B$6:$AO$6</c:f>
              <c:numCache>
                <c:formatCode>General</c:formatCode>
                <c:ptCount val="40"/>
                <c:pt idx="0">
                  <c:v>2292935.7753031412</c:v>
                </c:pt>
                <c:pt idx="1">
                  <c:v>2283432.8895530147</c:v>
                </c:pt>
                <c:pt idx="2">
                  <c:v>2273497.5411116728</c:v>
                </c:pt>
                <c:pt idx="3">
                  <c:v>2263121.895943203</c:v>
                </c:pt>
                <c:pt idx="4">
                  <c:v>2252298.0051859096</c:v>
                </c:pt>
                <c:pt idx="5">
                  <c:v>2241017.7338091116</c:v>
                </c:pt>
                <c:pt idx="6">
                  <c:v>2229273.0376173593</c:v>
                </c:pt>
                <c:pt idx="7">
                  <c:v>2217055.5449190093</c:v>
                </c:pt>
                <c:pt idx="8">
                  <c:v>2204356.8320814311</c:v>
                </c:pt>
                <c:pt idx="9">
                  <c:v>2200398.286659</c:v>
                </c:pt>
                <c:pt idx="10">
                  <c:v>2204403.130482608</c:v>
                </c:pt>
                <c:pt idx="11">
                  <c:v>2207810.336821436</c:v>
                </c:pt>
                <c:pt idx="12">
                  <c:v>2210596.5558364294</c:v>
                </c:pt>
                <c:pt idx="13">
                  <c:v>2212737.7807340464</c:v>
                </c:pt>
                <c:pt idx="14">
                  <c:v>2214209.2515113577</c:v>
                </c:pt>
                <c:pt idx="15">
                  <c:v>2214985.756773001</c:v>
                </c:pt>
                <c:pt idx="16">
                  <c:v>2215041.1411834443</c:v>
                </c:pt>
                <c:pt idx="17">
                  <c:v>2214348.6036161734</c:v>
                </c:pt>
                <c:pt idx="18">
                  <c:v>2212880.6007877556</c:v>
                </c:pt>
                <c:pt idx="19">
                  <c:v>2207265.5340712802</c:v>
                </c:pt>
                <c:pt idx="20">
                  <c:v>2200832.0557185239</c:v>
                </c:pt>
                <c:pt idx="21">
                  <c:v>2193554.1643676208</c:v>
                </c:pt>
                <c:pt idx="22">
                  <c:v>2185405.2145210509</c:v>
                </c:pt>
                <c:pt idx="23">
                  <c:v>2176357.8086790894</c:v>
                </c:pt>
                <c:pt idx="24">
                  <c:v>2166384.1552823242</c:v>
                </c:pt>
                <c:pt idx="25">
                  <c:v>2155455.4972573007</c:v>
                </c:pt>
                <c:pt idx="26">
                  <c:v>2143542.4662391855</c:v>
                </c:pt>
                <c:pt idx="27">
                  <c:v>2130614.9750190563</c:v>
                </c:pt>
                <c:pt idx="28">
                  <c:v>2116642.2016525078</c:v>
                </c:pt>
                <c:pt idx="29">
                  <c:v>2101592.573236749</c:v>
                </c:pt>
                <c:pt idx="30">
                  <c:v>2085433.7493495082</c:v>
                </c:pt>
                <c:pt idx="31">
                  <c:v>2068132.6051429594</c:v>
                </c:pt>
                <c:pt idx="32">
                  <c:v>2049655.105358904</c:v>
                </c:pt>
                <c:pt idx="33">
                  <c:v>2029966.719786057</c:v>
                </c:pt>
                <c:pt idx="34">
                  <c:v>2009031.7583844867</c:v>
                </c:pt>
                <c:pt idx="35">
                  <c:v>1986813.7823981729</c:v>
                </c:pt>
                <c:pt idx="36">
                  <c:v>1963275.4786933656</c:v>
                </c:pt>
                <c:pt idx="37">
                  <c:v>1938378.6406323977</c:v>
                </c:pt>
                <c:pt idx="38">
                  <c:v>1912084.1485511099</c:v>
                </c:pt>
                <c:pt idx="39">
                  <c:v>1884351.9498319568</c:v>
                </c:pt>
              </c:numCache>
            </c:numRef>
          </c:val>
        </c:ser>
        <c:ser>
          <c:idx val="5"/>
          <c:order val="4"/>
          <c:tx>
            <c:strRef>
              <c:f>'NW Baseline Energy by Use'!$A$7</c:f>
              <c:strCache>
                <c:ptCount val="1"/>
                <c:pt idx="0">
                  <c:v>Space Heating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Use'!$B$7:$AO$7</c:f>
              <c:numCache>
                <c:formatCode>General</c:formatCode>
                <c:ptCount val="40"/>
                <c:pt idx="0">
                  <c:v>20834767.919033233</c:v>
                </c:pt>
                <c:pt idx="1">
                  <c:v>20860087.636503767</c:v>
                </c:pt>
                <c:pt idx="2">
                  <c:v>20883755.960686795</c:v>
                </c:pt>
                <c:pt idx="3">
                  <c:v>20905736.566179626</c:v>
                </c:pt>
                <c:pt idx="4">
                  <c:v>20925992.558324579</c:v>
                </c:pt>
                <c:pt idx="5">
                  <c:v>20944486.395559467</c:v>
                </c:pt>
                <c:pt idx="6">
                  <c:v>20961180.160034087</c:v>
                </c:pt>
                <c:pt idx="7">
                  <c:v>20976035.132808696</c:v>
                </c:pt>
                <c:pt idx="8">
                  <c:v>20989012.062855728</c:v>
                </c:pt>
                <c:pt idx="9">
                  <c:v>21088530.338695202</c:v>
                </c:pt>
                <c:pt idx="10">
                  <c:v>21268922.436036147</c:v>
                </c:pt>
                <c:pt idx="11">
                  <c:v>21448812.95145053</c:v>
                </c:pt>
                <c:pt idx="12">
                  <c:v>21628122.348054405</c:v>
                </c:pt>
                <c:pt idx="13">
                  <c:v>21806768.253189009</c:v>
                </c:pt>
                <c:pt idx="14">
                  <c:v>21984665.696590912</c:v>
                </c:pt>
                <c:pt idx="15">
                  <c:v>22161726.567118339</c:v>
                </c:pt>
                <c:pt idx="16">
                  <c:v>22337859.844423059</c:v>
                </c:pt>
                <c:pt idx="17">
                  <c:v>22512971.357255779</c:v>
                </c:pt>
                <c:pt idx="18">
                  <c:v>22686964.037805405</c:v>
                </c:pt>
                <c:pt idx="19">
                  <c:v>22825164.577309202</c:v>
                </c:pt>
                <c:pt idx="20">
                  <c:v>22961576.029530216</c:v>
                </c:pt>
                <c:pt idx="21">
                  <c:v>23096098.777869564</c:v>
                </c:pt>
                <c:pt idx="22">
                  <c:v>23228630.263172388</c:v>
                </c:pt>
                <c:pt idx="23">
                  <c:v>23359065.282316949</c:v>
                </c:pt>
                <c:pt idx="24">
                  <c:v>23487295.371641908</c:v>
                </c:pt>
                <c:pt idx="25">
                  <c:v>23613209.09950266</c:v>
                </c:pt>
                <c:pt idx="26">
                  <c:v>23736691.805135779</c:v>
                </c:pt>
                <c:pt idx="27">
                  <c:v>23857625.91650049</c:v>
                </c:pt>
                <c:pt idx="28">
                  <c:v>23975890.289635986</c:v>
                </c:pt>
                <c:pt idx="29">
                  <c:v>24091360.520005364</c:v>
                </c:pt>
                <c:pt idx="30">
                  <c:v>24203908.661826067</c:v>
                </c:pt>
                <c:pt idx="31">
                  <c:v>24313403.566398554</c:v>
                </c:pt>
                <c:pt idx="32">
                  <c:v>24419710.174247112</c:v>
                </c:pt>
                <c:pt idx="33">
                  <c:v>24522689.846450567</c:v>
                </c:pt>
                <c:pt idx="34">
                  <c:v>24622200.062985964</c:v>
                </c:pt>
                <c:pt idx="35">
                  <c:v>24718094.782857876</c:v>
                </c:pt>
                <c:pt idx="36">
                  <c:v>24810223.685651563</c:v>
                </c:pt>
                <c:pt idx="37">
                  <c:v>24898432.524125922</c:v>
                </c:pt>
                <c:pt idx="38">
                  <c:v>24982562.920210019</c:v>
                </c:pt>
                <c:pt idx="39">
                  <c:v>25062452.147329602</c:v>
                </c:pt>
              </c:numCache>
            </c:numRef>
          </c:val>
        </c:ser>
        <c:ser>
          <c:idx val="6"/>
          <c:order val="5"/>
          <c:tx>
            <c:strRef>
              <c:f>'NW Baseline Energy by Use'!$A$8</c:f>
              <c:strCache>
                <c:ptCount val="1"/>
                <c:pt idx="0">
                  <c:v>Water Heating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Use'!$B$8:$AO$8</c:f>
              <c:numCache>
                <c:formatCode>General</c:formatCode>
                <c:ptCount val="40"/>
                <c:pt idx="0">
                  <c:v>17117355.046416089</c:v>
                </c:pt>
                <c:pt idx="1">
                  <c:v>17235290.288918871</c:v>
                </c:pt>
                <c:pt idx="2">
                  <c:v>17353850.440147415</c:v>
                </c:pt>
                <c:pt idx="3">
                  <c:v>17473035.977434885</c:v>
                </c:pt>
                <c:pt idx="4">
                  <c:v>17592847.322828114</c:v>
                </c:pt>
                <c:pt idx="5">
                  <c:v>17713284.841910087</c:v>
                </c:pt>
                <c:pt idx="6">
                  <c:v>17834348.842604011</c:v>
                </c:pt>
                <c:pt idx="7">
                  <c:v>17956039.573959008</c:v>
                </c:pt>
                <c:pt idx="8">
                  <c:v>18078357.224916887</c:v>
                </c:pt>
                <c:pt idx="9">
                  <c:v>18277971.820391402</c:v>
                </c:pt>
                <c:pt idx="10">
                  <c:v>18551436.620124884</c:v>
                </c:pt>
                <c:pt idx="11">
                  <c:v>18828776.65011159</c:v>
                </c:pt>
                <c:pt idx="12">
                  <c:v>19110041.933032196</c:v>
                </c:pt>
                <c:pt idx="13">
                  <c:v>19395283.020375531</c:v>
                </c:pt>
                <c:pt idx="14">
                  <c:v>19684550.994962543</c:v>
                </c:pt>
                <c:pt idx="15">
                  <c:v>19977897.473384075</c:v>
                </c:pt>
                <c:pt idx="16">
                  <c:v>20275374.608348414</c:v>
                </c:pt>
                <c:pt idx="17">
                  <c:v>20577035.090934601</c:v>
                </c:pt>
                <c:pt idx="18">
                  <c:v>20882932.152747035</c:v>
                </c:pt>
                <c:pt idx="19">
                  <c:v>21161067.29256456</c:v>
                </c:pt>
                <c:pt idx="20">
                  <c:v>21442644.997068066</c:v>
                </c:pt>
                <c:pt idx="21">
                  <c:v>21727702.196860213</c:v>
                </c:pt>
                <c:pt idx="22">
                  <c:v>22016276.178203493</c:v>
                </c:pt>
                <c:pt idx="23">
                  <c:v>22308404.495553803</c:v>
                </c:pt>
                <c:pt idx="24">
                  <c:v>22604124.970004596</c:v>
                </c:pt>
                <c:pt idx="25">
                  <c:v>22903475.687602367</c:v>
                </c:pt>
                <c:pt idx="26">
                  <c:v>23206494.997529514</c:v>
                </c:pt>
                <c:pt idx="27">
                  <c:v>23513221.51015063</c:v>
                </c:pt>
                <c:pt idx="28">
                  <c:v>23823694.094918061</c:v>
                </c:pt>
                <c:pt idx="29">
                  <c:v>24137951.77472499</c:v>
                </c:pt>
                <c:pt idx="30">
                  <c:v>24456034.135404125</c:v>
                </c:pt>
                <c:pt idx="31">
                  <c:v>24777980.707940824</c:v>
                </c:pt>
                <c:pt idx="32">
                  <c:v>25103831.374231488</c:v>
                </c:pt>
                <c:pt idx="33">
                  <c:v>25433626.262527782</c:v>
                </c:pt>
                <c:pt idx="34">
                  <c:v>25767405.744406503</c:v>
                </c:pt>
                <c:pt idx="35">
                  <c:v>26105210.431567308</c:v>
                </c:pt>
                <c:pt idx="36">
                  <c:v>26447081.172453213</c:v>
                </c:pt>
                <c:pt idx="37">
                  <c:v>26793059.048688937</c:v>
                </c:pt>
                <c:pt idx="38">
                  <c:v>27143185.371331774</c:v>
                </c:pt>
                <c:pt idx="39">
                  <c:v>27497501.676929846</c:v>
                </c:pt>
              </c:numCache>
            </c:numRef>
          </c:val>
        </c:ser>
        <c:ser>
          <c:idx val="7"/>
          <c:order val="6"/>
          <c:tx>
            <c:strRef>
              <c:f>'NW Baseline Energy by Use'!$A$9</c:f>
              <c:strCache>
                <c:ptCount val="1"/>
                <c:pt idx="0">
                  <c:v>Other - Residential</c:v>
                </c:pt>
              </c:strCache>
            </c:strRef>
          </c:tx>
          <c:cat>
            <c:numRef>
              <c:f>'NW Baseline Energy by Use'!$B$2:$AO$2</c:f>
              <c:numCache>
                <c:formatCode>General</c:formatCode>
                <c:ptCount val="4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pt idx="20">
                  <c:v>2031</c:v>
                </c:pt>
                <c:pt idx="21">
                  <c:v>2032</c:v>
                </c:pt>
                <c:pt idx="22">
                  <c:v>2033</c:v>
                </c:pt>
                <c:pt idx="23">
                  <c:v>2034</c:v>
                </c:pt>
                <c:pt idx="24">
                  <c:v>2035</c:v>
                </c:pt>
                <c:pt idx="25">
                  <c:v>2036</c:v>
                </c:pt>
                <c:pt idx="26">
                  <c:v>2037</c:v>
                </c:pt>
                <c:pt idx="27">
                  <c:v>2038</c:v>
                </c:pt>
                <c:pt idx="28">
                  <c:v>2039</c:v>
                </c:pt>
                <c:pt idx="29">
                  <c:v>2040</c:v>
                </c:pt>
                <c:pt idx="30">
                  <c:v>2041</c:v>
                </c:pt>
                <c:pt idx="31">
                  <c:v>2042</c:v>
                </c:pt>
                <c:pt idx="32">
                  <c:v>2043</c:v>
                </c:pt>
                <c:pt idx="33">
                  <c:v>2044</c:v>
                </c:pt>
                <c:pt idx="34">
                  <c:v>2045</c:v>
                </c:pt>
                <c:pt idx="35">
                  <c:v>2046</c:v>
                </c:pt>
                <c:pt idx="36">
                  <c:v>2047</c:v>
                </c:pt>
                <c:pt idx="37">
                  <c:v>2048</c:v>
                </c:pt>
                <c:pt idx="38">
                  <c:v>2049</c:v>
                </c:pt>
                <c:pt idx="39">
                  <c:v>2050</c:v>
                </c:pt>
              </c:numCache>
            </c:numRef>
          </c:cat>
          <c:val>
            <c:numRef>
              <c:f>'NW Baseline Energy by Use'!$B$9:$AO$9</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axId val="112809472"/>
        <c:axId val="112811008"/>
      </c:areaChart>
      <c:catAx>
        <c:axId val="112809472"/>
        <c:scaling>
          <c:orientation val="minMax"/>
        </c:scaling>
        <c:axPos val="b"/>
        <c:numFmt formatCode="General" sourceLinked="1"/>
        <c:tickLblPos val="nextTo"/>
        <c:crossAx val="112811008"/>
        <c:crosses val="autoZero"/>
        <c:auto val="1"/>
        <c:lblAlgn val="ctr"/>
        <c:lblOffset val="100"/>
      </c:catAx>
      <c:valAx>
        <c:axId val="112811008"/>
        <c:scaling>
          <c:orientation val="minMax"/>
          <c:max val="140000000"/>
          <c:min val="0"/>
        </c:scaling>
        <c:axPos val="l"/>
        <c:majorGridlines/>
        <c:title>
          <c:tx>
            <c:rich>
              <a:bodyPr rot="-5400000" vert="horz"/>
              <a:lstStyle/>
              <a:p>
                <a:pPr>
                  <a:defRPr/>
                </a:pPr>
                <a:r>
                  <a:rPr lang="en-US"/>
                  <a:t>Total Consumption (MWh/yr)</a:t>
                </a:r>
              </a:p>
            </c:rich>
          </c:tx>
        </c:title>
        <c:numFmt formatCode="#,##0.00" sourceLinked="0"/>
        <c:tickLblPos val="nextTo"/>
        <c:crossAx val="112809472"/>
        <c:crosses val="autoZero"/>
        <c:crossBetween val="midCat"/>
      </c:valAx>
    </c:plotArea>
    <c:legend>
      <c:legendPos val="r"/>
      <c:layout>
        <c:manualLayout>
          <c:xMode val="edge"/>
          <c:yMode val="edge"/>
          <c:x val="1.1652668416447983E-2"/>
          <c:y val="0.71370390345042789"/>
          <c:w val="0.97168066491688565"/>
          <c:h val="0.27712029147041684"/>
        </c:manualLayout>
      </c:layout>
    </c:legend>
    <c:plotVisOnly val="1"/>
    <c:dispBlanksAs val="zero"/>
  </c:chart>
  <c:printSettings>
    <c:headerFooter/>
    <c:pageMargins b="0.75000000000000278" l="0.70000000000000062" r="0.70000000000000062" t="0.75000000000000278"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tabColor theme="9" tint="-0.249977111117893"/>
  </sheetPr>
  <sheetViews>
    <sheetView zoomScale="13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9" tint="-0.249977111117893"/>
  </sheetPr>
  <sheetViews>
    <sheetView zoomScale="13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76199</xdr:colOff>
      <xdr:row>105</xdr:row>
      <xdr:rowOff>9524</xdr:rowOff>
    </xdr:from>
    <xdr:to>
      <xdr:col>8</xdr:col>
      <xdr:colOff>57149</xdr:colOff>
      <xdr:row>133</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58</xdr:row>
      <xdr:rowOff>9525</xdr:rowOff>
    </xdr:from>
    <xdr:to>
      <xdr:col>3</xdr:col>
      <xdr:colOff>1581150</xdr:colOff>
      <xdr:row>72</xdr:row>
      <xdr:rowOff>85725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57</xdr:row>
      <xdr:rowOff>180975</xdr:rowOff>
    </xdr:from>
    <xdr:to>
      <xdr:col>6</xdr:col>
      <xdr:colOff>533400</xdr:colOff>
      <xdr:row>72</xdr:row>
      <xdr:rowOff>66675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1047750</xdr:colOff>
      <xdr:row>58</xdr:row>
      <xdr:rowOff>19050</xdr:rowOff>
    </xdr:from>
    <xdr:to>
      <xdr:col>8</xdr:col>
      <xdr:colOff>1828800</xdr:colOff>
      <xdr:row>72</xdr:row>
      <xdr:rowOff>95250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6</xdr:col>
      <xdr:colOff>47625</xdr:colOff>
      <xdr:row>35</xdr:row>
      <xdr:rowOff>9525</xdr:rowOff>
    </xdr:from>
    <xdr:to>
      <xdr:col>13</xdr:col>
      <xdr:colOff>533400</xdr:colOff>
      <xdr:row>47</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295275</xdr:colOff>
      <xdr:row>0</xdr:row>
      <xdr:rowOff>228600</xdr:rowOff>
    </xdr:from>
    <xdr:to>
      <xdr:col>26</xdr:col>
      <xdr:colOff>161925</xdr:colOff>
      <xdr:row>22</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24</xdr:row>
      <xdr:rowOff>180975</xdr:rowOff>
    </xdr:from>
    <xdr:to>
      <xdr:col>2</xdr:col>
      <xdr:colOff>581025</xdr:colOff>
      <xdr:row>46</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24</xdr:row>
      <xdr:rowOff>180975</xdr:rowOff>
    </xdr:from>
    <xdr:to>
      <xdr:col>10</xdr:col>
      <xdr:colOff>314325</xdr:colOff>
      <xdr:row>46</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25</xdr:row>
      <xdr:rowOff>0</xdr:rowOff>
    </xdr:from>
    <xdr:to>
      <xdr:col>18</xdr:col>
      <xdr:colOff>47625</xdr:colOff>
      <xdr:row>46</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outlinePr summaryRight="0"/>
  </sheetPr>
  <dimension ref="A1:AR32"/>
  <sheetViews>
    <sheetView zoomScale="70" zoomScaleNormal="70" workbookViewId="0">
      <pane xSplit="3" ySplit="2" topLeftCell="AA7" activePane="bottomRight" state="frozen"/>
      <selection pane="topRight" activeCell="D1" sqref="D1"/>
      <selection pane="bottomLeft" activeCell="A2" sqref="A2"/>
      <selection pane="bottomRight" activeCell="C14" sqref="C14"/>
    </sheetView>
  </sheetViews>
  <sheetFormatPr defaultRowHeight="15" outlineLevelCol="1"/>
  <cols>
    <col min="2" max="2" width="25.42578125" customWidth="1"/>
    <col min="3" max="3" width="39.140625" customWidth="1"/>
    <col min="4" max="4" width="32.42578125" style="40" customWidth="1" outlineLevel="1"/>
    <col min="5" max="5" width="32.42578125" style="40" customWidth="1"/>
    <col min="6" max="6" width="32.42578125" style="40" customWidth="1" outlineLevel="1"/>
    <col min="7" max="7" width="20.42578125" style="6" customWidth="1"/>
    <col min="8" max="8" width="20.42578125" style="6" customWidth="1" outlineLevel="1"/>
    <col min="9" max="9" width="38.140625" style="6" customWidth="1"/>
    <col min="10" max="10" width="27.140625" style="6" customWidth="1" outlineLevel="1"/>
    <col min="11" max="11" width="20" customWidth="1"/>
    <col min="12" max="12" width="20" customWidth="1" outlineLevel="1"/>
    <col min="13" max="13" width="22.7109375" style="6" customWidth="1"/>
    <col min="14" max="14" width="22.7109375" style="6" customWidth="1" outlineLevel="1"/>
    <col min="15" max="15" width="14.28515625" style="6" customWidth="1"/>
    <col min="16" max="16" width="14.28515625" style="6" customWidth="1" outlineLevel="1"/>
    <col min="17" max="17" width="28.42578125" style="6" bestFit="1" customWidth="1"/>
    <col min="18" max="18" width="28.42578125" style="6" customWidth="1" outlineLevel="1"/>
    <col min="19" max="19" width="37" customWidth="1"/>
    <col min="20" max="20" width="22.5703125" customWidth="1" outlineLevel="1"/>
    <col min="21" max="21" width="14.5703125" style="7" customWidth="1"/>
    <col min="22" max="22" width="14" style="7" customWidth="1" outlineLevel="1"/>
    <col min="23" max="23" width="50.85546875" customWidth="1"/>
    <col min="24" max="24" width="18.5703125" customWidth="1" outlineLevel="1"/>
    <col min="25" max="25" width="18.5703125" style="7" customWidth="1"/>
    <col min="26" max="26" width="18.5703125" customWidth="1" outlineLevel="1"/>
    <col min="27" max="27" width="22.5703125" bestFit="1" customWidth="1"/>
    <col min="28" max="28" width="22.5703125" customWidth="1" outlineLevel="1"/>
    <col min="29" max="29" width="9.5703125" style="6" customWidth="1"/>
    <col min="30" max="30" width="9.5703125" style="6" customWidth="1" outlineLevel="1"/>
    <col min="31" max="31" width="20.28515625" customWidth="1"/>
    <col min="32" max="32" width="20.28515625" customWidth="1" outlineLevel="1"/>
    <col min="33" max="33" width="20.28515625" style="35" customWidth="1"/>
    <col min="34" max="34" width="20.28515625" style="35" customWidth="1" outlineLevel="1"/>
    <col min="35" max="35" width="23.5703125" style="6" customWidth="1"/>
    <col min="36" max="36" width="16.5703125" style="6" customWidth="1" outlineLevel="1"/>
    <col min="37" max="37" width="15.85546875" style="6" bestFit="1" customWidth="1"/>
    <col min="38" max="38" width="15.7109375" customWidth="1" outlineLevel="1"/>
    <col min="39" max="39" width="18.5703125" customWidth="1"/>
    <col min="40" max="40" width="16" customWidth="1" outlineLevel="1"/>
    <col min="41" max="41" width="23" style="40" customWidth="1"/>
    <col min="42" max="42" width="16" style="40" customWidth="1" outlineLevel="1"/>
    <col min="43" max="43" width="19.7109375" customWidth="1"/>
    <col min="44" max="44" width="9.140625" outlineLevel="1"/>
  </cols>
  <sheetData>
    <row r="1" spans="1:43" s="40" customFormat="1">
      <c r="G1" s="6"/>
      <c r="H1" s="6"/>
      <c r="I1" s="6"/>
      <c r="J1" s="6"/>
      <c r="M1" s="6"/>
      <c r="N1" s="6"/>
      <c r="O1" s="6"/>
      <c r="P1" s="6"/>
      <c r="Q1" s="6"/>
      <c r="R1" s="6"/>
      <c r="U1" s="7"/>
      <c r="V1" s="7"/>
      <c r="Y1" s="7"/>
      <c r="AC1" s="6"/>
      <c r="AD1" s="6"/>
      <c r="AI1" s="6"/>
      <c r="AJ1" s="6"/>
      <c r="AK1" s="6"/>
    </row>
    <row r="2" spans="1:43" s="5" customFormat="1" ht="63.75" customHeight="1">
      <c r="A2" s="41" t="s">
        <v>10</v>
      </c>
      <c r="B2" s="41" t="s">
        <v>11</v>
      </c>
      <c r="C2" s="399" t="s">
        <v>12</v>
      </c>
      <c r="D2" s="400"/>
      <c r="E2" s="399" t="s">
        <v>167</v>
      </c>
      <c r="F2" s="400"/>
      <c r="G2" s="403" t="s">
        <v>13</v>
      </c>
      <c r="H2" s="403"/>
      <c r="I2" s="401" t="s">
        <v>170</v>
      </c>
      <c r="J2" s="402"/>
      <c r="K2" s="394" t="s">
        <v>14</v>
      </c>
      <c r="L2" s="394"/>
      <c r="M2" s="419" t="s">
        <v>38</v>
      </c>
      <c r="N2" s="419"/>
      <c r="O2" s="419" t="s">
        <v>31</v>
      </c>
      <c r="P2" s="419"/>
      <c r="Q2" s="403" t="s">
        <v>39</v>
      </c>
      <c r="R2" s="403"/>
      <c r="S2" s="394" t="s">
        <v>35</v>
      </c>
      <c r="T2" s="394"/>
      <c r="U2" s="395" t="s">
        <v>15</v>
      </c>
      <c r="V2" s="395"/>
      <c r="W2" s="394" t="s">
        <v>51</v>
      </c>
      <c r="X2" s="394"/>
      <c r="Y2" s="394" t="s">
        <v>34</v>
      </c>
      <c r="Z2" s="394"/>
      <c r="AA2" s="394" t="s">
        <v>100</v>
      </c>
      <c r="AB2" s="394"/>
      <c r="AC2" s="403" t="s">
        <v>16</v>
      </c>
      <c r="AD2" s="403"/>
      <c r="AE2" s="394" t="s">
        <v>36</v>
      </c>
      <c r="AF2" s="394"/>
      <c r="AG2" s="399" t="s">
        <v>91</v>
      </c>
      <c r="AH2" s="400"/>
      <c r="AI2" s="403" t="s">
        <v>17</v>
      </c>
      <c r="AJ2" s="403"/>
      <c r="AK2" s="403" t="s">
        <v>18</v>
      </c>
      <c r="AL2" s="401"/>
      <c r="AM2" s="41" t="s">
        <v>111</v>
      </c>
      <c r="AN2" s="41"/>
      <c r="AO2" s="41" t="s">
        <v>172</v>
      </c>
      <c r="AP2" s="41"/>
      <c r="AQ2" s="41" t="s">
        <v>136</v>
      </c>
    </row>
    <row r="3" spans="1:43" s="28" customFormat="1" ht="102" customHeight="1">
      <c r="A3" s="396" t="s">
        <v>82</v>
      </c>
      <c r="B3" s="396" t="s">
        <v>81</v>
      </c>
      <c r="C3" s="23" t="s">
        <v>84</v>
      </c>
      <c r="D3" s="23"/>
      <c r="E3" s="23"/>
      <c r="F3" s="23"/>
      <c r="G3" s="29" t="s">
        <v>9</v>
      </c>
      <c r="H3" s="24"/>
      <c r="I3" s="29" t="s">
        <v>9</v>
      </c>
      <c r="J3" s="29" t="s">
        <v>9</v>
      </c>
      <c r="K3" s="25" t="s">
        <v>9</v>
      </c>
      <c r="L3" s="25"/>
      <c r="M3" s="29" t="s">
        <v>9</v>
      </c>
      <c r="N3" s="24"/>
      <c r="O3" s="29" t="s">
        <v>9</v>
      </c>
      <c r="P3" s="24"/>
      <c r="Q3" s="30" t="s">
        <v>9</v>
      </c>
      <c r="R3" s="26"/>
      <c r="S3" s="1" t="s">
        <v>104</v>
      </c>
      <c r="T3" s="1" t="s">
        <v>90</v>
      </c>
      <c r="U3" s="38" t="s">
        <v>9</v>
      </c>
      <c r="V3" s="27"/>
      <c r="W3" s="1" t="s">
        <v>103</v>
      </c>
      <c r="X3" s="34" t="s">
        <v>89</v>
      </c>
      <c r="Y3" s="36" t="s">
        <v>9</v>
      </c>
      <c r="Z3" s="36"/>
      <c r="AA3" s="36" t="s">
        <v>9</v>
      </c>
      <c r="AB3" s="36"/>
      <c r="AC3" s="37" t="s">
        <v>9</v>
      </c>
      <c r="AD3" s="26"/>
      <c r="AE3" s="1" t="s">
        <v>9</v>
      </c>
      <c r="AF3" s="1"/>
      <c r="AG3" s="1" t="s">
        <v>9</v>
      </c>
      <c r="AH3" s="1" t="s">
        <v>92</v>
      </c>
      <c r="AI3" s="30" t="s">
        <v>102</v>
      </c>
      <c r="AJ3" s="32" t="s">
        <v>88</v>
      </c>
      <c r="AK3" s="33" t="s">
        <v>9</v>
      </c>
      <c r="AL3" s="31"/>
      <c r="AM3" s="42"/>
      <c r="AN3" s="42"/>
      <c r="AO3" s="42"/>
      <c r="AP3" s="42"/>
      <c r="AQ3" s="42"/>
    </row>
    <row r="4" spans="1:43" s="28" customFormat="1" ht="138" customHeight="1">
      <c r="A4" s="397"/>
      <c r="B4" s="397"/>
      <c r="C4" s="23" t="s">
        <v>85</v>
      </c>
      <c r="D4" s="23"/>
      <c r="E4" s="23"/>
      <c r="F4" s="23"/>
      <c r="G4" s="29" t="s">
        <v>9</v>
      </c>
      <c r="H4" s="24"/>
      <c r="I4" s="29" t="s">
        <v>9</v>
      </c>
      <c r="J4" s="29" t="s">
        <v>9</v>
      </c>
      <c r="K4" s="25" t="s">
        <v>9</v>
      </c>
      <c r="L4" s="25"/>
      <c r="M4" s="29" t="s">
        <v>9</v>
      </c>
      <c r="N4" s="24"/>
      <c r="O4" s="29" t="s">
        <v>9</v>
      </c>
      <c r="P4" s="24"/>
      <c r="Q4" s="30" t="s">
        <v>9</v>
      </c>
      <c r="R4" s="26"/>
      <c r="S4" s="1" t="s">
        <v>98</v>
      </c>
      <c r="T4" s="1"/>
      <c r="U4" s="38" t="s">
        <v>9</v>
      </c>
      <c r="V4" s="27"/>
      <c r="W4" s="1" t="s">
        <v>96</v>
      </c>
      <c r="X4" s="1" t="s">
        <v>97</v>
      </c>
      <c r="Y4" s="1" t="s">
        <v>9</v>
      </c>
      <c r="Z4" s="1"/>
      <c r="AA4" s="1" t="s">
        <v>9</v>
      </c>
      <c r="AB4" s="1"/>
      <c r="AC4" s="30" t="s">
        <v>9</v>
      </c>
      <c r="AD4" s="26"/>
      <c r="AE4" s="1" t="s">
        <v>9</v>
      </c>
      <c r="AF4" s="1"/>
      <c r="AG4" s="1" t="s">
        <v>95</v>
      </c>
      <c r="AH4" s="1"/>
      <c r="AI4" s="1" t="s">
        <v>94</v>
      </c>
      <c r="AJ4" s="30" t="s">
        <v>93</v>
      </c>
      <c r="AK4" s="30" t="s">
        <v>9</v>
      </c>
      <c r="AL4" s="32"/>
      <c r="AM4" s="42"/>
      <c r="AN4" s="42"/>
      <c r="AO4" s="42"/>
      <c r="AP4" s="42"/>
      <c r="AQ4" s="42"/>
    </row>
    <row r="5" spans="1:43" s="28" customFormat="1" ht="85.5" customHeight="1">
      <c r="A5" s="397"/>
      <c r="B5" s="397"/>
      <c r="C5" s="23" t="s">
        <v>0</v>
      </c>
      <c r="D5" s="23"/>
      <c r="E5" s="23"/>
      <c r="F5" s="23"/>
      <c r="G5" s="29" t="s">
        <v>9</v>
      </c>
      <c r="H5" s="24"/>
      <c r="I5" s="29" t="s">
        <v>9</v>
      </c>
      <c r="J5" s="29" t="s">
        <v>9</v>
      </c>
      <c r="K5" s="25" t="s">
        <v>9</v>
      </c>
      <c r="L5" s="25"/>
      <c r="M5" s="29" t="s">
        <v>9</v>
      </c>
      <c r="N5" s="24"/>
      <c r="O5" s="29" t="s">
        <v>9</v>
      </c>
      <c r="P5" s="24"/>
      <c r="Q5" s="30" t="s">
        <v>9</v>
      </c>
      <c r="R5" s="26"/>
      <c r="S5" s="1" t="s">
        <v>105</v>
      </c>
      <c r="T5" s="1" t="s">
        <v>99</v>
      </c>
      <c r="U5" s="38" t="s">
        <v>9</v>
      </c>
      <c r="V5" s="27"/>
      <c r="W5" s="1" t="s">
        <v>9</v>
      </c>
      <c r="X5" s="1"/>
      <c r="Y5" s="1" t="s">
        <v>9</v>
      </c>
      <c r="Z5" s="1"/>
      <c r="AA5" s="1" t="s">
        <v>9</v>
      </c>
      <c r="AB5" s="1"/>
      <c r="AC5" s="30" t="s">
        <v>9</v>
      </c>
      <c r="AD5" s="26"/>
      <c r="AE5" s="1" t="s">
        <v>9</v>
      </c>
      <c r="AF5" s="1"/>
      <c r="AG5" s="1" t="s">
        <v>9</v>
      </c>
      <c r="AH5" s="1"/>
      <c r="AI5" s="30" t="s">
        <v>101</v>
      </c>
      <c r="AJ5" s="30" t="s">
        <v>110</v>
      </c>
      <c r="AK5" s="30" t="s">
        <v>9</v>
      </c>
      <c r="AL5" s="32"/>
      <c r="AM5" s="42"/>
      <c r="AN5" s="42"/>
      <c r="AO5" s="42"/>
      <c r="AP5" s="42"/>
      <c r="AQ5" s="42"/>
    </row>
    <row r="6" spans="1:43" s="28" customFormat="1" ht="63.75" customHeight="1">
      <c r="A6" s="397"/>
      <c r="B6" s="397"/>
      <c r="C6" s="23" t="s">
        <v>83</v>
      </c>
      <c r="D6" s="23"/>
      <c r="E6" s="23"/>
      <c r="F6" s="23"/>
      <c r="G6" s="29" t="s">
        <v>9</v>
      </c>
      <c r="H6" s="24"/>
      <c r="I6" s="29" t="s">
        <v>9</v>
      </c>
      <c r="J6" s="29" t="s">
        <v>9</v>
      </c>
      <c r="K6" s="25" t="s">
        <v>9</v>
      </c>
      <c r="L6" s="25"/>
      <c r="M6" s="29" t="s">
        <v>9</v>
      </c>
      <c r="N6" s="24"/>
      <c r="O6" s="29" t="s">
        <v>9</v>
      </c>
      <c r="P6" s="24"/>
      <c r="Q6" s="30" t="s">
        <v>9</v>
      </c>
      <c r="R6" s="26"/>
      <c r="S6" s="1" t="s">
        <v>106</v>
      </c>
      <c r="T6" s="1" t="s">
        <v>107</v>
      </c>
      <c r="U6" s="38" t="s">
        <v>9</v>
      </c>
      <c r="V6" s="27"/>
      <c r="W6" s="1" t="s">
        <v>9</v>
      </c>
      <c r="X6" s="1"/>
      <c r="Y6" s="1" t="s">
        <v>9</v>
      </c>
      <c r="Z6" s="1"/>
      <c r="AA6" s="1" t="s">
        <v>9</v>
      </c>
      <c r="AB6" s="1"/>
      <c r="AC6" s="30" t="s">
        <v>9</v>
      </c>
      <c r="AD6" s="26"/>
      <c r="AE6" s="1" t="s">
        <v>9</v>
      </c>
      <c r="AF6" s="1"/>
      <c r="AG6" s="1" t="s">
        <v>9</v>
      </c>
      <c r="AH6" s="1"/>
      <c r="AI6" s="30" t="s">
        <v>108</v>
      </c>
      <c r="AJ6" s="30" t="s">
        <v>109</v>
      </c>
      <c r="AK6" s="30" t="s">
        <v>9</v>
      </c>
      <c r="AL6" s="32"/>
      <c r="AM6" s="30" t="s">
        <v>112</v>
      </c>
      <c r="AN6" s="42" t="s">
        <v>113</v>
      </c>
      <c r="AO6" s="42"/>
      <c r="AP6" s="42"/>
      <c r="AQ6" s="42"/>
    </row>
    <row r="7" spans="1:43" s="28" customFormat="1" ht="63.75" customHeight="1">
      <c r="A7" s="397"/>
      <c r="B7" s="397"/>
      <c r="C7" s="23" t="s">
        <v>114</v>
      </c>
      <c r="D7" s="23"/>
      <c r="E7" s="23"/>
      <c r="F7" s="23"/>
      <c r="G7" s="29" t="s">
        <v>9</v>
      </c>
      <c r="H7" s="24"/>
      <c r="I7" s="29" t="s">
        <v>9</v>
      </c>
      <c r="J7" s="29" t="s">
        <v>9</v>
      </c>
      <c r="K7" s="25" t="s">
        <v>9</v>
      </c>
      <c r="L7" s="25"/>
      <c r="M7" s="29" t="s">
        <v>9</v>
      </c>
      <c r="N7" s="24"/>
      <c r="O7" s="29" t="s">
        <v>9</v>
      </c>
      <c r="P7" s="24"/>
      <c r="Q7" s="30" t="s">
        <v>9</v>
      </c>
      <c r="R7" s="26"/>
      <c r="S7" s="1" t="s">
        <v>115</v>
      </c>
      <c r="T7" s="1" t="s">
        <v>116</v>
      </c>
      <c r="U7" s="38" t="s">
        <v>9</v>
      </c>
      <c r="V7" s="27"/>
      <c r="W7" s="1" t="s">
        <v>9</v>
      </c>
      <c r="X7" s="1"/>
      <c r="Y7" s="1" t="s">
        <v>9</v>
      </c>
      <c r="Z7" s="1"/>
      <c r="AA7" s="1" t="s">
        <v>9</v>
      </c>
      <c r="AB7" s="1"/>
      <c r="AC7" s="30" t="s">
        <v>9</v>
      </c>
      <c r="AD7" s="26"/>
      <c r="AE7" s="1" t="s">
        <v>9</v>
      </c>
      <c r="AF7" s="1"/>
      <c r="AG7" s="1" t="s">
        <v>9</v>
      </c>
      <c r="AH7" s="1"/>
      <c r="AI7" s="30" t="s">
        <v>117</v>
      </c>
      <c r="AJ7" s="30" t="s">
        <v>118</v>
      </c>
      <c r="AK7" s="30" t="s">
        <v>9</v>
      </c>
      <c r="AL7" s="32"/>
      <c r="AM7" s="42" t="s">
        <v>9</v>
      </c>
      <c r="AN7" s="42" t="s">
        <v>9</v>
      </c>
      <c r="AO7" s="42"/>
      <c r="AP7" s="42"/>
      <c r="AQ7" s="42"/>
    </row>
    <row r="8" spans="1:43" s="28" customFormat="1" ht="63.75" customHeight="1">
      <c r="A8" s="397"/>
      <c r="B8" s="397"/>
      <c r="C8" s="23" t="s">
        <v>86</v>
      </c>
      <c r="D8" s="23"/>
      <c r="E8" s="23"/>
      <c r="F8" s="23"/>
      <c r="G8" s="29" t="s">
        <v>9</v>
      </c>
      <c r="H8" s="24"/>
      <c r="I8" s="29" t="s">
        <v>9</v>
      </c>
      <c r="J8" s="29" t="s">
        <v>9</v>
      </c>
      <c r="K8" s="25" t="s">
        <v>9</v>
      </c>
      <c r="L8" s="25"/>
      <c r="M8" s="29" t="s">
        <v>9</v>
      </c>
      <c r="N8" s="24"/>
      <c r="O8" s="29" t="s">
        <v>9</v>
      </c>
      <c r="P8" s="24"/>
      <c r="Q8" s="30" t="s">
        <v>9</v>
      </c>
      <c r="R8" s="26"/>
      <c r="S8" s="1" t="s">
        <v>9</v>
      </c>
      <c r="T8" s="1" t="s">
        <v>9</v>
      </c>
      <c r="U8" s="38" t="s">
        <v>9</v>
      </c>
      <c r="V8" s="27"/>
      <c r="W8" s="1" t="s">
        <v>9</v>
      </c>
      <c r="X8" s="1"/>
      <c r="Y8" s="1" t="s">
        <v>9</v>
      </c>
      <c r="Z8" s="1"/>
      <c r="AA8" s="1" t="s">
        <v>9</v>
      </c>
      <c r="AB8" s="1"/>
      <c r="AC8" s="30" t="s">
        <v>9</v>
      </c>
      <c r="AD8" s="26"/>
      <c r="AE8" s="1" t="s">
        <v>9</v>
      </c>
      <c r="AF8" s="1"/>
      <c r="AG8" s="1" t="s">
        <v>9</v>
      </c>
      <c r="AH8" s="1"/>
      <c r="AI8" s="30" t="s">
        <v>119</v>
      </c>
      <c r="AJ8" s="30" t="s">
        <v>121</v>
      </c>
      <c r="AK8" s="30" t="s">
        <v>9</v>
      </c>
      <c r="AL8" s="32"/>
      <c r="AM8" s="42" t="s">
        <v>120</v>
      </c>
      <c r="AN8" s="42" t="s">
        <v>122</v>
      </c>
      <c r="AO8" s="42"/>
      <c r="AP8" s="42"/>
      <c r="AQ8" s="42"/>
    </row>
    <row r="9" spans="1:43" s="28" customFormat="1" ht="63.75" customHeight="1">
      <c r="A9" s="398"/>
      <c r="B9" s="398"/>
      <c r="C9" s="23" t="s">
        <v>87</v>
      </c>
      <c r="D9" s="23"/>
      <c r="E9" s="23"/>
      <c r="F9" s="23"/>
      <c r="G9" s="29" t="s">
        <v>9</v>
      </c>
      <c r="H9" s="24"/>
      <c r="I9" s="29" t="s">
        <v>9</v>
      </c>
      <c r="J9" s="29" t="s">
        <v>9</v>
      </c>
      <c r="K9" s="25" t="s">
        <v>9</v>
      </c>
      <c r="L9" s="25"/>
      <c r="M9" s="29" t="s">
        <v>9</v>
      </c>
      <c r="N9" s="24"/>
      <c r="O9" s="29" t="s">
        <v>9</v>
      </c>
      <c r="P9" s="24"/>
      <c r="Q9" s="30" t="s">
        <v>9</v>
      </c>
      <c r="R9" s="26"/>
      <c r="S9" s="1" t="s">
        <v>9</v>
      </c>
      <c r="T9" s="1" t="s">
        <v>9</v>
      </c>
      <c r="U9" s="38" t="s">
        <v>9</v>
      </c>
      <c r="V9" s="27"/>
      <c r="W9" s="1" t="s">
        <v>9</v>
      </c>
      <c r="X9" s="1"/>
      <c r="Y9" s="1" t="s">
        <v>9</v>
      </c>
      <c r="Z9" s="1"/>
      <c r="AA9" s="1" t="s">
        <v>9</v>
      </c>
      <c r="AB9" s="1"/>
      <c r="AC9" s="30" t="s">
        <v>9</v>
      </c>
      <c r="AD9" s="26"/>
      <c r="AE9" s="1" t="s">
        <v>9</v>
      </c>
      <c r="AF9" s="1"/>
      <c r="AG9" s="1" t="s">
        <v>9</v>
      </c>
      <c r="AH9" s="1"/>
      <c r="AI9" s="30" t="s">
        <v>123</v>
      </c>
      <c r="AJ9" s="30" t="s">
        <v>125</v>
      </c>
      <c r="AK9" s="30" t="s">
        <v>9</v>
      </c>
      <c r="AL9" s="32"/>
      <c r="AM9" s="42" t="s">
        <v>124</v>
      </c>
      <c r="AN9" s="42" t="s">
        <v>122</v>
      </c>
      <c r="AO9" s="42"/>
      <c r="AP9" s="42"/>
      <c r="AQ9" s="42"/>
    </row>
    <row r="10" spans="1:43" ht="60" customHeight="1">
      <c r="A10" s="418" t="e">
        <f>#REF!</f>
        <v>#REF!</v>
      </c>
      <c r="B10" s="418" t="e">
        <f>#REF!</f>
        <v>#REF!</v>
      </c>
      <c r="C10" s="4" t="s">
        <v>24</v>
      </c>
      <c r="D10" s="4"/>
      <c r="E10" s="4"/>
      <c r="F10" s="4"/>
      <c r="G10" s="8">
        <v>0.05</v>
      </c>
      <c r="H10" s="8" t="s">
        <v>57</v>
      </c>
      <c r="I10" s="8" t="s">
        <v>9</v>
      </c>
      <c r="J10" s="8" t="s">
        <v>9</v>
      </c>
      <c r="K10" s="4" t="s">
        <v>23</v>
      </c>
      <c r="L10" s="4" t="s">
        <v>58</v>
      </c>
      <c r="M10" s="8">
        <v>0.05</v>
      </c>
      <c r="N10" s="8" t="s">
        <v>59</v>
      </c>
      <c r="O10" s="8" t="s">
        <v>9</v>
      </c>
      <c r="P10" s="8" t="s">
        <v>9</v>
      </c>
      <c r="Q10" s="9">
        <v>0.15</v>
      </c>
      <c r="R10" s="9" t="s">
        <v>60</v>
      </c>
      <c r="S10" s="10" t="s">
        <v>20</v>
      </c>
      <c r="T10" s="10" t="s">
        <v>61</v>
      </c>
      <c r="U10" s="11">
        <v>25</v>
      </c>
      <c r="V10" s="11" t="s">
        <v>62</v>
      </c>
      <c r="W10" s="10" t="s">
        <v>21</v>
      </c>
      <c r="X10" s="10" t="s">
        <v>63</v>
      </c>
      <c r="Y10" s="11" t="s">
        <v>9</v>
      </c>
      <c r="Z10" s="10" t="s">
        <v>9</v>
      </c>
      <c r="AA10" s="12">
        <v>7</v>
      </c>
      <c r="AB10" s="12" t="s">
        <v>64</v>
      </c>
      <c r="AC10" s="9">
        <v>1</v>
      </c>
      <c r="AD10" s="9" t="s">
        <v>65</v>
      </c>
      <c r="AE10" s="10" t="s">
        <v>22</v>
      </c>
      <c r="AF10" s="10" t="s">
        <v>66</v>
      </c>
      <c r="AG10" s="10"/>
      <c r="AH10" s="10"/>
      <c r="AI10" s="9" t="s">
        <v>19</v>
      </c>
      <c r="AJ10" s="9" t="s">
        <v>67</v>
      </c>
      <c r="AK10" s="9">
        <v>0.94</v>
      </c>
      <c r="AL10" s="39" t="s">
        <v>68</v>
      </c>
      <c r="AM10" s="2"/>
      <c r="AN10" s="2"/>
      <c r="AO10" s="2"/>
      <c r="AP10" s="2"/>
      <c r="AQ10" s="2"/>
    </row>
    <row r="11" spans="1:43" ht="96" customHeight="1">
      <c r="A11" s="418"/>
      <c r="B11" s="418"/>
      <c r="C11" s="4" t="s">
        <v>25</v>
      </c>
      <c r="D11" s="4"/>
      <c r="E11" s="4"/>
      <c r="F11" s="4"/>
      <c r="G11" s="8">
        <v>0.05</v>
      </c>
      <c r="H11" s="8" t="s">
        <v>69</v>
      </c>
      <c r="I11" s="8" t="s">
        <v>9</v>
      </c>
      <c r="J11" s="8" t="s">
        <v>9</v>
      </c>
      <c r="K11" s="4" t="s">
        <v>26</v>
      </c>
      <c r="L11" s="4" t="s">
        <v>58</v>
      </c>
      <c r="M11" s="8">
        <v>0.05</v>
      </c>
      <c r="N11" s="8" t="s">
        <v>59</v>
      </c>
      <c r="O11" s="8" t="s">
        <v>9</v>
      </c>
      <c r="P11" s="8" t="s">
        <v>9</v>
      </c>
      <c r="Q11" s="13">
        <v>0.15</v>
      </c>
      <c r="R11" s="13" t="s">
        <v>60</v>
      </c>
      <c r="S11" s="9" t="s">
        <v>27</v>
      </c>
      <c r="T11" s="10" t="s">
        <v>61</v>
      </c>
      <c r="U11" s="11">
        <v>25</v>
      </c>
      <c r="V11" s="11" t="s">
        <v>70</v>
      </c>
      <c r="W11" s="10" t="s">
        <v>28</v>
      </c>
      <c r="X11" s="10" t="s">
        <v>63</v>
      </c>
      <c r="Y11" s="11" t="s">
        <v>9</v>
      </c>
      <c r="Z11" s="10" t="s">
        <v>9</v>
      </c>
      <c r="AA11" s="10" t="s">
        <v>9</v>
      </c>
      <c r="AB11" s="10" t="s">
        <v>9</v>
      </c>
      <c r="AC11" s="9" t="s">
        <v>9</v>
      </c>
      <c r="AD11" s="9" t="s">
        <v>9</v>
      </c>
      <c r="AE11" s="10" t="s">
        <v>29</v>
      </c>
      <c r="AF11" s="10" t="s">
        <v>71</v>
      </c>
      <c r="AG11" s="10"/>
      <c r="AH11" s="10"/>
      <c r="AI11" s="9" t="s">
        <v>30</v>
      </c>
      <c r="AJ11" s="9" t="s">
        <v>72</v>
      </c>
      <c r="AK11" s="9">
        <v>0.94</v>
      </c>
      <c r="AL11" s="39" t="s">
        <v>68</v>
      </c>
      <c r="AM11" s="2"/>
      <c r="AN11" s="2"/>
      <c r="AO11" s="2"/>
      <c r="AP11" s="2"/>
      <c r="AQ11" s="2"/>
    </row>
    <row r="12" spans="1:43" ht="72.75" customHeight="1">
      <c r="A12" s="418"/>
      <c r="B12" s="418"/>
      <c r="C12" s="4" t="s">
        <v>37</v>
      </c>
      <c r="D12" s="4"/>
      <c r="E12" s="4"/>
      <c r="F12" s="4"/>
      <c r="G12" s="8" t="s">
        <v>9</v>
      </c>
      <c r="H12" s="8" t="s">
        <v>9</v>
      </c>
      <c r="I12" s="8" t="s">
        <v>9</v>
      </c>
      <c r="J12" s="8" t="s">
        <v>9</v>
      </c>
      <c r="K12" s="4" t="s">
        <v>9</v>
      </c>
      <c r="L12" s="4" t="s">
        <v>9</v>
      </c>
      <c r="M12" s="8">
        <v>0.15</v>
      </c>
      <c r="N12" s="8" t="s">
        <v>40</v>
      </c>
      <c r="O12" s="8" t="s">
        <v>9</v>
      </c>
      <c r="P12" s="8" t="s">
        <v>9</v>
      </c>
      <c r="Q12" s="9" t="s">
        <v>9</v>
      </c>
      <c r="R12" s="9" t="s">
        <v>9</v>
      </c>
      <c r="S12" s="12">
        <v>515</v>
      </c>
      <c r="T12" s="12" t="s">
        <v>41</v>
      </c>
      <c r="U12" s="11">
        <v>25</v>
      </c>
      <c r="V12" s="11" t="s">
        <v>42</v>
      </c>
      <c r="W12" s="10" t="s">
        <v>33</v>
      </c>
      <c r="X12" s="10" t="s">
        <v>52</v>
      </c>
      <c r="Y12" s="11">
        <v>400000</v>
      </c>
      <c r="Z12" s="10" t="s">
        <v>53</v>
      </c>
      <c r="AA12" s="12">
        <v>7</v>
      </c>
      <c r="AB12" s="12" t="s">
        <v>43</v>
      </c>
      <c r="AC12" s="9">
        <v>1</v>
      </c>
      <c r="AD12" s="9" t="s">
        <v>44</v>
      </c>
      <c r="AE12" s="10">
        <v>15</v>
      </c>
      <c r="AF12" s="10" t="s">
        <v>45</v>
      </c>
      <c r="AG12" s="10"/>
      <c r="AH12" s="10"/>
      <c r="AI12" s="9">
        <v>0.05</v>
      </c>
      <c r="AJ12" s="9" t="s">
        <v>46</v>
      </c>
      <c r="AK12" s="9">
        <v>1</v>
      </c>
      <c r="AL12" s="39" t="s">
        <v>47</v>
      </c>
      <c r="AM12" s="2"/>
      <c r="AN12" s="2"/>
      <c r="AO12" s="2"/>
      <c r="AP12" s="2"/>
      <c r="AQ12" s="2"/>
    </row>
    <row r="13" spans="1:43" ht="45" customHeight="1">
      <c r="A13" s="418"/>
      <c r="B13" s="418"/>
      <c r="C13" s="14" t="s">
        <v>73</v>
      </c>
      <c r="D13" s="14"/>
      <c r="E13" s="14"/>
      <c r="F13" s="14"/>
      <c r="G13" s="15" t="s">
        <v>9</v>
      </c>
      <c r="H13" s="15" t="s">
        <v>9</v>
      </c>
      <c r="I13" s="15" t="s">
        <v>9</v>
      </c>
      <c r="J13" s="15" t="s">
        <v>9</v>
      </c>
      <c r="K13" s="14" t="s">
        <v>9</v>
      </c>
      <c r="L13" s="14" t="s">
        <v>9</v>
      </c>
      <c r="M13" s="15">
        <v>0.15</v>
      </c>
      <c r="N13" s="8" t="s">
        <v>40</v>
      </c>
      <c r="O13" s="15" t="s">
        <v>9</v>
      </c>
      <c r="P13" s="15" t="s">
        <v>9</v>
      </c>
      <c r="Q13" s="16" t="s">
        <v>9</v>
      </c>
      <c r="R13" s="16" t="s">
        <v>9</v>
      </c>
      <c r="S13" s="21">
        <v>500</v>
      </c>
      <c r="T13" s="3" t="s">
        <v>48</v>
      </c>
      <c r="U13" s="17" t="s">
        <v>49</v>
      </c>
      <c r="V13" s="17" t="s">
        <v>50</v>
      </c>
      <c r="W13" s="3" t="s">
        <v>33</v>
      </c>
      <c r="X13" s="3" t="s">
        <v>52</v>
      </c>
      <c r="Y13" s="17">
        <v>400000</v>
      </c>
      <c r="Z13" s="3" t="s">
        <v>53</v>
      </c>
      <c r="AA13" s="22">
        <v>7</v>
      </c>
      <c r="AB13" s="12" t="s">
        <v>43</v>
      </c>
      <c r="AC13" s="16" t="s">
        <v>9</v>
      </c>
      <c r="AD13" s="16" t="s">
        <v>9</v>
      </c>
      <c r="AE13" s="3" t="s">
        <v>54</v>
      </c>
      <c r="AF13" s="3" t="s">
        <v>55</v>
      </c>
      <c r="AG13" s="3"/>
      <c r="AH13" s="3"/>
      <c r="AI13" s="16">
        <v>0.02</v>
      </c>
      <c r="AJ13" s="16" t="s">
        <v>56</v>
      </c>
      <c r="AK13" s="16">
        <v>1</v>
      </c>
      <c r="AL13" s="39" t="s">
        <v>47</v>
      </c>
      <c r="AM13" s="2"/>
      <c r="AN13" s="2"/>
      <c r="AO13" s="2"/>
      <c r="AP13" s="2"/>
      <c r="AQ13" s="2"/>
    </row>
    <row r="14" spans="1:43" ht="63.75" customHeight="1">
      <c r="A14" s="418"/>
      <c r="B14" s="418"/>
      <c r="C14" s="14" t="s">
        <v>74</v>
      </c>
      <c r="D14" s="14"/>
      <c r="E14" s="14"/>
      <c r="F14" s="14"/>
      <c r="G14" s="15" t="s">
        <v>9</v>
      </c>
      <c r="H14" s="15" t="s">
        <v>9</v>
      </c>
      <c r="I14" s="15" t="s">
        <v>9</v>
      </c>
      <c r="J14" s="15" t="s">
        <v>9</v>
      </c>
      <c r="K14" s="14" t="s">
        <v>9</v>
      </c>
      <c r="L14" s="14" t="s">
        <v>9</v>
      </c>
      <c r="M14" s="15">
        <v>0.05</v>
      </c>
      <c r="N14" s="15" t="s">
        <v>75</v>
      </c>
      <c r="O14" s="15" t="s">
        <v>32</v>
      </c>
      <c r="P14" s="15" t="s">
        <v>76</v>
      </c>
      <c r="Q14" s="18" t="s">
        <v>9</v>
      </c>
      <c r="R14" s="18" t="s">
        <v>9</v>
      </c>
      <c r="S14" s="19" t="s">
        <v>33</v>
      </c>
      <c r="T14" s="19" t="s">
        <v>77</v>
      </c>
      <c r="U14" s="19" t="s">
        <v>33</v>
      </c>
      <c r="V14" s="19" t="s">
        <v>77</v>
      </c>
      <c r="W14" s="19" t="s">
        <v>33</v>
      </c>
      <c r="X14" s="19" t="s">
        <v>77</v>
      </c>
      <c r="Y14" s="20" t="s">
        <v>33</v>
      </c>
      <c r="Z14" s="19" t="s">
        <v>77</v>
      </c>
      <c r="AA14" s="2" t="s">
        <v>9</v>
      </c>
      <c r="AB14" s="2" t="s">
        <v>9</v>
      </c>
      <c r="AC14" s="18" t="s">
        <v>9</v>
      </c>
      <c r="AD14" s="18" t="s">
        <v>9</v>
      </c>
      <c r="AE14" s="18">
        <v>0.3</v>
      </c>
      <c r="AF14" s="16" t="s">
        <v>78</v>
      </c>
      <c r="AG14" s="16"/>
      <c r="AH14" s="16"/>
      <c r="AI14" s="18">
        <v>0.2</v>
      </c>
      <c r="AJ14" s="18" t="s">
        <v>79</v>
      </c>
      <c r="AK14" s="16">
        <v>0.95</v>
      </c>
      <c r="AL14" s="39" t="s">
        <v>80</v>
      </c>
      <c r="AM14" s="2"/>
      <c r="AN14" s="2"/>
      <c r="AO14" s="2"/>
      <c r="AP14" s="2"/>
      <c r="AQ14" s="2"/>
    </row>
    <row r="15" spans="1:43" ht="120" customHeight="1">
      <c r="A15" s="412" t="e">
        <f>#REF!</f>
        <v>#REF!</v>
      </c>
      <c r="B15" s="415" t="e">
        <f>#REF!</f>
        <v>#REF!</v>
      </c>
      <c r="C15" s="43" t="s">
        <v>126</v>
      </c>
      <c r="D15" s="43" t="s">
        <v>131</v>
      </c>
      <c r="E15" s="43"/>
      <c r="F15" s="43"/>
      <c r="G15" s="44" t="s">
        <v>9</v>
      </c>
      <c r="H15" s="44"/>
      <c r="I15" s="44" t="s">
        <v>9</v>
      </c>
      <c r="J15" s="44" t="s">
        <v>9</v>
      </c>
      <c r="K15" s="43" t="s">
        <v>9</v>
      </c>
      <c r="L15" s="43"/>
      <c r="M15" s="47" t="s">
        <v>142</v>
      </c>
      <c r="N15" s="47"/>
      <c r="O15" s="47" t="s">
        <v>142</v>
      </c>
      <c r="P15" s="47"/>
      <c r="Q15" s="47" t="s">
        <v>142</v>
      </c>
      <c r="R15" s="47"/>
      <c r="S15" s="48" t="s">
        <v>142</v>
      </c>
      <c r="T15" s="2" t="s">
        <v>143</v>
      </c>
      <c r="U15" s="49" t="s">
        <v>142</v>
      </c>
      <c r="V15" s="2" t="s">
        <v>143</v>
      </c>
      <c r="W15" s="406" t="s">
        <v>144</v>
      </c>
      <c r="X15" s="2"/>
      <c r="Y15" s="45" t="s">
        <v>9</v>
      </c>
      <c r="Z15" s="2"/>
      <c r="AA15" s="2" t="s">
        <v>9</v>
      </c>
      <c r="AB15" s="2"/>
      <c r="AC15" s="18" t="s">
        <v>9</v>
      </c>
      <c r="AD15" s="18"/>
      <c r="AE15" s="2" t="s">
        <v>9</v>
      </c>
      <c r="AF15" s="2"/>
      <c r="AG15" s="2" t="s">
        <v>9</v>
      </c>
      <c r="AH15" s="2"/>
      <c r="AI15" s="47" t="s">
        <v>142</v>
      </c>
      <c r="AJ15" s="18"/>
      <c r="AK15" s="18"/>
      <c r="AL15" s="2"/>
      <c r="AM15" s="2"/>
      <c r="AN15" s="2"/>
      <c r="AO15" s="2"/>
      <c r="AP15" s="2"/>
      <c r="AQ15" s="3" t="s">
        <v>137</v>
      </c>
    </row>
    <row r="16" spans="1:43">
      <c r="A16" s="413"/>
      <c r="B16" s="416"/>
      <c r="C16" s="2" t="s">
        <v>127</v>
      </c>
      <c r="D16" s="2" t="s">
        <v>132</v>
      </c>
      <c r="E16" s="2"/>
      <c r="F16" s="2"/>
      <c r="G16" s="18" t="s">
        <v>9</v>
      </c>
      <c r="H16" s="18"/>
      <c r="I16" s="18" t="s">
        <v>9</v>
      </c>
      <c r="J16" s="18" t="s">
        <v>9</v>
      </c>
      <c r="K16" s="2" t="s">
        <v>9</v>
      </c>
      <c r="L16" s="2"/>
      <c r="M16" s="47" t="s">
        <v>142</v>
      </c>
      <c r="N16" s="47"/>
      <c r="O16" s="47" t="s">
        <v>142</v>
      </c>
      <c r="P16" s="47"/>
      <c r="Q16" s="47" t="s">
        <v>142</v>
      </c>
      <c r="R16" s="47"/>
      <c r="S16" s="48" t="s">
        <v>142</v>
      </c>
      <c r="T16" s="2" t="s">
        <v>143</v>
      </c>
      <c r="U16" s="49" t="s">
        <v>142</v>
      </c>
      <c r="V16" s="2" t="s">
        <v>143</v>
      </c>
      <c r="W16" s="407"/>
      <c r="X16" s="2"/>
      <c r="Y16" s="45" t="s">
        <v>9</v>
      </c>
      <c r="Z16" s="2"/>
      <c r="AA16" s="2" t="s">
        <v>9</v>
      </c>
      <c r="AB16" s="2"/>
      <c r="AC16" s="18" t="s">
        <v>9</v>
      </c>
      <c r="AD16" s="18"/>
      <c r="AE16" s="2" t="s">
        <v>9</v>
      </c>
      <c r="AF16" s="2"/>
      <c r="AG16" s="2" t="s">
        <v>9</v>
      </c>
      <c r="AH16" s="2"/>
      <c r="AI16" s="47" t="s">
        <v>142</v>
      </c>
      <c r="AJ16" s="18"/>
      <c r="AK16" s="18"/>
      <c r="AL16" s="2"/>
      <c r="AM16" s="2"/>
      <c r="AN16" s="2"/>
      <c r="AO16" s="2"/>
      <c r="AP16" s="2"/>
      <c r="AQ16" s="2" t="s">
        <v>138</v>
      </c>
    </row>
    <row r="17" spans="1:43" ht="30">
      <c r="A17" s="413"/>
      <c r="B17" s="416"/>
      <c r="C17" s="2" t="s">
        <v>128</v>
      </c>
      <c r="D17" s="2" t="s">
        <v>133</v>
      </c>
      <c r="E17" s="2"/>
      <c r="F17" s="2"/>
      <c r="G17" s="18" t="s">
        <v>9</v>
      </c>
      <c r="H17" s="18"/>
      <c r="I17" s="18" t="s">
        <v>9</v>
      </c>
      <c r="J17" s="18" t="s">
        <v>9</v>
      </c>
      <c r="K17" s="2" t="s">
        <v>9</v>
      </c>
      <c r="L17" s="2"/>
      <c r="M17" s="47" t="s">
        <v>142</v>
      </c>
      <c r="N17" s="47"/>
      <c r="O17" s="47" t="s">
        <v>142</v>
      </c>
      <c r="P17" s="47"/>
      <c r="Q17" s="47" t="s">
        <v>142</v>
      </c>
      <c r="R17" s="47"/>
      <c r="S17" s="48" t="s">
        <v>142</v>
      </c>
      <c r="T17" s="2" t="s">
        <v>143</v>
      </c>
      <c r="U17" s="49" t="s">
        <v>142</v>
      </c>
      <c r="V17" s="2" t="s">
        <v>143</v>
      </c>
      <c r="W17" s="407"/>
      <c r="X17" s="2"/>
      <c r="Y17" s="45" t="s">
        <v>9</v>
      </c>
      <c r="Z17" s="2"/>
      <c r="AA17" s="2" t="s">
        <v>9</v>
      </c>
      <c r="AB17" s="2"/>
      <c r="AC17" s="18" t="s">
        <v>9</v>
      </c>
      <c r="AD17" s="18"/>
      <c r="AE17" s="2" t="s">
        <v>9</v>
      </c>
      <c r="AF17" s="2"/>
      <c r="AG17" s="2" t="s">
        <v>9</v>
      </c>
      <c r="AH17" s="2"/>
      <c r="AI17" s="47" t="s">
        <v>142</v>
      </c>
      <c r="AJ17" s="18"/>
      <c r="AK17" s="18"/>
      <c r="AL17" s="2"/>
      <c r="AM17" s="2"/>
      <c r="AN17" s="2"/>
      <c r="AO17" s="2"/>
      <c r="AP17" s="2"/>
      <c r="AQ17" s="3" t="s">
        <v>141</v>
      </c>
    </row>
    <row r="18" spans="1:43" ht="60">
      <c r="A18" s="413"/>
      <c r="B18" s="416"/>
      <c r="C18" s="2" t="s">
        <v>129</v>
      </c>
      <c r="D18" s="2" t="s">
        <v>134</v>
      </c>
      <c r="E18" s="2"/>
      <c r="F18" s="2"/>
      <c r="G18" s="18" t="s">
        <v>9</v>
      </c>
      <c r="H18" s="18"/>
      <c r="I18" s="18" t="s">
        <v>9</v>
      </c>
      <c r="J18" s="18" t="s">
        <v>9</v>
      </c>
      <c r="K18" s="2" t="s">
        <v>9</v>
      </c>
      <c r="L18" s="2"/>
      <c r="M18" s="47" t="s">
        <v>142</v>
      </c>
      <c r="N18" s="47"/>
      <c r="O18" s="47" t="s">
        <v>142</v>
      </c>
      <c r="P18" s="47"/>
      <c r="Q18" s="47" t="s">
        <v>142</v>
      </c>
      <c r="R18" s="47"/>
      <c r="S18" s="48" t="s">
        <v>142</v>
      </c>
      <c r="T18" s="2" t="s">
        <v>143</v>
      </c>
      <c r="U18" s="49" t="s">
        <v>142</v>
      </c>
      <c r="V18" s="2" t="s">
        <v>143</v>
      </c>
      <c r="W18" s="407"/>
      <c r="X18" s="2"/>
      <c r="Y18" s="45" t="s">
        <v>9</v>
      </c>
      <c r="Z18" s="2"/>
      <c r="AA18" s="2" t="s">
        <v>9</v>
      </c>
      <c r="AB18" s="2"/>
      <c r="AC18" s="18" t="s">
        <v>9</v>
      </c>
      <c r="AD18" s="18"/>
      <c r="AE18" s="2" t="s">
        <v>9</v>
      </c>
      <c r="AF18" s="2"/>
      <c r="AG18" s="2" t="s">
        <v>9</v>
      </c>
      <c r="AH18" s="2"/>
      <c r="AI18" s="47" t="s">
        <v>142</v>
      </c>
      <c r="AJ18" s="18"/>
      <c r="AK18" s="18"/>
      <c r="AL18" s="2"/>
      <c r="AM18" s="2"/>
      <c r="AN18" s="2"/>
      <c r="AO18" s="2"/>
      <c r="AP18" s="2"/>
      <c r="AQ18" s="3" t="s">
        <v>140</v>
      </c>
    </row>
    <row r="19" spans="1:43" ht="30">
      <c r="A19" s="414"/>
      <c r="B19" s="417"/>
      <c r="C19" s="46" t="s">
        <v>130</v>
      </c>
      <c r="D19" s="46" t="s">
        <v>135</v>
      </c>
      <c r="E19" s="46"/>
      <c r="F19" s="46"/>
      <c r="G19" s="18" t="s">
        <v>9</v>
      </c>
      <c r="H19" s="18"/>
      <c r="I19" s="18" t="s">
        <v>9</v>
      </c>
      <c r="J19" s="18" t="s">
        <v>9</v>
      </c>
      <c r="K19" s="2" t="s">
        <v>9</v>
      </c>
      <c r="L19" s="2"/>
      <c r="M19" s="47" t="s">
        <v>142</v>
      </c>
      <c r="N19" s="47"/>
      <c r="O19" s="47" t="s">
        <v>142</v>
      </c>
      <c r="P19" s="47"/>
      <c r="Q19" s="47" t="s">
        <v>142</v>
      </c>
      <c r="R19" s="47"/>
      <c r="S19" s="48" t="s">
        <v>142</v>
      </c>
      <c r="T19" s="2" t="s">
        <v>143</v>
      </c>
      <c r="U19" s="49" t="s">
        <v>142</v>
      </c>
      <c r="V19" s="2" t="s">
        <v>143</v>
      </c>
      <c r="W19" s="408"/>
      <c r="X19" s="2"/>
      <c r="Y19" s="45" t="s">
        <v>9</v>
      </c>
      <c r="Z19" s="2"/>
      <c r="AA19" s="2" t="s">
        <v>9</v>
      </c>
      <c r="AB19" s="2"/>
      <c r="AC19" s="18" t="s">
        <v>9</v>
      </c>
      <c r="AD19" s="18"/>
      <c r="AE19" s="2" t="s">
        <v>9</v>
      </c>
      <c r="AF19" s="2"/>
      <c r="AG19" s="2" t="s">
        <v>9</v>
      </c>
      <c r="AH19" s="2"/>
      <c r="AI19" s="47" t="s">
        <v>142</v>
      </c>
      <c r="AJ19" s="18"/>
      <c r="AK19" s="18"/>
      <c r="AL19" s="2"/>
      <c r="AM19" s="2"/>
      <c r="AN19" s="2"/>
      <c r="AO19" s="2"/>
      <c r="AP19" s="2"/>
      <c r="AQ19" s="3" t="s">
        <v>139</v>
      </c>
    </row>
    <row r="20" spans="1:43" ht="54.75" customHeight="1">
      <c r="A20" s="409" t="e">
        <f>#REF!</f>
        <v>#REF!</v>
      </c>
      <c r="B20" s="406" t="e">
        <f>#REF!</f>
        <v>#REF!</v>
      </c>
      <c r="C20" s="46" t="s">
        <v>145</v>
      </c>
      <c r="D20" s="50" t="s">
        <v>149</v>
      </c>
      <c r="E20" s="50"/>
      <c r="F20" s="50"/>
      <c r="G20" s="18"/>
      <c r="H20" s="18"/>
      <c r="I20" s="18" t="s">
        <v>9</v>
      </c>
      <c r="J20" s="18" t="s">
        <v>9</v>
      </c>
      <c r="K20" s="2"/>
      <c r="L20" s="2"/>
      <c r="M20" s="18"/>
      <c r="N20" s="18"/>
      <c r="O20" s="18"/>
      <c r="P20" s="18"/>
      <c r="Q20" s="18"/>
      <c r="R20" s="18"/>
      <c r="S20" s="2"/>
      <c r="T20" s="2"/>
      <c r="U20" s="45"/>
      <c r="V20" s="45"/>
      <c r="W20" s="2"/>
      <c r="X20" s="2"/>
      <c r="Y20" s="45"/>
      <c r="Z20" s="2"/>
      <c r="AA20" s="2"/>
      <c r="AB20" s="2"/>
      <c r="AC20" s="18"/>
      <c r="AD20" s="18"/>
      <c r="AE20" s="2"/>
      <c r="AF20" s="2"/>
      <c r="AG20" s="2"/>
      <c r="AH20" s="2"/>
      <c r="AI20" s="18"/>
      <c r="AJ20" s="18"/>
      <c r="AK20" s="18"/>
      <c r="AL20" s="2"/>
      <c r="AM20" s="2"/>
      <c r="AN20" s="2"/>
      <c r="AO20" s="2"/>
      <c r="AP20" s="2"/>
      <c r="AQ20" s="2"/>
    </row>
    <row r="21" spans="1:43" ht="49.5" customHeight="1">
      <c r="A21" s="410"/>
      <c r="B21" s="407"/>
      <c r="C21" s="46" t="s">
        <v>146</v>
      </c>
      <c r="D21" s="50" t="s">
        <v>150</v>
      </c>
      <c r="E21" s="50"/>
      <c r="F21" s="50"/>
      <c r="G21" s="18"/>
      <c r="H21" s="18"/>
      <c r="I21" s="18" t="s">
        <v>9</v>
      </c>
      <c r="J21" s="18" t="s">
        <v>9</v>
      </c>
      <c r="K21" s="2"/>
      <c r="L21" s="2"/>
      <c r="M21" s="18"/>
      <c r="N21" s="18"/>
      <c r="O21" s="18"/>
      <c r="P21" s="18"/>
      <c r="Q21" s="18"/>
      <c r="R21" s="18"/>
      <c r="S21" s="2"/>
      <c r="T21" s="2"/>
      <c r="U21" s="45"/>
      <c r="V21" s="45"/>
      <c r="W21" s="2"/>
      <c r="X21" s="2"/>
      <c r="Y21" s="45"/>
      <c r="Z21" s="2"/>
      <c r="AA21" s="2"/>
      <c r="AB21" s="2"/>
      <c r="AC21" s="18"/>
      <c r="AD21" s="18"/>
      <c r="AE21" s="2"/>
      <c r="AF21" s="2"/>
      <c r="AG21" s="2"/>
      <c r="AH21" s="2"/>
      <c r="AI21" s="18"/>
      <c r="AJ21" s="18"/>
      <c r="AK21" s="18"/>
      <c r="AL21" s="2"/>
      <c r="AM21" s="2"/>
      <c r="AN21" s="2"/>
      <c r="AO21" s="2"/>
      <c r="AP21" s="2"/>
      <c r="AQ21" s="2"/>
    </row>
    <row r="22" spans="1:43" ht="38.25" customHeight="1">
      <c r="A22" s="410"/>
      <c r="B22" s="407"/>
      <c r="C22" s="46" t="s">
        <v>147</v>
      </c>
      <c r="D22" s="50" t="s">
        <v>151</v>
      </c>
      <c r="E22" s="50"/>
      <c r="F22" s="50"/>
      <c r="G22" s="18"/>
      <c r="H22" s="18"/>
      <c r="I22" s="18" t="s">
        <v>9</v>
      </c>
      <c r="J22" s="18" t="s">
        <v>9</v>
      </c>
      <c r="K22" s="2"/>
      <c r="L22" s="2"/>
      <c r="M22" s="18"/>
      <c r="N22" s="18"/>
      <c r="O22" s="18"/>
      <c r="P22" s="18"/>
      <c r="Q22" s="18"/>
      <c r="R22" s="18"/>
      <c r="S22" s="2"/>
      <c r="T22" s="2"/>
      <c r="U22" s="45"/>
      <c r="V22" s="45"/>
      <c r="W22" s="2"/>
      <c r="X22" s="2"/>
      <c r="Y22" s="45"/>
      <c r="Z22" s="2"/>
      <c r="AA22" s="2"/>
      <c r="AB22" s="2"/>
      <c r="AC22" s="18"/>
      <c r="AD22" s="18"/>
      <c r="AE22" s="2"/>
      <c r="AF22" s="2"/>
      <c r="AG22" s="2"/>
      <c r="AH22" s="2"/>
      <c r="AI22" s="18"/>
      <c r="AJ22" s="18"/>
      <c r="AK22" s="18"/>
      <c r="AL22" s="2"/>
      <c r="AM22" s="2"/>
      <c r="AN22" s="2"/>
      <c r="AO22" s="2"/>
      <c r="AP22" s="2"/>
      <c r="AQ22" s="2"/>
    </row>
    <row r="23" spans="1:43" ht="48" customHeight="1">
      <c r="A23" s="410"/>
      <c r="B23" s="407"/>
      <c r="C23" s="46" t="s">
        <v>148</v>
      </c>
      <c r="D23" s="50" t="s">
        <v>152</v>
      </c>
      <c r="E23" s="50"/>
      <c r="F23" s="50"/>
      <c r="G23" s="18"/>
      <c r="H23" s="18"/>
      <c r="I23" s="18" t="s">
        <v>9</v>
      </c>
      <c r="J23" s="18" t="s">
        <v>9</v>
      </c>
      <c r="K23" s="2"/>
      <c r="L23" s="2"/>
      <c r="M23" s="18"/>
      <c r="N23" s="18"/>
      <c r="O23" s="18"/>
      <c r="P23" s="18"/>
      <c r="Q23" s="18"/>
      <c r="R23" s="18"/>
      <c r="S23" s="2"/>
      <c r="T23" s="2"/>
      <c r="U23" s="45"/>
      <c r="V23" s="45"/>
      <c r="W23" s="2"/>
      <c r="X23" s="2"/>
      <c r="Y23" s="45"/>
      <c r="Z23" s="2"/>
      <c r="AA23" s="2"/>
      <c r="AB23" s="2"/>
      <c r="AC23" s="18"/>
      <c r="AD23" s="18"/>
      <c r="AE23" s="2"/>
      <c r="AF23" s="2"/>
      <c r="AG23" s="2"/>
      <c r="AH23" s="2"/>
      <c r="AI23" s="18"/>
      <c r="AJ23" s="18"/>
      <c r="AK23" s="18"/>
      <c r="AL23" s="2"/>
      <c r="AM23" s="2"/>
      <c r="AN23" s="2"/>
      <c r="AO23" s="2"/>
      <c r="AP23" s="2"/>
      <c r="AQ23" s="2"/>
    </row>
    <row r="24" spans="1:43" ht="55.5" customHeight="1">
      <c r="A24" s="410"/>
      <c r="B24" s="407"/>
      <c r="C24" s="46" t="s">
        <v>153</v>
      </c>
      <c r="D24" s="50" t="s">
        <v>156</v>
      </c>
      <c r="E24" s="50"/>
      <c r="F24" s="50"/>
      <c r="G24" s="18" t="s">
        <v>155</v>
      </c>
      <c r="H24" s="16" t="s">
        <v>154</v>
      </c>
      <c r="I24" s="16" t="s">
        <v>9</v>
      </c>
      <c r="J24" s="16" t="s">
        <v>9</v>
      </c>
      <c r="K24" s="2"/>
      <c r="L24" s="2"/>
      <c r="M24" s="18"/>
      <c r="N24" s="18"/>
      <c r="O24" s="18"/>
      <c r="P24" s="18"/>
      <c r="Q24" s="18"/>
      <c r="R24" s="18"/>
      <c r="S24" s="2"/>
      <c r="T24" s="2"/>
      <c r="U24" s="45"/>
      <c r="V24" s="45"/>
      <c r="W24" s="2"/>
      <c r="X24" s="2"/>
      <c r="Y24" s="45"/>
      <c r="Z24" s="2"/>
      <c r="AA24" s="2"/>
      <c r="AB24" s="2"/>
      <c r="AC24" s="18"/>
      <c r="AD24" s="18"/>
      <c r="AE24" s="2"/>
      <c r="AF24" s="2"/>
      <c r="AG24" s="2"/>
      <c r="AH24" s="2"/>
      <c r="AI24" s="18"/>
      <c r="AJ24" s="18"/>
      <c r="AK24" s="18"/>
      <c r="AL24" s="2"/>
      <c r="AM24" s="2"/>
      <c r="AN24" s="2"/>
      <c r="AO24" s="2"/>
      <c r="AP24" s="2"/>
      <c r="AQ24" s="2"/>
    </row>
    <row r="25" spans="1:43" ht="64.5" customHeight="1">
      <c r="A25" s="410"/>
      <c r="B25" s="407"/>
      <c r="C25" s="46" t="s">
        <v>157</v>
      </c>
      <c r="D25" s="50" t="s">
        <v>158</v>
      </c>
      <c r="E25" s="50"/>
      <c r="F25" s="50"/>
      <c r="G25" s="18"/>
      <c r="H25" s="18"/>
      <c r="I25" s="18" t="s">
        <v>9</v>
      </c>
      <c r="J25" s="18" t="s">
        <v>9</v>
      </c>
      <c r="K25" s="2"/>
      <c r="L25" s="2"/>
      <c r="M25" s="18"/>
      <c r="N25" s="18"/>
      <c r="O25" s="18"/>
      <c r="P25" s="18"/>
      <c r="Q25" s="18"/>
      <c r="R25" s="18"/>
      <c r="S25" s="2"/>
      <c r="T25" s="2"/>
      <c r="U25" s="45"/>
      <c r="V25" s="45"/>
      <c r="W25" s="2"/>
      <c r="X25" s="2"/>
      <c r="Y25" s="45"/>
      <c r="Z25" s="2"/>
      <c r="AA25" s="2"/>
      <c r="AB25" s="2"/>
      <c r="AC25" s="18"/>
      <c r="AD25" s="18"/>
      <c r="AE25" s="2"/>
      <c r="AF25" s="2"/>
      <c r="AG25" s="2"/>
      <c r="AH25" s="2"/>
      <c r="AI25" s="18"/>
      <c r="AJ25" s="18"/>
      <c r="AK25" s="18"/>
      <c r="AL25" s="2"/>
      <c r="AM25" s="2"/>
      <c r="AN25" s="2"/>
      <c r="AO25" s="2"/>
      <c r="AP25" s="2"/>
      <c r="AQ25" s="2"/>
    </row>
    <row r="26" spans="1:43" ht="60" customHeight="1">
      <c r="A26" s="410"/>
      <c r="B26" s="407"/>
      <c r="C26" s="46" t="s">
        <v>159</v>
      </c>
      <c r="D26" s="50" t="s">
        <v>160</v>
      </c>
      <c r="E26" s="50"/>
      <c r="F26" s="50"/>
      <c r="G26" s="18"/>
      <c r="H26" s="18"/>
      <c r="I26" s="18" t="s">
        <v>9</v>
      </c>
      <c r="J26" s="18" t="s">
        <v>9</v>
      </c>
      <c r="K26" s="2"/>
      <c r="L26" s="2"/>
      <c r="M26" s="18"/>
      <c r="N26" s="18"/>
      <c r="O26" s="18"/>
      <c r="P26" s="18"/>
      <c r="Q26" s="18"/>
      <c r="R26" s="18"/>
      <c r="S26" s="2"/>
      <c r="T26" s="2"/>
      <c r="U26" s="45"/>
      <c r="V26" s="45"/>
      <c r="W26" s="2"/>
      <c r="X26" s="2"/>
      <c r="Y26" s="45"/>
      <c r="Z26" s="2"/>
      <c r="AA26" s="2"/>
      <c r="AB26" s="2"/>
      <c r="AC26" s="18"/>
      <c r="AD26" s="18"/>
      <c r="AE26" s="2"/>
      <c r="AF26" s="2"/>
      <c r="AG26" s="2"/>
      <c r="AH26" s="2"/>
      <c r="AI26" s="18"/>
      <c r="AJ26" s="18"/>
      <c r="AK26" s="18"/>
      <c r="AL26" s="2"/>
      <c r="AM26" s="2"/>
      <c r="AN26" s="2"/>
      <c r="AO26" s="2"/>
      <c r="AP26" s="2"/>
      <c r="AQ26" s="2"/>
    </row>
    <row r="27" spans="1:43" ht="139.5" customHeight="1">
      <c r="A27" s="411"/>
      <c r="B27" s="408"/>
      <c r="C27" s="51" t="s">
        <v>161</v>
      </c>
      <c r="D27" s="3" t="s">
        <v>162</v>
      </c>
      <c r="E27" s="3"/>
      <c r="F27" s="3"/>
      <c r="G27" s="18"/>
      <c r="H27" s="18"/>
      <c r="I27" s="18" t="s">
        <v>9</v>
      </c>
      <c r="J27" s="18" t="s">
        <v>9</v>
      </c>
      <c r="K27" s="2"/>
      <c r="L27" s="2"/>
      <c r="M27" s="18"/>
      <c r="N27" s="18"/>
      <c r="O27" s="18"/>
      <c r="P27" s="18"/>
      <c r="Q27" s="18"/>
      <c r="R27" s="18"/>
      <c r="S27" s="2"/>
      <c r="T27" s="2"/>
      <c r="U27" s="45"/>
      <c r="V27" s="45"/>
      <c r="W27" s="2"/>
      <c r="X27" s="2"/>
      <c r="Y27" s="45"/>
      <c r="Z27" s="2"/>
      <c r="AA27" s="2"/>
      <c r="AB27" s="2"/>
      <c r="AC27" s="18"/>
      <c r="AD27" s="18"/>
      <c r="AE27" s="2"/>
      <c r="AF27" s="2"/>
      <c r="AG27" s="2"/>
      <c r="AH27" s="2"/>
      <c r="AI27" s="18"/>
      <c r="AJ27" s="18"/>
      <c r="AK27" s="18"/>
      <c r="AL27" s="2"/>
      <c r="AM27" s="2"/>
      <c r="AN27" s="2"/>
      <c r="AO27" s="2"/>
      <c r="AP27" s="2"/>
      <c r="AQ27" s="2"/>
    </row>
    <row r="28" spans="1:43">
      <c r="A28" s="52" t="e">
        <f>#REF!</f>
        <v>#REF!</v>
      </c>
      <c r="B28" s="2" t="e">
        <f>#REF!</f>
        <v>#REF!</v>
      </c>
      <c r="C28" s="2"/>
      <c r="D28" s="2"/>
      <c r="E28" s="2"/>
      <c r="F28" s="2"/>
      <c r="G28" s="18"/>
      <c r="H28" s="18"/>
      <c r="I28" s="18"/>
      <c r="J28" s="18"/>
      <c r="K28" s="2"/>
      <c r="L28" s="2"/>
      <c r="M28" s="18"/>
      <c r="N28" s="18"/>
      <c r="O28" s="18"/>
      <c r="P28" s="18"/>
      <c r="Q28" s="18"/>
      <c r="R28" s="18"/>
      <c r="S28" s="2"/>
      <c r="T28" s="2"/>
      <c r="U28" s="45"/>
      <c r="V28" s="45"/>
      <c r="W28" s="2"/>
      <c r="X28" s="2"/>
      <c r="Y28" s="45"/>
      <c r="Z28" s="2"/>
      <c r="AA28" s="2"/>
      <c r="AB28" s="2"/>
      <c r="AC28" s="18"/>
      <c r="AD28" s="18"/>
      <c r="AE28" s="2"/>
      <c r="AF28" s="2"/>
      <c r="AG28" s="2"/>
      <c r="AH28" s="2"/>
      <c r="AI28" s="18"/>
      <c r="AJ28" s="18"/>
      <c r="AK28" s="18"/>
      <c r="AL28" s="2"/>
      <c r="AM28" s="2"/>
      <c r="AN28" s="2"/>
      <c r="AO28" s="2"/>
      <c r="AP28" s="2"/>
      <c r="AQ28" s="2"/>
    </row>
    <row r="29" spans="1:43">
      <c r="A29" s="404" t="e">
        <f>#REF!</f>
        <v>#REF!</v>
      </c>
      <c r="B29" s="405" t="e">
        <f>#REF!</f>
        <v>#REF!</v>
      </c>
      <c r="C29" s="2" t="s">
        <v>163</v>
      </c>
      <c r="D29" s="2"/>
      <c r="E29" s="2"/>
      <c r="F29" s="2"/>
      <c r="G29" s="18"/>
      <c r="H29" s="18"/>
      <c r="I29" s="18"/>
      <c r="J29" s="18"/>
      <c r="K29" s="2"/>
      <c r="L29" s="2"/>
      <c r="M29" s="18"/>
      <c r="N29" s="18"/>
      <c r="O29" s="18"/>
      <c r="P29" s="18"/>
      <c r="Q29" s="18"/>
      <c r="R29" s="18"/>
      <c r="S29" s="2"/>
      <c r="T29" s="2"/>
      <c r="U29" s="45"/>
      <c r="V29" s="45"/>
      <c r="W29" s="2"/>
      <c r="X29" s="2"/>
      <c r="Y29" s="45"/>
      <c r="Z29" s="2"/>
      <c r="AA29" s="2"/>
      <c r="AB29" s="2"/>
      <c r="AC29" s="18"/>
      <c r="AD29" s="18"/>
      <c r="AE29" s="2"/>
      <c r="AF29" s="2"/>
      <c r="AG29" s="2"/>
      <c r="AH29" s="2"/>
      <c r="AI29" s="18"/>
      <c r="AJ29" s="18"/>
      <c r="AK29" s="18"/>
      <c r="AL29" s="2"/>
      <c r="AM29" s="2"/>
      <c r="AN29" s="2"/>
      <c r="AO29" s="2"/>
      <c r="AP29" s="2"/>
      <c r="AQ29" s="2"/>
    </row>
    <row r="30" spans="1:43">
      <c r="A30" s="404"/>
      <c r="B30" s="405"/>
      <c r="C30" s="46" t="s">
        <v>164</v>
      </c>
      <c r="D30" s="2"/>
      <c r="E30" s="2"/>
      <c r="F30" s="2"/>
      <c r="G30" s="18"/>
      <c r="H30" s="18"/>
      <c r="I30" s="18"/>
      <c r="J30" s="18"/>
      <c r="K30" s="2"/>
      <c r="L30" s="2"/>
      <c r="M30" s="18"/>
      <c r="N30" s="18"/>
      <c r="O30" s="18"/>
      <c r="P30" s="18"/>
      <c r="Q30" s="18"/>
      <c r="R30" s="18"/>
      <c r="S30" s="2"/>
      <c r="T30" s="2"/>
      <c r="U30" s="45"/>
      <c r="V30" s="45"/>
      <c r="W30" s="2"/>
      <c r="X30" s="2"/>
      <c r="Y30" s="45"/>
      <c r="Z30" s="2"/>
      <c r="AA30" s="2"/>
      <c r="AB30" s="2"/>
      <c r="AC30" s="18"/>
      <c r="AD30" s="18"/>
      <c r="AE30" s="2"/>
      <c r="AF30" s="2"/>
      <c r="AG30" s="2"/>
      <c r="AH30" s="2"/>
      <c r="AI30" s="18"/>
      <c r="AJ30" s="18"/>
      <c r="AK30" s="18"/>
      <c r="AL30" s="2"/>
      <c r="AM30" s="2"/>
      <c r="AN30" s="2"/>
      <c r="AO30" s="2"/>
      <c r="AP30" s="2"/>
      <c r="AQ30" s="2"/>
    </row>
    <row r="31" spans="1:43" ht="197.25" customHeight="1">
      <c r="A31" s="404"/>
      <c r="B31" s="405"/>
      <c r="C31" s="46" t="s">
        <v>165</v>
      </c>
      <c r="D31" s="2"/>
      <c r="E31" s="3" t="s">
        <v>174</v>
      </c>
      <c r="F31" s="3" t="s">
        <v>169</v>
      </c>
      <c r="G31" s="18"/>
      <c r="H31" s="18"/>
      <c r="I31" s="3" t="s">
        <v>175</v>
      </c>
      <c r="J31" s="18"/>
      <c r="K31" s="2"/>
      <c r="L31" s="2"/>
      <c r="M31" s="18"/>
      <c r="N31" s="18"/>
      <c r="O31" s="18"/>
      <c r="P31" s="18"/>
      <c r="Q31" s="18"/>
      <c r="R31" s="18"/>
      <c r="S31" s="2"/>
      <c r="T31" s="2"/>
      <c r="U31" s="45"/>
      <c r="V31" s="45"/>
      <c r="W31" s="2"/>
      <c r="X31" s="2"/>
      <c r="Y31" s="45"/>
      <c r="Z31" s="2"/>
      <c r="AA31" s="2"/>
      <c r="AB31" s="2"/>
      <c r="AC31" s="18"/>
      <c r="AD31" s="18"/>
      <c r="AE31" s="2"/>
      <c r="AF31" s="2"/>
      <c r="AG31" s="2"/>
      <c r="AH31" s="2"/>
      <c r="AI31" s="18"/>
      <c r="AJ31" s="18"/>
      <c r="AK31" s="18"/>
      <c r="AL31" s="2"/>
      <c r="AM31" s="2"/>
      <c r="AN31" s="2"/>
      <c r="AO31" s="10" t="s">
        <v>176</v>
      </c>
      <c r="AP31" s="2"/>
      <c r="AQ31" s="2"/>
    </row>
    <row r="32" spans="1:43" ht="175.5" customHeight="1">
      <c r="A32" s="404"/>
      <c r="B32" s="405"/>
      <c r="C32" s="46" t="s">
        <v>166</v>
      </c>
      <c r="D32" s="2"/>
      <c r="E32" s="3" t="s">
        <v>168</v>
      </c>
      <c r="F32" s="3" t="s">
        <v>169</v>
      </c>
      <c r="G32" s="18"/>
      <c r="H32" s="18"/>
      <c r="I32" s="16" t="s">
        <v>171</v>
      </c>
      <c r="J32" s="18"/>
      <c r="K32" s="2"/>
      <c r="L32" s="2"/>
      <c r="M32" s="18"/>
      <c r="N32" s="18"/>
      <c r="O32" s="18"/>
      <c r="P32" s="18"/>
      <c r="Q32" s="18"/>
      <c r="R32" s="18"/>
      <c r="S32" s="2"/>
      <c r="T32" s="2"/>
      <c r="U32" s="45"/>
      <c r="V32" s="45"/>
      <c r="W32" s="2"/>
      <c r="X32" s="2"/>
      <c r="Y32" s="45"/>
      <c r="Z32" s="2"/>
      <c r="AA32" s="2"/>
      <c r="AB32" s="2"/>
      <c r="AC32" s="18"/>
      <c r="AD32" s="18"/>
      <c r="AE32" s="2"/>
      <c r="AF32" s="2"/>
      <c r="AG32" s="2"/>
      <c r="AH32" s="2"/>
      <c r="AI32" s="18"/>
      <c r="AJ32" s="18"/>
      <c r="AK32" s="18"/>
      <c r="AL32" s="2"/>
      <c r="AM32" s="2"/>
      <c r="AN32" s="2"/>
      <c r="AO32" s="10" t="s">
        <v>173</v>
      </c>
      <c r="AP32" s="2"/>
      <c r="AQ32" s="2"/>
    </row>
  </sheetData>
  <mergeCells count="29">
    <mergeCell ref="AA2:AB2"/>
    <mergeCell ref="A29:A32"/>
    <mergeCell ref="B29:B32"/>
    <mergeCell ref="B20:B27"/>
    <mergeCell ref="A20:A27"/>
    <mergeCell ref="W15:W19"/>
    <mergeCell ref="A15:A19"/>
    <mergeCell ref="B15:B19"/>
    <mergeCell ref="A10:A14"/>
    <mergeCell ref="B10:B14"/>
    <mergeCell ref="G2:H2"/>
    <mergeCell ref="K2:L2"/>
    <mergeCell ref="Y2:Z2"/>
    <mergeCell ref="Q2:R2"/>
    <mergeCell ref="O2:P2"/>
    <mergeCell ref="M2:N2"/>
    <mergeCell ref="AG2:AH2"/>
    <mergeCell ref="AK2:AL2"/>
    <mergeCell ref="AI2:AJ2"/>
    <mergeCell ref="AE2:AF2"/>
    <mergeCell ref="AC2:AD2"/>
    <mergeCell ref="W2:X2"/>
    <mergeCell ref="U2:V2"/>
    <mergeCell ref="S2:T2"/>
    <mergeCell ref="B3:B9"/>
    <mergeCell ref="A3:A9"/>
    <mergeCell ref="C2:D2"/>
    <mergeCell ref="E2:F2"/>
    <mergeCell ref="I2:J2"/>
  </mergeCells>
  <conditionalFormatting sqref="G2:I2 K2:XFD2 A3:B20 C3:XFD32 A28:B29 A33:XFD1048576 A2:E2">
    <cfRule type="cellIs" dxfId="2" priority="1" operator="equal">
      <formula>"?"</formula>
    </cfRule>
    <cfRule type="cellIs" dxfId="1" priority="3" operator="equal">
      <formula>" "</formula>
    </cfRule>
  </conditionalFormatting>
  <conditionalFormatting sqref="V15:V19">
    <cfRule type="cellIs" dxfId="0" priority="2" operator="equal">
      <formula>" "</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tabColor theme="0" tint="-0.34998626667073579"/>
  </sheetPr>
  <dimension ref="A1:J257"/>
  <sheetViews>
    <sheetView workbookViewId="0"/>
  </sheetViews>
  <sheetFormatPr defaultRowHeight="15"/>
  <cols>
    <col min="2" max="3" width="12.5703125" bestFit="1" customWidth="1"/>
    <col min="4" max="4" width="16.28515625" customWidth="1"/>
    <col min="5" max="5" width="12.5703125" bestFit="1" customWidth="1"/>
    <col min="6" max="6" width="11.5703125" bestFit="1" customWidth="1"/>
    <col min="7" max="7" width="15.5703125" bestFit="1" customWidth="1"/>
    <col min="8" max="8" width="12.5703125" bestFit="1" customWidth="1"/>
    <col min="9" max="9" width="11.5703125" bestFit="1" customWidth="1"/>
    <col min="10" max="10" width="15.5703125" bestFit="1" customWidth="1"/>
  </cols>
  <sheetData>
    <row r="1" spans="1:10" s="70" customFormat="1" ht="15.75" thickBot="1">
      <c r="A1" s="260" t="s">
        <v>350</v>
      </c>
      <c r="B1" s="261"/>
      <c r="C1" s="261"/>
      <c r="D1" s="262"/>
    </row>
    <row r="2" spans="1:10">
      <c r="A2" s="61"/>
      <c r="B2" s="420" t="s">
        <v>180</v>
      </c>
      <c r="C2" s="420"/>
      <c r="D2" s="420"/>
      <c r="E2" s="421" t="s">
        <v>181</v>
      </c>
      <c r="F2" s="421"/>
      <c r="G2" s="421"/>
      <c r="H2" s="421" t="s">
        <v>184</v>
      </c>
      <c r="I2" s="421"/>
      <c r="J2" s="421"/>
    </row>
    <row r="3" spans="1:10">
      <c r="A3" s="57" t="s">
        <v>182</v>
      </c>
      <c r="B3" s="59" t="s">
        <v>3</v>
      </c>
      <c r="C3" s="59" t="s">
        <v>4</v>
      </c>
      <c r="D3" s="59" t="s">
        <v>183</v>
      </c>
      <c r="E3" s="59" t="s">
        <v>3</v>
      </c>
      <c r="F3" s="59" t="s">
        <v>4</v>
      </c>
      <c r="G3" s="59" t="s">
        <v>183</v>
      </c>
      <c r="H3" s="64" t="s">
        <v>3</v>
      </c>
      <c r="I3" s="64" t="s">
        <v>4</v>
      </c>
      <c r="J3" s="64" t="s">
        <v>183</v>
      </c>
    </row>
    <row r="4" spans="1:10">
      <c r="A4" s="58">
        <v>2011</v>
      </c>
      <c r="B4" s="60">
        <v>67589620.938434899</v>
      </c>
      <c r="C4" s="60">
        <v>61025192.007822327</v>
      </c>
      <c r="D4" s="60">
        <v>45576604.453742757</v>
      </c>
      <c r="E4" s="60">
        <v>66361337.366384834</v>
      </c>
      <c r="F4" s="60">
        <v>59916201.606874757</v>
      </c>
      <c r="G4" s="60">
        <v>44748356.066740446</v>
      </c>
      <c r="H4" s="65">
        <v>64618903.518131681</v>
      </c>
      <c r="I4" s="65">
        <v>58342996.154998772</v>
      </c>
      <c r="J4" s="65">
        <v>43573409.126869567</v>
      </c>
    </row>
    <row r="5" spans="1:10">
      <c r="A5" s="58">
        <v>2012</v>
      </c>
      <c r="B5" s="60">
        <v>68481491.489715561</v>
      </c>
      <c r="C5" s="60">
        <v>62436143.392574497</v>
      </c>
      <c r="D5" s="60">
        <v>45886653.778709903</v>
      </c>
      <c r="E5" s="60">
        <v>67038270.202467538</v>
      </c>
      <c r="F5" s="60">
        <v>61120325.508389451</v>
      </c>
      <c r="G5" s="60">
        <v>44919610.069623053</v>
      </c>
      <c r="H5" s="65">
        <v>65020046.233294405</v>
      </c>
      <c r="I5" s="65">
        <v>59280264.516777605</v>
      </c>
      <c r="J5" s="65">
        <v>43567280.520327985</v>
      </c>
    </row>
    <row r="6" spans="1:10">
      <c r="A6" s="58">
        <v>2013</v>
      </c>
      <c r="B6" s="60">
        <v>69385130.609442055</v>
      </c>
      <c r="C6" s="60">
        <v>63879717.105002075</v>
      </c>
      <c r="D6" s="60">
        <v>46191505.27647081</v>
      </c>
      <c r="E6" s="60">
        <v>67722108.234900281</v>
      </c>
      <c r="F6" s="60">
        <v>62348648.446747497</v>
      </c>
      <c r="G6" s="60">
        <v>45084387.568198003</v>
      </c>
      <c r="H6" s="65">
        <v>65423679.171428554</v>
      </c>
      <c r="I6" s="65">
        <v>60232589.90407598</v>
      </c>
      <c r="J6" s="65">
        <v>43554262.92505867</v>
      </c>
    </row>
    <row r="7" spans="1:10">
      <c r="A7" s="58">
        <v>2014</v>
      </c>
      <c r="B7" s="60">
        <v>70300693.588315561</v>
      </c>
      <c r="C7" s="60">
        <v>65356667.399485804</v>
      </c>
      <c r="D7" s="60">
        <v>46490837.297977269</v>
      </c>
      <c r="E7" s="60">
        <v>68412921.90159671</v>
      </c>
      <c r="F7" s="60">
        <v>63601656.745144881</v>
      </c>
      <c r="G7" s="60">
        <v>45242427.334102303</v>
      </c>
      <c r="H7" s="65">
        <v>65829817.791397542</v>
      </c>
      <c r="I7" s="65">
        <v>61200214.204945095</v>
      </c>
      <c r="J7" s="65">
        <v>43534184.260225065</v>
      </c>
    </row>
    <row r="8" spans="1:10">
      <c r="A8" s="58">
        <v>2015</v>
      </c>
      <c r="B8" s="60">
        <v>71228337.766156629</v>
      </c>
      <c r="C8" s="60">
        <v>66867765.969372675</v>
      </c>
      <c r="D8" s="60">
        <v>46784317.524535999</v>
      </c>
      <c r="E8" s="60">
        <v>69110782.358987242</v>
      </c>
      <c r="F8" s="60">
        <v>64879846.500317484</v>
      </c>
      <c r="G8" s="60">
        <v>45393461.193309322</v>
      </c>
      <c r="H8" s="65">
        <v>66238477.648030676</v>
      </c>
      <c r="I8" s="65">
        <v>62183383.193318509</v>
      </c>
      <c r="J8" s="65">
        <v>43506869.145271085</v>
      </c>
    </row>
    <row r="9" spans="1:10">
      <c r="A9" s="58">
        <v>2016</v>
      </c>
      <c r="B9" s="60">
        <v>72168222.558944151</v>
      </c>
      <c r="C9" s="60">
        <v>68413802.350178778</v>
      </c>
      <c r="D9" s="60">
        <v>47071602.669843368</v>
      </c>
      <c r="E9" s="60">
        <v>69815761.489348501</v>
      </c>
      <c r="F9" s="60">
        <v>66183723.778957807</v>
      </c>
      <c r="G9" s="60">
        <v>45537213.864939131</v>
      </c>
      <c r="H9" s="65">
        <v>66649674.392718881</v>
      </c>
      <c r="I9" s="65">
        <v>63182346.591437958</v>
      </c>
      <c r="J9" s="65">
        <v>43472138.842356391</v>
      </c>
    </row>
    <row r="10" spans="1:10">
      <c r="A10" s="58">
        <v>2017</v>
      </c>
      <c r="B10" s="60">
        <v>73120509.486210972</v>
      </c>
      <c r="C10" s="60">
        <v>69995584.332114577</v>
      </c>
      <c r="D10" s="60">
        <v>47352338.17432522</v>
      </c>
      <c r="E10" s="60">
        <v>70527931.908207446</v>
      </c>
      <c r="F10" s="60">
        <v>67513804.818079367</v>
      </c>
      <c r="G10" s="60">
        <v>45673402.796557553</v>
      </c>
      <c r="H10" s="65">
        <v>67063423.774014175</v>
      </c>
      <c r="I10" s="65">
        <v>64197358.133282237</v>
      </c>
      <c r="J10" s="65">
        <v>43429811.197828919</v>
      </c>
    </row>
    <row r="11" spans="1:10">
      <c r="A11" s="58">
        <v>2018</v>
      </c>
      <c r="B11" s="60">
        <v>74085362.19880113</v>
      </c>
      <c r="C11" s="60">
        <v>71613938.382148117</v>
      </c>
      <c r="D11" s="60">
        <v>47626157.891591243</v>
      </c>
      <c r="E11" s="60">
        <v>71247366.971821085</v>
      </c>
      <c r="F11" s="60">
        <v>68870616.229407549</v>
      </c>
      <c r="G11" s="60">
        <v>45801737.99588988</v>
      </c>
      <c r="H11" s="65">
        <v>67479741.638232797</v>
      </c>
      <c r="I11" s="65">
        <v>65228675.629014857</v>
      </c>
      <c r="J11" s="65">
        <v>43379700.582718693</v>
      </c>
    </row>
    <row r="12" spans="1:10">
      <c r="A12" s="58">
        <v>2019</v>
      </c>
      <c r="B12" s="60">
        <v>75062946.506993338</v>
      </c>
      <c r="C12" s="60">
        <v>73269710.075826645</v>
      </c>
      <c r="D12" s="60">
        <v>47892683.766808614</v>
      </c>
      <c r="E12" s="60">
        <v>71974140.784732372</v>
      </c>
      <c r="F12" s="60">
        <v>70254695.207878053</v>
      </c>
      <c r="G12" s="60">
        <v>45921921.858873509</v>
      </c>
      <c r="H12" s="65">
        <v>67898643.93006207</v>
      </c>
      <c r="I12" s="65">
        <v>66276561.030467153</v>
      </c>
      <c r="J12" s="65">
        <v>43321617.832236834</v>
      </c>
    </row>
    <row r="13" spans="1:10">
      <c r="A13" s="58">
        <v>2020</v>
      </c>
      <c r="B13" s="60">
        <v>75795311.851512372</v>
      </c>
      <c r="C13" s="60">
        <v>74694983.989000916</v>
      </c>
      <c r="D13" s="60">
        <v>47932464.159486711</v>
      </c>
      <c r="E13" s="60">
        <v>73014600</v>
      </c>
      <c r="F13" s="60">
        <v>71954640</v>
      </c>
      <c r="G13" s="60">
        <v>46173960</v>
      </c>
      <c r="H13" s="65">
        <v>68473774.509624198</v>
      </c>
      <c r="I13" s="65">
        <v>67479734.111824021</v>
      </c>
      <c r="J13" s="65">
        <v>43302371.378551789</v>
      </c>
    </row>
    <row r="14" spans="1:10">
      <c r="A14" s="58">
        <v>2021</v>
      </c>
      <c r="B14" s="60">
        <v>77646291.923808932</v>
      </c>
      <c r="C14" s="60">
        <v>75985518.699069455</v>
      </c>
      <c r="D14" s="60">
        <v>48957827.337121598</v>
      </c>
      <c r="E14" s="60">
        <v>74358117.56582579</v>
      </c>
      <c r="F14" s="60">
        <v>72767674.962120622</v>
      </c>
      <c r="G14" s="60">
        <v>46884555.472053602</v>
      </c>
      <c r="H14" s="65">
        <v>69184112.323747784</v>
      </c>
      <c r="I14" s="65">
        <v>67704336.297387198</v>
      </c>
      <c r="J14" s="65">
        <v>43622222.538865015</v>
      </c>
    </row>
    <row r="15" spans="1:10">
      <c r="A15" s="58">
        <v>2022</v>
      </c>
      <c r="B15" s="60">
        <v>79542474.359475285</v>
      </c>
      <c r="C15" s="60">
        <v>77298350.486517876</v>
      </c>
      <c r="D15" s="60">
        <v>50003195.511166818</v>
      </c>
      <c r="E15" s="60">
        <v>75726356.755130723</v>
      </c>
      <c r="F15" s="60">
        <v>73589896.626441821</v>
      </c>
      <c r="G15" s="60">
        <v>47604249.838427432</v>
      </c>
      <c r="H15" s="65">
        <v>69901819.08771804</v>
      </c>
      <c r="I15" s="65">
        <v>67929686.05764702</v>
      </c>
      <c r="J15" s="65">
        <v>43942740.712754905</v>
      </c>
    </row>
    <row r="16" spans="1:10">
      <c r="A16" s="58">
        <v>2023</v>
      </c>
      <c r="B16" s="60">
        <v>81484963.035146728</v>
      </c>
      <c r="C16" s="60">
        <v>78633864.586749628</v>
      </c>
      <c r="D16" s="60">
        <v>51068917.162763946</v>
      </c>
      <c r="E16" s="60">
        <v>77119772.462352395</v>
      </c>
      <c r="F16" s="60">
        <v>74421408.795999482</v>
      </c>
      <c r="G16" s="60">
        <v>48333129.509948082</v>
      </c>
      <c r="H16" s="65">
        <v>70626971.246038929</v>
      </c>
      <c r="I16" s="65">
        <v>68155785.880860403</v>
      </c>
      <c r="J16" s="65">
        <v>44263908.452227458</v>
      </c>
    </row>
    <row r="17" spans="1:10">
      <c r="A17" s="58">
        <v>2024</v>
      </c>
      <c r="B17" s="60">
        <v>83474888.784978822</v>
      </c>
      <c r="C17" s="60">
        <v>79992452.891032204</v>
      </c>
      <c r="D17" s="60">
        <v>52155345.749127135</v>
      </c>
      <c r="E17" s="60">
        <v>78538827.952290803</v>
      </c>
      <c r="F17" s="60">
        <v>75262316.446728036</v>
      </c>
      <c r="G17" s="60">
        <v>49071281.030805588</v>
      </c>
      <c r="H17" s="65">
        <v>71359646.036239505</v>
      </c>
      <c r="I17" s="65">
        <v>68382638.263566151</v>
      </c>
      <c r="J17" s="65">
        <v>44585707.938375004</v>
      </c>
    </row>
    <row r="18" spans="1:10">
      <c r="A18" s="58">
        <v>2025</v>
      </c>
      <c r="B18" s="60">
        <v>85513410.058970824</v>
      </c>
      <c r="C18" s="60">
        <v>81374514.061493143</v>
      </c>
      <c r="D18" s="60">
        <v>53262839.740602069</v>
      </c>
      <c r="E18" s="60">
        <v>79983995.014128715</v>
      </c>
      <c r="F18" s="60">
        <v>76112725.740713477</v>
      </c>
      <c r="G18" s="60">
        <v>49818791.056429595</v>
      </c>
      <c r="H18" s="65">
        <v>72099921.497100651</v>
      </c>
      <c r="I18" s="65">
        <v>68610245.710612714</v>
      </c>
      <c r="J18" s="65">
        <v>44908120.976134539</v>
      </c>
    </row>
    <row r="19" spans="1:10">
      <c r="A19" s="58">
        <v>2026</v>
      </c>
      <c r="B19" s="60">
        <v>87601713.59736602</v>
      </c>
      <c r="C19" s="60">
        <v>82780453.648102909</v>
      </c>
      <c r="D19" s="60">
        <v>54391762.656679481</v>
      </c>
      <c r="E19" s="60">
        <v>81455754.118286029</v>
      </c>
      <c r="F19" s="60">
        <v>76972744.039595917</v>
      </c>
      <c r="G19" s="60">
        <v>50575746.330558889</v>
      </c>
      <c r="H19" s="65">
        <v>72847876.476967216</v>
      </c>
      <c r="I19" s="65">
        <v>68838610.735185787</v>
      </c>
      <c r="J19" s="65">
        <v>45231128.988981813</v>
      </c>
    </row>
    <row r="20" spans="1:10">
      <c r="A20" s="58">
        <v>2027</v>
      </c>
      <c r="B20" s="60">
        <v>89741015.121521175</v>
      </c>
      <c r="C20" s="60">
        <v>84210684.207678765</v>
      </c>
      <c r="D20" s="60">
        <v>55542483.100893587</v>
      </c>
      <c r="E20" s="60">
        <v>82954594.576160237</v>
      </c>
      <c r="F20" s="60">
        <v>77842479.918123752</v>
      </c>
      <c r="G20" s="60">
        <v>51342233.661483444</v>
      </c>
      <c r="H20" s="65">
        <v>73603590.6421462</v>
      </c>
      <c r="I20" s="65">
        <v>69067735.858836025</v>
      </c>
      <c r="J20" s="65">
        <v>45554713.013560548</v>
      </c>
    </row>
    <row r="21" spans="1:10">
      <c r="A21" s="58">
        <v>2028</v>
      </c>
      <c r="B21" s="60">
        <v>91932560.041647866</v>
      </c>
      <c r="C21" s="60">
        <v>85665625.424944907</v>
      </c>
      <c r="D21" s="60">
        <v>56715374.794532716</v>
      </c>
      <c r="E21" s="60">
        <v>84481014.702806532</v>
      </c>
      <c r="F21" s="60">
        <v>78722043.177860841</v>
      </c>
      <c r="G21" s="60">
        <v>52118339.897436589</v>
      </c>
      <c r="H21" s="65">
        <v>74367144.485392287</v>
      </c>
      <c r="I21" s="65">
        <v>69297623.611506894</v>
      </c>
      <c r="J21" s="65">
        <v>45878853.694245368</v>
      </c>
    </row>
    <row r="22" spans="1:10">
      <c r="A22" s="58">
        <v>2029</v>
      </c>
      <c r="B22" s="60">
        <v>94177624.181837186</v>
      </c>
      <c r="C22" s="60">
        <v>87145704.235684067</v>
      </c>
      <c r="D22" s="60">
        <v>57910816.609087832</v>
      </c>
      <c r="E22" s="60">
        <v>86035521.982610926</v>
      </c>
      <c r="F22" s="60">
        <v>79611544.861048609</v>
      </c>
      <c r="G22" s="60">
        <v>52904151.901115961</v>
      </c>
      <c r="H22" s="65">
        <v>75138619.334481284</v>
      </c>
      <c r="I22" s="65">
        <v>69528276.531562671</v>
      </c>
      <c r="J22" s="65">
        <v>46203531.277638592</v>
      </c>
    </row>
    <row r="23" spans="1:10">
      <c r="A23" s="58">
        <v>2030</v>
      </c>
      <c r="B23" s="60">
        <v>96091085.156083077</v>
      </c>
      <c r="C23" s="60">
        <v>88230224.379821956</v>
      </c>
      <c r="D23" s="60">
        <v>58865050.464094967</v>
      </c>
      <c r="E23" s="60">
        <v>87486120</v>
      </c>
      <c r="F23" s="60">
        <v>80329200</v>
      </c>
      <c r="G23" s="60">
        <v>53593680.000000007</v>
      </c>
      <c r="H23" s="65">
        <v>76184747.821958452</v>
      </c>
      <c r="I23" s="65">
        <v>69952351.810089022</v>
      </c>
      <c r="J23" s="65">
        <v>46670500.367952533</v>
      </c>
    </row>
    <row r="24" spans="1:10">
      <c r="A24" s="58">
        <v>2031</v>
      </c>
      <c r="B24" s="62">
        <v>98043423.017825022</v>
      </c>
      <c r="C24" s="62">
        <v>89328241.275788948</v>
      </c>
      <c r="D24" s="62">
        <v>59835007.845437221</v>
      </c>
      <c r="E24" s="62">
        <v>88961175.759488657</v>
      </c>
      <c r="F24" s="62">
        <v>81053324.412966385</v>
      </c>
      <c r="G24" s="62">
        <v>54292195.087278448</v>
      </c>
      <c r="H24" s="66">
        <v>77245441.187284127</v>
      </c>
      <c r="I24" s="66">
        <v>70379013.659875706</v>
      </c>
      <c r="J24" s="66">
        <v>47142189.013791323</v>
      </c>
    </row>
    <row r="25" spans="1:10">
      <c r="A25" s="58">
        <v>2032</v>
      </c>
      <c r="B25" s="62">
        <v>100035427.65115352</v>
      </c>
      <c r="C25" s="62">
        <v>90439922.889400065</v>
      </c>
      <c r="D25" s="62">
        <v>60820947.839793533</v>
      </c>
      <c r="E25" s="62">
        <v>90461101.6297286</v>
      </c>
      <c r="F25" s="62">
        <v>81783976.416963845</v>
      </c>
      <c r="G25" s="62">
        <v>54999814.295176245</v>
      </c>
      <c r="H25" s="66">
        <v>78320902.212113976</v>
      </c>
      <c r="I25" s="66">
        <v>70808277.857251182</v>
      </c>
      <c r="J25" s="66">
        <v>47618644.914681137</v>
      </c>
    </row>
    <row r="26" spans="1:10">
      <c r="A26" s="58">
        <v>2033</v>
      </c>
      <c r="B26" s="62">
        <v>102067904.98868862</v>
      </c>
      <c r="C26" s="62">
        <v>91565439.276789233</v>
      </c>
      <c r="D26" s="62">
        <v>61823133.802981034</v>
      </c>
      <c r="E26" s="62">
        <v>91986316.932094485</v>
      </c>
      <c r="F26" s="62">
        <v>82521214.854704916</v>
      </c>
      <c r="G26" s="62">
        <v>55716656.282565296</v>
      </c>
      <c r="H26" s="66">
        <v>79411336.501361117</v>
      </c>
      <c r="I26" s="66">
        <v>71240160.274768814</v>
      </c>
      <c r="J26" s="66">
        <v>48099916.25223697</v>
      </c>
    </row>
    <row r="27" spans="1:10">
      <c r="A27" s="58">
        <v>2034</v>
      </c>
      <c r="B27" s="62">
        <v>104141677.33764705</v>
      </c>
      <c r="C27" s="62">
        <v>92704962.610423043</v>
      </c>
      <c r="D27" s="62">
        <v>62841833.430300437</v>
      </c>
      <c r="E27" s="62">
        <v>93537248.05791004</v>
      </c>
      <c r="F27" s="62">
        <v>83265099.099337459</v>
      </c>
      <c r="G27" s="62">
        <v>56442841.25486201</v>
      </c>
      <c r="H27" s="66">
        <v>80516952.522503346</v>
      </c>
      <c r="I27" s="66">
        <v>71674676.881793723</v>
      </c>
      <c r="J27" s="66">
        <v>48586051.695034914</v>
      </c>
    </row>
    <row r="28" spans="1:10">
      <c r="A28" s="58">
        <v>2035</v>
      </c>
      <c r="B28" s="62">
        <v>106257583.7125344</v>
      </c>
      <c r="C28" s="62">
        <v>93858667.205438361</v>
      </c>
      <c r="D28" s="62">
        <v>63877318.828040473</v>
      </c>
      <c r="E28" s="62">
        <v>95114328.587650523</v>
      </c>
      <c r="F28" s="62">
        <v>84015689.059226215</v>
      </c>
      <c r="G28" s="62">
        <v>57178490.984184258</v>
      </c>
      <c r="H28" s="66">
        <v>81637961.645437613</v>
      </c>
      <c r="I28" s="66">
        <v>72111843.745093361</v>
      </c>
      <c r="J28" s="66">
        <v>49077100.403533906</v>
      </c>
    </row>
    <row r="29" spans="1:10">
      <c r="A29" s="58">
        <v>2036</v>
      </c>
      <c r="B29" s="62">
        <v>108416480.1745967</v>
      </c>
      <c r="C29" s="62">
        <v>95026729.546307608</v>
      </c>
      <c r="D29" s="62">
        <v>64929866.586160578</v>
      </c>
      <c r="E29" s="62">
        <v>96717999.412155136</v>
      </c>
      <c r="F29" s="62">
        <v>84773045.182777524</v>
      </c>
      <c r="G29" s="62">
        <v>57923728.829771027</v>
      </c>
      <c r="H29" s="66">
        <v>82774578.182889327</v>
      </c>
      <c r="I29" s="66">
        <v>72551677.029431522</v>
      </c>
      <c r="J29" s="66">
        <v>49573112.035046913</v>
      </c>
    </row>
    <row r="30" spans="1:10">
      <c r="A30" s="58">
        <v>2037</v>
      </c>
      <c r="B30" s="62">
        <v>110619240.1781688</v>
      </c>
      <c r="C30" s="62">
        <v>96209328.313835979</v>
      </c>
      <c r="D30" s="62">
        <v>65999757.852171287</v>
      </c>
      <c r="E30" s="62">
        <v>98348708.855883107</v>
      </c>
      <c r="F30" s="62">
        <v>85537228.463307545</v>
      </c>
      <c r="G30" s="62">
        <v>58678679.758668244</v>
      </c>
      <c r="H30" s="66">
        <v>83927019.431384429</v>
      </c>
      <c r="I30" s="66">
        <v>72994192.998166099</v>
      </c>
      <c r="J30" s="66">
        <v>50074136.748762704</v>
      </c>
    </row>
    <row r="31" spans="1:10">
      <c r="A31" s="58">
        <v>2038</v>
      </c>
      <c r="B31" s="62">
        <v>112866754.92405978</v>
      </c>
      <c r="C31" s="62">
        <v>97406644.412494659</v>
      </c>
      <c r="D31" s="62">
        <v>67087278.406231843</v>
      </c>
      <c r="E31" s="62">
        <v>100006912.8022479</v>
      </c>
      <c r="F31" s="62">
        <v>86308300.443954229</v>
      </c>
      <c r="G31" s="62">
        <v>59443470.366684146</v>
      </c>
      <c r="H31" s="66">
        <v>85095505.712791666</v>
      </c>
      <c r="I31" s="66">
        <v>73439408.013850406</v>
      </c>
      <c r="J31" s="66">
        <v>50580225.210818037</v>
      </c>
    </row>
    <row r="32" spans="1:10">
      <c r="A32" s="58">
        <v>2039</v>
      </c>
      <c r="B32" s="62">
        <v>115159933.72011836</v>
      </c>
      <c r="C32" s="62">
        <v>98618860.998093978</v>
      </c>
      <c r="D32" s="62">
        <v>68192718.737485424</v>
      </c>
      <c r="E32" s="62">
        <v>101693074.82106453</v>
      </c>
      <c r="F32" s="62">
        <v>87086323.222633764</v>
      </c>
      <c r="G32" s="62">
        <v>60218228.899617828</v>
      </c>
      <c r="H32" s="66">
        <v>86280260.416443467</v>
      </c>
      <c r="I32" s="66">
        <v>73887338.538838282</v>
      </c>
      <c r="J32" s="66">
        <v>51091428.599421397</v>
      </c>
    </row>
    <row r="33" spans="1:10">
      <c r="A33" s="58">
        <v>2040</v>
      </c>
      <c r="B33" s="62">
        <v>117499704.34912395</v>
      </c>
      <c r="C33" s="62">
        <v>99846163.505801186</v>
      </c>
      <c r="D33" s="62">
        <v>69316374.121652037</v>
      </c>
      <c r="E33" s="62">
        <v>103407666.29814595</v>
      </c>
      <c r="F33" s="62">
        <v>87871359.457041562</v>
      </c>
      <c r="G33" s="62">
        <v>61003085.274764486</v>
      </c>
      <c r="H33" s="66">
        <v>87481510.041843101</v>
      </c>
      <c r="I33" s="66">
        <v>74338001.13589263</v>
      </c>
      <c r="J33" s="66">
        <v>51607798.610028327</v>
      </c>
    </row>
    <row r="34" spans="1:10">
      <c r="A34" s="58">
        <v>2041</v>
      </c>
      <c r="B34" s="62">
        <v>119887013.4441525</v>
      </c>
      <c r="C34" s="62">
        <v>101088739.67850697</v>
      </c>
      <c r="D34" s="62">
        <v>70458544.69990012</v>
      </c>
      <c r="E34" s="62">
        <v>105151166.56708416</v>
      </c>
      <c r="F34" s="62">
        <v>88663472.369698331</v>
      </c>
      <c r="G34" s="62">
        <v>61798171.10270083</v>
      </c>
      <c r="H34" s="66">
        <v>88699484.241966516</v>
      </c>
      <c r="I34" s="66">
        <v>74791412.468798116</v>
      </c>
      <c r="J34" s="66">
        <v>52129387.460569143</v>
      </c>
    </row>
    <row r="35" spans="1:10">
      <c r="A35" s="58">
        <v>2042</v>
      </c>
      <c r="B35" s="62">
        <v>122322826.87156874</v>
      </c>
      <c r="C35" s="62">
        <v>102346779.5955447</v>
      </c>
      <c r="D35" s="62">
        <v>71619535.559017554</v>
      </c>
      <c r="E35" s="62">
        <v>106924063.04325351</v>
      </c>
      <c r="F35" s="62">
        <v>89462725.753041729</v>
      </c>
      <c r="G35" s="62">
        <v>62603619.709354669</v>
      </c>
      <c r="H35" s="66">
        <v>89934415.867167026</v>
      </c>
      <c r="I35" s="66">
        <v>75247589.302977026</v>
      </c>
      <c r="J35" s="66">
        <v>52656247.896729484</v>
      </c>
    </row>
    <row r="36" spans="1:10">
      <c r="A36" s="58">
        <v>2043</v>
      </c>
      <c r="B36" s="62">
        <v>124808130.12180005</v>
      </c>
      <c r="C36" s="62">
        <v>103620475.70176719</v>
      </c>
      <c r="D36" s="62">
        <v>72799656.812903956</v>
      </c>
      <c r="E36" s="62">
        <v>108726851.36007312</v>
      </c>
      <c r="F36" s="62">
        <v>90269183.974563837</v>
      </c>
      <c r="G36" s="62">
        <v>63419566.158361822</v>
      </c>
      <c r="H36" s="66">
        <v>91186541.009691283</v>
      </c>
      <c r="I36" s="66">
        <v>75706548.506109461</v>
      </c>
      <c r="J36" s="66">
        <v>53188433.197284251</v>
      </c>
    </row>
    <row r="37" spans="1:10">
      <c r="A37" s="58">
        <v>2044</v>
      </c>
      <c r="B37" s="62">
        <v>127343928.70804986</v>
      </c>
      <c r="C37" s="62">
        <v>104910022.83698562</v>
      </c>
      <c r="D37" s="62">
        <v>73999223.685405463</v>
      </c>
      <c r="E37" s="62">
        <v>110560035.50756694</v>
      </c>
      <c r="F37" s="62">
        <v>91082911.981994957</v>
      </c>
      <c r="G37" s="62">
        <v>64246147.273714773</v>
      </c>
      <c r="H37" s="66">
        <v>92456099.048814952</v>
      </c>
      <c r="I37" s="66">
        <v>76168307.048756808</v>
      </c>
      <c r="J37" s="66">
        <v>53725997.179485328</v>
      </c>
    </row>
    <row r="38" spans="1:10">
      <c r="A38" s="58">
        <v>2045</v>
      </c>
      <c r="B38" s="62">
        <v>129931248.5731118</v>
      </c>
      <c r="C38" s="62">
        <v>106215618.26577424</v>
      </c>
      <c r="D38" s="62">
        <v>75218556.594514877</v>
      </c>
      <c r="E38" s="62">
        <v>112424127.97325985</v>
      </c>
      <c r="F38" s="62">
        <v>91903975.308534145</v>
      </c>
      <c r="G38" s="62">
        <v>65083501.662706196</v>
      </c>
      <c r="H38" s="66">
        <v>93743332.696606934</v>
      </c>
      <c r="I38" s="66">
        <v>76632882.00498946</v>
      </c>
      <c r="J38" s="66">
        <v>54268994.204503983</v>
      </c>
    </row>
    <row r="39" spans="1:10">
      <c r="A39" s="58">
        <v>2046</v>
      </c>
      <c r="B39" s="62">
        <v>132571136.50444952</v>
      </c>
      <c r="C39" s="62">
        <v>107537461.70764668</v>
      </c>
      <c r="D39" s="62">
        <v>76457981.237958625</v>
      </c>
      <c r="E39" s="62">
        <v>114319649.88544942</v>
      </c>
      <c r="F39" s="62">
        <v>92732440.078126878</v>
      </c>
      <c r="G39" s="62">
        <v>65931769.739171773</v>
      </c>
      <c r="H39" s="66">
        <v>95048488.044330612</v>
      </c>
      <c r="I39" s="66">
        <v>77100290.553017974</v>
      </c>
      <c r="J39" s="66">
        <v>54817479.182928011</v>
      </c>
    </row>
    <row r="40" spans="1:10">
      <c r="A40" s="58">
        <v>2047</v>
      </c>
      <c r="B40" s="62">
        <v>135264660.55770984</v>
      </c>
      <c r="C40" s="62">
        <v>108875755.36760709</v>
      </c>
      <c r="D40" s="62">
        <v>77717828.680194676</v>
      </c>
      <c r="E40" s="62">
        <v>116247131.15889324</v>
      </c>
      <c r="F40" s="62">
        <v>93568373.010790408</v>
      </c>
      <c r="G40" s="62">
        <v>66791093.747035749</v>
      </c>
      <c r="H40" s="66">
        <v>96371814.609491199</v>
      </c>
      <c r="I40" s="66">
        <v>77570549.975828364</v>
      </c>
      <c r="J40" s="66">
        <v>55371507.580314696</v>
      </c>
    </row>
    <row r="41" spans="1:10">
      <c r="A41" s="58">
        <v>2048</v>
      </c>
      <c r="B41" s="62">
        <v>138012910.48884061</v>
      </c>
      <c r="C41" s="62">
        <v>110230703.96708204</v>
      </c>
      <c r="D41" s="62">
        <v>78998435.440843388</v>
      </c>
      <c r="E41" s="62">
        <v>118207110.64295264</v>
      </c>
      <c r="F41" s="62">
        <v>94411841.42798686</v>
      </c>
      <c r="G41" s="62">
        <v>67661617.784163505</v>
      </c>
      <c r="H41" s="66">
        <v>97713565.383538127</v>
      </c>
      <c r="I41" s="66">
        <v>78043677.661821097</v>
      </c>
      <c r="J41" s="66">
        <v>55931135.422799662</v>
      </c>
    </row>
    <row r="42" spans="1:10">
      <c r="A42" s="58">
        <v>2049</v>
      </c>
      <c r="B42" s="62">
        <v>140816998.19498837</v>
      </c>
      <c r="C42" s="62">
        <v>111602514.77523714</v>
      </c>
      <c r="D42" s="62">
        <v>80300143.584575862</v>
      </c>
      <c r="E42" s="62">
        <v>120200136.27223416</v>
      </c>
      <c r="F42" s="62">
        <v>95262913.258045122</v>
      </c>
      <c r="G42" s="62">
        <v>68543487.826524943</v>
      </c>
      <c r="H42" s="66">
        <v>99073996.880231515</v>
      </c>
      <c r="I42" s="66">
        <v>78519691.105454117</v>
      </c>
      <c r="J42" s="66">
        <v>56496419.302762561</v>
      </c>
    </row>
    <row r="43" spans="1:10">
      <c r="A43" s="58">
        <v>2050</v>
      </c>
      <c r="B43" s="62">
        <v>143678058.16435343</v>
      </c>
      <c r="C43" s="62">
        <v>112991397.64068346</v>
      </c>
      <c r="D43" s="62">
        <v>81623300.812483281</v>
      </c>
      <c r="E43" s="62">
        <v>122226765.21977098</v>
      </c>
      <c r="F43" s="62">
        <v>96121657.041631281</v>
      </c>
      <c r="G43" s="62">
        <v>69436851.752672836</v>
      </c>
      <c r="H43" s="66">
        <v>100453369.18468206</v>
      </c>
      <c r="I43" s="66">
        <v>78998607.907889634</v>
      </c>
      <c r="J43" s="66">
        <v>57067416.38454999</v>
      </c>
    </row>
    <row r="44" spans="1:10">
      <c r="A44" s="56"/>
      <c r="B44" s="56"/>
      <c r="C44" s="56"/>
      <c r="D44" s="56"/>
      <c r="E44" s="56"/>
      <c r="F44" s="56"/>
      <c r="G44" s="56"/>
      <c r="H44" s="63"/>
      <c r="I44" s="63"/>
      <c r="J44" s="63"/>
    </row>
    <row r="45" spans="1:10">
      <c r="A45" s="56"/>
      <c r="B45" s="56"/>
      <c r="C45" s="56"/>
      <c r="D45" s="56"/>
      <c r="E45" s="56"/>
      <c r="F45" s="56"/>
      <c r="G45" s="56"/>
      <c r="H45" s="63"/>
      <c r="I45" s="63"/>
      <c r="J45" s="63"/>
    </row>
    <row r="46" spans="1:10">
      <c r="A46" s="56"/>
      <c r="B46" s="56"/>
      <c r="C46" s="56"/>
      <c r="D46" s="56"/>
      <c r="E46" s="56"/>
      <c r="F46" s="56"/>
      <c r="G46" s="56"/>
      <c r="H46" s="63"/>
      <c r="I46" s="63"/>
      <c r="J46" s="63"/>
    </row>
    <row r="47" spans="1:10">
      <c r="A47" s="56"/>
      <c r="B47" s="56"/>
      <c r="C47" s="56"/>
      <c r="D47" s="56"/>
      <c r="E47" s="56"/>
      <c r="F47" s="56"/>
      <c r="G47" s="56"/>
      <c r="H47" s="63"/>
      <c r="I47" s="63"/>
      <c r="J47" s="63"/>
    </row>
    <row r="48" spans="1:10">
      <c r="A48" s="56"/>
      <c r="B48" s="56"/>
      <c r="C48" s="56"/>
      <c r="D48" s="56"/>
      <c r="E48" s="56"/>
      <c r="F48" s="56"/>
      <c r="G48" s="56"/>
      <c r="H48" s="63"/>
      <c r="I48" s="63"/>
      <c r="J48" s="63"/>
    </row>
    <row r="49" spans="1:10">
      <c r="A49" s="56"/>
      <c r="B49" s="56"/>
      <c r="C49" s="56"/>
      <c r="D49" s="56"/>
      <c r="E49" s="56"/>
      <c r="F49" s="56"/>
      <c r="G49" s="56"/>
      <c r="H49" s="63"/>
      <c r="I49" s="63"/>
      <c r="J49" s="63"/>
    </row>
    <row r="50" spans="1:10">
      <c r="A50" s="55"/>
      <c r="B50" s="55"/>
      <c r="C50" s="55"/>
      <c r="D50" s="55"/>
      <c r="E50" s="55"/>
      <c r="F50" s="55"/>
      <c r="G50" s="55"/>
      <c r="H50" s="56"/>
      <c r="I50" s="56"/>
      <c r="J50" s="56"/>
    </row>
    <row r="51" spans="1:10">
      <c r="A51" s="55"/>
      <c r="B51" s="55"/>
      <c r="C51" s="55"/>
      <c r="D51" s="55"/>
      <c r="E51" s="55"/>
      <c r="F51" s="55"/>
      <c r="G51" s="55"/>
      <c r="H51" s="56"/>
      <c r="I51" s="56"/>
      <c r="J51" s="56"/>
    </row>
    <row r="52" spans="1:10">
      <c r="A52" s="55"/>
      <c r="B52" s="55"/>
      <c r="C52" s="55"/>
      <c r="D52" s="55"/>
      <c r="E52" s="55"/>
      <c r="F52" s="55"/>
      <c r="G52" s="55"/>
      <c r="H52" s="56"/>
      <c r="I52" s="56"/>
      <c r="J52" s="56"/>
    </row>
    <row r="53" spans="1:10">
      <c r="A53" s="55"/>
      <c r="B53" s="55"/>
      <c r="C53" s="55"/>
      <c r="D53" s="55"/>
      <c r="E53" s="55"/>
      <c r="F53" s="55"/>
      <c r="G53" s="55"/>
      <c r="H53" s="56"/>
      <c r="I53" s="56"/>
      <c r="J53" s="56"/>
    </row>
    <row r="54" spans="1:10">
      <c r="A54" s="55"/>
      <c r="B54" s="55"/>
      <c r="C54" s="55"/>
      <c r="D54" s="55"/>
      <c r="E54" s="55"/>
      <c r="F54" s="55"/>
      <c r="G54" s="55"/>
      <c r="H54" s="56"/>
      <c r="I54" s="56"/>
      <c r="J54" s="56"/>
    </row>
    <row r="55" spans="1:10">
      <c r="A55" s="55"/>
      <c r="B55" s="55"/>
      <c r="C55" s="55"/>
      <c r="D55" s="55"/>
      <c r="E55" s="55"/>
      <c r="F55" s="55"/>
      <c r="G55" s="55"/>
      <c r="H55" s="56"/>
      <c r="I55" s="56"/>
      <c r="J55" s="56"/>
    </row>
    <row r="56" spans="1:10">
      <c r="A56" s="55"/>
      <c r="B56" s="55"/>
      <c r="C56" s="55"/>
      <c r="D56" s="55"/>
      <c r="E56" s="55"/>
      <c r="F56" s="55"/>
      <c r="G56" s="55"/>
      <c r="H56" s="56"/>
      <c r="I56" s="56"/>
      <c r="J56" s="56"/>
    </row>
    <row r="57" spans="1:10">
      <c r="A57" s="55"/>
      <c r="B57" s="55"/>
      <c r="C57" s="55"/>
      <c r="D57" s="55"/>
      <c r="E57" s="55"/>
      <c r="F57" s="55"/>
      <c r="G57" s="55"/>
      <c r="H57" s="56"/>
      <c r="I57" s="56"/>
      <c r="J57" s="56"/>
    </row>
    <row r="58" spans="1:10">
      <c r="A58" s="55"/>
      <c r="B58" s="55"/>
      <c r="C58" s="55"/>
      <c r="D58" s="55"/>
      <c r="E58" s="55"/>
      <c r="F58" s="55"/>
      <c r="G58" s="55"/>
      <c r="H58" s="56"/>
      <c r="I58" s="56"/>
      <c r="J58" s="56"/>
    </row>
    <row r="59" spans="1:10">
      <c r="A59" s="55"/>
      <c r="B59" s="55"/>
      <c r="C59" s="55"/>
      <c r="D59" s="55"/>
      <c r="E59" s="55"/>
      <c r="F59" s="55"/>
      <c r="G59" s="55"/>
      <c r="H59" s="56"/>
      <c r="I59" s="56"/>
      <c r="J59" s="56"/>
    </row>
    <row r="60" spans="1:10">
      <c r="A60" s="55"/>
      <c r="B60" s="55"/>
      <c r="C60" s="55"/>
      <c r="D60" s="55"/>
      <c r="E60" s="55"/>
      <c r="F60" s="55"/>
      <c r="G60" s="55"/>
      <c r="H60" s="56"/>
      <c r="I60" s="56"/>
      <c r="J60" s="56"/>
    </row>
    <row r="61" spans="1:10">
      <c r="A61" s="55"/>
      <c r="B61" s="55"/>
      <c r="C61" s="55"/>
      <c r="D61" s="55"/>
      <c r="E61" s="55"/>
      <c r="F61" s="55"/>
      <c r="G61" s="55"/>
      <c r="H61" s="56"/>
      <c r="I61" s="56"/>
      <c r="J61" s="56"/>
    </row>
    <row r="62" spans="1:10">
      <c r="A62" s="55"/>
      <c r="B62" s="55"/>
      <c r="C62" s="55"/>
      <c r="D62" s="55"/>
      <c r="E62" s="55"/>
      <c r="F62" s="55"/>
      <c r="G62" s="55"/>
      <c r="H62" s="56"/>
      <c r="I62" s="56"/>
      <c r="J62" s="56"/>
    </row>
    <row r="63" spans="1:10">
      <c r="A63" s="55"/>
      <c r="B63" s="55"/>
      <c r="C63" s="55"/>
      <c r="D63" s="55"/>
      <c r="E63" s="55"/>
      <c r="F63" s="55"/>
      <c r="G63" s="55"/>
      <c r="H63" s="56"/>
      <c r="I63" s="56"/>
      <c r="J63" s="56"/>
    </row>
    <row r="64" spans="1:10">
      <c r="A64" s="55"/>
      <c r="B64" s="55"/>
      <c r="C64" s="55"/>
      <c r="D64" s="55"/>
      <c r="E64" s="55"/>
      <c r="F64" s="55"/>
      <c r="G64" s="55"/>
      <c r="H64" s="56"/>
      <c r="I64" s="56"/>
      <c r="J64" s="56"/>
    </row>
    <row r="65" spans="1:10">
      <c r="A65" s="55"/>
      <c r="B65" s="55"/>
      <c r="C65" s="55"/>
      <c r="D65" s="55"/>
      <c r="E65" s="55"/>
      <c r="F65" s="55"/>
      <c r="G65" s="55"/>
      <c r="H65" s="56"/>
      <c r="I65" s="56"/>
      <c r="J65" s="56"/>
    </row>
    <row r="66" spans="1:10">
      <c r="A66" s="55"/>
      <c r="B66" s="55"/>
      <c r="C66" s="55"/>
      <c r="D66" s="55"/>
      <c r="E66" s="55"/>
      <c r="F66" s="55"/>
      <c r="G66" s="55"/>
      <c r="H66" s="56"/>
      <c r="I66" s="56"/>
      <c r="J66" s="56"/>
    </row>
    <row r="67" spans="1:10">
      <c r="A67" s="55"/>
      <c r="B67" s="55"/>
      <c r="C67" s="55"/>
      <c r="D67" s="55"/>
      <c r="E67" s="55"/>
      <c r="F67" s="55"/>
      <c r="G67" s="55"/>
      <c r="H67" s="56"/>
      <c r="I67" s="56"/>
      <c r="J67" s="56"/>
    </row>
    <row r="68" spans="1:10">
      <c r="A68" s="55"/>
      <c r="B68" s="55"/>
      <c r="C68" s="55"/>
      <c r="D68" s="55"/>
      <c r="E68" s="55"/>
      <c r="F68" s="55"/>
      <c r="G68" s="55"/>
      <c r="H68" s="56"/>
      <c r="I68" s="56"/>
      <c r="J68" s="56"/>
    </row>
    <row r="69" spans="1:10">
      <c r="A69" s="55"/>
      <c r="B69" s="55"/>
      <c r="C69" s="55"/>
      <c r="D69" s="55"/>
      <c r="E69" s="55"/>
      <c r="F69" s="55"/>
      <c r="G69" s="55"/>
      <c r="H69" s="56"/>
      <c r="I69" s="56"/>
      <c r="J69" s="56"/>
    </row>
    <row r="70" spans="1:10">
      <c r="A70" s="55"/>
      <c r="B70" s="55"/>
      <c r="C70" s="55"/>
      <c r="D70" s="55"/>
      <c r="E70" s="55"/>
      <c r="F70" s="55"/>
      <c r="G70" s="55"/>
      <c r="H70" s="56"/>
      <c r="I70" s="56"/>
      <c r="J70" s="56"/>
    </row>
    <row r="71" spans="1:10">
      <c r="A71" s="55"/>
      <c r="B71" s="55"/>
      <c r="C71" s="55"/>
      <c r="D71" s="55"/>
      <c r="E71" s="55"/>
      <c r="F71" s="55"/>
      <c r="G71" s="55"/>
      <c r="H71" s="56"/>
      <c r="I71" s="56"/>
      <c r="J71" s="56"/>
    </row>
    <row r="72" spans="1:10">
      <c r="A72" s="55"/>
      <c r="B72" s="55"/>
      <c r="C72" s="55"/>
      <c r="D72" s="55"/>
      <c r="E72" s="55"/>
      <c r="F72" s="55"/>
      <c r="G72" s="55"/>
      <c r="H72" s="56"/>
      <c r="I72" s="56"/>
      <c r="J72" s="56"/>
    </row>
    <row r="73" spans="1:10">
      <c r="A73" s="55"/>
      <c r="B73" s="55"/>
      <c r="C73" s="55"/>
      <c r="D73" s="55"/>
      <c r="E73" s="55"/>
      <c r="F73" s="55"/>
      <c r="G73" s="55"/>
      <c r="H73" s="56"/>
      <c r="I73" s="56"/>
      <c r="J73" s="56"/>
    </row>
    <row r="74" spans="1:10">
      <c r="A74" s="55"/>
      <c r="B74" s="55"/>
      <c r="C74" s="55"/>
      <c r="D74" s="55"/>
      <c r="E74" s="55"/>
      <c r="F74" s="55"/>
      <c r="G74" s="55"/>
      <c r="H74" s="56"/>
      <c r="I74" s="56"/>
      <c r="J74" s="56"/>
    </row>
    <row r="75" spans="1:10">
      <c r="A75" s="55"/>
      <c r="B75" s="55"/>
      <c r="C75" s="55"/>
      <c r="D75" s="55"/>
      <c r="E75" s="55"/>
      <c r="F75" s="55"/>
      <c r="G75" s="55"/>
      <c r="H75" s="56"/>
      <c r="I75" s="56"/>
      <c r="J75" s="56"/>
    </row>
    <row r="76" spans="1:10">
      <c r="A76" s="55"/>
      <c r="B76" s="55"/>
      <c r="C76" s="55"/>
      <c r="D76" s="55"/>
      <c r="E76" s="55"/>
      <c r="F76" s="55"/>
      <c r="G76" s="55"/>
      <c r="H76" s="56"/>
      <c r="I76" s="56"/>
      <c r="J76" s="56"/>
    </row>
    <row r="77" spans="1:10">
      <c r="A77" s="55"/>
      <c r="B77" s="55"/>
      <c r="C77" s="55"/>
      <c r="D77" s="55"/>
      <c r="E77" s="55"/>
      <c r="F77" s="55"/>
      <c r="G77" s="55"/>
      <c r="H77" s="56"/>
      <c r="I77" s="56"/>
      <c r="J77" s="56"/>
    </row>
    <row r="78" spans="1:10">
      <c r="A78" s="55"/>
      <c r="B78" s="55"/>
      <c r="C78" s="55"/>
      <c r="D78" s="55"/>
      <c r="E78" s="55"/>
      <c r="F78" s="55"/>
      <c r="G78" s="55"/>
      <c r="H78" s="56"/>
      <c r="I78" s="56"/>
      <c r="J78" s="56"/>
    </row>
    <row r="79" spans="1:10">
      <c r="A79" s="55"/>
      <c r="B79" s="55"/>
      <c r="C79" s="55"/>
      <c r="D79" s="55"/>
      <c r="E79" s="55"/>
      <c r="F79" s="55"/>
      <c r="G79" s="55"/>
      <c r="H79" s="56"/>
      <c r="I79" s="56"/>
      <c r="J79" s="56"/>
    </row>
    <row r="80" spans="1:10">
      <c r="A80" s="55"/>
      <c r="B80" s="55"/>
      <c r="C80" s="55"/>
      <c r="D80" s="55"/>
      <c r="E80" s="55"/>
      <c r="F80" s="55"/>
      <c r="G80" s="55"/>
      <c r="H80" s="56"/>
      <c r="I80" s="56"/>
      <c r="J80" s="56"/>
    </row>
    <row r="81" spans="1:10">
      <c r="A81" s="55"/>
      <c r="B81" s="55"/>
      <c r="C81" s="55"/>
      <c r="D81" s="55"/>
      <c r="E81" s="55"/>
      <c r="F81" s="55"/>
      <c r="G81" s="55"/>
      <c r="H81" s="56"/>
      <c r="I81" s="56"/>
      <c r="J81" s="56"/>
    </row>
    <row r="82" spans="1:10">
      <c r="A82" s="55"/>
      <c r="B82" s="55"/>
      <c r="C82" s="55"/>
      <c r="D82" s="55"/>
      <c r="E82" s="55"/>
      <c r="F82" s="55"/>
      <c r="G82" s="55"/>
      <c r="H82" s="56"/>
      <c r="I82" s="56"/>
      <c r="J82" s="56"/>
    </row>
    <row r="83" spans="1:10">
      <c r="A83" s="55"/>
      <c r="B83" s="55"/>
      <c r="C83" s="55"/>
      <c r="D83" s="55"/>
      <c r="E83" s="55"/>
      <c r="F83" s="55"/>
      <c r="G83" s="55"/>
      <c r="H83" s="56"/>
      <c r="I83" s="56"/>
      <c r="J83" s="56"/>
    </row>
    <row r="84" spans="1:10">
      <c r="A84" s="55"/>
      <c r="B84" s="55"/>
      <c r="C84" s="55"/>
      <c r="D84" s="55"/>
      <c r="E84" s="55"/>
      <c r="F84" s="55"/>
      <c r="G84" s="55"/>
      <c r="H84" s="56"/>
      <c r="I84" s="56"/>
      <c r="J84" s="56"/>
    </row>
    <row r="85" spans="1:10">
      <c r="A85" s="55"/>
      <c r="B85" s="55"/>
      <c r="C85" s="55"/>
      <c r="D85" s="55"/>
      <c r="E85" s="55"/>
      <c r="F85" s="55"/>
      <c r="G85" s="55"/>
      <c r="H85" s="56"/>
      <c r="I85" s="56"/>
      <c r="J85" s="56"/>
    </row>
    <row r="86" spans="1:10">
      <c r="A86" s="55"/>
      <c r="B86" s="55"/>
      <c r="C86" s="55"/>
      <c r="D86" s="55"/>
      <c r="E86" s="55"/>
      <c r="F86" s="55"/>
      <c r="G86" s="55"/>
      <c r="H86" s="56"/>
      <c r="I86" s="56"/>
      <c r="J86" s="56"/>
    </row>
    <row r="87" spans="1:10">
      <c r="A87" s="55"/>
      <c r="B87" s="55"/>
      <c r="C87" s="55"/>
      <c r="D87" s="55"/>
      <c r="E87" s="55"/>
      <c r="F87" s="55"/>
      <c r="G87" s="55"/>
      <c r="H87" s="56"/>
      <c r="I87" s="56"/>
      <c r="J87" s="56"/>
    </row>
    <row r="88" spans="1:10">
      <c r="A88" s="55"/>
      <c r="B88" s="55"/>
      <c r="C88" s="55"/>
      <c r="D88" s="55"/>
      <c r="E88" s="55"/>
      <c r="F88" s="55"/>
      <c r="G88" s="55"/>
      <c r="H88" s="56"/>
      <c r="I88" s="56"/>
      <c r="J88" s="56"/>
    </row>
    <row r="89" spans="1:10">
      <c r="A89" s="55"/>
      <c r="B89" s="55"/>
      <c r="C89" s="55"/>
      <c r="D89" s="55"/>
      <c r="E89" s="55"/>
      <c r="F89" s="55"/>
      <c r="G89" s="55"/>
      <c r="H89" s="56"/>
      <c r="I89" s="56"/>
      <c r="J89" s="56"/>
    </row>
    <row r="90" spans="1:10">
      <c r="A90" s="55"/>
      <c r="B90" s="55"/>
      <c r="C90" s="55"/>
      <c r="D90" s="55"/>
      <c r="E90" s="55"/>
      <c r="F90" s="55"/>
      <c r="G90" s="55"/>
      <c r="H90" s="56"/>
      <c r="I90" s="56"/>
      <c r="J90" s="56"/>
    </row>
    <row r="91" spans="1:10">
      <c r="A91" s="55"/>
      <c r="B91" s="55"/>
      <c r="C91" s="55"/>
      <c r="D91" s="55"/>
      <c r="E91" s="55"/>
      <c r="F91" s="55"/>
      <c r="G91" s="55"/>
      <c r="H91" s="56"/>
      <c r="I91" s="56"/>
      <c r="J91" s="56"/>
    </row>
    <row r="92" spans="1:10">
      <c r="A92" s="55"/>
      <c r="B92" s="55"/>
      <c r="C92" s="55"/>
      <c r="D92" s="55"/>
      <c r="E92" s="55"/>
      <c r="F92" s="55"/>
      <c r="G92" s="55"/>
      <c r="H92" s="56"/>
      <c r="I92" s="56"/>
      <c r="J92" s="56"/>
    </row>
    <row r="93" spans="1:10">
      <c r="A93" s="55"/>
      <c r="B93" s="55"/>
      <c r="C93" s="55"/>
      <c r="D93" s="55"/>
      <c r="E93" s="55"/>
      <c r="F93" s="55"/>
      <c r="G93" s="55"/>
      <c r="H93" s="56"/>
      <c r="I93" s="56"/>
      <c r="J93" s="56"/>
    </row>
    <row r="94" spans="1:10">
      <c r="A94" s="55"/>
      <c r="B94" s="55"/>
      <c r="C94" s="55"/>
      <c r="D94" s="55"/>
      <c r="E94" s="55"/>
      <c r="F94" s="55"/>
      <c r="G94" s="55"/>
      <c r="H94" s="56"/>
      <c r="I94" s="56"/>
      <c r="J94" s="56"/>
    </row>
    <row r="95" spans="1:10">
      <c r="A95" s="55"/>
      <c r="B95" s="55"/>
      <c r="C95" s="55"/>
      <c r="D95" s="55"/>
      <c r="E95" s="55"/>
      <c r="F95" s="55"/>
      <c r="G95" s="55"/>
      <c r="H95" s="56"/>
      <c r="I95" s="56"/>
      <c r="J95" s="56"/>
    </row>
    <row r="96" spans="1:10">
      <c r="A96" s="55"/>
      <c r="B96" s="55"/>
      <c r="C96" s="55"/>
      <c r="D96" s="55"/>
      <c r="E96" s="55"/>
      <c r="F96" s="55"/>
      <c r="G96" s="55"/>
      <c r="H96" s="56"/>
      <c r="I96" s="56"/>
      <c r="J96" s="56"/>
    </row>
    <row r="97" spans="1:10">
      <c r="A97" s="55"/>
      <c r="B97" s="55"/>
      <c r="C97" s="55"/>
      <c r="D97" s="55"/>
      <c r="E97" s="55"/>
      <c r="F97" s="55"/>
      <c r="G97" s="55"/>
      <c r="H97" s="56"/>
      <c r="I97" s="56"/>
      <c r="J97" s="56"/>
    </row>
    <row r="98" spans="1:10">
      <c r="A98" s="55"/>
      <c r="B98" s="55"/>
      <c r="C98" s="55"/>
      <c r="D98" s="55"/>
      <c r="E98" s="55"/>
      <c r="F98" s="55"/>
      <c r="G98" s="55"/>
      <c r="H98" s="56"/>
      <c r="I98" s="56"/>
      <c r="J98" s="56"/>
    </row>
    <row r="99" spans="1:10">
      <c r="A99" s="55"/>
      <c r="B99" s="55"/>
      <c r="C99" s="55"/>
      <c r="D99" s="55"/>
      <c r="E99" s="55"/>
      <c r="F99" s="55"/>
      <c r="G99" s="55"/>
      <c r="H99" s="56"/>
      <c r="I99" s="56"/>
      <c r="J99" s="56"/>
    </row>
    <row r="100" spans="1:10">
      <c r="A100" s="55"/>
      <c r="B100" s="55"/>
      <c r="C100" s="55"/>
      <c r="D100" s="55"/>
      <c r="E100" s="55"/>
      <c r="F100" s="55"/>
      <c r="G100" s="55"/>
      <c r="H100" s="56"/>
      <c r="I100" s="56"/>
      <c r="J100" s="56"/>
    </row>
    <row r="101" spans="1:10">
      <c r="A101" s="55"/>
      <c r="B101" s="55"/>
      <c r="C101" s="55"/>
      <c r="D101" s="55"/>
      <c r="E101" s="55"/>
      <c r="F101" s="55"/>
      <c r="G101" s="55"/>
      <c r="H101" s="56"/>
      <c r="I101" s="56"/>
      <c r="J101" s="56"/>
    </row>
    <row r="102" spans="1:10">
      <c r="A102" s="55"/>
      <c r="B102" s="55"/>
      <c r="C102" s="55"/>
      <c r="D102" s="55"/>
      <c r="E102" s="55"/>
      <c r="F102" s="55"/>
      <c r="G102" s="55"/>
      <c r="H102" s="56"/>
      <c r="I102" s="56"/>
      <c r="J102" s="56"/>
    </row>
    <row r="103" spans="1:10">
      <c r="A103" s="55"/>
      <c r="B103" s="55"/>
      <c r="C103" s="55"/>
      <c r="D103" s="55"/>
      <c r="E103" s="55"/>
      <c r="F103" s="55"/>
      <c r="G103" s="55"/>
      <c r="H103" s="56"/>
      <c r="I103" s="56"/>
      <c r="J103" s="56"/>
    </row>
    <row r="104" spans="1:10">
      <c r="A104" s="55"/>
      <c r="B104" s="55"/>
      <c r="C104" s="55"/>
      <c r="D104" s="55"/>
      <c r="E104" s="55"/>
      <c r="F104" s="55"/>
      <c r="G104" s="55"/>
      <c r="H104" s="56"/>
      <c r="I104" s="56"/>
      <c r="J104" s="56"/>
    </row>
    <row r="105" spans="1:10">
      <c r="A105" s="55"/>
      <c r="B105" s="55"/>
      <c r="C105" s="55"/>
      <c r="D105" s="55"/>
      <c r="E105" s="55"/>
      <c r="F105" s="55"/>
      <c r="G105" s="55"/>
      <c r="H105" s="56"/>
      <c r="I105" s="56"/>
      <c r="J105" s="56"/>
    </row>
    <row r="106" spans="1:10">
      <c r="A106" s="55"/>
      <c r="B106" s="55"/>
      <c r="C106" s="55"/>
      <c r="D106" s="55"/>
      <c r="E106" s="55"/>
      <c r="F106" s="55"/>
      <c r="G106" s="55"/>
      <c r="H106" s="56"/>
      <c r="I106" s="56"/>
      <c r="J106" s="56"/>
    </row>
    <row r="107" spans="1:10">
      <c r="A107" s="55"/>
      <c r="B107" s="55"/>
      <c r="C107" s="55"/>
      <c r="D107" s="55"/>
      <c r="E107" s="55"/>
      <c r="F107" s="55"/>
      <c r="G107" s="55"/>
      <c r="H107" s="56"/>
      <c r="I107" s="56"/>
      <c r="J107" s="56"/>
    </row>
    <row r="108" spans="1:10">
      <c r="A108" s="55"/>
      <c r="B108" s="55"/>
      <c r="C108" s="55"/>
      <c r="D108" s="55"/>
      <c r="E108" s="55"/>
      <c r="F108" s="55"/>
      <c r="G108" s="55"/>
      <c r="H108" s="56"/>
      <c r="I108" s="56"/>
      <c r="J108" s="56"/>
    </row>
    <row r="109" spans="1:10">
      <c r="A109" s="55"/>
      <c r="B109" s="55"/>
      <c r="C109" s="55"/>
      <c r="D109" s="55"/>
      <c r="E109" s="55"/>
      <c r="F109" s="55"/>
      <c r="G109" s="55"/>
      <c r="H109" s="56"/>
      <c r="I109" s="56"/>
      <c r="J109" s="56"/>
    </row>
    <row r="110" spans="1:10">
      <c r="A110" s="55"/>
      <c r="B110" s="55"/>
      <c r="C110" s="55"/>
      <c r="D110" s="55"/>
      <c r="E110" s="55"/>
      <c r="F110" s="55"/>
      <c r="G110" s="55"/>
      <c r="H110" s="56"/>
      <c r="I110" s="56"/>
      <c r="J110" s="56"/>
    </row>
    <row r="111" spans="1:10">
      <c r="A111" s="55"/>
      <c r="B111" s="55"/>
      <c r="C111" s="55"/>
      <c r="D111" s="55"/>
      <c r="E111" s="55"/>
      <c r="F111" s="55"/>
      <c r="G111" s="55"/>
      <c r="H111" s="56"/>
      <c r="I111" s="56"/>
      <c r="J111" s="56"/>
    </row>
    <row r="112" spans="1:10">
      <c r="A112" s="55"/>
      <c r="B112" s="55"/>
      <c r="C112" s="55"/>
      <c r="D112" s="55"/>
      <c r="E112" s="55"/>
      <c r="F112" s="55"/>
      <c r="G112" s="55"/>
      <c r="H112" s="56"/>
      <c r="I112" s="56"/>
      <c r="J112" s="56"/>
    </row>
    <row r="113" spans="1:10">
      <c r="A113" s="55"/>
      <c r="B113" s="55"/>
      <c r="C113" s="55"/>
      <c r="D113" s="55"/>
      <c r="E113" s="55"/>
      <c r="F113" s="55"/>
      <c r="G113" s="55"/>
      <c r="H113" s="56"/>
      <c r="I113" s="56"/>
      <c r="J113" s="56"/>
    </row>
    <row r="114" spans="1:10">
      <c r="A114" s="55"/>
      <c r="B114" s="55"/>
      <c r="C114" s="55"/>
      <c r="D114" s="55"/>
      <c r="E114" s="55"/>
      <c r="F114" s="55"/>
      <c r="G114" s="55"/>
      <c r="H114" s="56"/>
      <c r="I114" s="56"/>
      <c r="J114" s="56"/>
    </row>
    <row r="115" spans="1:10">
      <c r="A115" s="55"/>
      <c r="B115" s="55"/>
      <c r="C115" s="55"/>
      <c r="D115" s="55"/>
      <c r="E115" s="55"/>
      <c r="F115" s="55"/>
      <c r="G115" s="55"/>
      <c r="H115" s="56"/>
      <c r="I115" s="56"/>
      <c r="J115" s="56"/>
    </row>
    <row r="116" spans="1:10">
      <c r="A116" s="55"/>
      <c r="B116" s="55"/>
      <c r="C116" s="55"/>
      <c r="D116" s="55"/>
      <c r="E116" s="55"/>
      <c r="F116" s="55"/>
      <c r="G116" s="55"/>
      <c r="H116" s="56"/>
      <c r="I116" s="56"/>
      <c r="J116" s="56"/>
    </row>
    <row r="117" spans="1:10">
      <c r="A117" s="55"/>
      <c r="B117" s="55"/>
      <c r="C117" s="55"/>
      <c r="D117" s="55"/>
      <c r="E117" s="55"/>
      <c r="F117" s="55"/>
      <c r="G117" s="55"/>
      <c r="H117" s="56"/>
      <c r="I117" s="56"/>
      <c r="J117" s="56"/>
    </row>
    <row r="118" spans="1:10">
      <c r="A118" s="55"/>
      <c r="B118" s="55"/>
      <c r="C118" s="55"/>
      <c r="D118" s="55"/>
      <c r="E118" s="55"/>
      <c r="F118" s="55"/>
      <c r="G118" s="55"/>
      <c r="H118" s="56"/>
      <c r="I118" s="56"/>
      <c r="J118" s="56"/>
    </row>
    <row r="119" spans="1:10">
      <c r="A119" s="55"/>
      <c r="B119" s="55"/>
      <c r="C119" s="55"/>
      <c r="D119" s="55"/>
      <c r="E119" s="55"/>
      <c r="F119" s="55"/>
      <c r="G119" s="55"/>
      <c r="H119" s="56"/>
      <c r="I119" s="56"/>
      <c r="J119" s="56"/>
    </row>
    <row r="120" spans="1:10">
      <c r="A120" s="55"/>
      <c r="B120" s="55"/>
      <c r="C120" s="55"/>
      <c r="D120" s="55"/>
      <c r="E120" s="55"/>
      <c r="F120" s="55"/>
      <c r="G120" s="55"/>
      <c r="H120" s="56"/>
      <c r="I120" s="56"/>
      <c r="J120" s="56"/>
    </row>
    <row r="121" spans="1:10">
      <c r="A121" s="55"/>
      <c r="B121" s="55"/>
      <c r="C121" s="55"/>
      <c r="D121" s="55"/>
      <c r="E121" s="55"/>
      <c r="F121" s="55"/>
      <c r="G121" s="55"/>
      <c r="H121" s="56"/>
      <c r="I121" s="56"/>
      <c r="J121" s="56"/>
    </row>
    <row r="122" spans="1:10">
      <c r="A122" s="55"/>
      <c r="B122" s="55"/>
      <c r="C122" s="55"/>
      <c r="D122" s="55"/>
      <c r="E122" s="55"/>
      <c r="F122" s="55"/>
      <c r="G122" s="55"/>
      <c r="H122" s="56"/>
      <c r="I122" s="56"/>
      <c r="J122" s="56"/>
    </row>
    <row r="123" spans="1:10">
      <c r="A123" s="55"/>
      <c r="B123" s="55"/>
      <c r="C123" s="55"/>
      <c r="D123" s="55"/>
      <c r="E123" s="55"/>
      <c r="F123" s="55"/>
      <c r="G123" s="55"/>
      <c r="H123" s="56"/>
      <c r="I123" s="56"/>
      <c r="J123" s="56"/>
    </row>
    <row r="124" spans="1:10">
      <c r="A124" s="55"/>
      <c r="B124" s="55"/>
      <c r="C124" s="55"/>
      <c r="D124" s="55"/>
      <c r="E124" s="55"/>
      <c r="F124" s="55"/>
      <c r="G124" s="55"/>
      <c r="H124" s="56"/>
      <c r="I124" s="56"/>
      <c r="J124" s="56"/>
    </row>
    <row r="125" spans="1:10">
      <c r="A125" s="55"/>
      <c r="B125" s="55"/>
      <c r="C125" s="55"/>
      <c r="D125" s="55"/>
      <c r="E125" s="55"/>
      <c r="F125" s="55"/>
      <c r="G125" s="55"/>
      <c r="H125" s="56"/>
      <c r="I125" s="56"/>
      <c r="J125" s="56"/>
    </row>
    <row r="126" spans="1:10">
      <c r="A126" s="55"/>
      <c r="B126" s="55"/>
      <c r="C126" s="55"/>
      <c r="D126" s="55"/>
      <c r="E126" s="55"/>
      <c r="F126" s="55"/>
      <c r="G126" s="55"/>
      <c r="H126" s="56"/>
      <c r="I126" s="56"/>
      <c r="J126" s="56"/>
    </row>
    <row r="127" spans="1:10">
      <c r="A127" s="55"/>
      <c r="B127" s="55"/>
      <c r="C127" s="55"/>
      <c r="D127" s="55"/>
      <c r="E127" s="55"/>
      <c r="F127" s="55"/>
      <c r="G127" s="55"/>
      <c r="H127" s="56"/>
      <c r="I127" s="56"/>
      <c r="J127" s="56"/>
    </row>
    <row r="128" spans="1:10">
      <c r="A128" s="55"/>
      <c r="B128" s="55"/>
      <c r="C128" s="55"/>
      <c r="D128" s="55"/>
      <c r="E128" s="55"/>
      <c r="F128" s="55"/>
      <c r="G128" s="55"/>
      <c r="H128" s="56"/>
      <c r="I128" s="56"/>
      <c r="J128" s="56"/>
    </row>
    <row r="129" spans="1:10">
      <c r="A129" s="55"/>
      <c r="B129" s="55"/>
      <c r="C129" s="55"/>
      <c r="D129" s="55"/>
      <c r="E129" s="55"/>
      <c r="F129" s="55"/>
      <c r="G129" s="55"/>
      <c r="H129" s="56"/>
      <c r="I129" s="56"/>
      <c r="J129" s="56"/>
    </row>
    <row r="130" spans="1:10">
      <c r="A130" s="55"/>
      <c r="B130" s="55"/>
      <c r="C130" s="55"/>
      <c r="D130" s="55"/>
      <c r="E130" s="55"/>
      <c r="F130" s="55"/>
      <c r="G130" s="55"/>
      <c r="H130" s="56"/>
      <c r="I130" s="56"/>
      <c r="J130" s="56"/>
    </row>
    <row r="131" spans="1:10">
      <c r="A131" s="55"/>
      <c r="B131" s="55"/>
      <c r="C131" s="55"/>
      <c r="D131" s="55"/>
      <c r="E131" s="55"/>
      <c r="F131" s="55"/>
      <c r="G131" s="55"/>
      <c r="H131" s="56"/>
      <c r="I131" s="56"/>
      <c r="J131" s="56"/>
    </row>
    <row r="132" spans="1:10">
      <c r="A132" s="55"/>
      <c r="B132" s="55"/>
      <c r="C132" s="55"/>
      <c r="D132" s="55"/>
      <c r="E132" s="55"/>
      <c r="F132" s="55"/>
      <c r="G132" s="55"/>
      <c r="H132" s="56"/>
      <c r="I132" s="56"/>
      <c r="J132" s="56"/>
    </row>
    <row r="133" spans="1:10">
      <c r="A133" s="55"/>
      <c r="B133" s="55"/>
      <c r="C133" s="55"/>
      <c r="D133" s="55"/>
      <c r="E133" s="55"/>
      <c r="F133" s="55"/>
      <c r="G133" s="55"/>
      <c r="H133" s="56"/>
      <c r="I133" s="56"/>
      <c r="J133" s="56"/>
    </row>
    <row r="134" spans="1:10">
      <c r="A134" s="55"/>
      <c r="B134" s="55"/>
      <c r="C134" s="55"/>
      <c r="D134" s="55"/>
      <c r="E134" s="55"/>
      <c r="F134" s="55"/>
      <c r="G134" s="55"/>
      <c r="H134" s="56"/>
      <c r="I134" s="56"/>
      <c r="J134" s="56"/>
    </row>
    <row r="135" spans="1:10">
      <c r="A135" s="55"/>
      <c r="B135" s="55"/>
      <c r="C135" s="55"/>
      <c r="D135" s="55"/>
      <c r="E135" s="55"/>
      <c r="F135" s="55"/>
      <c r="G135" s="55"/>
      <c r="H135" s="56"/>
      <c r="I135" s="56"/>
      <c r="J135" s="56"/>
    </row>
    <row r="136" spans="1:10">
      <c r="A136" s="55"/>
      <c r="B136" s="55"/>
      <c r="C136" s="55"/>
      <c r="D136" s="55"/>
      <c r="E136" s="55"/>
      <c r="F136" s="55"/>
      <c r="G136" s="55"/>
      <c r="H136" s="56"/>
      <c r="I136" s="56"/>
      <c r="J136" s="56"/>
    </row>
    <row r="137" spans="1:10">
      <c r="A137" s="55"/>
      <c r="B137" s="55"/>
      <c r="C137" s="55"/>
      <c r="D137" s="55"/>
      <c r="E137" s="55"/>
      <c r="F137" s="55"/>
      <c r="G137" s="55"/>
      <c r="H137" s="56"/>
      <c r="I137" s="56"/>
      <c r="J137" s="56"/>
    </row>
    <row r="138" spans="1:10">
      <c r="A138" s="55"/>
      <c r="B138" s="55"/>
      <c r="C138" s="55"/>
      <c r="D138" s="55"/>
      <c r="E138" s="55"/>
      <c r="F138" s="55"/>
      <c r="G138" s="55"/>
      <c r="H138" s="56"/>
      <c r="I138" s="56"/>
      <c r="J138" s="56"/>
    </row>
    <row r="139" spans="1:10">
      <c r="A139" s="55"/>
      <c r="B139" s="55"/>
      <c r="C139" s="55"/>
      <c r="D139" s="55"/>
      <c r="E139" s="55"/>
      <c r="F139" s="55"/>
      <c r="G139" s="55"/>
      <c r="H139" s="56"/>
      <c r="I139" s="56"/>
      <c r="J139" s="56"/>
    </row>
    <row r="140" spans="1:10">
      <c r="A140" s="55"/>
      <c r="B140" s="55"/>
      <c r="C140" s="55"/>
      <c r="D140" s="55"/>
      <c r="E140" s="55"/>
      <c r="F140" s="55"/>
      <c r="G140" s="55"/>
      <c r="H140" s="56"/>
      <c r="I140" s="56"/>
      <c r="J140" s="56"/>
    </row>
    <row r="141" spans="1:10">
      <c r="A141" s="55"/>
      <c r="B141" s="55"/>
      <c r="C141" s="55"/>
      <c r="D141" s="55"/>
      <c r="E141" s="55"/>
      <c r="F141" s="55"/>
      <c r="G141" s="55"/>
      <c r="H141" s="56"/>
      <c r="I141" s="56"/>
      <c r="J141" s="56"/>
    </row>
    <row r="142" spans="1:10">
      <c r="A142" s="55"/>
      <c r="B142" s="55"/>
      <c r="C142" s="55"/>
      <c r="D142" s="55"/>
      <c r="E142" s="55"/>
      <c r="F142" s="55"/>
      <c r="G142" s="55"/>
      <c r="H142" s="56"/>
      <c r="I142" s="56"/>
      <c r="J142" s="56"/>
    </row>
    <row r="143" spans="1:10">
      <c r="A143" s="55"/>
      <c r="B143" s="55"/>
      <c r="C143" s="55"/>
      <c r="D143" s="55"/>
      <c r="E143" s="55"/>
      <c r="F143" s="55"/>
      <c r="G143" s="55"/>
      <c r="H143" s="56"/>
      <c r="I143" s="56"/>
      <c r="J143" s="56"/>
    </row>
    <row r="144" spans="1:10">
      <c r="A144" s="55"/>
      <c r="B144" s="55"/>
      <c r="C144" s="55"/>
      <c r="D144" s="55"/>
      <c r="E144" s="55"/>
      <c r="F144" s="55"/>
      <c r="G144" s="55"/>
      <c r="H144" s="56"/>
      <c r="I144" s="56"/>
      <c r="J144" s="56"/>
    </row>
    <row r="145" spans="1:10">
      <c r="A145" s="55"/>
      <c r="B145" s="55"/>
      <c r="C145" s="55"/>
      <c r="D145" s="55"/>
      <c r="E145" s="55"/>
      <c r="F145" s="55"/>
      <c r="G145" s="55"/>
      <c r="H145" s="56"/>
      <c r="I145" s="56"/>
      <c r="J145" s="56"/>
    </row>
    <row r="146" spans="1:10">
      <c r="A146" s="55"/>
      <c r="B146" s="55"/>
      <c r="C146" s="55"/>
      <c r="D146" s="55"/>
      <c r="E146" s="55"/>
      <c r="F146" s="55"/>
      <c r="G146" s="55"/>
      <c r="H146" s="56"/>
      <c r="I146" s="56"/>
      <c r="J146" s="56"/>
    </row>
    <row r="147" spans="1:10">
      <c r="A147" s="55"/>
      <c r="B147" s="55"/>
      <c r="C147" s="55"/>
      <c r="D147" s="55"/>
      <c r="E147" s="55"/>
      <c r="F147" s="55"/>
      <c r="G147" s="55"/>
      <c r="H147" s="56"/>
      <c r="I147" s="56"/>
      <c r="J147" s="56"/>
    </row>
    <row r="148" spans="1:10">
      <c r="A148" s="55"/>
      <c r="B148" s="55"/>
      <c r="C148" s="55"/>
      <c r="D148" s="55"/>
      <c r="E148" s="55"/>
      <c r="F148" s="55"/>
      <c r="G148" s="55"/>
      <c r="H148" s="56"/>
      <c r="I148" s="56"/>
      <c r="J148" s="56"/>
    </row>
    <row r="149" spans="1:10">
      <c r="A149" s="55"/>
      <c r="B149" s="55"/>
      <c r="C149" s="55"/>
      <c r="D149" s="55"/>
      <c r="E149" s="55"/>
      <c r="F149" s="55"/>
      <c r="G149" s="55"/>
      <c r="H149" s="56"/>
      <c r="I149" s="56"/>
      <c r="J149" s="56"/>
    </row>
    <row r="150" spans="1:10">
      <c r="A150" s="55"/>
      <c r="B150" s="55"/>
      <c r="C150" s="55"/>
      <c r="D150" s="55"/>
      <c r="E150" s="55"/>
      <c r="F150" s="55"/>
      <c r="G150" s="55"/>
      <c r="H150" s="56"/>
      <c r="I150" s="56"/>
      <c r="J150" s="56"/>
    </row>
    <row r="151" spans="1:10">
      <c r="A151" s="55"/>
      <c r="B151" s="55"/>
      <c r="C151" s="55"/>
      <c r="D151" s="55"/>
      <c r="E151" s="55"/>
      <c r="F151" s="55"/>
      <c r="G151" s="55"/>
      <c r="H151" s="56"/>
      <c r="I151" s="56"/>
      <c r="J151" s="56"/>
    </row>
    <row r="152" spans="1:10">
      <c r="A152" s="55"/>
      <c r="B152" s="55"/>
      <c r="C152" s="55"/>
      <c r="D152" s="55"/>
      <c r="E152" s="55"/>
      <c r="F152" s="55"/>
      <c r="G152" s="55"/>
      <c r="H152" s="56"/>
      <c r="I152" s="56"/>
      <c r="J152" s="56"/>
    </row>
    <row r="153" spans="1:10">
      <c r="A153" s="55"/>
      <c r="B153" s="55"/>
      <c r="C153" s="55"/>
      <c r="D153" s="55"/>
      <c r="E153" s="55"/>
      <c r="F153" s="55"/>
      <c r="G153" s="55"/>
      <c r="H153" s="56"/>
      <c r="I153" s="56"/>
      <c r="J153" s="56"/>
    </row>
    <row r="154" spans="1:10">
      <c r="A154" s="55"/>
      <c r="B154" s="55"/>
      <c r="C154" s="55"/>
      <c r="D154" s="55"/>
      <c r="E154" s="55"/>
      <c r="F154" s="55"/>
      <c r="G154" s="55"/>
      <c r="H154" s="56"/>
      <c r="I154" s="56"/>
      <c r="J154" s="56"/>
    </row>
    <row r="155" spans="1:10">
      <c r="A155" s="55"/>
      <c r="B155" s="55"/>
      <c r="C155" s="55"/>
      <c r="D155" s="55"/>
      <c r="E155" s="55"/>
      <c r="F155" s="55"/>
      <c r="G155" s="55"/>
      <c r="H155" s="56"/>
      <c r="I155" s="56"/>
      <c r="J155" s="56"/>
    </row>
    <row r="156" spans="1:10">
      <c r="A156" s="55"/>
      <c r="B156" s="55"/>
      <c r="C156" s="55"/>
      <c r="D156" s="55"/>
      <c r="E156" s="55"/>
      <c r="F156" s="55"/>
      <c r="G156" s="55"/>
      <c r="H156" s="56"/>
      <c r="I156" s="56"/>
      <c r="J156" s="56"/>
    </row>
    <row r="157" spans="1:10">
      <c r="A157" s="55"/>
      <c r="B157" s="55"/>
      <c r="C157" s="55"/>
      <c r="D157" s="55"/>
      <c r="E157" s="55"/>
      <c r="F157" s="55"/>
      <c r="G157" s="55"/>
      <c r="H157" s="56"/>
      <c r="I157" s="56"/>
      <c r="J157" s="56"/>
    </row>
    <row r="158" spans="1:10">
      <c r="A158" s="55"/>
      <c r="B158" s="55"/>
      <c r="C158" s="55"/>
      <c r="D158" s="55"/>
      <c r="E158" s="55"/>
      <c r="F158" s="55"/>
      <c r="G158" s="55"/>
      <c r="H158" s="56"/>
      <c r="I158" s="56"/>
      <c r="J158" s="56"/>
    </row>
    <row r="159" spans="1:10">
      <c r="A159" s="55"/>
      <c r="B159" s="55"/>
      <c r="C159" s="55"/>
      <c r="D159" s="55"/>
      <c r="E159" s="55"/>
      <c r="F159" s="55"/>
      <c r="G159" s="55"/>
      <c r="H159" s="56"/>
      <c r="I159" s="56"/>
      <c r="J159" s="56"/>
    </row>
    <row r="160" spans="1:10">
      <c r="A160" s="55"/>
      <c r="B160" s="55"/>
      <c r="C160" s="55"/>
      <c r="D160" s="55"/>
      <c r="E160" s="55"/>
      <c r="F160" s="55"/>
      <c r="G160" s="55"/>
      <c r="H160" s="56"/>
      <c r="I160" s="56"/>
      <c r="J160" s="56"/>
    </row>
    <row r="161" spans="1:10">
      <c r="A161" s="55"/>
      <c r="B161" s="55"/>
      <c r="C161" s="55"/>
      <c r="D161" s="55"/>
      <c r="E161" s="55"/>
      <c r="F161" s="55"/>
      <c r="G161" s="55"/>
      <c r="H161" s="56"/>
      <c r="I161" s="56"/>
      <c r="J161" s="56"/>
    </row>
    <row r="162" spans="1:10">
      <c r="A162" s="55"/>
      <c r="B162" s="55"/>
      <c r="C162" s="55"/>
      <c r="D162" s="55"/>
      <c r="E162" s="55"/>
      <c r="F162" s="55"/>
      <c r="G162" s="55"/>
      <c r="H162" s="56"/>
      <c r="I162" s="56"/>
      <c r="J162" s="56"/>
    </row>
    <row r="163" spans="1:10">
      <c r="A163" s="55"/>
      <c r="B163" s="55"/>
      <c r="C163" s="55"/>
      <c r="D163" s="55"/>
      <c r="E163" s="55"/>
      <c r="F163" s="55"/>
      <c r="G163" s="55"/>
      <c r="H163" s="56"/>
      <c r="I163" s="56"/>
      <c r="J163" s="56"/>
    </row>
    <row r="164" spans="1:10">
      <c r="A164" s="55"/>
      <c r="B164" s="55"/>
      <c r="C164" s="55"/>
      <c r="D164" s="55"/>
      <c r="E164" s="55"/>
      <c r="F164" s="55"/>
      <c r="G164" s="55"/>
      <c r="H164" s="56"/>
      <c r="I164" s="56"/>
      <c r="J164" s="56"/>
    </row>
    <row r="165" spans="1:10">
      <c r="A165" s="55"/>
      <c r="B165" s="55"/>
      <c r="C165" s="55"/>
      <c r="D165" s="55"/>
      <c r="E165" s="55"/>
      <c r="F165" s="55"/>
      <c r="G165" s="55"/>
      <c r="H165" s="56"/>
      <c r="I165" s="56"/>
      <c r="J165" s="56"/>
    </row>
    <row r="166" spans="1:10">
      <c r="A166" s="55"/>
      <c r="B166" s="55"/>
      <c r="C166" s="55"/>
      <c r="D166" s="55"/>
      <c r="E166" s="55"/>
      <c r="F166" s="55"/>
      <c r="G166" s="55"/>
      <c r="H166" s="56"/>
      <c r="I166" s="56"/>
      <c r="J166" s="56"/>
    </row>
    <row r="167" spans="1:10">
      <c r="A167" s="55"/>
      <c r="B167" s="55"/>
      <c r="C167" s="55"/>
      <c r="D167" s="55"/>
      <c r="E167" s="55"/>
      <c r="F167" s="55"/>
      <c r="G167" s="55"/>
      <c r="H167" s="56"/>
      <c r="I167" s="56"/>
      <c r="J167" s="56"/>
    </row>
    <row r="168" spans="1:10">
      <c r="A168" s="55"/>
      <c r="B168" s="55"/>
      <c r="C168" s="55"/>
      <c r="D168" s="55"/>
      <c r="E168" s="55"/>
      <c r="F168" s="55"/>
      <c r="G168" s="55"/>
      <c r="H168" s="56"/>
      <c r="I168" s="56"/>
      <c r="J168" s="56"/>
    </row>
    <row r="169" spans="1:10">
      <c r="A169" s="55"/>
      <c r="B169" s="55"/>
      <c r="C169" s="55"/>
      <c r="D169" s="55"/>
      <c r="E169" s="55"/>
      <c r="F169" s="55"/>
      <c r="G169" s="55"/>
      <c r="H169" s="56"/>
      <c r="I169" s="56"/>
      <c r="J169" s="56"/>
    </row>
    <row r="170" spans="1:10">
      <c r="A170" s="55"/>
      <c r="B170" s="55"/>
      <c r="C170" s="55"/>
      <c r="D170" s="55"/>
      <c r="E170" s="55"/>
      <c r="F170" s="55"/>
      <c r="G170" s="55"/>
      <c r="H170" s="56"/>
      <c r="I170" s="56"/>
      <c r="J170" s="56"/>
    </row>
    <row r="171" spans="1:10">
      <c r="A171" s="55"/>
      <c r="B171" s="55"/>
      <c r="C171" s="55"/>
      <c r="D171" s="55"/>
      <c r="E171" s="55"/>
      <c r="F171" s="55"/>
      <c r="G171" s="55"/>
      <c r="H171" s="56"/>
      <c r="I171" s="56"/>
      <c r="J171" s="56"/>
    </row>
    <row r="172" spans="1:10">
      <c r="A172" s="55"/>
      <c r="B172" s="55"/>
      <c r="C172" s="55"/>
      <c r="D172" s="55"/>
      <c r="E172" s="55"/>
      <c r="F172" s="55"/>
      <c r="G172" s="55"/>
      <c r="H172" s="56"/>
      <c r="I172" s="56"/>
      <c r="J172" s="56"/>
    </row>
    <row r="173" spans="1:10">
      <c r="A173" s="55"/>
      <c r="B173" s="55"/>
      <c r="C173" s="55"/>
      <c r="D173" s="55"/>
      <c r="E173" s="55"/>
      <c r="F173" s="55"/>
      <c r="G173" s="55"/>
      <c r="H173" s="56"/>
      <c r="I173" s="56"/>
      <c r="J173" s="56"/>
    </row>
    <row r="174" spans="1:10">
      <c r="A174" s="55"/>
      <c r="B174" s="55"/>
      <c r="C174" s="55"/>
      <c r="D174" s="55"/>
      <c r="E174" s="55"/>
      <c r="F174" s="55"/>
      <c r="G174" s="55"/>
      <c r="H174" s="56"/>
      <c r="I174" s="56"/>
      <c r="J174" s="56"/>
    </row>
    <row r="175" spans="1:10">
      <c r="A175" s="55"/>
      <c r="B175" s="55"/>
      <c r="C175" s="55"/>
      <c r="D175" s="55"/>
      <c r="E175" s="55"/>
      <c r="F175" s="55"/>
      <c r="G175" s="55"/>
      <c r="H175" s="56"/>
      <c r="I175" s="56"/>
      <c r="J175" s="56"/>
    </row>
    <row r="176" spans="1:10">
      <c r="A176" s="55"/>
      <c r="B176" s="55"/>
      <c r="C176" s="55"/>
      <c r="D176" s="55"/>
      <c r="E176" s="55"/>
      <c r="F176" s="55"/>
      <c r="G176" s="55"/>
      <c r="H176" s="56"/>
      <c r="I176" s="56"/>
      <c r="J176" s="56"/>
    </row>
    <row r="177" spans="1:10">
      <c r="A177" s="55"/>
      <c r="B177" s="55"/>
      <c r="C177" s="55"/>
      <c r="D177" s="55"/>
      <c r="E177" s="55"/>
      <c r="F177" s="55"/>
      <c r="G177" s="55"/>
      <c r="H177" s="56"/>
      <c r="I177" s="56"/>
      <c r="J177" s="56"/>
    </row>
    <row r="178" spans="1:10">
      <c r="A178" s="55"/>
      <c r="B178" s="55"/>
      <c r="C178" s="55"/>
      <c r="D178" s="55"/>
      <c r="E178" s="55"/>
      <c r="F178" s="55"/>
      <c r="G178" s="55"/>
      <c r="H178" s="56"/>
      <c r="I178" s="56"/>
      <c r="J178" s="56"/>
    </row>
    <row r="179" spans="1:10">
      <c r="A179" s="55"/>
      <c r="B179" s="55"/>
      <c r="C179" s="55"/>
      <c r="D179" s="55"/>
      <c r="E179" s="55"/>
      <c r="F179" s="55"/>
      <c r="G179" s="55"/>
      <c r="H179" s="56"/>
      <c r="I179" s="56"/>
      <c r="J179" s="56"/>
    </row>
    <row r="180" spans="1:10">
      <c r="A180" s="55"/>
      <c r="B180" s="55"/>
      <c r="C180" s="55"/>
      <c r="D180" s="55"/>
      <c r="E180" s="55"/>
      <c r="F180" s="55"/>
      <c r="G180" s="55"/>
      <c r="H180" s="56"/>
      <c r="I180" s="56"/>
      <c r="J180" s="56"/>
    </row>
    <row r="181" spans="1:10">
      <c r="A181" s="55"/>
      <c r="B181" s="55"/>
      <c r="C181" s="55"/>
      <c r="D181" s="55"/>
      <c r="E181" s="55"/>
      <c r="F181" s="55"/>
      <c r="G181" s="55"/>
      <c r="H181" s="56"/>
      <c r="I181" s="56"/>
      <c r="J181" s="56"/>
    </row>
    <row r="182" spans="1:10">
      <c r="A182" s="55"/>
      <c r="B182" s="55"/>
      <c r="C182" s="55"/>
      <c r="D182" s="55"/>
      <c r="E182" s="55"/>
      <c r="F182" s="55"/>
      <c r="G182" s="55"/>
      <c r="H182" s="56"/>
      <c r="I182" s="56"/>
      <c r="J182" s="56"/>
    </row>
    <row r="183" spans="1:10">
      <c r="A183" s="55"/>
      <c r="B183" s="55"/>
      <c r="C183" s="55"/>
      <c r="D183" s="55"/>
      <c r="E183" s="55"/>
      <c r="F183" s="55"/>
      <c r="G183" s="55"/>
      <c r="H183" s="56"/>
      <c r="I183" s="56"/>
      <c r="J183" s="56"/>
    </row>
    <row r="184" spans="1:10">
      <c r="A184" s="55"/>
      <c r="B184" s="55"/>
      <c r="C184" s="55"/>
      <c r="D184" s="55"/>
      <c r="E184" s="55"/>
      <c r="F184" s="55"/>
      <c r="G184" s="55"/>
      <c r="H184" s="56"/>
      <c r="I184" s="56"/>
      <c r="J184" s="56"/>
    </row>
    <row r="185" spans="1:10">
      <c r="A185" s="55"/>
      <c r="B185" s="55"/>
      <c r="C185" s="55"/>
      <c r="D185" s="55"/>
      <c r="E185" s="55"/>
      <c r="F185" s="55"/>
      <c r="G185" s="55"/>
      <c r="H185" s="56"/>
      <c r="I185" s="56"/>
      <c r="J185" s="56"/>
    </row>
    <row r="186" spans="1:10">
      <c r="A186" s="55"/>
      <c r="B186" s="55"/>
      <c r="C186" s="55"/>
      <c r="D186" s="55"/>
      <c r="E186" s="55"/>
      <c r="F186" s="55"/>
      <c r="G186" s="55"/>
      <c r="H186" s="56"/>
      <c r="I186" s="56"/>
      <c r="J186" s="56"/>
    </row>
    <row r="187" spans="1:10">
      <c r="A187" s="55"/>
      <c r="B187" s="55"/>
      <c r="C187" s="55"/>
      <c r="D187" s="55"/>
      <c r="E187" s="55"/>
      <c r="F187" s="55"/>
      <c r="G187" s="55"/>
      <c r="H187" s="56"/>
      <c r="I187" s="56"/>
      <c r="J187" s="56"/>
    </row>
    <row r="188" spans="1:10">
      <c r="A188" s="55"/>
      <c r="B188" s="55"/>
      <c r="C188" s="55"/>
      <c r="D188" s="55"/>
      <c r="E188" s="55"/>
      <c r="F188" s="55"/>
      <c r="G188" s="55"/>
      <c r="H188" s="56"/>
      <c r="I188" s="56"/>
      <c r="J188" s="56"/>
    </row>
    <row r="189" spans="1:10">
      <c r="A189" s="55"/>
      <c r="B189" s="55"/>
      <c r="C189" s="55"/>
      <c r="D189" s="55"/>
      <c r="E189" s="55"/>
      <c r="F189" s="55"/>
      <c r="G189" s="55"/>
      <c r="H189" s="56"/>
      <c r="I189" s="56"/>
      <c r="J189" s="56"/>
    </row>
    <row r="190" spans="1:10">
      <c r="A190" s="55"/>
      <c r="B190" s="55"/>
      <c r="C190" s="55"/>
      <c r="D190" s="55"/>
      <c r="E190" s="55"/>
      <c r="F190" s="55"/>
      <c r="G190" s="55"/>
      <c r="H190" s="56"/>
      <c r="I190" s="56"/>
      <c r="J190" s="56"/>
    </row>
    <row r="191" spans="1:10">
      <c r="A191" s="55"/>
      <c r="B191" s="55"/>
      <c r="C191" s="55"/>
      <c r="D191" s="55"/>
      <c r="E191" s="55"/>
      <c r="F191" s="55"/>
      <c r="G191" s="55"/>
      <c r="H191" s="56"/>
      <c r="I191" s="56"/>
      <c r="J191" s="56"/>
    </row>
    <row r="192" spans="1:10">
      <c r="A192" s="55"/>
      <c r="B192" s="55"/>
      <c r="C192" s="55"/>
      <c r="D192" s="55"/>
      <c r="E192" s="55"/>
      <c r="F192" s="55"/>
      <c r="G192" s="55"/>
      <c r="H192" s="56"/>
      <c r="I192" s="56"/>
      <c r="J192" s="56"/>
    </row>
    <row r="193" spans="1:10">
      <c r="A193" s="55"/>
      <c r="B193" s="55"/>
      <c r="C193" s="55"/>
      <c r="D193" s="55"/>
      <c r="E193" s="55"/>
      <c r="F193" s="55"/>
      <c r="G193" s="55"/>
      <c r="H193" s="56"/>
      <c r="I193" s="56"/>
      <c r="J193" s="56"/>
    </row>
    <row r="194" spans="1:10">
      <c r="A194" s="55"/>
      <c r="B194" s="55"/>
      <c r="C194" s="55"/>
      <c r="D194" s="55"/>
      <c r="E194" s="55"/>
      <c r="F194" s="55"/>
      <c r="G194" s="55"/>
      <c r="H194" s="56"/>
      <c r="I194" s="56"/>
      <c r="J194" s="56"/>
    </row>
    <row r="195" spans="1:10">
      <c r="A195" s="55"/>
      <c r="B195" s="55"/>
      <c r="C195" s="55"/>
      <c r="D195" s="55"/>
      <c r="E195" s="55"/>
      <c r="F195" s="55"/>
      <c r="G195" s="55"/>
      <c r="H195" s="56"/>
      <c r="I195" s="56"/>
      <c r="J195" s="56"/>
    </row>
    <row r="196" spans="1:10">
      <c r="A196" s="55"/>
      <c r="B196" s="55"/>
      <c r="C196" s="55"/>
      <c r="D196" s="55"/>
      <c r="E196" s="55"/>
      <c r="F196" s="55"/>
      <c r="G196" s="55"/>
      <c r="H196" s="56"/>
      <c r="I196" s="56"/>
      <c r="J196" s="56"/>
    </row>
    <row r="197" spans="1:10">
      <c r="A197" s="55"/>
      <c r="B197" s="55"/>
      <c r="C197" s="55"/>
      <c r="D197" s="55"/>
      <c r="E197" s="55"/>
      <c r="F197" s="55"/>
      <c r="G197" s="55"/>
      <c r="H197" s="56"/>
      <c r="I197" s="56"/>
      <c r="J197" s="56"/>
    </row>
    <row r="198" spans="1:10">
      <c r="A198" s="55"/>
      <c r="B198" s="55"/>
      <c r="C198" s="55"/>
      <c r="D198" s="55"/>
      <c r="E198" s="55"/>
      <c r="F198" s="55"/>
      <c r="G198" s="55"/>
      <c r="H198" s="56"/>
      <c r="I198" s="56"/>
      <c r="J198" s="56"/>
    </row>
    <row r="199" spans="1:10">
      <c r="A199" s="55"/>
      <c r="B199" s="55"/>
      <c r="C199" s="55"/>
      <c r="D199" s="55"/>
      <c r="E199" s="55"/>
      <c r="F199" s="55"/>
      <c r="G199" s="55"/>
      <c r="H199" s="56"/>
      <c r="I199" s="56"/>
      <c r="J199" s="56"/>
    </row>
    <row r="200" spans="1:10">
      <c r="A200" s="55"/>
      <c r="B200" s="55"/>
      <c r="C200" s="55"/>
      <c r="D200" s="55"/>
      <c r="E200" s="55"/>
      <c r="F200" s="55"/>
      <c r="G200" s="55"/>
      <c r="H200" s="56"/>
      <c r="I200" s="56"/>
      <c r="J200" s="56"/>
    </row>
    <row r="201" spans="1:10">
      <c r="A201" s="55"/>
      <c r="B201" s="55"/>
      <c r="C201" s="55"/>
      <c r="D201" s="55"/>
      <c r="E201" s="55"/>
      <c r="F201" s="55"/>
      <c r="G201" s="55"/>
      <c r="H201" s="56"/>
      <c r="I201" s="56"/>
      <c r="J201" s="56"/>
    </row>
    <row r="202" spans="1:10">
      <c r="A202" s="55"/>
      <c r="B202" s="55"/>
      <c r="C202" s="55"/>
      <c r="D202" s="55"/>
      <c r="E202" s="55"/>
      <c r="F202" s="55"/>
      <c r="G202" s="55"/>
      <c r="H202" s="56"/>
      <c r="I202" s="56"/>
      <c r="J202" s="56"/>
    </row>
    <row r="203" spans="1:10">
      <c r="A203" s="55"/>
      <c r="B203" s="55"/>
      <c r="C203" s="55"/>
      <c r="D203" s="55"/>
      <c r="E203" s="55"/>
      <c r="F203" s="55"/>
      <c r="G203" s="55"/>
      <c r="H203" s="56"/>
      <c r="I203" s="56"/>
      <c r="J203" s="56"/>
    </row>
    <row r="204" spans="1:10">
      <c r="A204" s="55"/>
      <c r="B204" s="55"/>
      <c r="C204" s="55"/>
      <c r="D204" s="55"/>
      <c r="E204" s="55"/>
      <c r="F204" s="55"/>
      <c r="G204" s="55"/>
      <c r="H204" s="56"/>
      <c r="I204" s="56"/>
      <c r="J204" s="56"/>
    </row>
    <row r="205" spans="1:10">
      <c r="A205" s="55"/>
      <c r="B205" s="55"/>
      <c r="C205" s="55"/>
      <c r="D205" s="55"/>
      <c r="E205" s="55"/>
      <c r="F205" s="55"/>
      <c r="G205" s="55"/>
      <c r="H205" s="56"/>
      <c r="I205" s="56"/>
      <c r="J205" s="56"/>
    </row>
    <row r="206" spans="1:10">
      <c r="A206" s="55"/>
      <c r="B206" s="55"/>
      <c r="C206" s="55"/>
      <c r="D206" s="55"/>
      <c r="E206" s="55"/>
      <c r="F206" s="55"/>
      <c r="G206" s="55"/>
      <c r="H206" s="56"/>
      <c r="I206" s="56"/>
      <c r="J206" s="56"/>
    </row>
    <row r="207" spans="1:10">
      <c r="A207" s="55"/>
      <c r="B207" s="55"/>
      <c r="C207" s="55"/>
      <c r="D207" s="55"/>
      <c r="E207" s="55"/>
      <c r="F207" s="55"/>
      <c r="G207" s="55"/>
      <c r="H207" s="56"/>
      <c r="I207" s="56"/>
      <c r="J207" s="56"/>
    </row>
    <row r="208" spans="1:10">
      <c r="A208" s="55"/>
      <c r="B208" s="55"/>
      <c r="C208" s="55"/>
      <c r="D208" s="55"/>
      <c r="E208" s="55"/>
      <c r="F208" s="55"/>
      <c r="G208" s="55"/>
      <c r="H208" s="56"/>
      <c r="I208" s="56"/>
      <c r="J208" s="56"/>
    </row>
    <row r="209" spans="1:10">
      <c r="A209" s="55"/>
      <c r="B209" s="55"/>
      <c r="C209" s="55"/>
      <c r="D209" s="55"/>
      <c r="E209" s="55"/>
      <c r="F209" s="55"/>
      <c r="G209" s="55"/>
      <c r="H209" s="56"/>
      <c r="I209" s="56"/>
      <c r="J209" s="56"/>
    </row>
    <row r="210" spans="1:10">
      <c r="A210" s="55"/>
      <c r="B210" s="55"/>
      <c r="C210" s="55"/>
      <c r="D210" s="55"/>
      <c r="E210" s="55"/>
      <c r="F210" s="55"/>
      <c r="G210" s="55"/>
      <c r="H210" s="56"/>
      <c r="I210" s="56"/>
      <c r="J210" s="56"/>
    </row>
    <row r="211" spans="1:10">
      <c r="A211" s="55"/>
      <c r="B211" s="55"/>
      <c r="C211" s="55"/>
      <c r="D211" s="55"/>
      <c r="E211" s="55"/>
      <c r="F211" s="55"/>
      <c r="G211" s="55"/>
      <c r="H211" s="56"/>
      <c r="I211" s="56"/>
      <c r="J211" s="56"/>
    </row>
    <row r="212" spans="1:10">
      <c r="A212" s="55"/>
      <c r="B212" s="55"/>
      <c r="C212" s="55"/>
      <c r="D212" s="55"/>
      <c r="E212" s="55"/>
      <c r="F212" s="55"/>
      <c r="G212" s="55"/>
      <c r="H212" s="56"/>
      <c r="I212" s="56"/>
      <c r="J212" s="56"/>
    </row>
    <row r="213" spans="1:10">
      <c r="A213" s="55"/>
      <c r="B213" s="55"/>
      <c r="C213" s="55"/>
      <c r="D213" s="55"/>
      <c r="E213" s="55"/>
      <c r="F213" s="55"/>
      <c r="G213" s="55"/>
      <c r="H213" s="56"/>
      <c r="I213" s="56"/>
      <c r="J213" s="56"/>
    </row>
    <row r="214" spans="1:10">
      <c r="A214" s="55"/>
      <c r="B214" s="55"/>
      <c r="C214" s="55"/>
      <c r="D214" s="55"/>
      <c r="E214" s="55"/>
      <c r="F214" s="55"/>
      <c r="G214" s="55"/>
      <c r="H214" s="56"/>
      <c r="I214" s="56"/>
      <c r="J214" s="56"/>
    </row>
    <row r="215" spans="1:10">
      <c r="A215" s="55"/>
      <c r="B215" s="55"/>
      <c r="C215" s="55"/>
      <c r="D215" s="55"/>
      <c r="E215" s="55"/>
      <c r="F215" s="55"/>
      <c r="G215" s="55"/>
      <c r="H215" s="56"/>
      <c r="I215" s="56"/>
      <c r="J215" s="56"/>
    </row>
    <row r="216" spans="1:10">
      <c r="A216" s="55"/>
      <c r="B216" s="55"/>
      <c r="C216" s="55"/>
      <c r="D216" s="55"/>
      <c r="E216" s="55"/>
      <c r="F216" s="55"/>
      <c r="G216" s="55"/>
      <c r="H216" s="56"/>
      <c r="I216" s="56"/>
      <c r="J216" s="56"/>
    </row>
    <row r="217" spans="1:10">
      <c r="A217" s="55"/>
      <c r="B217" s="55"/>
      <c r="C217" s="55"/>
      <c r="D217" s="55"/>
      <c r="E217" s="55"/>
      <c r="F217" s="55"/>
      <c r="G217" s="55"/>
      <c r="H217" s="56"/>
      <c r="I217" s="56"/>
      <c r="J217" s="56"/>
    </row>
    <row r="218" spans="1:10">
      <c r="A218" s="55"/>
      <c r="B218" s="55"/>
      <c r="C218" s="55"/>
      <c r="D218" s="55"/>
      <c r="E218" s="55"/>
      <c r="F218" s="55"/>
      <c r="G218" s="55"/>
      <c r="H218" s="56"/>
      <c r="I218" s="56"/>
      <c r="J218" s="56"/>
    </row>
    <row r="219" spans="1:10">
      <c r="A219" s="55"/>
      <c r="B219" s="55"/>
      <c r="C219" s="55"/>
      <c r="D219" s="55"/>
      <c r="E219" s="55"/>
      <c r="F219" s="55"/>
      <c r="G219" s="55"/>
      <c r="H219" s="56"/>
      <c r="I219" s="56"/>
      <c r="J219" s="56"/>
    </row>
    <row r="220" spans="1:10">
      <c r="A220" s="55"/>
      <c r="B220" s="55"/>
      <c r="C220" s="55"/>
      <c r="D220" s="55"/>
      <c r="E220" s="55"/>
      <c r="F220" s="55"/>
      <c r="G220" s="55"/>
      <c r="H220" s="56"/>
      <c r="I220" s="56"/>
      <c r="J220" s="56"/>
    </row>
    <row r="221" spans="1:10">
      <c r="A221" s="55"/>
      <c r="B221" s="55"/>
      <c r="C221" s="55"/>
      <c r="D221" s="55"/>
      <c r="E221" s="55"/>
      <c r="F221" s="55"/>
      <c r="G221" s="55"/>
      <c r="H221" s="56"/>
      <c r="I221" s="56"/>
      <c r="J221" s="56"/>
    </row>
    <row r="222" spans="1:10">
      <c r="A222" s="55"/>
      <c r="B222" s="55"/>
      <c r="C222" s="55"/>
      <c r="D222" s="55"/>
      <c r="E222" s="55"/>
      <c r="F222" s="55"/>
      <c r="G222" s="55"/>
      <c r="H222" s="56"/>
      <c r="I222" s="56"/>
      <c r="J222" s="56"/>
    </row>
    <row r="223" spans="1:10">
      <c r="A223" s="55"/>
      <c r="B223" s="55"/>
      <c r="C223" s="55"/>
      <c r="D223" s="55"/>
      <c r="E223" s="55"/>
      <c r="F223" s="55"/>
      <c r="G223" s="55"/>
      <c r="H223" s="56"/>
      <c r="I223" s="56"/>
      <c r="J223" s="56"/>
    </row>
    <row r="224" spans="1:10">
      <c r="A224" s="55"/>
      <c r="B224" s="55"/>
      <c r="C224" s="55"/>
      <c r="D224" s="55"/>
      <c r="E224" s="55"/>
      <c r="F224" s="55"/>
      <c r="G224" s="55"/>
      <c r="H224" s="56"/>
      <c r="I224" s="56"/>
      <c r="J224" s="56"/>
    </row>
    <row r="225" spans="1:10">
      <c r="A225" s="55"/>
      <c r="B225" s="55"/>
      <c r="C225" s="55"/>
      <c r="D225" s="55"/>
      <c r="E225" s="55"/>
      <c r="F225" s="55"/>
      <c r="G225" s="55"/>
      <c r="H225" s="56"/>
      <c r="I225" s="56"/>
      <c r="J225" s="56"/>
    </row>
    <row r="226" spans="1:10">
      <c r="A226" s="55"/>
      <c r="B226" s="55"/>
      <c r="C226" s="55"/>
      <c r="D226" s="55"/>
      <c r="E226" s="55"/>
      <c r="F226" s="55"/>
      <c r="G226" s="55"/>
      <c r="H226" s="56"/>
      <c r="I226" s="56"/>
      <c r="J226" s="56"/>
    </row>
    <row r="227" spans="1:10">
      <c r="A227" s="55"/>
      <c r="B227" s="55"/>
      <c r="C227" s="55"/>
      <c r="D227" s="55"/>
      <c r="E227" s="55"/>
      <c r="F227" s="55"/>
      <c r="G227" s="55"/>
      <c r="H227" s="56"/>
      <c r="I227" s="56"/>
      <c r="J227" s="56"/>
    </row>
    <row r="228" spans="1:10">
      <c r="A228" s="55"/>
      <c r="B228" s="55"/>
      <c r="C228" s="55"/>
      <c r="D228" s="55"/>
      <c r="E228" s="55"/>
      <c r="F228" s="55"/>
      <c r="G228" s="55"/>
      <c r="H228" s="56"/>
      <c r="I228" s="56"/>
      <c r="J228" s="56"/>
    </row>
    <row r="229" spans="1:10">
      <c r="A229" s="55"/>
      <c r="B229" s="55"/>
      <c r="C229" s="55"/>
      <c r="D229" s="55"/>
      <c r="E229" s="55"/>
      <c r="F229" s="55"/>
      <c r="G229" s="55"/>
      <c r="H229" s="56"/>
      <c r="I229" s="56"/>
      <c r="J229" s="56"/>
    </row>
    <row r="230" spans="1:10">
      <c r="A230" s="55"/>
      <c r="B230" s="55"/>
      <c r="C230" s="55"/>
      <c r="D230" s="55"/>
      <c r="E230" s="55"/>
      <c r="F230" s="55"/>
      <c r="G230" s="55"/>
      <c r="H230" s="56"/>
      <c r="I230" s="56"/>
      <c r="J230" s="56"/>
    </row>
    <row r="231" spans="1:10">
      <c r="A231" s="55"/>
      <c r="B231" s="55"/>
      <c r="C231" s="55"/>
      <c r="D231" s="55"/>
      <c r="E231" s="55"/>
      <c r="F231" s="55"/>
      <c r="G231" s="55"/>
      <c r="H231" s="56"/>
      <c r="I231" s="56"/>
      <c r="J231" s="56"/>
    </row>
    <row r="232" spans="1:10">
      <c r="A232" s="55"/>
      <c r="B232" s="55"/>
      <c r="C232" s="55"/>
      <c r="D232" s="55"/>
      <c r="E232" s="55"/>
      <c r="F232" s="55"/>
      <c r="G232" s="55"/>
      <c r="H232" s="56"/>
      <c r="I232" s="56"/>
      <c r="J232" s="56"/>
    </row>
    <row r="233" spans="1:10">
      <c r="A233" s="55"/>
      <c r="B233" s="55"/>
      <c r="C233" s="55"/>
      <c r="D233" s="55"/>
      <c r="E233" s="55"/>
      <c r="F233" s="55"/>
      <c r="G233" s="55"/>
      <c r="H233" s="56"/>
      <c r="I233" s="56"/>
      <c r="J233" s="56"/>
    </row>
    <row r="234" spans="1:10">
      <c r="A234" s="55"/>
      <c r="B234" s="55"/>
      <c r="C234" s="55"/>
      <c r="D234" s="55"/>
      <c r="E234" s="55"/>
      <c r="F234" s="55"/>
      <c r="G234" s="55"/>
      <c r="H234" s="56"/>
      <c r="I234" s="56"/>
      <c r="J234" s="56"/>
    </row>
    <row r="235" spans="1:10">
      <c r="A235" s="55"/>
      <c r="B235" s="55"/>
      <c r="C235" s="55"/>
      <c r="D235" s="55"/>
      <c r="E235" s="55"/>
      <c r="F235" s="55"/>
      <c r="G235" s="55"/>
      <c r="H235" s="56"/>
      <c r="I235" s="56"/>
      <c r="J235" s="56"/>
    </row>
    <row r="236" spans="1:10">
      <c r="A236" s="55"/>
      <c r="B236" s="55"/>
      <c r="C236" s="55"/>
      <c r="D236" s="55"/>
      <c r="E236" s="55"/>
      <c r="F236" s="55"/>
      <c r="G236" s="55"/>
      <c r="H236" s="56"/>
      <c r="I236" s="56"/>
      <c r="J236" s="56"/>
    </row>
    <row r="237" spans="1:10">
      <c r="A237" s="55"/>
      <c r="B237" s="55"/>
      <c r="C237" s="55"/>
      <c r="D237" s="55"/>
      <c r="E237" s="55"/>
      <c r="F237" s="55"/>
      <c r="G237" s="55"/>
      <c r="H237" s="56"/>
      <c r="I237" s="56"/>
      <c r="J237" s="56"/>
    </row>
    <row r="238" spans="1:10">
      <c r="A238" s="55"/>
      <c r="B238" s="55"/>
      <c r="C238" s="55"/>
      <c r="D238" s="55"/>
      <c r="E238" s="55"/>
      <c r="F238" s="55"/>
      <c r="G238" s="55"/>
      <c r="H238" s="56"/>
      <c r="I238" s="56"/>
      <c r="J238" s="56"/>
    </row>
    <row r="239" spans="1:10">
      <c r="A239" s="55"/>
      <c r="B239" s="55"/>
      <c r="C239" s="55"/>
      <c r="D239" s="55"/>
      <c r="E239" s="55"/>
      <c r="F239" s="55"/>
      <c r="G239" s="55"/>
      <c r="H239" s="56"/>
      <c r="I239" s="56"/>
      <c r="J239" s="56"/>
    </row>
    <row r="240" spans="1:10">
      <c r="A240" s="55"/>
      <c r="B240" s="55"/>
      <c r="C240" s="55"/>
      <c r="D240" s="55"/>
      <c r="E240" s="55"/>
      <c r="F240" s="55"/>
      <c r="G240" s="55"/>
      <c r="H240" s="56"/>
      <c r="I240" s="56"/>
      <c r="J240" s="56"/>
    </row>
    <row r="241" spans="1:10">
      <c r="A241" s="55"/>
      <c r="B241" s="55"/>
      <c r="C241" s="55"/>
      <c r="D241" s="55"/>
      <c r="E241" s="55"/>
      <c r="F241" s="55"/>
      <c r="G241" s="55"/>
      <c r="H241" s="56"/>
      <c r="I241" s="56"/>
      <c r="J241" s="56"/>
    </row>
    <row r="242" spans="1:10">
      <c r="A242" s="55"/>
      <c r="B242" s="55"/>
      <c r="C242" s="55"/>
      <c r="D242" s="55"/>
      <c r="E242" s="55"/>
      <c r="F242" s="55"/>
      <c r="G242" s="55"/>
      <c r="H242" s="56"/>
      <c r="I242" s="56"/>
      <c r="J242" s="56"/>
    </row>
    <row r="243" spans="1:10">
      <c r="A243" s="55"/>
      <c r="B243" s="55"/>
      <c r="C243" s="55"/>
      <c r="D243" s="55"/>
      <c r="E243" s="55"/>
      <c r="F243" s="55"/>
      <c r="G243" s="55"/>
      <c r="H243" s="56"/>
      <c r="I243" s="56"/>
      <c r="J243" s="56"/>
    </row>
    <row r="244" spans="1:10">
      <c r="A244" s="55"/>
      <c r="B244" s="55"/>
      <c r="C244" s="55"/>
      <c r="D244" s="55"/>
      <c r="E244" s="55"/>
      <c r="F244" s="55"/>
      <c r="G244" s="55"/>
      <c r="H244" s="56"/>
      <c r="I244" s="56"/>
      <c r="J244" s="56"/>
    </row>
    <row r="245" spans="1:10">
      <c r="A245" s="55"/>
      <c r="B245" s="55"/>
      <c r="C245" s="55"/>
      <c r="D245" s="55"/>
      <c r="E245" s="55"/>
      <c r="F245" s="55"/>
      <c r="G245" s="55"/>
      <c r="H245" s="56"/>
      <c r="I245" s="56"/>
      <c r="J245" s="56"/>
    </row>
    <row r="246" spans="1:10">
      <c r="A246" s="55"/>
      <c r="B246" s="55"/>
      <c r="C246" s="55"/>
      <c r="D246" s="55"/>
      <c r="E246" s="55"/>
      <c r="F246" s="55"/>
      <c r="G246" s="55"/>
      <c r="H246" s="56"/>
      <c r="I246" s="56"/>
      <c r="J246" s="56"/>
    </row>
    <row r="247" spans="1:10">
      <c r="A247" s="55"/>
      <c r="B247" s="55"/>
      <c r="C247" s="55"/>
      <c r="D247" s="55"/>
      <c r="E247" s="55"/>
      <c r="F247" s="55"/>
      <c r="G247" s="55"/>
      <c r="H247" s="56"/>
      <c r="I247" s="56"/>
      <c r="J247" s="56"/>
    </row>
    <row r="248" spans="1:10">
      <c r="A248" s="55"/>
      <c r="B248" s="55"/>
      <c r="C248" s="55"/>
      <c r="D248" s="55"/>
      <c r="E248" s="55"/>
      <c r="F248" s="55"/>
      <c r="G248" s="55"/>
      <c r="H248" s="56"/>
      <c r="I248" s="56"/>
      <c r="J248" s="56"/>
    </row>
    <row r="249" spans="1:10">
      <c r="A249" s="55"/>
      <c r="B249" s="55"/>
      <c r="C249" s="55"/>
      <c r="D249" s="55"/>
      <c r="E249" s="55"/>
      <c r="F249" s="55"/>
      <c r="G249" s="55"/>
      <c r="H249" s="56"/>
      <c r="I249" s="56"/>
      <c r="J249" s="56"/>
    </row>
    <row r="250" spans="1:10">
      <c r="A250" s="55"/>
      <c r="B250" s="55"/>
      <c r="C250" s="55"/>
      <c r="D250" s="55"/>
      <c r="E250" s="55"/>
      <c r="F250" s="55"/>
      <c r="G250" s="55"/>
      <c r="H250" s="56"/>
      <c r="I250" s="56"/>
      <c r="J250" s="56"/>
    </row>
    <row r="251" spans="1:10">
      <c r="A251" s="55"/>
      <c r="B251" s="55"/>
      <c r="C251" s="55"/>
      <c r="D251" s="55"/>
      <c r="E251" s="55"/>
      <c r="F251" s="55"/>
      <c r="G251" s="55"/>
      <c r="H251" s="56"/>
      <c r="I251" s="56"/>
      <c r="J251" s="56"/>
    </row>
    <row r="252" spans="1:10">
      <c r="A252" s="55"/>
      <c r="B252" s="55"/>
      <c r="C252" s="55"/>
      <c r="D252" s="55"/>
      <c r="E252" s="55"/>
      <c r="F252" s="55"/>
      <c r="G252" s="55"/>
      <c r="H252" s="56"/>
      <c r="I252" s="56"/>
      <c r="J252" s="56"/>
    </row>
    <row r="253" spans="1:10">
      <c r="A253" s="55"/>
      <c r="B253" s="55"/>
      <c r="C253" s="55"/>
      <c r="D253" s="55"/>
      <c r="E253" s="55"/>
      <c r="F253" s="55"/>
      <c r="G253" s="55"/>
      <c r="H253" s="56"/>
      <c r="I253" s="56"/>
      <c r="J253" s="56"/>
    </row>
    <row r="254" spans="1:10">
      <c r="A254" s="55"/>
      <c r="B254" s="55"/>
      <c r="C254" s="55"/>
      <c r="D254" s="55"/>
      <c r="E254" s="55"/>
      <c r="F254" s="55"/>
      <c r="G254" s="55"/>
      <c r="H254" s="56"/>
      <c r="I254" s="56"/>
      <c r="J254" s="56"/>
    </row>
    <row r="255" spans="1:10">
      <c r="A255" s="55"/>
      <c r="B255" s="55"/>
      <c r="C255" s="55"/>
      <c r="D255" s="55"/>
      <c r="E255" s="55"/>
      <c r="F255" s="55"/>
      <c r="G255" s="55"/>
      <c r="H255" s="56"/>
      <c r="I255" s="56"/>
      <c r="J255" s="56"/>
    </row>
    <row r="256" spans="1:10">
      <c r="A256" s="55"/>
      <c r="B256" s="55"/>
      <c r="C256" s="55"/>
      <c r="D256" s="55"/>
      <c r="E256" s="55"/>
      <c r="F256" s="55"/>
      <c r="G256" s="55"/>
      <c r="H256" s="56"/>
      <c r="I256" s="56"/>
      <c r="J256" s="56"/>
    </row>
    <row r="257" spans="1:10">
      <c r="A257" s="55"/>
      <c r="B257" s="55"/>
      <c r="C257" s="55"/>
      <c r="D257" s="55"/>
      <c r="E257" s="55"/>
      <c r="F257" s="55"/>
      <c r="G257" s="55"/>
      <c r="H257" s="56"/>
      <c r="I257" s="56"/>
      <c r="J257" s="56"/>
    </row>
  </sheetData>
  <mergeCells count="3">
    <mergeCell ref="B2:D2"/>
    <mergeCell ref="E2:G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tint="-0.34998626667073579"/>
  </sheetPr>
  <dimension ref="A1:AO23"/>
  <sheetViews>
    <sheetView topLeftCell="A7" workbookViewId="0">
      <selection activeCell="H22" sqref="H22"/>
    </sheetView>
  </sheetViews>
  <sheetFormatPr defaultColWidth="9.140625" defaultRowHeight="15"/>
  <cols>
    <col min="1" max="1" width="52.7109375" style="63" bestFit="1" customWidth="1"/>
    <col min="2" max="16384" width="9.140625" style="63"/>
  </cols>
  <sheetData>
    <row r="1" spans="1:41" s="70" customFormat="1" ht="15.75" thickBot="1">
      <c r="A1" s="260" t="s">
        <v>350</v>
      </c>
    </row>
    <row r="2" spans="1:41">
      <c r="A2" s="57" t="s">
        <v>185</v>
      </c>
      <c r="B2" s="57">
        <v>2011</v>
      </c>
      <c r="C2" s="57">
        <f>B2+1</f>
        <v>2012</v>
      </c>
      <c r="D2" s="57">
        <f t="shared" ref="D2:X2" si="0">C2+1</f>
        <v>2013</v>
      </c>
      <c r="E2" s="57">
        <f t="shared" si="0"/>
        <v>2014</v>
      </c>
      <c r="F2" s="57">
        <f t="shared" si="0"/>
        <v>2015</v>
      </c>
      <c r="G2" s="57">
        <f t="shared" si="0"/>
        <v>2016</v>
      </c>
      <c r="H2" s="57">
        <f t="shared" si="0"/>
        <v>2017</v>
      </c>
      <c r="I2" s="57">
        <f t="shared" si="0"/>
        <v>2018</v>
      </c>
      <c r="J2" s="57">
        <f t="shared" si="0"/>
        <v>2019</v>
      </c>
      <c r="K2" s="57">
        <f t="shared" si="0"/>
        <v>2020</v>
      </c>
      <c r="L2" s="57">
        <f t="shared" si="0"/>
        <v>2021</v>
      </c>
      <c r="M2" s="57">
        <f t="shared" si="0"/>
        <v>2022</v>
      </c>
      <c r="N2" s="57">
        <f t="shared" si="0"/>
        <v>2023</v>
      </c>
      <c r="O2" s="57">
        <f t="shared" si="0"/>
        <v>2024</v>
      </c>
      <c r="P2" s="57">
        <f t="shared" si="0"/>
        <v>2025</v>
      </c>
      <c r="Q2" s="57">
        <f t="shared" si="0"/>
        <v>2026</v>
      </c>
      <c r="R2" s="57">
        <f t="shared" si="0"/>
        <v>2027</v>
      </c>
      <c r="S2" s="57">
        <f t="shared" si="0"/>
        <v>2028</v>
      </c>
      <c r="T2" s="57">
        <f t="shared" si="0"/>
        <v>2029</v>
      </c>
      <c r="U2" s="57">
        <f>T2+1</f>
        <v>2030</v>
      </c>
      <c r="V2" s="57">
        <f t="shared" si="0"/>
        <v>2031</v>
      </c>
      <c r="W2" s="57">
        <f t="shared" si="0"/>
        <v>2032</v>
      </c>
      <c r="X2" s="57">
        <f t="shared" si="0"/>
        <v>2033</v>
      </c>
      <c r="Y2" s="57">
        <f>X2+1</f>
        <v>2034</v>
      </c>
      <c r="Z2" s="57">
        <f t="shared" ref="Z2:AO2" si="1">Y2+1</f>
        <v>2035</v>
      </c>
      <c r="AA2" s="57">
        <f t="shared" si="1"/>
        <v>2036</v>
      </c>
      <c r="AB2" s="57">
        <f t="shared" si="1"/>
        <v>2037</v>
      </c>
      <c r="AC2" s="57">
        <f t="shared" si="1"/>
        <v>2038</v>
      </c>
      <c r="AD2" s="57">
        <f t="shared" si="1"/>
        <v>2039</v>
      </c>
      <c r="AE2" s="57">
        <f t="shared" si="1"/>
        <v>2040</v>
      </c>
      <c r="AF2" s="57">
        <f t="shared" si="1"/>
        <v>2041</v>
      </c>
      <c r="AG2" s="57">
        <f t="shared" si="1"/>
        <v>2042</v>
      </c>
      <c r="AH2" s="57">
        <f t="shared" si="1"/>
        <v>2043</v>
      </c>
      <c r="AI2" s="57">
        <f t="shared" si="1"/>
        <v>2044</v>
      </c>
      <c r="AJ2" s="57">
        <f t="shared" si="1"/>
        <v>2045</v>
      </c>
      <c r="AK2" s="57">
        <f t="shared" si="1"/>
        <v>2046</v>
      </c>
      <c r="AL2" s="57">
        <f t="shared" si="1"/>
        <v>2047</v>
      </c>
      <c r="AM2" s="57">
        <f t="shared" si="1"/>
        <v>2048</v>
      </c>
      <c r="AN2" s="57">
        <f t="shared" si="1"/>
        <v>2049</v>
      </c>
      <c r="AO2" s="57">
        <f t="shared" si="1"/>
        <v>2050</v>
      </c>
    </row>
    <row r="3" spans="1:41">
      <c r="A3" s="63" t="s">
        <v>186</v>
      </c>
      <c r="B3" s="63">
        <f>'NW Baseline Grid Char'!B3*VLOOKUP(B$2,'NW Baseline Energy'!$A$4:$G$43,5,0)</f>
        <v>937875.49041188555</v>
      </c>
      <c r="C3" s="63">
        <f>'NW Baseline Grid Char'!C3*VLOOKUP(C$2,'NW Baseline Energy'!$A$4:$G$43,5,0)</f>
        <v>955572.82178553054</v>
      </c>
      <c r="D3" s="63">
        <f>'NW Baseline Grid Char'!D3*VLOOKUP(D$2,'NW Baseline Energy'!$A$4:$G$43,5,0)</f>
        <v>973533.61371793365</v>
      </c>
      <c r="E3" s="63">
        <f>'NW Baseline Grid Char'!E3*VLOOKUP(E$2,'NW Baseline Energy'!$A$4:$G$43,5,0)</f>
        <v>991761.3996921113</v>
      </c>
      <c r="F3" s="63">
        <f>'NW Baseline Grid Char'!F3*VLOOKUP(F$2,'NW Baseline Energy'!$A$4:$G$43,5,0)</f>
        <v>1010259.7578648989</v>
      </c>
      <c r="G3" s="63">
        <f>'NW Baseline Grid Char'!G3*VLOOKUP(G$2,'NW Baseline Energy'!$A$4:$G$43,5,0)</f>
        <v>1029032.3116106873</v>
      </c>
      <c r="H3" s="63">
        <f>'NW Baseline Grid Char'!H3*VLOOKUP(H$2,'NW Baseline Energy'!$A$4:$G$43,5,0)</f>
        <v>1048082.7300716016</v>
      </c>
      <c r="I3" s="63">
        <f>'NW Baseline Grid Char'!I3*VLOOKUP(I$2,'NW Baseline Energy'!$A$4:$G$43,5,0)</f>
        <v>1067414.7287141997</v>
      </c>
      <c r="J3" s="63">
        <f>'NW Baseline Grid Char'!J3*VLOOKUP(J$2,'NW Baseline Energy'!$A$4:$G$43,5,0)</f>
        <v>1087032.0698927653</v>
      </c>
      <c r="K3" s="63">
        <f>'NW Baseline Grid Char'!K3*VLOOKUP(K$2,'NW Baseline Energy'!$A$4:$G$43,5,0)</f>
        <v>1111601.3588165999</v>
      </c>
      <c r="L3" s="63">
        <f>'NW Baseline Grid Char'!L3*VLOOKUP(L$2,'NW Baseline Energy'!$A$4:$G$43,5,0)</f>
        <v>1141073.5724658968</v>
      </c>
      <c r="M3" s="63">
        <f>'NW Baseline Grid Char'!M3*VLOOKUP(M$2,'NW Baseline Energy'!$A$4:$G$43,5,0)</f>
        <v>1171254.1076339204</v>
      </c>
      <c r="N3" s="63">
        <f>'NW Baseline Grid Char'!N3*VLOOKUP(N$2,'NW Baseline Energy'!$A$4:$G$43,5,0)</f>
        <v>1202158.9769360488</v>
      </c>
      <c r="O3" s="63">
        <f>'NW Baseline Grid Char'!O3*VLOOKUP(O$2,'NW Baseline Energy'!$A$4:$G$43,5,0)</f>
        <v>1233804.6181729212</v>
      </c>
      <c r="P3" s="63">
        <f>'NW Baseline Grid Char'!P3*VLOOKUP(P$2,'NW Baseline Energy'!$A$4:$G$43,5,0)</f>
        <v>1266207.8288298433</v>
      </c>
      <c r="Q3" s="63">
        <f>'NW Baseline Grid Char'!Q3*VLOOKUP(Q$2,'NW Baseline Energy'!$A$4:$G$43,5,0)</f>
        <v>1299385.7737480798</v>
      </c>
      <c r="R3" s="63">
        <f>'NW Baseline Grid Char'!R3*VLOOKUP(R$2,'NW Baseline Energy'!$A$4:$G$43,5,0)</f>
        <v>1333355.9929566716</v>
      </c>
      <c r="S3" s="63">
        <f>'NW Baseline Grid Char'!S3*VLOOKUP(S$2,'NW Baseline Energy'!$A$4:$G$43,5,0)</f>
        <v>1368136.4096681001</v>
      </c>
      <c r="T3" s="63">
        <f>'NW Baseline Grid Char'!T3*VLOOKUP(T$2,'NW Baseline Energy'!$A$4:$G$43,5,0)</f>
        <v>1403745.338441164</v>
      </c>
      <c r="U3" s="63">
        <f>'NW Baseline Grid Char'!U3*VLOOKUP(U$2,'NW Baseline Energy'!$A$4:$G$43,5,0)</f>
        <v>1438023.3522192</v>
      </c>
      <c r="V3" s="63">
        <f>'NW Baseline Grid Char'!V3*VLOOKUP(V$2,'NW Baseline Energy'!$A$4:$G$43,5,0)</f>
        <v>1473058.2021817716</v>
      </c>
      <c r="W3" s="63">
        <f>'NW Baseline Grid Char'!W3*VLOOKUP(W$2,'NW Baseline Energy'!$A$4:$G$43,5,0)</f>
        <v>1508865.6651532135</v>
      </c>
      <c r="X3" s="63">
        <f>'NW Baseline Grid Char'!X3*VLOOKUP(X$2,'NW Baseline Energy'!$A$4:$G$43,5,0)</f>
        <v>1545461.8348171688</v>
      </c>
      <c r="Y3" s="63">
        <f>'NW Baseline Grid Char'!Y3*VLOOKUP(Y$2,'NW Baseline Energy'!$A$4:$G$43,5,0)</f>
        <v>1582863.0343791696</v>
      </c>
      <c r="Z3" s="63">
        <f>'NW Baseline Grid Char'!Z3*VLOOKUP(Z$2,'NW Baseline Energy'!$A$4:$G$43,5,0)</f>
        <v>1621086.1954573654</v>
      </c>
      <c r="AA3" s="63">
        <f>'NW Baseline Grid Char'!AA3*VLOOKUP(AA$2,'NW Baseline Energy'!$A$4:$G$43,5,0)</f>
        <v>1660148.3080037411</v>
      </c>
      <c r="AB3" s="63">
        <f>'NW Baseline Grid Char'!AB3*VLOOKUP(AB$2,'NW Baseline Energy'!$A$4:$G$43,5,0)</f>
        <v>1700066.7963381871</v>
      </c>
      <c r="AC3" s="63">
        <f>'NW Baseline Grid Char'!AC3*VLOOKUP(AC$2,'NW Baseline Energy'!$A$4:$G$43,5,0)</f>
        <v>1740859.4338516349</v>
      </c>
      <c r="AD3" s="63">
        <f>'NW Baseline Grid Char'!AD3*VLOOKUP(AD$2,'NW Baseline Energy'!$A$4:$G$43,5,0)</f>
        <v>1782544.3498237492</v>
      </c>
      <c r="AE3" s="63">
        <f>'NW Baseline Grid Char'!AE3*VLOOKUP(AE$2,'NW Baseline Energy'!$A$4:$G$43,5,0)</f>
        <v>1825140.0363712949</v>
      </c>
      <c r="AF3" s="63">
        <f>'NW Baseline Grid Char'!AF3*VLOOKUP(AF$2,'NW Baseline Energy'!$A$4:$G$43,5,0)</f>
        <v>1868665.3555296299</v>
      </c>
      <c r="AG3" s="63">
        <f>'NW Baseline Grid Char'!AG3*VLOOKUP(AG$2,'NW Baseline Energy'!$A$4:$G$43,5,0)</f>
        <v>1913139.5464698547</v>
      </c>
      <c r="AH3" s="63">
        <f>'NW Baseline Grid Char'!AH3*VLOOKUP(AH$2,'NW Baseline Energy'!$A$4:$G$43,5,0)</f>
        <v>1958582.2328541661</v>
      </c>
      <c r="AI3" s="63">
        <f>'NW Baseline Grid Char'!AI3*VLOOKUP(AI$2,'NW Baseline Energy'!$A$4:$G$43,5,0)</f>
        <v>2005013.4303320344</v>
      </c>
      <c r="AJ3" s="63">
        <f>'NW Baseline Grid Char'!AJ3*VLOOKUP(AJ$2,'NW Baseline Energy'!$A$4:$G$43,5,0)</f>
        <v>2052453.5541798547</v>
      </c>
      <c r="AK3" s="63">
        <f>'NW Baseline Grid Char'!AK3*VLOOKUP(AK$2,'NW Baseline Energy'!$A$4:$G$43,5,0)</f>
        <v>2100923.4270867826</v>
      </c>
      <c r="AL3" s="63">
        <f>'NW Baseline Grid Char'!AL3*VLOOKUP(AL$2,'NW Baseline Energy'!$A$4:$G$43,5,0)</f>
        <v>2150444.2870895127</v>
      </c>
      <c r="AM3" s="63">
        <f>'NW Baseline Grid Char'!AM3*VLOOKUP(AM$2,'NW Baseline Energy'!$A$4:$G$43,5,0)</f>
        <v>2201037.6774516939</v>
      </c>
      <c r="AN3" s="63">
        <f>'NW Baseline Grid Char'!AN3*VLOOKUP(AN$2,'NW Baseline Energy'!$A$4:$G$43,5,0)</f>
        <v>2252725.9257404893</v>
      </c>
      <c r="AO3" s="63">
        <f>'NW Baseline Grid Char'!AO3*VLOOKUP(AO$2,'NW Baseline Energy'!$A$4:$G$43,5,0)</f>
        <v>2305531.4489280526</v>
      </c>
    </row>
    <row r="4" spans="1:41">
      <c r="A4" s="63" t="s">
        <v>189</v>
      </c>
      <c r="B4" s="63">
        <f>'NW Baseline Grid Char'!B6*VLOOKUP(B$2,'NW Baseline Energy'!$A$4:$G$43,5,0)</f>
        <v>15636182.40596847</v>
      </c>
      <c r="C4" s="63">
        <f>'NW Baseline Grid Char'!C6*VLOOKUP(C$2,'NW Baseline Energy'!$A$4:$G$43,5,0)</f>
        <v>16187256.877066424</v>
      </c>
      <c r="D4" s="63">
        <f>'NW Baseline Grid Char'!D6*VLOOKUP(D$2,'NW Baseline Energy'!$A$4:$G$43,5,0)</f>
        <v>16747947.035925832</v>
      </c>
      <c r="E4" s="63">
        <f>'NW Baseline Grid Char'!E6*VLOOKUP(E$2,'NW Baseline Energy'!$A$4:$G$43,5,0)</f>
        <v>17318391.714470729</v>
      </c>
      <c r="F4" s="63">
        <f>'NW Baseline Grid Char'!F6*VLOOKUP(F$2,'NW Baseline Energy'!$A$4:$G$43,5,0)</f>
        <v>17898731.576438211</v>
      </c>
      <c r="G4" s="63">
        <f>'NW Baseline Grid Char'!G6*VLOOKUP(G$2,'NW Baseline Energy'!$A$4:$G$43,5,0)</f>
        <v>18489109.140303921</v>
      </c>
      <c r="H4" s="63">
        <f>'NW Baseline Grid Char'!H6*VLOOKUP(H$2,'NW Baseline Energy'!$A$4:$G$43,5,0)</f>
        <v>19089668.802484669</v>
      </c>
      <c r="I4" s="63">
        <f>'NW Baseline Grid Char'!I6*VLOOKUP(I$2,'NW Baseline Energy'!$A$4:$G$43,5,0)</f>
        <v>19700556.860821422</v>
      </c>
      <c r="J4" s="63">
        <f>'NW Baseline Grid Char'!J6*VLOOKUP(J$2,'NW Baseline Energy'!$A$4:$G$43,5,0)</f>
        <v>20321921.610320095</v>
      </c>
      <c r="K4" s="63">
        <f>'NW Baseline Grid Char'!K6*VLOOKUP(K$2,'NW Baseline Energy'!$A$4:$G$43,5,0)</f>
        <v>21042177.969075002</v>
      </c>
      <c r="L4" s="63">
        <f>'NW Baseline Grid Char'!L6*VLOOKUP(L$2,'NW Baseline Energy'!$A$4:$G$43,5,0)</f>
        <v>21863698.072463557</v>
      </c>
      <c r="M4" s="63">
        <f>'NW Baseline Grid Char'!M6*VLOOKUP(M$2,'NW Baseline Energy'!$A$4:$G$43,5,0)</f>
        <v>22708326.657967053</v>
      </c>
      <c r="N4" s="63">
        <f>'NW Baseline Grid Char'!N6*VLOOKUP(N$2,'NW Baseline Energy'!$A$4:$G$43,5,0)</f>
        <v>23576635.994592048</v>
      </c>
      <c r="O4" s="63">
        <f>'NW Baseline Grid Char'!O6*VLOOKUP(O$2,'NW Baseline Energy'!$A$4:$G$43,5,0)</f>
        <v>24469211.587433904</v>
      </c>
      <c r="P4" s="63">
        <f>'NW Baseline Grid Char'!P6*VLOOKUP(P$2,'NW Baseline Energy'!$A$4:$G$43,5,0)</f>
        <v>25386652.471021134</v>
      </c>
      <c r="Q4" s="63">
        <f>'NW Baseline Grid Char'!Q6*VLOOKUP(Q$2,'NW Baseline Energy'!$A$4:$G$43,5,0)</f>
        <v>26329571.508973598</v>
      </c>
      <c r="R4" s="63">
        <f>'NW Baseline Grid Char'!R6*VLOOKUP(R$2,'NW Baseline Energy'!$A$4:$G$43,5,0)</f>
        <v>27298595.700107697</v>
      </c>
      <c r="S4" s="63">
        <f>'NW Baseline Grid Char'!S6*VLOOKUP(S$2,'NW Baseline Energy'!$A$4:$G$43,5,0)</f>
        <v>28294366.491124362</v>
      </c>
      <c r="T4" s="63">
        <f>'NW Baseline Grid Char'!T6*VLOOKUP(T$2,'NW Baseline Energy'!$A$4:$G$43,5,0)</f>
        <v>29317540.096018322</v>
      </c>
      <c r="U4" s="63">
        <f>'NW Baseline Grid Char'!U6*VLOOKUP(U$2,'NW Baseline Energy'!$A$4:$G$43,5,0)</f>
        <v>30322858.477642201</v>
      </c>
      <c r="V4" s="63">
        <f>'NW Baseline Grid Char'!V6*VLOOKUP(V$2,'NW Baseline Energy'!$A$4:$G$43,5,0)</f>
        <v>31353742.867550876</v>
      </c>
      <c r="W4" s="63">
        <f>'NW Baseline Grid Char'!W6*VLOOKUP(W$2,'NW Baseline Energy'!$A$4:$G$43,5,0)</f>
        <v>32410769.587977458</v>
      </c>
      <c r="X4" s="63">
        <f>'NW Baseline Grid Char'!X6*VLOOKUP(X$2,'NW Baseline Energy'!$A$4:$G$43,5,0)</f>
        <v>33494527.127489548</v>
      </c>
      <c r="Y4" s="63">
        <f>'NW Baseline Grid Char'!Y6*VLOOKUP(Y$2,'NW Baseline Energy'!$A$4:$G$43,5,0)</f>
        <v>34605616.387415186</v>
      </c>
      <c r="Z4" s="63">
        <f>'NW Baseline Grid Char'!Z6*VLOOKUP(Z$2,'NW Baseline Energy'!$A$4:$G$43,5,0)</f>
        <v>35744650.933119826</v>
      </c>
      <c r="AA4" s="63">
        <f>'NW Baseline Grid Char'!AA6*VLOOKUP(AA$2,'NW Baseline Energy'!$A$4:$G$43,5,0)</f>
        <v>36912257.250228025</v>
      </c>
      <c r="AB4" s="63">
        <f>'NW Baseline Grid Char'!AB6*VLOOKUP(AB$2,'NW Baseline Energy'!$A$4:$G$43,5,0)</f>
        <v>38109075.005885087</v>
      </c>
      <c r="AC4" s="63">
        <f>'NW Baseline Grid Char'!AC6*VLOOKUP(AC$2,'NW Baseline Energy'!$A$4:$G$43,5,0)</f>
        <v>39335757.315155767</v>
      </c>
      <c r="AD4" s="63">
        <f>'NW Baseline Grid Char'!AD6*VLOOKUP(AD$2,'NW Baseline Energy'!$A$4:$G$43,5,0)</f>
        <v>40592971.012658998</v>
      </c>
      <c r="AE4" s="63">
        <f>'NW Baseline Grid Char'!AE6*VLOOKUP(AE$2,'NW Baseline Energy'!$A$4:$G$43,5,0)</f>
        <v>41881396.929539502</v>
      </c>
      <c r="AF4" s="63">
        <f>'NW Baseline Grid Char'!AF6*VLOOKUP(AF$2,'NW Baseline Energy'!$A$4:$G$43,5,0)</f>
        <v>43201730.175879009</v>
      </c>
      <c r="AG4" s="63">
        <f>'NW Baseline Grid Char'!AG6*VLOOKUP(AG$2,'NW Baseline Energy'!$A$4:$G$43,5,0)</f>
        <v>44554680.428651743</v>
      </c>
      <c r="AH4" s="63">
        <f>'NW Baseline Grid Char'!AH6*VLOOKUP(AH$2,'NW Baseline Energy'!$A$4:$G$43,5,0)</f>
        <v>45940972.225330949</v>
      </c>
      <c r="AI4" s="63">
        <f>'NW Baseline Grid Char'!AI6*VLOOKUP(AI$2,'NW Baseline Energy'!$A$4:$G$43,5,0)</f>
        <v>47361345.26325503</v>
      </c>
      <c r="AJ4" s="63">
        <f>'NW Baseline Grid Char'!AJ6*VLOOKUP(AJ$2,'NW Baseline Energy'!$A$4:$G$43,5,0)</f>
        <v>48816554.704864152</v>
      </c>
      <c r="AK4" s="63">
        <f>'NW Baseline Grid Char'!AK6*VLOOKUP(AK$2,'NW Baseline Energy'!$A$4:$G$43,5,0)</f>
        <v>50307371.488920152</v>
      </c>
      <c r="AL4" s="63">
        <f>'NW Baseline Grid Char'!AL6*VLOOKUP(AL$2,'NW Baseline Energy'!$A$4:$G$43,5,0)</f>
        <v>51834582.647824675</v>
      </c>
      <c r="AM4" s="63">
        <f>'NW Baseline Grid Char'!AM6*VLOOKUP(AM$2,'NW Baseline Energy'!$A$4:$G$43,5,0)</f>
        <v>53398991.631152764</v>
      </c>
      <c r="AN4" s="63">
        <f>'NW Baseline Grid Char'!AN6*VLOOKUP(AN$2,'NW Baseline Energy'!$A$4:$G$43,5,0)</f>
        <v>55001418.635521315</v>
      </c>
      <c r="AO4" s="63">
        <f>'NW Baseline Grid Char'!AO6*VLOOKUP(AO$2,'NW Baseline Energy'!$A$4:$G$43,5,0)</f>
        <v>56642700.940914012</v>
      </c>
    </row>
    <row r="5" spans="1:41">
      <c r="A5" s="63" t="s">
        <v>192</v>
      </c>
      <c r="B5" s="63">
        <f>'NW Baseline Grid Char'!B9*VLOOKUP(B$2,'NW Baseline Energy'!$A$4:$G$43,5,0)</f>
        <v>8997915.9486697055</v>
      </c>
      <c r="C5" s="63">
        <f>'NW Baseline Grid Char'!C9*VLOOKUP(C$2,'NW Baseline Energy'!$A$4:$G$43,5,0)</f>
        <v>8972143.1820987333</v>
      </c>
      <c r="D5" s="63">
        <f>'NW Baseline Grid Char'!D9*VLOOKUP(D$2,'NW Baseline Energy'!$A$4:$G$43,5,0)</f>
        <v>8944908.3407089785</v>
      </c>
      <c r="E5" s="63">
        <f>'NW Baseline Grid Char'!E9*VLOOKUP(E$2,'NW Baseline Energy'!$A$4:$G$43,5,0)</f>
        <v>8916184.3462800235</v>
      </c>
      <c r="F5" s="63">
        <f>'NW Baseline Grid Char'!F9*VLOOKUP(F$2,'NW Baseline Energy'!$A$4:$G$43,5,0)</f>
        <v>8885943.514356086</v>
      </c>
      <c r="G5" s="63">
        <f>'NW Baseline Grid Char'!G9*VLOOKUP(G$2,'NW Baseline Energy'!$A$4:$G$43,5,0)</f>
        <v>8854158.0270824451</v>
      </c>
      <c r="H5" s="63">
        <f>'NW Baseline Grid Char'!H9*VLOOKUP(H$2,'NW Baseline Energy'!$A$4:$G$43,5,0)</f>
        <v>8820799.3776441142</v>
      </c>
      <c r="I5" s="63">
        <f>'NW Baseline Grid Char'!I9*VLOOKUP(I$2,'NW Baseline Energy'!$A$4:$G$43,5,0)</f>
        <v>8785838.9204938877</v>
      </c>
      <c r="J5" s="63">
        <f>'NW Baseline Grid Char'!J9*VLOOKUP(J$2,'NW Baseline Energy'!$A$4:$G$43,5,0)</f>
        <v>8749247.3043724578</v>
      </c>
      <c r="K5" s="63">
        <f>'NW Baseline Grid Char'!K9*VLOOKUP(K$2,'NW Baseline Energy'!$A$4:$G$43,5,0)</f>
        <v>8747688.6578940004</v>
      </c>
      <c r="L5" s="63">
        <f>'NW Baseline Grid Char'!L9*VLOOKUP(L$2,'NW Baseline Energy'!$A$4:$G$43,5,0)</f>
        <v>8778258.0420600139</v>
      </c>
      <c r="M5" s="63">
        <f>'NW Baseline Grid Char'!M9*VLOOKUP(M$2,'NW Baseline Energy'!$A$4:$G$43,5,0)</f>
        <v>8806990.5873457678</v>
      </c>
      <c r="N5" s="63">
        <f>'NW Baseline Grid Char'!N9*VLOOKUP(N$2,'NW Baseline Energy'!$A$4:$G$43,5,0)</f>
        <v>8833808.4224140458</v>
      </c>
      <c r="O5" s="63">
        <f>'NW Baseline Grid Char'!O9*VLOOKUP(O$2,'NW Baseline Energy'!$A$4:$G$43,5,0)</f>
        <v>8858631.1993051562</v>
      </c>
      <c r="P5" s="63">
        <f>'NW Baseline Grid Char'!P9*VLOOKUP(P$2,'NW Baseline Energy'!$A$4:$G$43,5,0)</f>
        <v>8881376.5756197348</v>
      </c>
      <c r="Q5" s="63">
        <f>'NW Baseline Grid Char'!Q9*VLOOKUP(Q$2,'NW Baseline Energy'!$A$4:$G$43,5,0)</f>
        <v>8901959.5341812987</v>
      </c>
      <c r="R5" s="63">
        <f>'NW Baseline Grid Char'!R9*VLOOKUP(R$2,'NW Baseline Energy'!$A$4:$G$43,5,0)</f>
        <v>8920292.9582933877</v>
      </c>
      <c r="S5" s="63">
        <f>'NW Baseline Grid Char'!S9*VLOOKUP(S$2,'NW Baseline Energy'!$A$4:$G$43,5,0)</f>
        <v>8936286.9255638942</v>
      </c>
      <c r="T5" s="63">
        <f>'NW Baseline Grid Char'!T9*VLOOKUP(T$2,'NW Baseline Energy'!$A$4:$G$43,5,0)</f>
        <v>8949849.3039461561</v>
      </c>
      <c r="U5" s="63">
        <f>'NW Baseline Grid Char'!U9*VLOOKUP(U$2,'NW Baseline Energy'!$A$4:$G$43,5,0)</f>
        <v>8947332.6972184796</v>
      </c>
      <c r="V5" s="63">
        <f>'NW Baseline Grid Char'!V9*VLOOKUP(V$2,'NW Baseline Energy'!$A$4:$G$43,5,0)</f>
        <v>8942187.0993888509</v>
      </c>
      <c r="W5" s="63">
        <f>'NW Baseline Grid Char'!W9*VLOOKUP(W$2,'NW Baseline Energy'!$A$4:$G$43,5,0)</f>
        <v>8934324.3944726512</v>
      </c>
      <c r="X5" s="63">
        <f>'NW Baseline Grid Char'!X9*VLOOKUP(X$2,'NW Baseline Energy'!$A$4:$G$43,5,0)</f>
        <v>8923654.5123737808</v>
      </c>
      <c r="Y5" s="63">
        <f>'NW Baseline Grid Char'!Y9*VLOOKUP(Y$2,'NW Baseline Energy'!$A$4:$G$43,5,0)</f>
        <v>8910085.1212321799</v>
      </c>
      <c r="Z5" s="63">
        <f>'NW Baseline Grid Char'!Z9*VLOOKUP(Z$2,'NW Baseline Energy'!$A$4:$G$43,5,0)</f>
        <v>8893521.2914947793</v>
      </c>
      <c r="AA5" s="63">
        <f>'NW Baseline Grid Char'!AA9*VLOOKUP(AA$2,'NW Baseline Energy'!$A$4:$G$43,5,0)</f>
        <v>8873866.0972392969</v>
      </c>
      <c r="AB5" s="63">
        <f>'NW Baseline Grid Char'!AB9*VLOOKUP(AB$2,'NW Baseline Energy'!$A$4:$G$43,5,0)</f>
        <v>8851019.8084580041</v>
      </c>
      <c r="AC5" s="63">
        <f>'NW Baseline Grid Char'!AC9*VLOOKUP(AC$2,'NW Baseline Energy'!$A$4:$G$43,5,0)</f>
        <v>8824880.604376398</v>
      </c>
      <c r="AD5" s="63">
        <f>'NW Baseline Grid Char'!AD9*VLOOKUP(AD$2,'NW Baseline Energy'!$A$4:$G$43,5,0)</f>
        <v>8795343.7378234304</v>
      </c>
      <c r="AE5" s="63">
        <f>'NW Baseline Grid Char'!AE9*VLOOKUP(AE$2,'NW Baseline Energy'!$A$4:$G$43,5,0)</f>
        <v>8762302.2723522056</v>
      </c>
      <c r="AF5" s="63">
        <f>'NW Baseline Grid Char'!AF9*VLOOKUP(AF$2,'NW Baseline Energy'!$A$4:$G$43,5,0)</f>
        <v>8725646.2177322861</v>
      </c>
      <c r="AG5" s="63">
        <f>'NW Baseline Grid Char'!AG9*VLOOKUP(AG$2,'NW Baseline Energy'!$A$4:$G$43,5,0)</f>
        <v>8685263.1847422644</v>
      </c>
      <c r="AH5" s="63">
        <f>'NW Baseline Grid Char'!AH9*VLOOKUP(AH$2,'NW Baseline Energy'!$A$4:$G$43,5,0)</f>
        <v>8641038.0254067555</v>
      </c>
      <c r="AI5" s="63">
        <f>'NW Baseline Grid Char'!AI9*VLOOKUP(AI$2,'NW Baseline Energy'!$A$4:$G$43,5,0)</f>
        <v>8592852.4403287247</v>
      </c>
      <c r="AJ5" s="63">
        <f>'NW Baseline Grid Char'!AJ9*VLOOKUP(AJ$2,'NW Baseline Energy'!$A$4:$G$43,5,0)</f>
        <v>8540585.6754391436</v>
      </c>
      <c r="AK5" s="63">
        <f>'NW Baseline Grid Char'!AK9*VLOOKUP(AK$2,'NW Baseline Energy'!$A$4:$G$43,5,0)</f>
        <v>8484113.5808537975</v>
      </c>
      <c r="AL5" s="63">
        <f>'NW Baseline Grid Char'!AL9*VLOOKUP(AL$2,'NW Baseline Energy'!$A$4:$G$43,5,0)</f>
        <v>8423309.4377291463</v>
      </c>
      <c r="AM5" s="63">
        <f>'NW Baseline Grid Char'!AM9*VLOOKUP(AM$2,'NW Baseline Energy'!$A$4:$G$43,5,0)</f>
        <v>8358042.9845958045</v>
      </c>
      <c r="AN5" s="63">
        <f>'NW Baseline Grid Char'!AN9*VLOOKUP(AN$2,'NW Baseline Energy'!$A$4:$G$43,5,0)</f>
        <v>8288181.2718034824</v>
      </c>
      <c r="AO5" s="63">
        <f>'NW Baseline Grid Char'!AO9*VLOOKUP(AO$2,'NW Baseline Energy'!$A$4:$G$43,5,0)</f>
        <v>8213587.6542075127</v>
      </c>
    </row>
    <row r="6" spans="1:41">
      <c r="A6" s="63" t="s">
        <v>195</v>
      </c>
      <c r="B6" s="63">
        <f>'NW Baseline Grid Char'!B12*VLOOKUP(B$2,'NW Baseline Energy'!$A$4:$G$43,5,0)</f>
        <v>2292935.7753031412</v>
      </c>
      <c r="C6" s="63">
        <f>'NW Baseline Grid Char'!C12*VLOOKUP(C$2,'NW Baseline Energy'!$A$4:$G$43,5,0)</f>
        <v>2283432.8895530147</v>
      </c>
      <c r="D6" s="63">
        <f>'NW Baseline Grid Char'!D12*VLOOKUP(D$2,'NW Baseline Energy'!$A$4:$G$43,5,0)</f>
        <v>2273497.5411116728</v>
      </c>
      <c r="E6" s="63">
        <f>'NW Baseline Grid Char'!E12*VLOOKUP(E$2,'NW Baseline Energy'!$A$4:$G$43,5,0)</f>
        <v>2263121.895943203</v>
      </c>
      <c r="F6" s="63">
        <f>'NW Baseline Grid Char'!F12*VLOOKUP(F$2,'NW Baseline Energy'!$A$4:$G$43,5,0)</f>
        <v>2252298.0051859096</v>
      </c>
      <c r="G6" s="63">
        <f>'NW Baseline Grid Char'!G12*VLOOKUP(G$2,'NW Baseline Energy'!$A$4:$G$43,5,0)</f>
        <v>2241017.7338091116</v>
      </c>
      <c r="H6" s="63">
        <f>'NW Baseline Grid Char'!H12*VLOOKUP(H$2,'NW Baseline Energy'!$A$4:$G$43,5,0)</f>
        <v>2229273.0376173593</v>
      </c>
      <c r="I6" s="63">
        <f>'NW Baseline Grid Char'!I12*VLOOKUP(I$2,'NW Baseline Energy'!$A$4:$G$43,5,0)</f>
        <v>2217055.5449190093</v>
      </c>
      <c r="J6" s="63">
        <f>'NW Baseline Grid Char'!J12*VLOOKUP(J$2,'NW Baseline Energy'!$A$4:$G$43,5,0)</f>
        <v>2204356.8320814311</v>
      </c>
      <c r="K6" s="63">
        <f>'NW Baseline Grid Char'!K12*VLOOKUP(K$2,'NW Baseline Energy'!$A$4:$G$43,5,0)</f>
        <v>2200398.286659</v>
      </c>
      <c r="L6" s="63">
        <f>'NW Baseline Grid Char'!L12*VLOOKUP(L$2,'NW Baseline Energy'!$A$4:$G$43,5,0)</f>
        <v>2204403.130482608</v>
      </c>
      <c r="M6" s="63">
        <f>'NW Baseline Grid Char'!M12*VLOOKUP(M$2,'NW Baseline Energy'!$A$4:$G$43,5,0)</f>
        <v>2207810.336821436</v>
      </c>
      <c r="N6" s="63">
        <f>'NW Baseline Grid Char'!N12*VLOOKUP(N$2,'NW Baseline Energy'!$A$4:$G$43,5,0)</f>
        <v>2210596.5558364294</v>
      </c>
      <c r="O6" s="63">
        <f>'NW Baseline Grid Char'!O12*VLOOKUP(O$2,'NW Baseline Energy'!$A$4:$G$43,5,0)</f>
        <v>2212737.7807340464</v>
      </c>
      <c r="P6" s="63">
        <f>'NW Baseline Grid Char'!P12*VLOOKUP(P$2,'NW Baseline Energy'!$A$4:$G$43,5,0)</f>
        <v>2214209.2515113577</v>
      </c>
      <c r="Q6" s="63">
        <f>'NW Baseline Grid Char'!Q12*VLOOKUP(Q$2,'NW Baseline Energy'!$A$4:$G$43,5,0)</f>
        <v>2214985.756773001</v>
      </c>
      <c r="R6" s="63">
        <f>'NW Baseline Grid Char'!R12*VLOOKUP(R$2,'NW Baseline Energy'!$A$4:$G$43,5,0)</f>
        <v>2215041.1411834443</v>
      </c>
      <c r="S6" s="63">
        <f>'NW Baseline Grid Char'!S12*VLOOKUP(S$2,'NW Baseline Energy'!$A$4:$G$43,5,0)</f>
        <v>2214348.6036161734</v>
      </c>
      <c r="T6" s="63">
        <f>'NW Baseline Grid Char'!T12*VLOOKUP(T$2,'NW Baseline Energy'!$A$4:$G$43,5,0)</f>
        <v>2212880.6007877556</v>
      </c>
      <c r="U6" s="63">
        <f>'NW Baseline Grid Char'!U12*VLOOKUP(U$2,'NW Baseline Energy'!$A$4:$G$43,5,0)</f>
        <v>2207265.5340712802</v>
      </c>
      <c r="V6" s="63">
        <f>'NW Baseline Grid Char'!V12*VLOOKUP(V$2,'NW Baseline Energy'!$A$4:$G$43,5,0)</f>
        <v>2200832.0557185239</v>
      </c>
      <c r="W6" s="63">
        <f>'NW Baseline Grid Char'!W12*VLOOKUP(W$2,'NW Baseline Energy'!$A$4:$G$43,5,0)</f>
        <v>2193554.1643676208</v>
      </c>
      <c r="X6" s="63">
        <f>'NW Baseline Grid Char'!X12*VLOOKUP(X$2,'NW Baseline Energy'!$A$4:$G$43,5,0)</f>
        <v>2185405.2145210509</v>
      </c>
      <c r="Y6" s="63">
        <f>'NW Baseline Grid Char'!Y12*VLOOKUP(Y$2,'NW Baseline Energy'!$A$4:$G$43,5,0)</f>
        <v>2176357.8086790894</v>
      </c>
      <c r="Z6" s="63">
        <f>'NW Baseline Grid Char'!Z12*VLOOKUP(Z$2,'NW Baseline Energy'!$A$4:$G$43,5,0)</f>
        <v>2166384.1552823242</v>
      </c>
      <c r="AA6" s="63">
        <f>'NW Baseline Grid Char'!AA12*VLOOKUP(AA$2,'NW Baseline Energy'!$A$4:$G$43,5,0)</f>
        <v>2155455.4972573007</v>
      </c>
      <c r="AB6" s="63">
        <f>'NW Baseline Grid Char'!AB12*VLOOKUP(AB$2,'NW Baseline Energy'!$A$4:$G$43,5,0)</f>
        <v>2143542.4662391855</v>
      </c>
      <c r="AC6" s="63">
        <f>'NW Baseline Grid Char'!AC12*VLOOKUP(AC$2,'NW Baseline Energy'!$A$4:$G$43,5,0)</f>
        <v>2130614.9750190563</v>
      </c>
      <c r="AD6" s="63">
        <f>'NW Baseline Grid Char'!AD12*VLOOKUP(AD$2,'NW Baseline Energy'!$A$4:$G$43,5,0)</f>
        <v>2116642.2016525078</v>
      </c>
      <c r="AE6" s="63">
        <f>'NW Baseline Grid Char'!AE12*VLOOKUP(AE$2,'NW Baseline Energy'!$A$4:$G$43,5,0)</f>
        <v>2101592.573236749</v>
      </c>
      <c r="AF6" s="63">
        <f>'NW Baseline Grid Char'!AF12*VLOOKUP(AF$2,'NW Baseline Energy'!$A$4:$G$43,5,0)</f>
        <v>2085433.7493495082</v>
      </c>
      <c r="AG6" s="63">
        <f>'NW Baseline Grid Char'!AG12*VLOOKUP(AG$2,'NW Baseline Energy'!$A$4:$G$43,5,0)</f>
        <v>2068132.6051429594</v>
      </c>
      <c r="AH6" s="63">
        <f>'NW Baseline Grid Char'!AH12*VLOOKUP(AH$2,'NW Baseline Energy'!$A$4:$G$43,5,0)</f>
        <v>2049655.105358904</v>
      </c>
      <c r="AI6" s="63">
        <f>'NW Baseline Grid Char'!AI12*VLOOKUP(AI$2,'NW Baseline Energy'!$A$4:$G$43,5,0)</f>
        <v>2029966.719786057</v>
      </c>
      <c r="AJ6" s="63">
        <f>'NW Baseline Grid Char'!AJ12*VLOOKUP(AJ$2,'NW Baseline Energy'!$A$4:$G$43,5,0)</f>
        <v>2009031.7583844867</v>
      </c>
      <c r="AK6" s="63">
        <f>'NW Baseline Grid Char'!AK12*VLOOKUP(AK$2,'NW Baseline Energy'!$A$4:$G$43,5,0)</f>
        <v>1986813.7823981729</v>
      </c>
      <c r="AL6" s="63">
        <f>'NW Baseline Grid Char'!AL12*VLOOKUP(AL$2,'NW Baseline Energy'!$A$4:$G$43,5,0)</f>
        <v>1963275.4786933656</v>
      </c>
      <c r="AM6" s="63">
        <f>'NW Baseline Grid Char'!AM12*VLOOKUP(AM$2,'NW Baseline Energy'!$A$4:$G$43,5,0)</f>
        <v>1938378.6406323977</v>
      </c>
      <c r="AN6" s="63">
        <f>'NW Baseline Grid Char'!AN12*VLOOKUP(AN$2,'NW Baseline Energy'!$A$4:$G$43,5,0)</f>
        <v>1912084.1485511099</v>
      </c>
      <c r="AO6" s="63">
        <f>'NW Baseline Grid Char'!AO12*VLOOKUP(AO$2,'NW Baseline Energy'!$A$4:$G$43,5,0)</f>
        <v>1884351.9498319568</v>
      </c>
    </row>
    <row r="7" spans="1:41">
      <c r="A7" s="63" t="s">
        <v>198</v>
      </c>
      <c r="B7" s="63">
        <f>'NW Baseline Grid Char'!B15*VLOOKUP(B$2,'NW Baseline Energy'!$A$4:$G$43,5,0)</f>
        <v>20834767.919033233</v>
      </c>
      <c r="C7" s="63">
        <f>'NW Baseline Grid Char'!C15*VLOOKUP(C$2,'NW Baseline Energy'!$A$4:$G$43,5,0)</f>
        <v>20860087.636503767</v>
      </c>
      <c r="D7" s="63">
        <f>'NW Baseline Grid Char'!D15*VLOOKUP(D$2,'NW Baseline Energy'!$A$4:$G$43,5,0)</f>
        <v>20883755.960686795</v>
      </c>
      <c r="E7" s="63">
        <f>'NW Baseline Grid Char'!E15*VLOOKUP(E$2,'NW Baseline Energy'!$A$4:$G$43,5,0)</f>
        <v>20905736.566179626</v>
      </c>
      <c r="F7" s="63">
        <f>'NW Baseline Grid Char'!F15*VLOOKUP(F$2,'NW Baseline Energy'!$A$4:$G$43,5,0)</f>
        <v>20925992.558324579</v>
      </c>
      <c r="G7" s="63">
        <f>'NW Baseline Grid Char'!G15*VLOOKUP(G$2,'NW Baseline Energy'!$A$4:$G$43,5,0)</f>
        <v>20944486.395559467</v>
      </c>
      <c r="H7" s="63">
        <f>'NW Baseline Grid Char'!H15*VLOOKUP(H$2,'NW Baseline Energy'!$A$4:$G$43,5,0)</f>
        <v>20961180.160034087</v>
      </c>
      <c r="I7" s="63">
        <f>'NW Baseline Grid Char'!I15*VLOOKUP(I$2,'NW Baseline Energy'!$A$4:$G$43,5,0)</f>
        <v>20976035.132808696</v>
      </c>
      <c r="J7" s="63">
        <f>'NW Baseline Grid Char'!J15*VLOOKUP(J$2,'NW Baseline Energy'!$A$4:$G$43,5,0)</f>
        <v>20989012.062855728</v>
      </c>
      <c r="K7" s="63">
        <f>'NW Baseline Grid Char'!K15*VLOOKUP(K$2,'NW Baseline Energy'!$A$4:$G$43,5,0)</f>
        <v>21088530.338695202</v>
      </c>
      <c r="L7" s="63">
        <f>'NW Baseline Grid Char'!L15*VLOOKUP(L$2,'NW Baseline Energy'!$A$4:$G$43,5,0)</f>
        <v>21268922.436036147</v>
      </c>
      <c r="M7" s="63">
        <f>'NW Baseline Grid Char'!M15*VLOOKUP(M$2,'NW Baseline Energy'!$A$4:$G$43,5,0)</f>
        <v>21448812.95145053</v>
      </c>
      <c r="N7" s="63">
        <f>'NW Baseline Grid Char'!N15*VLOOKUP(N$2,'NW Baseline Energy'!$A$4:$G$43,5,0)</f>
        <v>21628122.348054405</v>
      </c>
      <c r="O7" s="63">
        <f>'NW Baseline Grid Char'!O15*VLOOKUP(O$2,'NW Baseline Energy'!$A$4:$G$43,5,0)</f>
        <v>21806768.253189009</v>
      </c>
      <c r="P7" s="63">
        <f>'NW Baseline Grid Char'!P15*VLOOKUP(P$2,'NW Baseline Energy'!$A$4:$G$43,5,0)</f>
        <v>21984665.696590912</v>
      </c>
      <c r="Q7" s="63">
        <f>'NW Baseline Grid Char'!Q15*VLOOKUP(Q$2,'NW Baseline Energy'!$A$4:$G$43,5,0)</f>
        <v>22161726.567118339</v>
      </c>
      <c r="R7" s="63">
        <f>'NW Baseline Grid Char'!R15*VLOOKUP(R$2,'NW Baseline Energy'!$A$4:$G$43,5,0)</f>
        <v>22337859.844423059</v>
      </c>
      <c r="S7" s="63">
        <f>'NW Baseline Grid Char'!S15*VLOOKUP(S$2,'NW Baseline Energy'!$A$4:$G$43,5,0)</f>
        <v>22512971.357255779</v>
      </c>
      <c r="T7" s="63">
        <f>'NW Baseline Grid Char'!T15*VLOOKUP(T$2,'NW Baseline Energy'!$A$4:$G$43,5,0)</f>
        <v>22686964.037805405</v>
      </c>
      <c r="U7" s="63">
        <f>'NW Baseline Grid Char'!U15*VLOOKUP(U$2,'NW Baseline Energy'!$A$4:$G$43,5,0)</f>
        <v>22825164.577309202</v>
      </c>
      <c r="V7" s="63">
        <f>'NW Baseline Grid Char'!V15*VLOOKUP(V$2,'NW Baseline Energy'!$A$4:$G$43,5,0)</f>
        <v>22961576.029530216</v>
      </c>
      <c r="W7" s="63">
        <f>'NW Baseline Grid Char'!W15*VLOOKUP(W$2,'NW Baseline Energy'!$A$4:$G$43,5,0)</f>
        <v>23096098.777869564</v>
      </c>
      <c r="X7" s="63">
        <f>'NW Baseline Grid Char'!X15*VLOOKUP(X$2,'NW Baseline Energy'!$A$4:$G$43,5,0)</f>
        <v>23228630.263172388</v>
      </c>
      <c r="Y7" s="63">
        <f>'NW Baseline Grid Char'!Y15*VLOOKUP(Y$2,'NW Baseline Energy'!$A$4:$G$43,5,0)</f>
        <v>23359065.282316949</v>
      </c>
      <c r="Z7" s="63">
        <f>'NW Baseline Grid Char'!Z15*VLOOKUP(Z$2,'NW Baseline Energy'!$A$4:$G$43,5,0)</f>
        <v>23487295.371641908</v>
      </c>
      <c r="AA7" s="63">
        <f>'NW Baseline Grid Char'!AA15*VLOOKUP(AA$2,'NW Baseline Energy'!$A$4:$G$43,5,0)</f>
        <v>23613209.09950266</v>
      </c>
      <c r="AB7" s="63">
        <f>'NW Baseline Grid Char'!AB15*VLOOKUP(AB$2,'NW Baseline Energy'!$A$4:$G$43,5,0)</f>
        <v>23736691.805135779</v>
      </c>
      <c r="AC7" s="63">
        <f>'NW Baseline Grid Char'!AC15*VLOOKUP(AC$2,'NW Baseline Energy'!$A$4:$G$43,5,0)</f>
        <v>23857625.91650049</v>
      </c>
      <c r="AD7" s="63">
        <f>'NW Baseline Grid Char'!AD15*VLOOKUP(AD$2,'NW Baseline Energy'!$A$4:$G$43,5,0)</f>
        <v>23975890.289635986</v>
      </c>
      <c r="AE7" s="63">
        <f>'NW Baseline Grid Char'!AE15*VLOOKUP(AE$2,'NW Baseline Energy'!$A$4:$G$43,5,0)</f>
        <v>24091360.520005364</v>
      </c>
      <c r="AF7" s="63">
        <f>'NW Baseline Grid Char'!AF15*VLOOKUP(AF$2,'NW Baseline Energy'!$A$4:$G$43,5,0)</f>
        <v>24203908.661826067</v>
      </c>
      <c r="AG7" s="63">
        <f>'NW Baseline Grid Char'!AG15*VLOOKUP(AG$2,'NW Baseline Energy'!$A$4:$G$43,5,0)</f>
        <v>24313403.566398554</v>
      </c>
      <c r="AH7" s="63">
        <f>'NW Baseline Grid Char'!AH15*VLOOKUP(AH$2,'NW Baseline Energy'!$A$4:$G$43,5,0)</f>
        <v>24419710.174247112</v>
      </c>
      <c r="AI7" s="63">
        <f>'NW Baseline Grid Char'!AI15*VLOOKUP(AI$2,'NW Baseline Energy'!$A$4:$G$43,5,0)</f>
        <v>24522689.846450567</v>
      </c>
      <c r="AJ7" s="63">
        <f>'NW Baseline Grid Char'!AJ15*VLOOKUP(AJ$2,'NW Baseline Energy'!$A$4:$G$43,5,0)</f>
        <v>24622200.062985964</v>
      </c>
      <c r="AK7" s="63">
        <f>'NW Baseline Grid Char'!AK15*VLOOKUP(AK$2,'NW Baseline Energy'!$A$4:$G$43,5,0)</f>
        <v>24718094.782857876</v>
      </c>
      <c r="AL7" s="63">
        <f>'NW Baseline Grid Char'!AL15*VLOOKUP(AL$2,'NW Baseline Energy'!$A$4:$G$43,5,0)</f>
        <v>24810223.685651563</v>
      </c>
      <c r="AM7" s="63">
        <f>'NW Baseline Grid Char'!AM15*VLOOKUP(AM$2,'NW Baseline Energy'!$A$4:$G$43,5,0)</f>
        <v>24898432.524125922</v>
      </c>
      <c r="AN7" s="63">
        <f>'NW Baseline Grid Char'!AN15*VLOOKUP(AN$2,'NW Baseline Energy'!$A$4:$G$43,5,0)</f>
        <v>24982562.920210019</v>
      </c>
      <c r="AO7" s="63">
        <f>'NW Baseline Grid Char'!AO15*VLOOKUP(AO$2,'NW Baseline Energy'!$A$4:$G$43,5,0)</f>
        <v>25062452.147329602</v>
      </c>
    </row>
    <row r="8" spans="1:41">
      <c r="A8" s="63" t="s">
        <v>201</v>
      </c>
      <c r="B8" s="63">
        <f>'NW Baseline Grid Char'!B18*VLOOKUP(B$2,'NW Baseline Energy'!$A$4:$G$43,5,0)</f>
        <v>17117355.046416089</v>
      </c>
      <c r="C8" s="63">
        <f>'NW Baseline Grid Char'!C18*VLOOKUP(C$2,'NW Baseline Energy'!$A$4:$G$43,5,0)</f>
        <v>17235290.288918871</v>
      </c>
      <c r="D8" s="63">
        <f>'NW Baseline Grid Char'!D18*VLOOKUP(D$2,'NW Baseline Energy'!$A$4:$G$43,5,0)</f>
        <v>17353850.440147415</v>
      </c>
      <c r="E8" s="63">
        <f>'NW Baseline Grid Char'!E18*VLOOKUP(E$2,'NW Baseline Energy'!$A$4:$G$43,5,0)</f>
        <v>17473035.977434885</v>
      </c>
      <c r="F8" s="63">
        <f>'NW Baseline Grid Char'!F18*VLOOKUP(F$2,'NW Baseline Energy'!$A$4:$G$43,5,0)</f>
        <v>17592847.322828114</v>
      </c>
      <c r="G8" s="63">
        <f>'NW Baseline Grid Char'!G18*VLOOKUP(G$2,'NW Baseline Energy'!$A$4:$G$43,5,0)</f>
        <v>17713284.841910087</v>
      </c>
      <c r="H8" s="63">
        <f>'NW Baseline Grid Char'!H18*VLOOKUP(H$2,'NW Baseline Energy'!$A$4:$G$43,5,0)</f>
        <v>17834348.842604011</v>
      </c>
      <c r="I8" s="63">
        <f>'NW Baseline Grid Char'!I18*VLOOKUP(I$2,'NW Baseline Energy'!$A$4:$G$43,5,0)</f>
        <v>17956039.573959008</v>
      </c>
      <c r="J8" s="63">
        <f>'NW Baseline Grid Char'!J18*VLOOKUP(J$2,'NW Baseline Energy'!$A$4:$G$43,5,0)</f>
        <v>18078357.224916887</v>
      </c>
      <c r="K8" s="63">
        <f>'NW Baseline Grid Char'!K18*VLOOKUP(K$2,'NW Baseline Energy'!$A$4:$G$43,5,0)</f>
        <v>18277971.820391402</v>
      </c>
      <c r="L8" s="63">
        <f>'NW Baseline Grid Char'!L18*VLOOKUP(L$2,'NW Baseline Energy'!$A$4:$G$43,5,0)</f>
        <v>18551436.620124884</v>
      </c>
      <c r="M8" s="63">
        <f>'NW Baseline Grid Char'!M18*VLOOKUP(M$2,'NW Baseline Energy'!$A$4:$G$43,5,0)</f>
        <v>18828776.65011159</v>
      </c>
      <c r="N8" s="63">
        <f>'NW Baseline Grid Char'!N18*VLOOKUP(N$2,'NW Baseline Energy'!$A$4:$G$43,5,0)</f>
        <v>19110041.933032196</v>
      </c>
      <c r="O8" s="63">
        <f>'NW Baseline Grid Char'!O18*VLOOKUP(O$2,'NW Baseline Energy'!$A$4:$G$43,5,0)</f>
        <v>19395283.020375531</v>
      </c>
      <c r="P8" s="63">
        <f>'NW Baseline Grid Char'!P18*VLOOKUP(P$2,'NW Baseline Energy'!$A$4:$G$43,5,0)</f>
        <v>19684550.994962543</v>
      </c>
      <c r="Q8" s="63">
        <f>'NW Baseline Grid Char'!Q18*VLOOKUP(Q$2,'NW Baseline Energy'!$A$4:$G$43,5,0)</f>
        <v>19977897.473384075</v>
      </c>
      <c r="R8" s="63">
        <f>'NW Baseline Grid Char'!R18*VLOOKUP(R$2,'NW Baseline Energy'!$A$4:$G$43,5,0)</f>
        <v>20275374.608348414</v>
      </c>
      <c r="S8" s="63">
        <f>'NW Baseline Grid Char'!S18*VLOOKUP(S$2,'NW Baseline Energy'!$A$4:$G$43,5,0)</f>
        <v>20577035.090934601</v>
      </c>
      <c r="T8" s="63">
        <f>'NW Baseline Grid Char'!T18*VLOOKUP(T$2,'NW Baseline Energy'!$A$4:$G$43,5,0)</f>
        <v>20882932.152747035</v>
      </c>
      <c r="U8" s="63">
        <f>'NW Baseline Grid Char'!U18*VLOOKUP(U$2,'NW Baseline Energy'!$A$4:$G$43,5,0)</f>
        <v>21161067.29256456</v>
      </c>
      <c r="V8" s="63">
        <f>'NW Baseline Grid Char'!V18*VLOOKUP(V$2,'NW Baseline Energy'!$A$4:$G$43,5,0)</f>
        <v>21442644.997068066</v>
      </c>
      <c r="W8" s="63">
        <f>'NW Baseline Grid Char'!W18*VLOOKUP(W$2,'NW Baseline Energy'!$A$4:$G$43,5,0)</f>
        <v>21727702.196860213</v>
      </c>
      <c r="X8" s="63">
        <f>'NW Baseline Grid Char'!X18*VLOOKUP(X$2,'NW Baseline Energy'!$A$4:$G$43,5,0)</f>
        <v>22016276.178203493</v>
      </c>
      <c r="Y8" s="63">
        <f>'NW Baseline Grid Char'!Y18*VLOOKUP(Y$2,'NW Baseline Energy'!$A$4:$G$43,5,0)</f>
        <v>22308404.495553803</v>
      </c>
      <c r="Z8" s="63">
        <f>'NW Baseline Grid Char'!Z18*VLOOKUP(Z$2,'NW Baseline Energy'!$A$4:$G$43,5,0)</f>
        <v>22604124.970004596</v>
      </c>
      <c r="AA8" s="63">
        <f>'NW Baseline Grid Char'!AA18*VLOOKUP(AA$2,'NW Baseline Energy'!$A$4:$G$43,5,0)</f>
        <v>22903475.687602367</v>
      </c>
      <c r="AB8" s="63">
        <f>'NW Baseline Grid Char'!AB18*VLOOKUP(AB$2,'NW Baseline Energy'!$A$4:$G$43,5,0)</f>
        <v>23206494.997529514</v>
      </c>
      <c r="AC8" s="63">
        <f>'NW Baseline Grid Char'!AC18*VLOOKUP(AC$2,'NW Baseline Energy'!$A$4:$G$43,5,0)</f>
        <v>23513221.51015063</v>
      </c>
      <c r="AD8" s="63">
        <f>'NW Baseline Grid Char'!AD18*VLOOKUP(AD$2,'NW Baseline Energy'!$A$4:$G$43,5,0)</f>
        <v>23823694.094918061</v>
      </c>
      <c r="AE8" s="63">
        <f>'NW Baseline Grid Char'!AE18*VLOOKUP(AE$2,'NW Baseline Energy'!$A$4:$G$43,5,0)</f>
        <v>24137951.77472499</v>
      </c>
      <c r="AF8" s="63">
        <f>'NW Baseline Grid Char'!AF18*VLOOKUP(AF$2,'NW Baseline Energy'!$A$4:$G$43,5,0)</f>
        <v>24456034.135404125</v>
      </c>
      <c r="AG8" s="63">
        <f>'NW Baseline Grid Char'!AG18*VLOOKUP(AG$2,'NW Baseline Energy'!$A$4:$G$43,5,0)</f>
        <v>24777980.707940824</v>
      </c>
      <c r="AH8" s="63">
        <f>'NW Baseline Grid Char'!AH18*VLOOKUP(AH$2,'NW Baseline Energy'!$A$4:$G$43,5,0)</f>
        <v>25103831.374231488</v>
      </c>
      <c r="AI8" s="63">
        <f>'NW Baseline Grid Char'!AI18*VLOOKUP(AI$2,'NW Baseline Energy'!$A$4:$G$43,5,0)</f>
        <v>25433626.262527782</v>
      </c>
      <c r="AJ8" s="63">
        <f>'NW Baseline Grid Char'!AJ18*VLOOKUP(AJ$2,'NW Baseline Energy'!$A$4:$G$43,5,0)</f>
        <v>25767405.744406503</v>
      </c>
      <c r="AK8" s="63">
        <f>'NW Baseline Grid Char'!AK18*VLOOKUP(AK$2,'NW Baseline Energy'!$A$4:$G$43,5,0)</f>
        <v>26105210.431567308</v>
      </c>
      <c r="AL8" s="63">
        <f>'NW Baseline Grid Char'!AL18*VLOOKUP(AL$2,'NW Baseline Energy'!$A$4:$G$43,5,0)</f>
        <v>26447081.172453213</v>
      </c>
      <c r="AM8" s="63">
        <f>'NW Baseline Grid Char'!AM18*VLOOKUP(AM$2,'NW Baseline Energy'!$A$4:$G$43,5,0)</f>
        <v>26793059.048688937</v>
      </c>
      <c r="AN8" s="63">
        <f>'NW Baseline Grid Char'!AN18*VLOOKUP(AN$2,'NW Baseline Energy'!$A$4:$G$43,5,0)</f>
        <v>27143185.371331774</v>
      </c>
      <c r="AO8" s="63">
        <f>'NW Baseline Grid Char'!AO18*VLOOKUP(AO$2,'NW Baseline Energy'!$A$4:$G$43,5,0)</f>
        <v>27497501.676929846</v>
      </c>
    </row>
    <row r="9" spans="1:41">
      <c r="A9" s="63" t="s">
        <v>204</v>
      </c>
      <c r="B9" s="63">
        <f>'NW Baseline Grid Char'!B21*VLOOKUP(B$2,'NW Baseline Energy'!$A$4:$G$43,5,0)</f>
        <v>0</v>
      </c>
      <c r="C9" s="63">
        <f>'NW Baseline Grid Char'!C21*VLOOKUP(C$2,'NW Baseline Energy'!$A$4:$G$43,5,0)</f>
        <v>0</v>
      </c>
      <c r="D9" s="63">
        <f>'NW Baseline Grid Char'!D21*VLOOKUP(D$2,'NW Baseline Energy'!$A$4:$G$43,5,0)</f>
        <v>0</v>
      </c>
      <c r="E9" s="63">
        <f>'NW Baseline Grid Char'!E21*VLOOKUP(E$2,'NW Baseline Energy'!$A$4:$G$43,5,0)</f>
        <v>0</v>
      </c>
      <c r="F9" s="63">
        <f>'NW Baseline Grid Char'!F21*VLOOKUP(F$2,'NW Baseline Energy'!$A$4:$G$43,5,0)</f>
        <v>0</v>
      </c>
      <c r="G9" s="63">
        <f>'NW Baseline Grid Char'!G21*VLOOKUP(G$2,'NW Baseline Energy'!$A$4:$G$43,5,0)</f>
        <v>0</v>
      </c>
      <c r="H9" s="63">
        <f>'NW Baseline Grid Char'!H21*VLOOKUP(H$2,'NW Baseline Energy'!$A$4:$G$43,5,0)</f>
        <v>0</v>
      </c>
      <c r="I9" s="63">
        <f>'NW Baseline Grid Char'!I21*VLOOKUP(I$2,'NW Baseline Energy'!$A$4:$G$43,5,0)</f>
        <v>0</v>
      </c>
      <c r="J9" s="63">
        <f>'NW Baseline Grid Char'!J21*VLOOKUP(J$2,'NW Baseline Energy'!$A$4:$G$43,5,0)</f>
        <v>0</v>
      </c>
      <c r="K9" s="63">
        <f>'NW Baseline Grid Char'!K21*VLOOKUP(K$2,'NW Baseline Energy'!$A$4:$G$43,5,0)</f>
        <v>0</v>
      </c>
      <c r="L9" s="63">
        <f>'NW Baseline Grid Char'!L21*VLOOKUP(L$2,'NW Baseline Energy'!$A$4:$G$43,5,0)</f>
        <v>0</v>
      </c>
      <c r="M9" s="63">
        <f>'NW Baseline Grid Char'!M21*VLOOKUP(M$2,'NW Baseline Energy'!$A$4:$G$43,5,0)</f>
        <v>0</v>
      </c>
      <c r="N9" s="63">
        <f>'NW Baseline Grid Char'!N21*VLOOKUP(N$2,'NW Baseline Energy'!$A$4:$G$43,5,0)</f>
        <v>0</v>
      </c>
      <c r="O9" s="63">
        <f>'NW Baseline Grid Char'!O21*VLOOKUP(O$2,'NW Baseline Energy'!$A$4:$G$43,5,0)</f>
        <v>0</v>
      </c>
      <c r="P9" s="63">
        <f>'NW Baseline Grid Char'!P21*VLOOKUP(P$2,'NW Baseline Energy'!$A$4:$G$43,5,0)</f>
        <v>0</v>
      </c>
      <c r="Q9" s="63">
        <f>'NW Baseline Grid Char'!Q21*VLOOKUP(Q$2,'NW Baseline Energy'!$A$4:$G$43,5,0)</f>
        <v>0</v>
      </c>
      <c r="R9" s="63">
        <f>'NW Baseline Grid Char'!R21*VLOOKUP(R$2,'NW Baseline Energy'!$A$4:$G$43,5,0)</f>
        <v>0</v>
      </c>
      <c r="S9" s="63">
        <f>'NW Baseline Grid Char'!S21*VLOOKUP(S$2,'NW Baseline Energy'!$A$4:$G$43,5,0)</f>
        <v>0</v>
      </c>
      <c r="T9" s="63">
        <f>'NW Baseline Grid Char'!T21*VLOOKUP(T$2,'NW Baseline Energy'!$A$4:$G$43,5,0)</f>
        <v>0</v>
      </c>
      <c r="U9" s="63">
        <f>'NW Baseline Grid Char'!U21*VLOOKUP(U$2,'NW Baseline Energy'!$A$4:$G$43,5,0)</f>
        <v>0</v>
      </c>
      <c r="V9" s="63">
        <f>'NW Baseline Grid Char'!V21*VLOOKUP(V$2,'NW Baseline Energy'!$A$4:$G$43,5,0)</f>
        <v>0</v>
      </c>
      <c r="W9" s="63">
        <f>'NW Baseline Grid Char'!W21*VLOOKUP(W$2,'NW Baseline Energy'!$A$4:$G$43,5,0)</f>
        <v>0</v>
      </c>
      <c r="X9" s="63">
        <f>'NW Baseline Grid Char'!X21*VLOOKUP(X$2,'NW Baseline Energy'!$A$4:$G$43,5,0)</f>
        <v>0</v>
      </c>
      <c r="Y9" s="63">
        <f>'NW Baseline Grid Char'!Y21*VLOOKUP(Y$2,'NW Baseline Energy'!$A$4:$G$43,5,0)</f>
        <v>0</v>
      </c>
      <c r="Z9" s="63">
        <f>'NW Baseline Grid Char'!Z21*VLOOKUP(Z$2,'NW Baseline Energy'!$A$4:$G$43,5,0)</f>
        <v>0</v>
      </c>
      <c r="AA9" s="63">
        <f>'NW Baseline Grid Char'!AA21*VLOOKUP(AA$2,'NW Baseline Energy'!$A$4:$G$43,5,0)</f>
        <v>0</v>
      </c>
      <c r="AB9" s="63">
        <f>'NW Baseline Grid Char'!AB21*VLOOKUP(AB$2,'NW Baseline Energy'!$A$4:$G$43,5,0)</f>
        <v>0</v>
      </c>
      <c r="AC9" s="63">
        <f>'NW Baseline Grid Char'!AC21*VLOOKUP(AC$2,'NW Baseline Energy'!$A$4:$G$43,5,0)</f>
        <v>0</v>
      </c>
      <c r="AD9" s="63">
        <f>'NW Baseline Grid Char'!AD21*VLOOKUP(AD$2,'NW Baseline Energy'!$A$4:$G$43,5,0)</f>
        <v>0</v>
      </c>
      <c r="AE9" s="63">
        <f>'NW Baseline Grid Char'!AE21*VLOOKUP(AE$2,'NW Baseline Energy'!$A$4:$G$43,5,0)</f>
        <v>0</v>
      </c>
      <c r="AF9" s="63">
        <f>'NW Baseline Grid Char'!AF21*VLOOKUP(AF$2,'NW Baseline Energy'!$A$4:$G$43,5,0)</f>
        <v>0</v>
      </c>
      <c r="AG9" s="63">
        <f>'NW Baseline Grid Char'!AG21*VLOOKUP(AG$2,'NW Baseline Energy'!$A$4:$G$43,5,0)</f>
        <v>0</v>
      </c>
      <c r="AH9" s="63">
        <f>'NW Baseline Grid Char'!AH21*VLOOKUP(AH$2,'NW Baseline Energy'!$A$4:$G$43,5,0)</f>
        <v>0</v>
      </c>
      <c r="AI9" s="63">
        <f>'NW Baseline Grid Char'!AI21*VLOOKUP(AI$2,'NW Baseline Energy'!$A$4:$G$43,5,0)</f>
        <v>0</v>
      </c>
      <c r="AJ9" s="63">
        <f>'NW Baseline Grid Char'!AJ21*VLOOKUP(AJ$2,'NW Baseline Energy'!$A$4:$G$43,5,0)</f>
        <v>0</v>
      </c>
      <c r="AK9" s="63">
        <f>'NW Baseline Grid Char'!AK21*VLOOKUP(AK$2,'NW Baseline Energy'!$A$4:$G$43,5,0)</f>
        <v>0</v>
      </c>
      <c r="AL9" s="63">
        <f>'NW Baseline Grid Char'!AL21*VLOOKUP(AL$2,'NW Baseline Energy'!$A$4:$G$43,5,0)</f>
        <v>0</v>
      </c>
      <c r="AM9" s="63">
        <f>'NW Baseline Grid Char'!AM21*VLOOKUP(AM$2,'NW Baseline Energy'!$A$4:$G$43,5,0)</f>
        <v>0</v>
      </c>
      <c r="AN9" s="63">
        <f>'NW Baseline Grid Char'!AN21*VLOOKUP(AN$2,'NW Baseline Energy'!$A$4:$G$43,5,0)</f>
        <v>0</v>
      </c>
      <c r="AO9" s="63">
        <f>'NW Baseline Grid Char'!AO21*VLOOKUP(AO$2,'NW Baseline Energy'!$A$4:$G$43,5,0)</f>
        <v>0</v>
      </c>
    </row>
    <row r="10" spans="1:41">
      <c r="A10" s="63" t="s">
        <v>187</v>
      </c>
      <c r="B10" s="63">
        <f>'NW Baseline Grid Char'!B4*VLOOKUP(B$2,'NW Baseline Energy'!$A$4:$G$43,6,0)</f>
        <v>17875058.364626866</v>
      </c>
      <c r="C10" s="63">
        <f>'NW Baseline Grid Char'!C4*VLOOKUP(C$2,'NW Baseline Energy'!$A$4:$G$43,6,0)</f>
        <v>18195388.394981839</v>
      </c>
      <c r="D10" s="63">
        <f>'NW Baseline Grid Char'!D4*VLOOKUP(D$2,'NW Baseline Energy'!$A$4:$G$43,6,0)</f>
        <v>18521374.301752698</v>
      </c>
      <c r="E10" s="63">
        <f>'NW Baseline Grid Char'!E4*VLOOKUP(E$2,'NW Baseline Energy'!$A$4:$G$43,6,0)</f>
        <v>18853113.913692363</v>
      </c>
      <c r="F10" s="63">
        <f>'NW Baseline Grid Char'!F4*VLOOKUP(F$2,'NW Baseline Energy'!$A$4:$G$43,6,0)</f>
        <v>19190706.961772207</v>
      </c>
      <c r="G10" s="63">
        <f>'NW Baseline Grid Char'!G4*VLOOKUP(G$2,'NW Baseline Energy'!$A$4:$G$43,6,0)</f>
        <v>19534254.602150977</v>
      </c>
      <c r="H10" s="63">
        <f>'NW Baseline Grid Char'!H4*VLOOKUP(H$2,'NW Baseline Energy'!$A$4:$G$43,6,0)</f>
        <v>19883859.957484908</v>
      </c>
      <c r="I10" s="63">
        <f>'NW Baseline Grid Char'!I4*VLOOKUP(I$2,'NW Baseline Energy'!$A$4:$G$43,6,0)</f>
        <v>20239627.620270211</v>
      </c>
      <c r="J10" s="63">
        <f>'NW Baseline Grid Char'!J4*VLOOKUP(J$2,'NW Baseline Energy'!$A$4:$G$43,6,0)</f>
        <v>20601664.215863559</v>
      </c>
      <c r="K10" s="63">
        <f>'NW Baseline Grid Char'!K4*VLOOKUP(K$2,'NW Baseline Energy'!$A$4:$G$43,6,0)</f>
        <v>21054363.133481279</v>
      </c>
      <c r="L10" s="63">
        <f>'NW Baseline Grid Char'!L4*VLOOKUP(L$2,'NW Baseline Energy'!$A$4:$G$43,6,0)</f>
        <v>21301667.815247945</v>
      </c>
      <c r="M10" s="63">
        <f>'NW Baseline Grid Char'!M4*VLOOKUP(M$2,'NW Baseline Energy'!$A$4:$G$43,6,0)</f>
        <v>21551873.137487747</v>
      </c>
      <c r="N10" s="63">
        <f>'NW Baseline Grid Char'!N4*VLOOKUP(N$2,'NW Baseline Energy'!$A$4:$G$43,6,0)</f>
        <v>21805013.076185714</v>
      </c>
      <c r="O10" s="63">
        <f>'NW Baseline Grid Char'!O4*VLOOKUP(O$2,'NW Baseline Energy'!$A$4:$G$43,6,0)</f>
        <v>22061122.004799575</v>
      </c>
      <c r="P10" s="63">
        <f>'NW Baseline Grid Char'!P4*VLOOKUP(P$2,'NW Baseline Energy'!$A$4:$G$43,6,0)</f>
        <v>22320234.69890428</v>
      </c>
      <c r="Q10" s="63">
        <f>'NW Baseline Grid Char'!Q4*VLOOKUP(Q$2,'NW Baseline Energy'!$A$4:$G$43,6,0)</f>
        <v>22582386.34089065</v>
      </c>
      <c r="R10" s="63">
        <f>'NW Baseline Grid Char'!R4*VLOOKUP(R$2,'NW Baseline Energy'!$A$4:$G$43,6,0)</f>
        <v>22847612.524718914</v>
      </c>
      <c r="S10" s="63">
        <f>'NW Baseline Grid Char'!S4*VLOOKUP(S$2,'NW Baseline Energy'!$A$4:$G$43,6,0)</f>
        <v>23115949.260727722</v>
      </c>
      <c r="T10" s="63">
        <f>'NW Baseline Grid Char'!T4*VLOOKUP(T$2,'NW Baseline Energy'!$A$4:$G$43,6,0)</f>
        <v>23387432.980499264</v>
      </c>
      <c r="U10" s="63">
        <f>'NW Baseline Grid Char'!U4*VLOOKUP(U$2,'NW Baseline Energy'!$A$4:$G$43,6,0)</f>
        <v>23608641.186362401</v>
      </c>
      <c r="V10" s="63">
        <f>'NW Baseline Grid Char'!V4*VLOOKUP(V$2,'NW Baseline Energy'!$A$4:$G$43,6,0)</f>
        <v>23653130.997788694</v>
      </c>
      <c r="W10" s="63">
        <f>'NW Baseline Grid Char'!W4*VLOOKUP(W$2,'NW Baseline Energy'!$A$4:$G$43,6,0)</f>
        <v>23861940.770290568</v>
      </c>
      <c r="X10" s="63">
        <f>'NW Baseline Grid Char'!X4*VLOOKUP(X$2,'NW Baseline Energy'!$A$4:$G$43,6,0)</f>
        <v>24074420.689822271</v>
      </c>
      <c r="Y10" s="63">
        <f>'NW Baseline Grid Char'!Y4*VLOOKUP(Y$2,'NW Baseline Energy'!$A$4:$G$43,6,0)</f>
        <v>24290294.71202676</v>
      </c>
      <c r="Z10" s="63">
        <f>'NW Baseline Grid Char'!Z4*VLOOKUP(Z$2,'NW Baseline Energy'!$A$4:$G$43,6,0)</f>
        <v>24509183.339985196</v>
      </c>
      <c r="AA10" s="63">
        <f>'NW Baseline Grid Char'!AA4*VLOOKUP(AA$2,'NW Baseline Energy'!$A$4:$G$43,6,0)</f>
        <v>24730586.152036142</v>
      </c>
      <c r="AB10" s="63">
        <f>'NW Baseline Grid Char'!AB4*VLOOKUP(AB$2,'NW Baseline Energy'!$A$4:$G$43,6,0)</f>
        <v>24953863.164185427</v>
      </c>
      <c r="AC10" s="63">
        <f>'NW Baseline Grid Char'!AC4*VLOOKUP(AC$2,'NW Baseline Energy'!$A$4:$G$43,6,0)</f>
        <v>25178213.427249659</v>
      </c>
      <c r="AD10" s="63">
        <f>'NW Baseline Grid Char'!AD4*VLOOKUP(AD$2,'NW Baseline Energy'!$A$4:$G$43,6,0)</f>
        <v>25402651.409727752</v>
      </c>
      <c r="AE10" s="63">
        <f>'NW Baseline Grid Char'!AE4*VLOOKUP(AE$2,'NW Baseline Energy'!$A$4:$G$43,6,0)</f>
        <v>25625982.114197478</v>
      </c>
      <c r="AF10" s="63">
        <f>'NW Baseline Grid Char'!AF4*VLOOKUP(AF$2,'NW Baseline Energy'!$A$4:$G$43,6,0)</f>
        <v>25753247.421845861</v>
      </c>
      <c r="AG10" s="63">
        <f>'NW Baseline Grid Char'!AG4*VLOOKUP(AG$2,'NW Baseline Energy'!$A$4:$G$43,6,0)</f>
        <v>25967391.015977088</v>
      </c>
      <c r="AH10" s="63">
        <f>'NW Baseline Grid Char'!AH4*VLOOKUP(AH$2,'NW Baseline Energy'!$A$4:$G$43,6,0)</f>
        <v>26183302.576061398</v>
      </c>
      <c r="AI10" s="63">
        <f>'NW Baseline Grid Char'!AI4*VLOOKUP(AI$2,'NW Baseline Energy'!$A$4:$G$43,6,0)</f>
        <v>26400996.665471293</v>
      </c>
      <c r="AJ10" s="63">
        <f>'NW Baseline Grid Char'!AJ4*VLOOKUP(AJ$2,'NW Baseline Energy'!$A$4:$G$43,6,0)</f>
        <v>26620487.968110174</v>
      </c>
      <c r="AK10" s="63">
        <f>'NW Baseline Grid Char'!AK4*VLOOKUP(AK$2,'NW Baseline Energy'!$A$4:$G$43,6,0)</f>
        <v>26841791.011226747</v>
      </c>
      <c r="AL10" s="63">
        <f>'NW Baseline Grid Char'!AL4*VLOOKUP(AL$2,'NW Baseline Energy'!$A$4:$G$43,6,0)</f>
        <v>27064920.808875158</v>
      </c>
      <c r="AM10" s="63">
        <f>'NW Baseline Grid Char'!AM4*VLOOKUP(AM$2,'NW Baseline Energy'!$A$4:$G$43,6,0)</f>
        <v>27289892.124292739</v>
      </c>
      <c r="AN10" s="63">
        <f>'NW Baseline Grid Char'!AN4*VLOOKUP(AN$2,'NW Baseline Energy'!$A$4:$G$43,6,0)</f>
        <v>27516720.216094092</v>
      </c>
      <c r="AO10" s="63">
        <f>'NW Baseline Grid Char'!AO4*VLOOKUP(AO$2,'NW Baseline Energy'!$A$4:$G$43,6,0)</f>
        <v>27745420.087288171</v>
      </c>
    </row>
    <row r="11" spans="1:41">
      <c r="A11" s="63" t="s">
        <v>190</v>
      </c>
      <c r="B11" s="63">
        <f>'NW Baseline Grid Char'!B7*VLOOKUP(B$2,'NW Baseline Energy'!$A$4:$G$43,6,0)</f>
        <v>7508065.5504521728</v>
      </c>
      <c r="C11" s="63">
        <f>'NW Baseline Grid Char'!C7*VLOOKUP(C$2,'NW Baseline Energy'!$A$4:$G$43,6,0)</f>
        <v>7704014.8442957075</v>
      </c>
      <c r="D11" s="63">
        <f>'NW Baseline Grid Char'!D7*VLOOKUP(D$2,'NW Baseline Energy'!$A$4:$G$43,6,0)</f>
        <v>7904807.7401940674</v>
      </c>
      <c r="E11" s="63">
        <f>'NW Baseline Grid Char'!E7*VLOOKUP(E$2,'NW Baseline Energy'!$A$4:$G$43,6,0)</f>
        <v>8110559.6537306262</v>
      </c>
      <c r="F11" s="63">
        <f>'NW Baseline Grid Char'!F7*VLOOKUP(F$2,'NW Baseline Energy'!$A$4:$G$43,6,0)</f>
        <v>8321388.9376477236</v>
      </c>
      <c r="G11" s="63">
        <f>'NW Baseline Grid Char'!G7*VLOOKUP(G$2,'NW Baseline Energy'!$A$4:$G$43,6,0)</f>
        <v>8537416.5054942705</v>
      </c>
      <c r="H11" s="63">
        <f>'NW Baseline Grid Char'!H7*VLOOKUP(H$2,'NW Baseline Energy'!$A$4:$G$43,6,0)</f>
        <v>8758766.0774807222</v>
      </c>
      <c r="I11" s="63">
        <f>'NW Baseline Grid Char'!I7*VLOOKUP(I$2,'NW Baseline Energy'!$A$4:$G$43,6,0)</f>
        <v>8985564.4509863723</v>
      </c>
      <c r="J11" s="63">
        <f>'NW Baseline Grid Char'!J7*VLOOKUP(J$2,'NW Baseline Energy'!$A$4:$G$43,6,0)</f>
        <v>9217941.1651202794</v>
      </c>
      <c r="K11" s="63">
        <f>'NW Baseline Grid Char'!K7*VLOOKUP(K$2,'NW Baseline Energy'!$A$4:$G$43,6,0)</f>
        <v>9494035.4750925601</v>
      </c>
      <c r="L11" s="63">
        <f>'NW Baseline Grid Char'!L7*VLOOKUP(L$2,'NW Baseline Energy'!$A$4:$G$43,6,0)</f>
        <v>9616931.5347121339</v>
      </c>
      <c r="M11" s="63">
        <f>'NW Baseline Grid Char'!M7*VLOOKUP(M$2,'NW Baseline Energy'!$A$4:$G$43,6,0)</f>
        <v>9741392.6555234399</v>
      </c>
      <c r="N11" s="63">
        <f>'NW Baseline Grid Char'!N7*VLOOKUP(N$2,'NW Baseline Energy'!$A$4:$G$43,6,0)</f>
        <v>9867438.6630656328</v>
      </c>
      <c r="O11" s="63">
        <f>'NW Baseline Grid Char'!O7*VLOOKUP(O$2,'NW Baseline Energy'!$A$4:$G$43,6,0)</f>
        <v>9995089.3333942257</v>
      </c>
      <c r="P11" s="63">
        <f>'NW Baseline Grid Char'!P7*VLOOKUP(P$2,'NW Baseline Energy'!$A$4:$G$43,6,0)</f>
        <v>10124364.98818545</v>
      </c>
      <c r="Q11" s="63">
        <f>'NW Baseline Grid Char'!Q7*VLOOKUP(Q$2,'NW Baseline Energy'!$A$4:$G$43,6,0)</f>
        <v>10255285.89902232</v>
      </c>
      <c r="R11" s="63">
        <f>'NW Baseline Grid Char'!R7*VLOOKUP(R$2,'NW Baseline Energy'!$A$4:$G$43,6,0)</f>
        <v>10387872.818186792</v>
      </c>
      <c r="S11" s="63">
        <f>'NW Baseline Grid Char'!S7*VLOOKUP(S$2,'NW Baseline Energy'!$A$4:$G$43,6,0)</f>
        <v>10522146.758625796</v>
      </c>
      <c r="T11" s="63">
        <f>'NW Baseline Grid Char'!T7*VLOOKUP(T$2,'NW Baseline Energy'!$A$4:$G$43,6,0)</f>
        <v>10658128.758387435</v>
      </c>
      <c r="U11" s="63">
        <f>'NW Baseline Grid Char'!U7*VLOOKUP(U$2,'NW Baseline Energy'!$A$4:$G$43,6,0)</f>
        <v>10771449.5871528</v>
      </c>
      <c r="V11" s="63">
        <f>'NW Baseline Grid Char'!V7*VLOOKUP(V$2,'NW Baseline Energy'!$A$4:$G$43,6,0)</f>
        <v>11007978.674871022</v>
      </c>
      <c r="W11" s="63">
        <f>'NW Baseline Grid Char'!W7*VLOOKUP(W$2,'NW Baseline Energy'!$A$4:$G$43,6,0)</f>
        <v>11134990.046652315</v>
      </c>
      <c r="X11" s="63">
        <f>'NW Baseline Grid Char'!X7*VLOOKUP(X$2,'NW Baseline Energy'!$A$4:$G$43,6,0)</f>
        <v>11262149.556958672</v>
      </c>
      <c r="Y11" s="63">
        <f>'NW Baseline Grid Char'!Y7*VLOOKUP(Y$2,'NW Baseline Energy'!$A$4:$G$43,6,0)</f>
        <v>11389671.371506117</v>
      </c>
      <c r="Z11" s="63">
        <f>'NW Baseline Grid Char'!Z7*VLOOKUP(Z$2,'NW Baseline Energy'!$A$4:$G$43,6,0)</f>
        <v>11517840.869415985</v>
      </c>
      <c r="AA11" s="63">
        <f>'NW Baseline Grid Char'!AA7*VLOOKUP(AA$2,'NW Baseline Energy'!$A$4:$G$43,6,0)</f>
        <v>11647025.729921211</v>
      </c>
      <c r="AB11" s="63">
        <f>'NW Baseline Grid Char'!AB7*VLOOKUP(AB$2,'NW Baseline Energy'!$A$4:$G$43,6,0)</f>
        <v>11777689.673507271</v>
      </c>
      <c r="AC11" s="63">
        <f>'NW Baseline Grid Char'!AC7*VLOOKUP(AC$2,'NW Baseline Energy'!$A$4:$G$43,6,0)</f>
        <v>11910406.245977068</v>
      </c>
      <c r="AD11" s="63">
        <f>'NW Baseline Grid Char'!AD7*VLOOKUP(AD$2,'NW Baseline Energy'!$A$4:$G$43,6,0)</f>
        <v>12045875.152247015</v>
      </c>
      <c r="AE11" s="63">
        <f>'NW Baseline Grid Char'!AE7*VLOOKUP(AE$2,'NW Baseline Energy'!$A$4:$G$43,6,0)</f>
        <v>12184939.434322517</v>
      </c>
      <c r="AF11" s="63">
        <f>'NW Baseline Grid Char'!AF7*VLOOKUP(AF$2,'NW Baseline Energy'!$A$4:$G$43,6,0)</f>
        <v>12392433.86259583</v>
      </c>
      <c r="AG11" s="63">
        <f>'NW Baseline Grid Char'!AG7*VLOOKUP(AG$2,'NW Baseline Energy'!$A$4:$G$43,6,0)</f>
        <v>12543531.203489164</v>
      </c>
      <c r="AH11" s="63">
        <f>'NW Baseline Grid Char'!AH7*VLOOKUP(AH$2,'NW Baseline Energy'!$A$4:$G$43,6,0)</f>
        <v>12696345.65106868</v>
      </c>
      <c r="AI11" s="63">
        <f>'NW Baseline Grid Char'!AI7*VLOOKUP(AI$2,'NW Baseline Energy'!$A$4:$G$43,6,0)</f>
        <v>12850895.793587187</v>
      </c>
      <c r="AJ11" s="63">
        <f>'NW Baseline Grid Char'!AJ7*VLOOKUP(AJ$2,'NW Baseline Energy'!$A$4:$G$43,6,0)</f>
        <v>13007200.688960493</v>
      </c>
      <c r="AK11" s="63">
        <f>'NW Baseline Grid Char'!AK7*VLOOKUP(AK$2,'NW Baseline Energy'!$A$4:$G$43,6,0)</f>
        <v>13165279.32276376</v>
      </c>
      <c r="AL11" s="63">
        <f>'NW Baseline Grid Char'!AL7*VLOOKUP(AL$2,'NW Baseline Energy'!$A$4:$G$43,6,0)</f>
        <v>13325150.972173484</v>
      </c>
      <c r="AM11" s="63">
        <f>'NW Baseline Grid Char'!AM7*VLOOKUP(AM$2,'NW Baseline Energy'!$A$4:$G$43,6,0)</f>
        <v>13486835.11777797</v>
      </c>
      <c r="AN11" s="63">
        <f>'NW Baseline Grid Char'!AN7*VLOOKUP(AN$2,'NW Baseline Energy'!$A$4:$G$43,6,0)</f>
        <v>13650351.445678186</v>
      </c>
      <c r="AO11" s="63">
        <f>'NW Baseline Grid Char'!AO7*VLOOKUP(AO$2,'NW Baseline Energy'!$A$4:$G$43,6,0)</f>
        <v>13815719.753488246</v>
      </c>
    </row>
    <row r="12" spans="1:41">
      <c r="A12" s="63" t="s">
        <v>193</v>
      </c>
      <c r="B12" s="63">
        <f>'NW Baseline Grid Char'!B10*VLOOKUP(B$2,'NW Baseline Energy'!$A$4:$G$43,6,0)</f>
        <v>12938032.97484665</v>
      </c>
      <c r="C12" s="63">
        <f>'NW Baseline Grid Char'!C10*VLOOKUP(C$2,'NW Baseline Energy'!$A$4:$G$43,6,0)</f>
        <v>13348039.527946135</v>
      </c>
      <c r="D12" s="63">
        <f>'NW Baseline Grid Char'!D10*VLOOKUP(D$2,'NW Baseline Energy'!$A$4:$G$43,6,0)</f>
        <v>13769300.352206016</v>
      </c>
      <c r="E12" s="63">
        <f>'NW Baseline Grid Char'!E10*VLOOKUP(E$2,'NW Baseline Energy'!$A$4:$G$43,6,0)</f>
        <v>14202102.077338919</v>
      </c>
      <c r="F12" s="63">
        <f>'NW Baseline Grid Char'!F10*VLOOKUP(F$2,'NW Baseline Energy'!$A$4:$G$43,6,0)</f>
        <v>14646738.562778816</v>
      </c>
      <c r="G12" s="63">
        <f>'NW Baseline Grid Char'!G10*VLOOKUP(G$2,'NW Baseline Energy'!$A$4:$G$43,6,0)</f>
        <v>15103510.624711946</v>
      </c>
      <c r="H12" s="63">
        <f>'NW Baseline Grid Char'!H10*VLOOKUP(H$2,'NW Baseline Energy'!$A$4:$G$43,6,0)</f>
        <v>15572726.387736829</v>
      </c>
      <c r="I12" s="63">
        <f>'NW Baseline Grid Char'!I10*VLOOKUP(I$2,'NW Baseline Energy'!$A$4:$G$43,6,0)</f>
        <v>16054701.663653765</v>
      </c>
      <c r="J12" s="63">
        <f>'NW Baseline Grid Char'!J10*VLOOKUP(J$2,'NW Baseline Energy'!$A$4:$G$43,6,0)</f>
        <v>16549759.656587407</v>
      </c>
      <c r="K12" s="63">
        <f>'NW Baseline Grid Char'!K10*VLOOKUP(K$2,'NW Baseline Energy'!$A$4:$G$43,6,0)</f>
        <v>17126794.013861518</v>
      </c>
      <c r="L12" s="63">
        <f>'NW Baseline Grid Char'!L10*VLOOKUP(L$2,'NW Baseline Energy'!$A$4:$G$43,6,0)</f>
        <v>17362109.721160289</v>
      </c>
      <c r="M12" s="63">
        <f>'NW Baseline Grid Char'!M10*VLOOKUP(M$2,'NW Baseline Energy'!$A$4:$G$43,6,0)</f>
        <v>17600556.508580498</v>
      </c>
      <c r="N12" s="63">
        <f>'NW Baseline Grid Char'!N10*VLOOKUP(N$2,'NW Baseline Energy'!$A$4:$G$43,6,0)</f>
        <v>17842175.23839302</v>
      </c>
      <c r="O12" s="63">
        <f>'NW Baseline Grid Char'!O10*VLOOKUP(O$2,'NW Baseline Energy'!$A$4:$G$43,6,0)</f>
        <v>18087007.07410771</v>
      </c>
      <c r="P12" s="63">
        <f>'NW Baseline Grid Char'!P10*VLOOKUP(P$2,'NW Baseline Energy'!$A$4:$G$43,6,0)</f>
        <v>18335093.778918084</v>
      </c>
      <c r="Q12" s="63">
        <f>'NW Baseline Grid Char'!Q10*VLOOKUP(Q$2,'NW Baseline Energy'!$A$4:$G$43,6,0)</f>
        <v>18586477.649576358</v>
      </c>
      <c r="R12" s="63">
        <f>'NW Baseline Grid Char'!R10*VLOOKUP(R$2,'NW Baseline Energy'!$A$4:$G$43,6,0)</f>
        <v>18841201.523119092</v>
      </c>
      <c r="S12" s="63">
        <f>'NW Baseline Grid Char'!S10*VLOOKUP(S$2,'NW Baseline Energy'!$A$4:$G$43,6,0)</f>
        <v>19099308.704954576</v>
      </c>
      <c r="T12" s="63">
        <f>'NW Baseline Grid Char'!T10*VLOOKUP(T$2,'NW Baseline Energy'!$A$4:$G$43,6,0)</f>
        <v>19360843.289755851</v>
      </c>
      <c r="U12" s="63">
        <f>'NW Baseline Grid Char'!U10*VLOOKUP(U$2,'NW Baseline Energy'!$A$4:$G$43,6,0)</f>
        <v>19581509.3718132</v>
      </c>
      <c r="V12" s="63">
        <f>'NW Baseline Grid Char'!V10*VLOOKUP(V$2,'NW Baseline Energy'!$A$4:$G$43,6,0)</f>
        <v>20243511.133822896</v>
      </c>
      <c r="W12" s="63">
        <f>'NW Baseline Grid Char'!W10*VLOOKUP(W$2,'NW Baseline Energy'!$A$4:$G$43,6,0)</f>
        <v>20509746.104185585</v>
      </c>
      <c r="X12" s="63">
        <f>'NW Baseline Grid Char'!X10*VLOOKUP(X$2,'NW Baseline Energy'!$A$4:$G$43,6,0)</f>
        <v>20774649.740178861</v>
      </c>
      <c r="Y12" s="63">
        <f>'NW Baseline Grid Char'!Y10*VLOOKUP(Y$2,'NW Baseline Energy'!$A$4:$G$43,6,0)</f>
        <v>21038974.692969363</v>
      </c>
      <c r="Z12" s="63">
        <f>'NW Baseline Grid Char'!Z10*VLOOKUP(Z$2,'NW Baseline Energy'!$A$4:$G$43,6,0)</f>
        <v>21303728.470508397</v>
      </c>
      <c r="AA12" s="63">
        <f>'NW Baseline Grid Char'!AA10*VLOOKUP(AA$2,'NW Baseline Energy'!$A$4:$G$43,6,0)</f>
        <v>21570216.000687655</v>
      </c>
      <c r="AB12" s="63">
        <f>'NW Baseline Grid Char'!AB10*VLOOKUP(AB$2,'NW Baseline Energy'!$A$4:$G$43,6,0)</f>
        <v>21840085.651327033</v>
      </c>
      <c r="AC12" s="63">
        <f>'NW Baseline Grid Char'!AC10*VLOOKUP(AC$2,'NW Baseline Energy'!$A$4:$G$43,6,0)</f>
        <v>22115382.052256707</v>
      </c>
      <c r="AD12" s="63">
        <f>'NW Baseline Grid Char'!AD10*VLOOKUP(AD$2,'NW Baseline Energy'!$A$4:$G$43,6,0)</f>
        <v>22398602.855379343</v>
      </c>
      <c r="AE12" s="63">
        <f>'NW Baseline Grid Char'!AE10*VLOOKUP(AE$2,'NW Baseline Energy'!$A$4:$G$43,6,0)</f>
        <v>22692761.356994532</v>
      </c>
      <c r="AF12" s="63">
        <f>'NW Baseline Grid Char'!AF10*VLOOKUP(AF$2,'NW Baseline Energy'!$A$4:$G$43,6,0)</f>
        <v>23231039.839931864</v>
      </c>
      <c r="AG12" s="63">
        <f>'NW Baseline Grid Char'!AG10*VLOOKUP(AG$2,'NW Baseline Energy'!$A$4:$G$43,6,0)</f>
        <v>23564431.953687496</v>
      </c>
      <c r="AH12" s="63">
        <f>'NW Baseline Grid Char'!AH10*VLOOKUP(AH$2,'NW Baseline Energy'!$A$4:$G$43,6,0)</f>
        <v>23901947.09196312</v>
      </c>
      <c r="AI12" s="63">
        <f>'NW Baseline Grid Char'!AI10*VLOOKUP(AI$2,'NW Baseline Energy'!$A$4:$G$43,6,0)</f>
        <v>24243632.315481111</v>
      </c>
      <c r="AJ12" s="63">
        <f>'NW Baseline Grid Char'!AJ10*VLOOKUP(AJ$2,'NW Baseline Energy'!$A$4:$G$43,6,0)</f>
        <v>24589535.562717866</v>
      </c>
      <c r="AK12" s="63">
        <f>'NW Baseline Grid Char'!AK10*VLOOKUP(AK$2,'NW Baseline Energy'!$A$4:$G$43,6,0)</f>
        <v>24939704.929942247</v>
      </c>
      <c r="AL12" s="63">
        <f>'NW Baseline Grid Char'!AL10*VLOOKUP(AL$2,'NW Baseline Energy'!$A$4:$G$43,6,0)</f>
        <v>25294189.408725511</v>
      </c>
      <c r="AM12" s="63">
        <f>'NW Baseline Grid Char'!AM10*VLOOKUP(AM$2,'NW Baseline Energy'!$A$4:$G$43,6,0)</f>
        <v>25653038.15295599</v>
      </c>
      <c r="AN12" s="63">
        <f>'NW Baseline Grid Char'!AN10*VLOOKUP(AN$2,'NW Baseline Energy'!$A$4:$G$43,6,0)</f>
        <v>26016301.22972047</v>
      </c>
      <c r="AO12" s="63">
        <f>'NW Baseline Grid Char'!AO10*VLOOKUP(AO$2,'NW Baseline Energy'!$A$4:$G$43,6,0)</f>
        <v>26384028.873059567</v>
      </c>
    </row>
    <row r="13" spans="1:41">
      <c r="A13" s="63" t="s">
        <v>196</v>
      </c>
      <c r="B13" s="63">
        <f>'NW Baseline Grid Char'!B13*VLOOKUP(B$2,'NW Baseline Energy'!$A$4:$G$43,6,0)</f>
        <v>7789867.564067537</v>
      </c>
      <c r="C13" s="63">
        <f>'NW Baseline Grid Char'!C13*VLOOKUP(C$2,'NW Baseline Energy'!$A$4:$G$43,6,0)</f>
        <v>7802224.0223681219</v>
      </c>
      <c r="D13" s="63">
        <f>'NW Baseline Grid Char'!D13*VLOOKUP(D$2,'NW Baseline Energy'!$A$4:$G$43,6,0)</f>
        <v>7811930.9489164473</v>
      </c>
      <c r="E13" s="63">
        <f>'NW Baseline Grid Char'!E13*VLOOKUP(E$2,'NW Baseline Energy'!$A$4:$G$43,6,0)</f>
        <v>7818876.8589515984</v>
      </c>
      <c r="F13" s="63">
        <f>'NW Baseline Grid Char'!F13*VLOOKUP(F$2,'NW Baseline Energy'!$A$4:$G$43,6,0)</f>
        <v>7822946.856835329</v>
      </c>
      <c r="G13" s="63">
        <f>'NW Baseline Grid Char'!G13*VLOOKUP(G$2,'NW Baseline Energy'!$A$4:$G$43,6,0)</f>
        <v>7824022.4777995022</v>
      </c>
      <c r="H13" s="63">
        <f>'NW Baseline Grid Char'!H13*VLOOKUP(H$2,'NW Baseline Energy'!$A$4:$G$43,6,0)</f>
        <v>7821981.8569591176</v>
      </c>
      <c r="I13" s="63">
        <f>'NW Baseline Grid Char'!I13*VLOOKUP(I$2,'NW Baseline Energy'!$A$4:$G$43,6,0)</f>
        <v>7816699.2394024916</v>
      </c>
      <c r="J13" s="63">
        <f>'NW Baseline Grid Char'!J13*VLOOKUP(J$2,'NW Baseline Energy'!$A$4:$G$43,6,0)</f>
        <v>7808045.1417811746</v>
      </c>
      <c r="K13" s="63">
        <f>'NW Baseline Grid Char'!K13*VLOOKUP(K$2,'NW Baseline Energy'!$A$4:$G$43,6,0)</f>
        <v>7827220.27064736</v>
      </c>
      <c r="L13" s="63">
        <f>'NW Baseline Grid Char'!L13*VLOOKUP(L$2,'NW Baseline Energy'!$A$4:$G$43,6,0)</f>
        <v>7860247.093451581</v>
      </c>
      <c r="M13" s="63">
        <f>'NW Baseline Grid Char'!M13*VLOOKUP(M$2,'NW Baseline Energy'!$A$4:$G$43,6,0)</f>
        <v>7893020.9455171563</v>
      </c>
      <c r="N13" s="63">
        <f>'NW Baseline Grid Char'!N13*VLOOKUP(N$2,'NW Baseline Energy'!$A$4:$G$43,6,0)</f>
        <v>7925531.8190021887</v>
      </c>
      <c r="O13" s="63">
        <f>'NW Baseline Grid Char'!O13*VLOOKUP(O$2,'NW Baseline Energy'!$A$4:$G$43,6,0)</f>
        <v>7957769.7363049388</v>
      </c>
      <c r="P13" s="63">
        <f>'NW Baseline Grid Char'!P13*VLOOKUP(P$2,'NW Baseline Energy'!$A$4:$G$43,6,0)</f>
        <v>7989724.3029737873</v>
      </c>
      <c r="Q13" s="63">
        <f>'NW Baseline Grid Char'!Q13*VLOOKUP(Q$2,'NW Baseline Energy'!$A$4:$G$43,6,0)</f>
        <v>8021384.9997692546</v>
      </c>
      <c r="R13" s="63">
        <f>'NW Baseline Grid Char'!R13*VLOOKUP(R$2,'NW Baseline Energy'!$A$4:$G$43,6,0)</f>
        <v>8052741.1059087692</v>
      </c>
      <c r="S13" s="63">
        <f>'NW Baseline Grid Char'!S13*VLOOKUP(S$2,'NW Baseline Energy'!$A$4:$G$43,6,0)</f>
        <v>8083781.6171330623</v>
      </c>
      <c r="T13" s="63">
        <f>'NW Baseline Grid Char'!T13*VLOOKUP(T$2,'NW Baseline Energy'!$A$4:$G$43,6,0)</f>
        <v>8114495.5564464442</v>
      </c>
      <c r="U13" s="63">
        <f>'NW Baseline Grid Char'!U13*VLOOKUP(U$2,'NW Baseline Energy'!$A$4:$G$43,6,0)</f>
        <v>8126469.9403944006</v>
      </c>
      <c r="V13" s="63">
        <f>'NW Baseline Grid Char'!V13*VLOOKUP(V$2,'NW Baseline Energy'!$A$4:$G$43,6,0)</f>
        <v>7764929.0663065808</v>
      </c>
      <c r="W13" s="63">
        <f>'NW Baseline Grid Char'!W13*VLOOKUP(W$2,'NW Baseline Energy'!$A$4:$G$43,6,0)</f>
        <v>7741385.9451200552</v>
      </c>
      <c r="X13" s="63">
        <f>'NW Baseline Grid Char'!X13*VLOOKUP(X$2,'NW Baseline Energy'!$A$4:$G$43,6,0)</f>
        <v>7720600.6076458255</v>
      </c>
      <c r="Y13" s="63">
        <f>'NW Baseline Grid Char'!Y13*VLOOKUP(Y$2,'NW Baseline Energy'!$A$4:$G$43,6,0)</f>
        <v>7701945.9787136344</v>
      </c>
      <c r="Z13" s="63">
        <f>'NW Baseline Grid Char'!Z13*VLOOKUP(Z$2,'NW Baseline Energy'!$A$4:$G$43,6,0)</f>
        <v>7684578.7634441173</v>
      </c>
      <c r="AA13" s="63">
        <f>'NW Baseline Grid Char'!AA13*VLOOKUP(AA$2,'NW Baseline Energy'!$A$4:$G$43,6,0)</f>
        <v>7667402.9358132044</v>
      </c>
      <c r="AB13" s="63">
        <f>'NW Baseline Grid Char'!AB13*VLOOKUP(AB$2,'NW Baseline Energy'!$A$4:$G$43,6,0)</f>
        <v>7649030.4800635632</v>
      </c>
      <c r="AC13" s="63">
        <f>'NW Baseline Grid Char'!AC13*VLOOKUP(AC$2,'NW Baseline Energy'!$A$4:$G$43,6,0)</f>
        <v>7627736.8518926939</v>
      </c>
      <c r="AD13" s="63">
        <f>'NW Baseline Grid Char'!AD13*VLOOKUP(AD$2,'NW Baseline Energy'!$A$4:$G$43,6,0)</f>
        <v>7601412.6286672959</v>
      </c>
      <c r="AE13" s="63">
        <f>'NW Baseline Grid Char'!AE13*VLOOKUP(AE$2,'NW Baseline Energy'!$A$4:$G$43,6,0)</f>
        <v>7567509.8588895239</v>
      </c>
      <c r="AF13" s="63">
        <f>'NW Baseline Grid Char'!AF13*VLOOKUP(AF$2,'NW Baseline Energy'!$A$4:$G$43,6,0)</f>
        <v>7327847.4928133087</v>
      </c>
      <c r="AG13" s="63">
        <f>'NW Baseline Grid Char'!AG13*VLOOKUP(AG$2,'NW Baseline Energy'!$A$4:$G$43,6,0)</f>
        <v>7264074.8834938761</v>
      </c>
      <c r="AH13" s="63">
        <f>'NW Baseline Grid Char'!AH13*VLOOKUP(AH$2,'NW Baseline Energy'!$A$4:$G$43,6,0)</f>
        <v>7198556.9679919332</v>
      </c>
      <c r="AI13" s="63">
        <f>'NW Baseline Grid Char'!AI13*VLOOKUP(AI$2,'NW Baseline Energy'!$A$4:$G$43,6,0)</f>
        <v>7131267.6438659243</v>
      </c>
      <c r="AJ13" s="63">
        <f>'NW Baseline Grid Char'!AJ13*VLOOKUP(AJ$2,'NW Baseline Energy'!$A$4:$G$43,6,0)</f>
        <v>7062180.1155608995</v>
      </c>
      <c r="AK13" s="63">
        <f>'NW Baseline Grid Char'!AK13*VLOOKUP(AK$2,'NW Baseline Energy'!$A$4:$G$43,6,0)</f>
        <v>6991267.6159958076</v>
      </c>
      <c r="AL13" s="63">
        <f>'NW Baseline Grid Char'!AL13*VLOOKUP(AL$2,'NW Baseline Energy'!$A$4:$G$43,6,0)</f>
        <v>6918502.6706937524</v>
      </c>
      <c r="AM13" s="63">
        <f>'NW Baseline Grid Char'!AM13*VLOOKUP(AM$2,'NW Baseline Energy'!$A$4:$G$43,6,0)</f>
        <v>6843857.8324217517</v>
      </c>
      <c r="AN13" s="63">
        <f>'NW Baseline Grid Char'!AN13*VLOOKUP(AN$2,'NW Baseline Energy'!$A$4:$G$43,6,0)</f>
        <v>6767305.0272414414</v>
      </c>
      <c r="AO13" s="63">
        <f>'NW Baseline Grid Char'!AO13*VLOOKUP(AO$2,'NW Baseline Energy'!$A$4:$G$43,6,0)</f>
        <v>6688815.8261228558</v>
      </c>
    </row>
    <row r="14" spans="1:41">
      <c r="A14" s="63" t="s">
        <v>199</v>
      </c>
      <c r="B14" s="63">
        <f>'NW Baseline Grid Char'!B16*VLOOKUP(B$2,'NW Baseline Energy'!$A$4:$G$43,6,0)</f>
        <v>3915970.210627438</v>
      </c>
      <c r="C14" s="63">
        <f>'NW Baseline Grid Char'!C16*VLOOKUP(C$2,'NW Baseline Energy'!$A$4:$G$43,6,0)</f>
        <v>3947689.3970011468</v>
      </c>
      <c r="D14" s="63">
        <f>'NW Baseline Grid Char'!D16*VLOOKUP(D$2,'NW Baseline Energy'!$A$4:$G$43,6,0)</f>
        <v>3979101.841930849</v>
      </c>
      <c r="E14" s="63">
        <f>'NW Baseline Grid Char'!E16*VLOOKUP(E$2,'NW Baseline Energy'!$A$4:$G$43,6,0)</f>
        <v>4010182.4679344292</v>
      </c>
      <c r="F14" s="63">
        <f>'NW Baseline Grid Char'!F16*VLOOKUP(F$2,'NW Baseline Energy'!$A$4:$G$43,6,0)</f>
        <v>4040905.2511140099</v>
      </c>
      <c r="G14" s="63">
        <f>'NW Baseline Grid Char'!G16*VLOOKUP(G$2,'NW Baseline Energy'!$A$4:$G$43,6,0)</f>
        <v>4071243.2555930591</v>
      </c>
      <c r="H14" s="63">
        <f>'NW Baseline Grid Char'!H16*VLOOKUP(H$2,'NW Baseline Energy'!$A$4:$G$43,6,0)</f>
        <v>4101168.6748850713</v>
      </c>
      <c r="I14" s="63">
        <f>'NW Baseline Grid Char'!I16*VLOOKUP(I$2,'NW Baseline Energy'!$A$4:$G$43,6,0)</f>
        <v>4130652.5363674792</v>
      </c>
      <c r="J14" s="63">
        <f>'NW Baseline Grid Char'!J16*VLOOKUP(J$2,'NW Baseline Energy'!$A$4:$G$43,6,0)</f>
        <v>4159665.0747942333</v>
      </c>
      <c r="K14" s="63">
        <f>'NW Baseline Grid Char'!K16*VLOOKUP(K$2,'NW Baseline Energy'!$A$4:$G$43,6,0)</f>
        <v>4205009.0143007999</v>
      </c>
      <c r="L14" s="63">
        <f>'NW Baseline Grid Char'!L16*VLOOKUP(L$2,'NW Baseline Energy'!$A$4:$G$43,6,0)</f>
        <v>4236219.6071711509</v>
      </c>
      <c r="M14" s="63">
        <f>'NW Baseline Grid Char'!M16*VLOOKUP(M$2,'NW Baseline Energy'!$A$4:$G$43,6,0)</f>
        <v>4267598.5720281387</v>
      </c>
      <c r="N14" s="63">
        <f>'NW Baseline Grid Char'!N16*VLOOKUP(N$2,'NW Baseline Energy'!$A$4:$G$43,6,0)</f>
        <v>4299145.8770781439</v>
      </c>
      <c r="O14" s="63">
        <f>'NW Baseline Grid Char'!O16*VLOOKUP(O$2,'NW Baseline Energy'!$A$4:$G$43,6,0)</f>
        <v>4330861.170617383</v>
      </c>
      <c r="P14" s="63">
        <f>'NW Baseline Grid Char'!P16*VLOOKUP(P$2,'NW Baseline Energy'!$A$4:$G$43,6,0)</f>
        <v>4362744.3725602608</v>
      </c>
      <c r="Q14" s="63">
        <f>'NW Baseline Grid Char'!Q16*VLOOKUP(Q$2,'NW Baseline Energy'!$A$4:$G$43,6,0)</f>
        <v>4394795.0751031721</v>
      </c>
      <c r="R14" s="63">
        <f>'NW Baseline Grid Char'!R16*VLOOKUP(R$2,'NW Baseline Energy'!$A$4:$G$43,6,0)</f>
        <v>4427013.1476899805</v>
      </c>
      <c r="S14" s="63">
        <f>'NW Baseline Grid Char'!S16*VLOOKUP(S$2,'NW Baseline Energy'!$A$4:$G$43,6,0)</f>
        <v>4459398.1240490358</v>
      </c>
      <c r="T14" s="63">
        <f>'NW Baseline Grid Char'!T16*VLOOKUP(T$2,'NW Baseline Energy'!$A$4:$G$43,6,0)</f>
        <v>4491949.820901012</v>
      </c>
      <c r="U14" s="63">
        <f>'NW Baseline Grid Char'!U16*VLOOKUP(U$2,'NW Baseline Energy'!$A$4:$G$43,6,0)</f>
        <v>4514445.2112060003</v>
      </c>
      <c r="V14" s="63">
        <f>'NW Baseline Grid Char'!V16*VLOOKUP(V$2,'NW Baseline Energy'!$A$4:$G$43,6,0)</f>
        <v>4409812.3755957419</v>
      </c>
      <c r="W14" s="63">
        <f>'NW Baseline Grid Char'!W16*VLOOKUP(W$2,'NW Baseline Energy'!$A$4:$G$43,6,0)</f>
        <v>4420586.3483140599</v>
      </c>
      <c r="X14" s="63">
        <f>'NW Baseline Grid Char'!X16*VLOOKUP(X$2,'NW Baseline Energy'!$A$4:$G$43,6,0)</f>
        <v>4432496.0947524998</v>
      </c>
      <c r="Y14" s="63">
        <f>'NW Baseline Grid Char'!Y16*VLOOKUP(Y$2,'NW Baseline Energy'!$A$4:$G$43,6,0)</f>
        <v>4445329.7997629233</v>
      </c>
      <c r="Z14" s="63">
        <f>'NW Baseline Grid Char'!Z16*VLOOKUP(Z$2,'NW Baseline Energy'!$A$4:$G$43,6,0)</f>
        <v>4458801.9270506054</v>
      </c>
      <c r="AA14" s="63">
        <f>'NW Baseline Grid Char'!AA16*VLOOKUP(AA$2,'NW Baseline Energy'!$A$4:$G$43,6,0)</f>
        <v>4472541.1755712042</v>
      </c>
      <c r="AB14" s="63">
        <f>'NW Baseline Grid Char'!AB16*VLOOKUP(AB$2,'NW Baseline Energy'!$A$4:$G$43,6,0)</f>
        <v>4486076.2459659539</v>
      </c>
      <c r="AC14" s="63">
        <f>'NW Baseline Grid Char'!AC16*VLOOKUP(AC$2,'NW Baseline Energy'!$A$4:$G$43,6,0)</f>
        <v>4498821.4552656207</v>
      </c>
      <c r="AD14" s="63">
        <f>'NW Baseline Grid Char'!AD16*VLOOKUP(AD$2,'NW Baseline Energy'!$A$4:$G$43,6,0)</f>
        <v>4510059.7740292288</v>
      </c>
      <c r="AE14" s="63">
        <f>'NW Baseline Grid Char'!AE16*VLOOKUP(AE$2,'NW Baseline Energy'!$A$4:$G$43,6,0)</f>
        <v>4518924.9906394146</v>
      </c>
      <c r="AF14" s="63">
        <f>'NW Baseline Grid Char'!AF16*VLOOKUP(AF$2,'NW Baseline Energy'!$A$4:$G$43,6,0)</f>
        <v>4457865.2429147363</v>
      </c>
      <c r="AG14" s="63">
        <f>'NW Baseline Grid Char'!AG16*VLOOKUP(AG$2,'NW Baseline Energy'!$A$4:$G$43,6,0)</f>
        <v>4456975.3830211544</v>
      </c>
      <c r="AH14" s="63">
        <f>'NW Baseline Grid Char'!AH16*VLOOKUP(AH$2,'NW Baseline Energy'!$A$4:$G$43,6,0)</f>
        <v>4455707.1412816811</v>
      </c>
      <c r="AI14" s="63">
        <f>'NW Baseline Grid Char'!AI16*VLOOKUP(AI$2,'NW Baseline Energy'!$A$4:$G$43,6,0)</f>
        <v>4454053.9495423501</v>
      </c>
      <c r="AJ14" s="63">
        <f>'NW Baseline Grid Char'!AJ16*VLOOKUP(AJ$2,'NW Baseline Energy'!$A$4:$G$43,6,0)</f>
        <v>4452008.8795449492</v>
      </c>
      <c r="AK14" s="63">
        <f>'NW Baseline Grid Char'!AK16*VLOOKUP(AK$2,'NW Baseline Energy'!$A$4:$G$43,6,0)</f>
        <v>4449565.0004863888</v>
      </c>
      <c r="AL14" s="63">
        <f>'NW Baseline Grid Char'!AL16*VLOOKUP(AL$2,'NW Baseline Energy'!$A$4:$G$43,6,0)</f>
        <v>4446715.1948845275</v>
      </c>
      <c r="AM14" s="63">
        <f>'NW Baseline Grid Char'!AM16*VLOOKUP(AM$2,'NW Baseline Energy'!$A$4:$G$43,6,0)</f>
        <v>4443452.5308927046</v>
      </c>
      <c r="AN14" s="63">
        <f>'NW Baseline Grid Char'!AN16*VLOOKUP(AN$2,'NW Baseline Energy'!$A$4:$G$43,6,0)</f>
        <v>4439769.7022842867</v>
      </c>
      <c r="AO14" s="63">
        <f>'NW Baseline Grid Char'!AO16*VLOOKUP(AO$2,'NW Baseline Energy'!$A$4:$G$43,6,0)</f>
        <v>4435659.3990701716</v>
      </c>
    </row>
    <row r="15" spans="1:41">
      <c r="A15" s="63" t="s">
        <v>202</v>
      </c>
      <c r="B15" s="63">
        <f>'NW Baseline Grid Char'!B19*VLOOKUP(B$2,'NW Baseline Energy'!$A$4:$G$43,6,0)</f>
        <v>1370406.4787949231</v>
      </c>
      <c r="C15" s="63">
        <f>'NW Baseline Grid Char'!C19*VLOOKUP(C$2,'NW Baseline Energy'!$A$4:$G$43,6,0)</f>
        <v>1396918.1803642253</v>
      </c>
      <c r="D15" s="63">
        <f>'NW Baseline Grid Char'!D19*VLOOKUP(D$2,'NW Baseline Energy'!$A$4:$G$43,6,0)</f>
        <v>1423941.9386672839</v>
      </c>
      <c r="E15" s="63">
        <f>'NW Baseline Grid Char'!E19*VLOOKUP(E$2,'NW Baseline Energy'!$A$4:$G$43,6,0)</f>
        <v>1451487.7534755939</v>
      </c>
      <c r="F15" s="63">
        <f>'NW Baseline Grid Char'!F19*VLOOKUP(F$2,'NW Baseline Energy'!$A$4:$G$43,6,0)</f>
        <v>1479565.5652454831</v>
      </c>
      <c r="G15" s="63">
        <f>'NW Baseline Grid Char'!G19*VLOOKUP(G$2,'NW Baseline Energy'!$A$4:$G$43,6,0)</f>
        <v>1508185.7626721803</v>
      </c>
      <c r="H15" s="63">
        <f>'NW Baseline Grid Char'!H19*VLOOKUP(H$2,'NW Baseline Energy'!$A$4:$G$43,6,0)</f>
        <v>1537358.7398990202</v>
      </c>
      <c r="I15" s="63">
        <f>'NW Baseline Grid Char'!I19*VLOOKUP(I$2,'NW Baseline Energy'!$A$4:$G$43,6,0)</f>
        <v>1567095.0871010229</v>
      </c>
      <c r="J15" s="63">
        <f>'NW Baseline Grid Char'!J19*VLOOKUP(J$2,'NW Baseline Energy'!$A$4:$G$43,6,0)</f>
        <v>1597405.8048489315</v>
      </c>
      <c r="K15" s="63">
        <f>'NW Baseline Grid Char'!K19*VLOOKUP(K$2,'NW Baseline Energy'!$A$4:$G$43,6,0)</f>
        <v>1634846.5493942399</v>
      </c>
      <c r="L15" s="63">
        <f>'NW Baseline Grid Char'!L19*VLOOKUP(L$2,'NW Baseline Energy'!$A$4:$G$43,6,0)</f>
        <v>1650878.7137444564</v>
      </c>
      <c r="M15" s="63">
        <f>'NW Baseline Grid Char'!M19*VLOOKUP(M$2,'NW Baseline Energy'!$A$4:$G$43,6,0)</f>
        <v>1667064.4550130954</v>
      </c>
      <c r="N15" s="63">
        <f>'NW Baseline Grid Char'!N19*VLOOKUP(N$2,'NW Baseline Energy'!$A$4:$G$43,6,0)</f>
        <v>1683405.1969316725</v>
      </c>
      <c r="O15" s="63">
        <f>'NW Baseline Grid Char'!O19*VLOOKUP(O$2,'NW Baseline Energy'!$A$4:$G$43,6,0)</f>
        <v>1699902.4510605682</v>
      </c>
      <c r="P15" s="63">
        <f>'NW Baseline Grid Char'!P19*VLOOKUP(P$2,'NW Baseline Energy'!$A$4:$G$43,6,0)</f>
        <v>1716557.5166923865</v>
      </c>
      <c r="Q15" s="63">
        <f>'NW Baseline Grid Char'!Q19*VLOOKUP(Q$2,'NW Baseline Energy'!$A$4:$G$43,6,0)</f>
        <v>1733371.9299871523</v>
      </c>
      <c r="R15" s="63">
        <f>'NW Baseline Grid Char'!R19*VLOOKUP(R$2,'NW Baseline Energy'!$A$4:$G$43,6,0)</f>
        <v>1750347.1655587906</v>
      </c>
      <c r="S15" s="63">
        <f>'NW Baseline Grid Char'!S19*VLOOKUP(S$2,'NW Baseline Energy'!$A$4:$G$43,6,0)</f>
        <v>1767484.7897229171</v>
      </c>
      <c r="T15" s="63">
        <f>'NW Baseline Grid Char'!T19*VLOOKUP(T$2,'NW Baseline Energy'!$A$4:$G$43,6,0)</f>
        <v>1784786.1466032176</v>
      </c>
      <c r="U15" s="63">
        <f>'NW Baseline Grid Char'!U19*VLOOKUP(U$2,'NW Baseline Energy'!$A$4:$G$43,6,0)</f>
        <v>1798181.0307215999</v>
      </c>
      <c r="V15" s="63">
        <f>'NW Baseline Grid Char'!V19*VLOOKUP(V$2,'NW Baseline Energy'!$A$4:$G$43,6,0)</f>
        <v>1815571.8529729359</v>
      </c>
      <c r="W15" s="63">
        <f>'NW Baseline Grid Char'!W19*VLOOKUP(W$2,'NW Baseline Energy'!$A$4:$G$43,6,0)</f>
        <v>1829522.2735632362</v>
      </c>
      <c r="X15" s="63">
        <f>'NW Baseline Grid Char'!X19*VLOOKUP(X$2,'NW Baseline Energy'!$A$4:$G$43,6,0)</f>
        <v>1843536.7306424105</v>
      </c>
      <c r="Y15" s="63">
        <f>'NW Baseline Grid Char'!Y19*VLOOKUP(Y$2,'NW Baseline Energy'!$A$4:$G$43,6,0)</f>
        <v>1857622.4621851556</v>
      </c>
      <c r="Z15" s="63">
        <f>'NW Baseline Grid Char'!Z19*VLOOKUP(Z$2,'NW Baseline Energy'!$A$4:$G$43,6,0)</f>
        <v>1871788.7291466852</v>
      </c>
      <c r="AA15" s="63">
        <f>'NW Baseline Grid Char'!AA19*VLOOKUP(AA$2,'NW Baseline Energy'!$A$4:$G$43,6,0)</f>
        <v>1886047.7486085161</v>
      </c>
      <c r="AB15" s="63">
        <f>'NW Baseline Grid Char'!AB19*VLOOKUP(AB$2,'NW Baseline Energy'!$A$4:$G$43,6,0)</f>
        <v>1900414.3919745467</v>
      </c>
      <c r="AC15" s="63">
        <f>'NW Baseline Grid Char'!AC19*VLOOKUP(AC$2,'NW Baseline Energy'!$A$4:$G$43,6,0)</f>
        <v>1914907.416922336</v>
      </c>
      <c r="AD15" s="63">
        <f>'NW Baseline Grid Char'!AD19*VLOOKUP(AD$2,'NW Baseline Energy'!$A$4:$G$43,6,0)</f>
        <v>1929549.2824588281</v>
      </c>
      <c r="AE15" s="63">
        <f>'NW Baseline Grid Char'!AE19*VLOOKUP(AE$2,'NW Baseline Energy'!$A$4:$G$43,6,0)</f>
        <v>1944367.3553905252</v>
      </c>
      <c r="AF15" s="63">
        <f>'NW Baseline Grid Char'!AF19*VLOOKUP(AF$2,'NW Baseline Energy'!$A$4:$G$43,6,0)</f>
        <v>1961433.639697639</v>
      </c>
      <c r="AG15" s="63">
        <f>'NW Baseline Grid Char'!AG19*VLOOKUP(AG$2,'NW Baseline Energy'!$A$4:$G$43,6,0)</f>
        <v>1976759.5314293606</v>
      </c>
      <c r="AH15" s="63">
        <f>'NW Baseline Grid Char'!AH19*VLOOKUP(AH$2,'NW Baseline Energy'!$A$4:$G$43,6,0)</f>
        <v>1992202.3453770666</v>
      </c>
      <c r="AI15" s="63">
        <f>'NW Baseline Grid Char'!AI19*VLOOKUP(AI$2,'NW Baseline Energy'!$A$4:$G$43,6,0)</f>
        <v>2007762.9441325504</v>
      </c>
      <c r="AJ15" s="63">
        <f>'NW Baseline Grid Char'!AJ19*VLOOKUP(AJ$2,'NW Baseline Energy'!$A$4:$G$43,6,0)</f>
        <v>2023442.1963380456</v>
      </c>
      <c r="AK15" s="63">
        <f>'NW Baseline Grid Char'!AK19*VLOOKUP(AK$2,'NW Baseline Energy'!$A$4:$G$43,6,0)</f>
        <v>2039240.9767252163</v>
      </c>
      <c r="AL15" s="63">
        <f>'NW Baseline Grid Char'!AL19*VLOOKUP(AL$2,'NW Baseline Energy'!$A$4:$G$43,6,0)</f>
        <v>2055160.1661543562</v>
      </c>
      <c r="AM15" s="63">
        <f>'NW Baseline Grid Char'!AM19*VLOOKUP(AM$2,'NW Baseline Energy'!$A$4:$G$43,6,0)</f>
        <v>2071200.6516537999</v>
      </c>
      <c r="AN15" s="63">
        <f>'NW Baseline Grid Char'!AN19*VLOOKUP(AN$2,'NW Baseline Energy'!$A$4:$G$43,6,0)</f>
        <v>2087363.3264595477</v>
      </c>
      <c r="AO15" s="63">
        <f>'NW Baseline Grid Char'!AO19*VLOOKUP(AO$2,'NW Baseline Energy'!$A$4:$G$43,6,0)</f>
        <v>2103649.0900551011</v>
      </c>
    </row>
    <row r="16" spans="1:41">
      <c r="A16" s="63" t="s">
        <v>205</v>
      </c>
      <c r="B16" s="63">
        <f>'NW Baseline Grid Char'!B22*VLOOKUP(B$2,'NW Baseline Energy'!$A$4:$G$43,6,0)</f>
        <v>0</v>
      </c>
      <c r="C16" s="63">
        <f>'NW Baseline Grid Char'!C22*VLOOKUP(C$2,'NW Baseline Energy'!$A$4:$G$43,6,0)</f>
        <v>0</v>
      </c>
      <c r="D16" s="63">
        <f>'NW Baseline Grid Char'!D22*VLOOKUP(D$2,'NW Baseline Energy'!$A$4:$G$43,6,0)</f>
        <v>0</v>
      </c>
      <c r="E16" s="63">
        <f>'NW Baseline Grid Char'!E22*VLOOKUP(E$2,'NW Baseline Energy'!$A$4:$G$43,6,0)</f>
        <v>0</v>
      </c>
      <c r="F16" s="63">
        <f>'NW Baseline Grid Char'!F22*VLOOKUP(F$2,'NW Baseline Energy'!$A$4:$G$43,6,0)</f>
        <v>0</v>
      </c>
      <c r="G16" s="63">
        <f>'NW Baseline Grid Char'!G22*VLOOKUP(G$2,'NW Baseline Energy'!$A$4:$G$43,6,0)</f>
        <v>0</v>
      </c>
      <c r="H16" s="63">
        <f>'NW Baseline Grid Char'!H22*VLOOKUP(H$2,'NW Baseline Energy'!$A$4:$G$43,6,0)</f>
        <v>0</v>
      </c>
      <c r="I16" s="63">
        <f>'NW Baseline Grid Char'!I22*VLOOKUP(I$2,'NW Baseline Energy'!$A$4:$G$43,6,0)</f>
        <v>0</v>
      </c>
      <c r="J16" s="63">
        <f>'NW Baseline Grid Char'!J22*VLOOKUP(J$2,'NW Baseline Energy'!$A$4:$G$43,6,0)</f>
        <v>0</v>
      </c>
      <c r="K16" s="63">
        <f>'NW Baseline Grid Char'!K22*VLOOKUP(K$2,'NW Baseline Energy'!$A$4:$G$43,6,0)</f>
        <v>0</v>
      </c>
      <c r="L16" s="63">
        <f>'NW Baseline Grid Char'!L22*VLOOKUP(L$2,'NW Baseline Energy'!$A$4:$G$43,6,0)</f>
        <v>0</v>
      </c>
      <c r="M16" s="63">
        <f>'NW Baseline Grid Char'!M22*VLOOKUP(M$2,'NW Baseline Energy'!$A$4:$G$43,6,0)</f>
        <v>0</v>
      </c>
      <c r="N16" s="63">
        <f>'NW Baseline Grid Char'!N22*VLOOKUP(N$2,'NW Baseline Energy'!$A$4:$G$43,6,0)</f>
        <v>0</v>
      </c>
      <c r="O16" s="63">
        <f>'NW Baseline Grid Char'!O22*VLOOKUP(O$2,'NW Baseline Energy'!$A$4:$G$43,6,0)</f>
        <v>0</v>
      </c>
      <c r="P16" s="63">
        <f>'NW Baseline Grid Char'!P22*VLOOKUP(P$2,'NW Baseline Energy'!$A$4:$G$43,6,0)</f>
        <v>0</v>
      </c>
      <c r="Q16" s="63">
        <f>'NW Baseline Grid Char'!Q22*VLOOKUP(Q$2,'NW Baseline Energy'!$A$4:$G$43,6,0)</f>
        <v>0</v>
      </c>
      <c r="R16" s="63">
        <f>'NW Baseline Grid Char'!R22*VLOOKUP(R$2,'NW Baseline Energy'!$A$4:$G$43,6,0)</f>
        <v>0</v>
      </c>
      <c r="S16" s="63">
        <f>'NW Baseline Grid Char'!S22*VLOOKUP(S$2,'NW Baseline Energy'!$A$4:$G$43,6,0)</f>
        <v>0</v>
      </c>
      <c r="T16" s="63">
        <f>'NW Baseline Grid Char'!T22*VLOOKUP(T$2,'NW Baseline Energy'!$A$4:$G$43,6,0)</f>
        <v>0</v>
      </c>
      <c r="U16" s="63">
        <f>'NW Baseline Grid Char'!U22*VLOOKUP(U$2,'NW Baseline Energy'!$A$4:$G$43,6,0)</f>
        <v>0</v>
      </c>
      <c r="V16" s="63">
        <f>'NW Baseline Grid Char'!V22*VLOOKUP(V$2,'NW Baseline Energy'!$A$4:$G$43,6,0)</f>
        <v>0</v>
      </c>
      <c r="W16" s="63">
        <f>'NW Baseline Grid Char'!W22*VLOOKUP(W$2,'NW Baseline Energy'!$A$4:$G$43,6,0)</f>
        <v>0</v>
      </c>
      <c r="X16" s="63">
        <f>'NW Baseline Grid Char'!X22*VLOOKUP(X$2,'NW Baseline Energy'!$A$4:$G$43,6,0)</f>
        <v>0</v>
      </c>
      <c r="Y16" s="63">
        <f>'NW Baseline Grid Char'!Y22*VLOOKUP(Y$2,'NW Baseline Energy'!$A$4:$G$43,6,0)</f>
        <v>0</v>
      </c>
      <c r="Z16" s="63">
        <f>'NW Baseline Grid Char'!Z22*VLOOKUP(Z$2,'NW Baseline Energy'!$A$4:$G$43,6,0)</f>
        <v>0</v>
      </c>
      <c r="AA16" s="63">
        <f>'NW Baseline Grid Char'!AA22*VLOOKUP(AA$2,'NW Baseline Energy'!$A$4:$G$43,6,0)</f>
        <v>0</v>
      </c>
      <c r="AB16" s="63">
        <f>'NW Baseline Grid Char'!AB22*VLOOKUP(AB$2,'NW Baseline Energy'!$A$4:$G$43,6,0)</f>
        <v>0</v>
      </c>
      <c r="AC16" s="63">
        <f>'NW Baseline Grid Char'!AC22*VLOOKUP(AC$2,'NW Baseline Energy'!$A$4:$G$43,6,0)</f>
        <v>0</v>
      </c>
      <c r="AD16" s="63">
        <f>'NW Baseline Grid Char'!AD22*VLOOKUP(AD$2,'NW Baseline Energy'!$A$4:$G$43,6,0)</f>
        <v>0</v>
      </c>
      <c r="AE16" s="63">
        <f>'NW Baseline Grid Char'!AE22*VLOOKUP(AE$2,'NW Baseline Energy'!$A$4:$G$43,6,0)</f>
        <v>0</v>
      </c>
      <c r="AF16" s="63">
        <f>'NW Baseline Grid Char'!AF22*VLOOKUP(AF$2,'NW Baseline Energy'!$A$4:$G$43,6,0)</f>
        <v>0</v>
      </c>
      <c r="AG16" s="63">
        <f>'NW Baseline Grid Char'!AG22*VLOOKUP(AG$2,'NW Baseline Energy'!$A$4:$G$43,6,0)</f>
        <v>0</v>
      </c>
      <c r="AH16" s="63">
        <f>'NW Baseline Grid Char'!AH22*VLOOKUP(AH$2,'NW Baseline Energy'!$A$4:$G$43,6,0)</f>
        <v>0</v>
      </c>
      <c r="AI16" s="63">
        <f>'NW Baseline Grid Char'!AI22*VLOOKUP(AI$2,'NW Baseline Energy'!$A$4:$G$43,6,0)</f>
        <v>0</v>
      </c>
      <c r="AJ16" s="63">
        <f>'NW Baseline Grid Char'!AJ22*VLOOKUP(AJ$2,'NW Baseline Energy'!$A$4:$G$43,6,0)</f>
        <v>0</v>
      </c>
      <c r="AK16" s="63">
        <f>'NW Baseline Grid Char'!AK22*VLOOKUP(AK$2,'NW Baseline Energy'!$A$4:$G$43,6,0)</f>
        <v>0</v>
      </c>
      <c r="AL16" s="63">
        <f>'NW Baseline Grid Char'!AL22*VLOOKUP(AL$2,'NW Baseline Energy'!$A$4:$G$43,6,0)</f>
        <v>0</v>
      </c>
      <c r="AM16" s="63">
        <f>'NW Baseline Grid Char'!AM22*VLOOKUP(AM$2,'NW Baseline Energy'!$A$4:$G$43,6,0)</f>
        <v>0</v>
      </c>
      <c r="AN16" s="63">
        <f>'NW Baseline Grid Char'!AN22*VLOOKUP(AN$2,'NW Baseline Energy'!$A$4:$G$43,6,0)</f>
        <v>0</v>
      </c>
      <c r="AO16" s="63">
        <f>'NW Baseline Grid Char'!AO22*VLOOKUP(AO$2,'NW Baseline Energy'!$A$4:$G$43,6,0)</f>
        <v>0</v>
      </c>
    </row>
    <row r="17" spans="1:41">
      <c r="A17" s="63" t="s">
        <v>188</v>
      </c>
      <c r="B17" s="63">
        <f>'NW Baseline Grid Char'!B5*VLOOKUP(B$2,'NW Baseline Energy'!$A$4:$G$43,7,0)</f>
        <v>1818449.282354383</v>
      </c>
      <c r="C17" s="63">
        <f>'NW Baseline Grid Char'!C5*VLOOKUP(C$2,'NW Baseline Energy'!$A$4:$G$43,7,0)</f>
        <v>1825408.5708291982</v>
      </c>
      <c r="D17" s="63">
        <f>'NW Baseline Grid Char'!D5*VLOOKUP(D$2,'NW Baseline Energy'!$A$4:$G$43,7,0)</f>
        <v>1832104.6721023906</v>
      </c>
      <c r="E17" s="63">
        <f>'NW Baseline Grid Char'!E5*VLOOKUP(E$2,'NW Baseline Energy'!$A$4:$G$43,7,0)</f>
        <v>1838526.9705766295</v>
      </c>
      <c r="F17" s="63">
        <f>'NW Baseline Grid Char'!F5*VLOOKUP(F$2,'NW Baseline Energy'!$A$4:$G$43,7,0)</f>
        <v>1844664.5684020468</v>
      </c>
      <c r="G17" s="63">
        <f>'NW Baseline Grid Char'!G5*VLOOKUP(G$2,'NW Baseline Energy'!$A$4:$G$43,7,0)</f>
        <v>1850506.2789259343</v>
      </c>
      <c r="H17" s="63">
        <f>'NW Baseline Grid Char'!H5*VLOOKUP(H$2,'NW Baseline Energy'!$A$4:$G$43,7,0)</f>
        <v>1856040.6199997554</v>
      </c>
      <c r="I17" s="63">
        <f>'NW Baseline Grid Char'!I5*VLOOKUP(I$2,'NW Baseline Energy'!$A$4:$G$43,7,0)</f>
        <v>1861255.8071404542</v>
      </c>
      <c r="J17" s="63">
        <f>'NW Baseline Grid Char'!J5*VLOOKUP(J$2,'NW Baseline Energy'!$A$4:$G$43,7,0)</f>
        <v>1866139.7465429923</v>
      </c>
      <c r="K17" s="63">
        <f>'NW Baseline Grid Char'!K5*VLOOKUP(K$2,'NW Baseline Energy'!$A$4:$G$43,7,0)</f>
        <v>1876381.8787047602</v>
      </c>
      <c r="L17" s="63">
        <f>'NW Baseline Grid Char'!L5*VLOOKUP(L$2,'NW Baseline Energy'!$A$4:$G$43,7,0)</f>
        <v>1905258.5110501563</v>
      </c>
      <c r="M17" s="63">
        <f>'NW Baseline Grid Char'!M5*VLOOKUP(M$2,'NW Baseline Energy'!$A$4:$G$43,7,0)</f>
        <v>1934504.8972658883</v>
      </c>
      <c r="N17" s="63">
        <f>'NW Baseline Grid Char'!N5*VLOOKUP(N$2,'NW Baseline Energy'!$A$4:$G$43,7,0)</f>
        <v>1964124.5488486772</v>
      </c>
      <c r="O17" s="63">
        <f>'NW Baseline Grid Char'!O5*VLOOKUP(O$2,'NW Baseline Energy'!$A$4:$G$43,7,0)</f>
        <v>1994120.982714765</v>
      </c>
      <c r="P17" s="63">
        <f>'NW Baseline Grid Char'!P5*VLOOKUP(P$2,'NW Baseline Energy'!$A$4:$G$43,7,0)</f>
        <v>2024497.7203008637</v>
      </c>
      <c r="Q17" s="63">
        <f>'NW Baseline Grid Char'!Q5*VLOOKUP(Q$2,'NW Baseline Energy'!$A$4:$G$43,7,0)</f>
        <v>2055258.2866323241</v>
      </c>
      <c r="R17" s="63">
        <f>'NW Baseline Grid Char'!R5*VLOOKUP(R$2,'NW Baseline Energy'!$A$4:$G$43,7,0)</f>
        <v>2086406.2093576787</v>
      </c>
      <c r="S17" s="63">
        <f>'NW Baseline Grid Char'!S5*VLOOKUP(S$2,'NW Baseline Energy'!$A$4:$G$43,7,0)</f>
        <v>2117945.0177486469</v>
      </c>
      <c r="T17" s="63">
        <f>'NW Baseline Grid Char'!T5*VLOOKUP(T$2,'NW Baseline Energy'!$A$4:$G$43,7,0)</f>
        <v>2149878.2416647389</v>
      </c>
      <c r="U17" s="63">
        <f>'NW Baseline Grid Char'!U5*VLOOKUP(U$2,'NW Baseline Energy'!$A$4:$G$43,7,0)</f>
        <v>2177898.7543000802</v>
      </c>
      <c r="V17" s="63">
        <f>'NW Baseline Grid Char'!V5*VLOOKUP(V$2,'NW Baseline Energy'!$A$4:$G$43,7,0)</f>
        <v>2206284.4732587994</v>
      </c>
      <c r="W17" s="63">
        <f>'NW Baseline Grid Char'!W5*VLOOKUP(W$2,'NW Baseline Energy'!$A$4:$G$43,7,0)</f>
        <v>2235040.1584701794</v>
      </c>
      <c r="X17" s="63">
        <f>'NW Baseline Grid Char'!X5*VLOOKUP(X$2,'NW Baseline Energy'!$A$4:$G$43,7,0)</f>
        <v>2264170.6319022072</v>
      </c>
      <c r="Y17" s="63">
        <f>'NW Baseline Grid Char'!Y5*VLOOKUP(Y$2,'NW Baseline Energy'!$A$4:$G$43,7,0)</f>
        <v>2293680.7783701573</v>
      </c>
      <c r="Z17" s="63">
        <f>'NW Baseline Grid Char'!Z5*VLOOKUP(Z$2,'NW Baseline Energy'!$A$4:$G$43,7,0)</f>
        <v>2323575.5463557132</v>
      </c>
      <c r="AA17" s="63">
        <f>'NW Baseline Grid Char'!AA5*VLOOKUP(AA$2,'NW Baseline Energy'!$A$4:$G$43,7,0)</f>
        <v>2353859.9488367653</v>
      </c>
      <c r="AB17" s="63">
        <f>'NW Baseline Grid Char'!AB5*VLOOKUP(AB$2,'NW Baseline Energy'!$A$4:$G$43,7,0)</f>
        <v>2384539.0641280259</v>
      </c>
      <c r="AC17" s="63">
        <f>'NW Baseline Grid Char'!AC5*VLOOKUP(AC$2,'NW Baseline Energy'!$A$4:$G$43,7,0)</f>
        <v>2415618.0367325987</v>
      </c>
      <c r="AD17" s="63">
        <f>'NW Baseline Grid Char'!AD5*VLOOKUP(AD$2,'NW Baseline Energy'!$A$4:$G$43,7,0)</f>
        <v>2447102.0782046458</v>
      </c>
      <c r="AE17" s="63">
        <f>'NW Baseline Grid Char'!AE5*VLOOKUP(AE$2,'NW Baseline Energy'!$A$4:$G$43,7,0)</f>
        <v>2478996.468023303</v>
      </c>
      <c r="AF17" s="63">
        <f>'NW Baseline Grid Char'!AF5*VLOOKUP(AF$2,'NW Baseline Energy'!$A$4:$G$43,7,0)</f>
        <v>2511306.5544779785</v>
      </c>
      <c r="AG17" s="63">
        <f>'NW Baseline Grid Char'!AG5*VLOOKUP(AG$2,'NW Baseline Energy'!$A$4:$G$43,7,0)</f>
        <v>2544037.7555651986</v>
      </c>
      <c r="AH17" s="63">
        <f>'NW Baseline Grid Char'!AH5*VLOOKUP(AH$2,'NW Baseline Energy'!$A$4:$G$43,7,0)</f>
        <v>2577195.5598971322</v>
      </c>
      <c r="AI17" s="63">
        <f>'NW Baseline Grid Char'!AI5*VLOOKUP(AI$2,'NW Baseline Energy'!$A$4:$G$43,7,0)</f>
        <v>2610785.5276219677</v>
      </c>
      <c r="AJ17" s="63">
        <f>'NW Baseline Grid Char'!AJ5*VLOOKUP(AJ$2,'NW Baseline Energy'!$A$4:$G$43,7,0)</f>
        <v>2644813.2913562758</v>
      </c>
      <c r="AK17" s="63">
        <f>'NW Baseline Grid Char'!AK5*VLOOKUP(AK$2,'NW Baseline Energy'!$A$4:$G$43,7,0)</f>
        <v>2679284.5571295335</v>
      </c>
      <c r="AL17" s="63">
        <f>'NW Baseline Grid Char'!AL5*VLOOKUP(AL$2,'NW Baseline Energy'!$A$4:$G$43,7,0)</f>
        <v>2714205.1053409474</v>
      </c>
      <c r="AM17" s="63">
        <f>'NW Baseline Grid Char'!AM5*VLOOKUP(AM$2,'NW Baseline Energy'!$A$4:$G$43,7,0)</f>
        <v>2749580.7917287606</v>
      </c>
      <c r="AN17" s="63">
        <f>'NW Baseline Grid Char'!AN5*VLOOKUP(AN$2,'NW Baseline Energy'!$A$4:$G$43,7,0)</f>
        <v>2785417.5483521824</v>
      </c>
      <c r="AO17" s="63">
        <f>'NW Baseline Grid Char'!AO5*VLOOKUP(AO$2,'NW Baseline Energy'!$A$4:$G$43,7,0)</f>
        <v>2821721.384586121</v>
      </c>
    </row>
    <row r="18" spans="1:41">
      <c r="A18" s="63" t="s">
        <v>191</v>
      </c>
      <c r="B18" s="63">
        <f>'NW Baseline Grid Char'!B8*VLOOKUP(B$2,'NW Baseline Energy'!$A$4:$G$43,7,0)</f>
        <v>0</v>
      </c>
      <c r="C18" s="63">
        <f>'NW Baseline Grid Char'!C8*VLOOKUP(C$2,'NW Baseline Energy'!$A$4:$G$43,7,0)</f>
        <v>0</v>
      </c>
      <c r="D18" s="63">
        <f>'NW Baseline Grid Char'!D8*VLOOKUP(D$2,'NW Baseline Energy'!$A$4:$G$43,7,0)</f>
        <v>0</v>
      </c>
      <c r="E18" s="63">
        <f>'NW Baseline Grid Char'!E8*VLOOKUP(E$2,'NW Baseline Energy'!$A$4:$G$43,7,0)</f>
        <v>0</v>
      </c>
      <c r="F18" s="63">
        <f>'NW Baseline Grid Char'!F8*VLOOKUP(F$2,'NW Baseline Energy'!$A$4:$G$43,7,0)</f>
        <v>0</v>
      </c>
      <c r="G18" s="63">
        <f>'NW Baseline Grid Char'!G8*VLOOKUP(G$2,'NW Baseline Energy'!$A$4:$G$43,7,0)</f>
        <v>0</v>
      </c>
      <c r="H18" s="63">
        <f>'NW Baseline Grid Char'!H8*VLOOKUP(H$2,'NW Baseline Energy'!$A$4:$G$43,7,0)</f>
        <v>0</v>
      </c>
      <c r="I18" s="63">
        <f>'NW Baseline Grid Char'!I8*VLOOKUP(I$2,'NW Baseline Energy'!$A$4:$G$43,7,0)</f>
        <v>0</v>
      </c>
      <c r="J18" s="63">
        <f>'NW Baseline Grid Char'!J8*VLOOKUP(J$2,'NW Baseline Energy'!$A$4:$G$43,7,0)</f>
        <v>0</v>
      </c>
      <c r="K18" s="63">
        <f>'NW Baseline Grid Char'!K8*VLOOKUP(K$2,'NW Baseline Energy'!$A$4:$G$43,7,0)</f>
        <v>0</v>
      </c>
      <c r="L18" s="63">
        <f>'NW Baseline Grid Char'!L8*VLOOKUP(L$2,'NW Baseline Energy'!$A$4:$G$43,7,0)</f>
        <v>0</v>
      </c>
      <c r="M18" s="63">
        <f>'NW Baseline Grid Char'!M8*VLOOKUP(M$2,'NW Baseline Energy'!$A$4:$G$43,7,0)</f>
        <v>0</v>
      </c>
      <c r="N18" s="63">
        <f>'NW Baseline Grid Char'!N8*VLOOKUP(N$2,'NW Baseline Energy'!$A$4:$G$43,7,0)</f>
        <v>0</v>
      </c>
      <c r="O18" s="63">
        <f>'NW Baseline Grid Char'!O8*VLOOKUP(O$2,'NW Baseline Energy'!$A$4:$G$43,7,0)</f>
        <v>0</v>
      </c>
      <c r="P18" s="63">
        <f>'NW Baseline Grid Char'!P8*VLOOKUP(P$2,'NW Baseline Energy'!$A$4:$G$43,7,0)</f>
        <v>0</v>
      </c>
      <c r="Q18" s="63">
        <f>'NW Baseline Grid Char'!Q8*VLOOKUP(Q$2,'NW Baseline Energy'!$A$4:$G$43,7,0)</f>
        <v>0</v>
      </c>
      <c r="R18" s="63">
        <f>'NW Baseline Grid Char'!R8*VLOOKUP(R$2,'NW Baseline Energy'!$A$4:$G$43,7,0)</f>
        <v>0</v>
      </c>
      <c r="S18" s="63">
        <f>'NW Baseline Grid Char'!S8*VLOOKUP(S$2,'NW Baseline Energy'!$A$4:$G$43,7,0)</f>
        <v>0</v>
      </c>
      <c r="T18" s="63">
        <f>'NW Baseline Grid Char'!T8*VLOOKUP(T$2,'NW Baseline Energy'!$A$4:$G$43,7,0)</f>
        <v>0</v>
      </c>
      <c r="U18" s="63">
        <f>'NW Baseline Grid Char'!U8*VLOOKUP(U$2,'NW Baseline Energy'!$A$4:$G$43,7,0)</f>
        <v>0</v>
      </c>
      <c r="V18" s="63">
        <f>'NW Baseline Grid Char'!V8*VLOOKUP(V$2,'NW Baseline Energy'!$A$4:$G$43,7,0)</f>
        <v>0</v>
      </c>
      <c r="W18" s="63">
        <f>'NW Baseline Grid Char'!W8*VLOOKUP(W$2,'NW Baseline Energy'!$A$4:$G$43,7,0)</f>
        <v>0</v>
      </c>
      <c r="X18" s="63">
        <f>'NW Baseline Grid Char'!X8*VLOOKUP(X$2,'NW Baseline Energy'!$A$4:$G$43,7,0)</f>
        <v>0</v>
      </c>
      <c r="Y18" s="63">
        <f>'NW Baseline Grid Char'!Y8*VLOOKUP(Y$2,'NW Baseline Energy'!$A$4:$G$43,7,0)</f>
        <v>0</v>
      </c>
      <c r="Z18" s="63">
        <f>'NW Baseline Grid Char'!Z8*VLOOKUP(Z$2,'NW Baseline Energy'!$A$4:$G$43,7,0)</f>
        <v>0</v>
      </c>
      <c r="AA18" s="63">
        <f>'NW Baseline Grid Char'!AA8*VLOOKUP(AA$2,'NW Baseline Energy'!$A$4:$G$43,7,0)</f>
        <v>0</v>
      </c>
      <c r="AB18" s="63">
        <f>'NW Baseline Grid Char'!AB8*VLOOKUP(AB$2,'NW Baseline Energy'!$A$4:$G$43,7,0)</f>
        <v>0</v>
      </c>
      <c r="AC18" s="63">
        <f>'NW Baseline Grid Char'!AC8*VLOOKUP(AC$2,'NW Baseline Energy'!$A$4:$G$43,7,0)</f>
        <v>0</v>
      </c>
      <c r="AD18" s="63">
        <f>'NW Baseline Grid Char'!AD8*VLOOKUP(AD$2,'NW Baseline Energy'!$A$4:$G$43,7,0)</f>
        <v>0</v>
      </c>
      <c r="AE18" s="63">
        <f>'NW Baseline Grid Char'!AE8*VLOOKUP(AE$2,'NW Baseline Energy'!$A$4:$G$43,7,0)</f>
        <v>0</v>
      </c>
      <c r="AF18" s="63">
        <f>'NW Baseline Grid Char'!AF8*VLOOKUP(AF$2,'NW Baseline Energy'!$A$4:$G$43,7,0)</f>
        <v>0</v>
      </c>
      <c r="AG18" s="63">
        <f>'NW Baseline Grid Char'!AG8*VLOOKUP(AG$2,'NW Baseline Energy'!$A$4:$G$43,7,0)</f>
        <v>0</v>
      </c>
      <c r="AH18" s="63">
        <f>'NW Baseline Grid Char'!AH8*VLOOKUP(AH$2,'NW Baseline Energy'!$A$4:$G$43,7,0)</f>
        <v>0</v>
      </c>
      <c r="AI18" s="63">
        <f>'NW Baseline Grid Char'!AI8*VLOOKUP(AI$2,'NW Baseline Energy'!$A$4:$G$43,7,0)</f>
        <v>0</v>
      </c>
      <c r="AJ18" s="63">
        <f>'NW Baseline Grid Char'!AJ8*VLOOKUP(AJ$2,'NW Baseline Energy'!$A$4:$G$43,7,0)</f>
        <v>0</v>
      </c>
      <c r="AK18" s="63">
        <f>'NW Baseline Grid Char'!AK8*VLOOKUP(AK$2,'NW Baseline Energy'!$A$4:$G$43,7,0)</f>
        <v>0</v>
      </c>
      <c r="AL18" s="63">
        <f>'NW Baseline Grid Char'!AL8*VLOOKUP(AL$2,'NW Baseline Energy'!$A$4:$G$43,7,0)</f>
        <v>0</v>
      </c>
      <c r="AM18" s="63">
        <f>'NW Baseline Grid Char'!AM8*VLOOKUP(AM$2,'NW Baseline Energy'!$A$4:$G$43,7,0)</f>
        <v>0</v>
      </c>
      <c r="AN18" s="63">
        <f>'NW Baseline Grid Char'!AN8*VLOOKUP(AN$2,'NW Baseline Energy'!$A$4:$G$43,7,0)</f>
        <v>0</v>
      </c>
      <c r="AO18" s="63">
        <f>'NW Baseline Grid Char'!AO8*VLOOKUP(AO$2,'NW Baseline Energy'!$A$4:$G$43,7,0)</f>
        <v>0</v>
      </c>
    </row>
    <row r="19" spans="1:41">
      <c r="A19" s="63" t="s">
        <v>194</v>
      </c>
      <c r="B19" s="63">
        <f>'NW Baseline Grid Char'!B11*VLOOKUP(B$2,'NW Baseline Energy'!$A$4:$G$43,7,0)</f>
        <v>2548311.8846815131</v>
      </c>
      <c r="C19" s="63">
        <f>'NW Baseline Grid Char'!C11*VLOOKUP(C$2,'NW Baseline Energy'!$A$4:$G$43,7,0)</f>
        <v>2558064.3906773566</v>
      </c>
      <c r="D19" s="63">
        <f>'NW Baseline Grid Char'!D11*VLOOKUP(D$2,'NW Baseline Energy'!$A$4:$G$43,7,0)</f>
        <v>2567448.0752382008</v>
      </c>
      <c r="E19" s="63">
        <f>'NW Baseline Grid Char'!E11*VLOOKUP(E$2,'NW Baseline Energy'!$A$4:$G$43,7,0)</f>
        <v>2576448.0620333706</v>
      </c>
      <c r="F19" s="63">
        <f>'NW Baseline Grid Char'!F11*VLOOKUP(F$2,'NW Baseline Energy'!$A$4:$G$43,7,0)</f>
        <v>2585049.0791932526</v>
      </c>
      <c r="G19" s="63">
        <f>'NW Baseline Grid Char'!G11*VLOOKUP(G$2,'NW Baseline Energy'!$A$4:$G$43,7,0)</f>
        <v>2593235.4501299327</v>
      </c>
      <c r="H19" s="63">
        <f>'NW Baseline Grid Char'!H11*VLOOKUP(H$2,'NW Baseline Energy'!$A$4:$G$43,7,0)</f>
        <v>2600991.0841578664</v>
      </c>
      <c r="I19" s="63">
        <f>'NW Baseline Grid Char'!I11*VLOOKUP(I$2,'NW Baseline Energy'!$A$4:$G$43,7,0)</f>
        <v>2608299.4669103804</v>
      </c>
      <c r="J19" s="63">
        <f>'NW Baseline Grid Char'!J11*VLOOKUP(J$2,'NW Baseline Energy'!$A$4:$G$43,7,0)</f>
        <v>2615143.6505476818</v>
      </c>
      <c r="K19" s="63">
        <f>'NW Baseline Grid Char'!K11*VLOOKUP(K$2,'NW Baseline Energy'!$A$4:$G$43,7,0)</f>
        <v>2629496.6200616402</v>
      </c>
      <c r="L19" s="63">
        <f>'NW Baseline Grid Char'!L11*VLOOKUP(L$2,'NW Baseline Energy'!$A$4:$G$43,7,0)</f>
        <v>2669963.3331613191</v>
      </c>
      <c r="M19" s="63">
        <f>'NW Baseline Grid Char'!M11*VLOOKUP(M$2,'NW Baseline Energy'!$A$4:$G$43,7,0)</f>
        <v>2710948.2065370786</v>
      </c>
      <c r="N19" s="63">
        <f>'NW Baseline Grid Char'!N11*VLOOKUP(N$2,'NW Baseline Energy'!$A$4:$G$43,7,0)</f>
        <v>2752456.1610788852</v>
      </c>
      <c r="O19" s="63">
        <f>'NW Baseline Grid Char'!O11*VLOOKUP(O$2,'NW Baseline Energy'!$A$4:$G$43,7,0)</f>
        <v>2794492.1252714335</v>
      </c>
      <c r="P19" s="63">
        <f>'NW Baseline Grid Char'!P11*VLOOKUP(P$2,'NW Baseline Energy'!$A$4:$G$43,7,0)</f>
        <v>2837061.0339342495</v>
      </c>
      <c r="Q19" s="63">
        <f>'NW Baseline Grid Char'!Q11*VLOOKUP(Q$2,'NW Baseline Energy'!$A$4:$G$43,7,0)</f>
        <v>2880167.8269158527</v>
      </c>
      <c r="R19" s="63">
        <f>'NW Baseline Grid Char'!R11*VLOOKUP(R$2,'NW Baseline Energy'!$A$4:$G$43,7,0)</f>
        <v>2923817.4477407979</v>
      </c>
      <c r="S19" s="63">
        <f>'NW Baseline Grid Char'!S11*VLOOKUP(S$2,'NW Baseline Energy'!$A$4:$G$43,7,0)</f>
        <v>2968014.8422083193</v>
      </c>
      <c r="T19" s="63">
        <f>'NW Baseline Grid Char'!T11*VLOOKUP(T$2,'NW Baseline Energy'!$A$4:$G$43,7,0)</f>
        <v>3012764.9569413587</v>
      </c>
      <c r="U19" s="63">
        <f>'NW Baseline Grid Char'!U11*VLOOKUP(U$2,'NW Baseline Energy'!$A$4:$G$43,7,0)</f>
        <v>3052031.9335111207</v>
      </c>
      <c r="V19" s="63">
        <f>'NW Baseline Grid Char'!V11*VLOOKUP(V$2,'NW Baseline Energy'!$A$4:$G$43,7,0)</f>
        <v>3091810.697582054</v>
      </c>
      <c r="W19" s="63">
        <f>'NW Baseline Grid Char'!W11*VLOOKUP(W$2,'NW Baseline Energy'!$A$4:$G$43,7,0)</f>
        <v>3132107.9195543076</v>
      </c>
      <c r="X19" s="63">
        <f>'NW Baseline Grid Char'!X11*VLOOKUP(X$2,'NW Baseline Energy'!$A$4:$G$43,7,0)</f>
        <v>3172930.3567669219</v>
      </c>
      <c r="Y19" s="63">
        <f>'NW Baseline Grid Char'!Y11*VLOOKUP(Y$2,'NW Baseline Energy'!$A$4:$G$43,7,0)</f>
        <v>3214284.8546309513</v>
      </c>
      <c r="Z19" s="63">
        <f>'NW Baseline Grid Char'!Z11*VLOOKUP(Z$2,'NW Baseline Energy'!$A$4:$G$43,7,0)</f>
        <v>3256178.3477773503</v>
      </c>
      <c r="AA19" s="63">
        <f>'NW Baseline Grid Char'!AA11*VLOOKUP(AA$2,'NW Baseline Energy'!$A$4:$G$43,7,0)</f>
        <v>3298617.861219828</v>
      </c>
      <c r="AB19" s="63">
        <f>'NW Baseline Grid Char'!AB11*VLOOKUP(AB$2,'NW Baseline Energy'!$A$4:$G$43,7,0)</f>
        <v>3341610.5115328538</v>
      </c>
      <c r="AC19" s="63">
        <f>'NW Baseline Grid Char'!AC11*VLOOKUP(AC$2,'NW Baseline Energy'!$A$4:$G$43,7,0)</f>
        <v>3385163.5080450154</v>
      </c>
      <c r="AD19" s="63">
        <f>'NW Baseline Grid Char'!AD11*VLOOKUP(AD$2,'NW Baseline Energy'!$A$4:$G$43,7,0)</f>
        <v>3429284.1540479367</v>
      </c>
      <c r="AE19" s="63">
        <f>'NW Baseline Grid Char'!AE11*VLOOKUP(AE$2,'NW Baseline Energy'!$A$4:$G$43,7,0)</f>
        <v>3473979.8480209457</v>
      </c>
      <c r="AF19" s="63">
        <f>'NW Baseline Grid Char'!AF11*VLOOKUP(AF$2,'NW Baseline Energy'!$A$4:$G$43,7,0)</f>
        <v>3519258.0848717061</v>
      </c>
      <c r="AG19" s="63">
        <f>'NW Baseline Grid Char'!AG11*VLOOKUP(AG$2,'NW Baseline Energy'!$A$4:$G$43,7,0)</f>
        <v>3565126.4571930235</v>
      </c>
      <c r="AH19" s="63">
        <f>'NW Baseline Grid Char'!AH11*VLOOKUP(AH$2,'NW Baseline Energy'!$A$4:$G$43,7,0)</f>
        <v>3611592.6565360213</v>
      </c>
      <c r="AI19" s="63">
        <f>'NW Baseline Grid Char'!AI11*VLOOKUP(AI$2,'NW Baseline Energy'!$A$4:$G$43,7,0)</f>
        <v>3658664.4746999252</v>
      </c>
      <c r="AJ19" s="63">
        <f>'NW Baseline Grid Char'!AJ11*VLOOKUP(AJ$2,'NW Baseline Energy'!$A$4:$G$43,7,0)</f>
        <v>3706349.8050386426</v>
      </c>
      <c r="AK19" s="63">
        <f>'NW Baseline Grid Char'!AK11*VLOOKUP(AK$2,'NW Baseline Energy'!$A$4:$G$43,7,0)</f>
        <v>3754656.6437843861</v>
      </c>
      <c r="AL19" s="63">
        <f>'NW Baseline Grid Char'!AL11*VLOOKUP(AL$2,'NW Baseline Energy'!$A$4:$G$43,7,0)</f>
        <v>3803593.0913885371</v>
      </c>
      <c r="AM19" s="63">
        <f>'NW Baseline Grid Char'!AM11*VLOOKUP(AM$2,'NW Baseline Energy'!$A$4:$G$43,7,0)</f>
        <v>3853167.3538799901</v>
      </c>
      <c r="AN19" s="63">
        <f>'NW Baseline Grid Char'!AN11*VLOOKUP(AN$2,'NW Baseline Energy'!$A$4:$G$43,7,0)</f>
        <v>3903387.7442412027</v>
      </c>
      <c r="AO19" s="63">
        <f>'NW Baseline Grid Char'!AO11*VLOOKUP(AO$2,'NW Baseline Energy'!$A$4:$G$43,7,0)</f>
        <v>3954262.6838021777</v>
      </c>
    </row>
    <row r="20" spans="1:41">
      <c r="A20" s="63" t="s">
        <v>197</v>
      </c>
      <c r="B20" s="63">
        <f>'NW Baseline Grid Char'!B14*VLOOKUP(B$2,'NW Baseline Energy'!$A$4:$G$43,7,0)</f>
        <v>21835361.019546222</v>
      </c>
      <c r="C20" s="63">
        <f>'NW Baseline Grid Char'!C14*VLOOKUP(C$2,'NW Baseline Energy'!$A$4:$G$43,7,0)</f>
        <v>21918925.943661131</v>
      </c>
      <c r="D20" s="63">
        <f>'NW Baseline Grid Char'!D14*VLOOKUP(D$2,'NW Baseline Energy'!$A$4:$G$43,7,0)</f>
        <v>21999330.599508502</v>
      </c>
      <c r="E20" s="63">
        <f>'NW Baseline Grid Char'!E14*VLOOKUP(E$2,'NW Baseline Energy'!$A$4:$G$43,7,0)</f>
        <v>22076447.518369567</v>
      </c>
      <c r="F20" s="63">
        <f>'NW Baseline Grid Char'!F14*VLOOKUP(F$2,'NW Baseline Energy'!$A$4:$G$43,7,0)</f>
        <v>22150145.842326809</v>
      </c>
      <c r="G20" s="63">
        <f>'NW Baseline Grid Char'!G14*VLOOKUP(G$2,'NW Baseline Energy'!$A$4:$G$43,7,0)</f>
        <v>22220291.245609995</v>
      </c>
      <c r="H20" s="63">
        <f>'NW Baseline Grid Char'!H14*VLOOKUP(H$2,'NW Baseline Energy'!$A$4:$G$43,7,0)</f>
        <v>22286745.854228899</v>
      </c>
      <c r="I20" s="63">
        <f>'NW Baseline Grid Char'!I14*VLOOKUP(I$2,'NW Baseline Energy'!$A$4:$G$43,7,0)</f>
        <v>22349368.16385648</v>
      </c>
      <c r="J20" s="63">
        <f>'NW Baseline Grid Char'!J14*VLOOKUP(J$2,'NW Baseline Energy'!$A$4:$G$43,7,0)</f>
        <v>22408012.955925655</v>
      </c>
      <c r="K20" s="63">
        <f>'NW Baseline Grid Char'!K14*VLOOKUP(K$2,'NW Baseline Energy'!$A$4:$G$43,7,0)</f>
        <v>22530997.223637842</v>
      </c>
      <c r="L20" s="63">
        <f>'NW Baseline Grid Char'!L14*VLOOKUP(L$2,'NW Baseline Energy'!$A$4:$G$43,7,0)</f>
        <v>22877738.646898251</v>
      </c>
      <c r="M20" s="63">
        <f>'NW Baseline Grid Char'!M14*VLOOKUP(M$2,'NW Baseline Energy'!$A$4:$G$43,7,0)</f>
        <v>23228919.95711372</v>
      </c>
      <c r="N20" s="63">
        <f>'NW Baseline Grid Char'!N14*VLOOKUP(N$2,'NW Baseline Energy'!$A$4:$G$43,7,0)</f>
        <v>23584583.3192208</v>
      </c>
      <c r="O20" s="63">
        <f>'NW Baseline Grid Char'!O14*VLOOKUP(O$2,'NW Baseline Energy'!$A$4:$G$43,7,0)</f>
        <v>23944770.963231936</v>
      </c>
      <c r="P20" s="63">
        <f>'NW Baseline Grid Char'!P14*VLOOKUP(P$2,'NW Baseline Energy'!$A$4:$G$43,7,0)</f>
        <v>24309525.173439939</v>
      </c>
      <c r="Q20" s="63">
        <f>'NW Baseline Grid Char'!Q14*VLOOKUP(Q$2,'NW Baseline Energy'!$A$4:$G$43,7,0)</f>
        <v>24678888.277228855</v>
      </c>
      <c r="R20" s="63">
        <f>'NW Baseline Grid Char'!R14*VLOOKUP(R$2,'NW Baseline Energy'!$A$4:$G$43,7,0)</f>
        <v>25052902.633481052</v>
      </c>
      <c r="S20" s="63">
        <f>'NW Baseline Grid Char'!S14*VLOOKUP(S$2,'NW Baseline Energy'!$A$4:$G$43,7,0)</f>
        <v>25431610.620569624</v>
      </c>
      <c r="T20" s="63">
        <f>'NW Baseline Grid Char'!T14*VLOOKUP(T$2,'NW Baseline Energy'!$A$4:$G$43,7,0)</f>
        <v>25815054.623925656</v>
      </c>
      <c r="U20" s="63">
        <f>'NW Baseline Grid Char'!U14*VLOOKUP(U$2,'NW Baseline Energy'!$A$4:$G$43,7,0)</f>
        <v>26151516.033810724</v>
      </c>
      <c r="V20" s="63">
        <f>'NW Baseline Grid Char'!V14*VLOOKUP(V$2,'NW Baseline Energy'!$A$4:$G$43,7,0)</f>
        <v>26492362.725152329</v>
      </c>
      <c r="W20" s="63">
        <f>'NW Baseline Grid Char'!W14*VLOOKUP(W$2,'NW Baseline Energy'!$A$4:$G$43,7,0)</f>
        <v>26837651.853668448</v>
      </c>
      <c r="X20" s="63">
        <f>'NW Baseline Grid Char'!X14*VLOOKUP(X$2,'NW Baseline Energy'!$A$4:$G$43,7,0)</f>
        <v>27187441.32001809</v>
      </c>
      <c r="Y20" s="63">
        <f>'NW Baseline Grid Char'!Y14*VLOOKUP(Y$2,'NW Baseline Energy'!$A$4:$G$43,7,0)</f>
        <v>27541789.779510513</v>
      </c>
      <c r="Z20" s="63">
        <f>'NW Baseline Grid Char'!Z14*VLOOKUP(Z$2,'NW Baseline Energy'!$A$4:$G$43,7,0)</f>
        <v>27900756.651940983</v>
      </c>
      <c r="AA20" s="63">
        <f>'NW Baseline Grid Char'!AA14*VLOOKUP(AA$2,'NW Baseline Energy'!$A$4:$G$43,7,0)</f>
        <v>28264402.131554715</v>
      </c>
      <c r="AB20" s="63">
        <f>'NW Baseline Grid Char'!AB14*VLOOKUP(AB$2,'NW Baseline Energy'!$A$4:$G$43,7,0)</f>
        <v>28632787.197140727</v>
      </c>
      <c r="AC20" s="63">
        <f>'NW Baseline Grid Char'!AC14*VLOOKUP(AC$2,'NW Baseline Energy'!$A$4:$G$43,7,0)</f>
        <v>29005973.622257192</v>
      </c>
      <c r="AD20" s="63">
        <f>'NW Baseline Grid Char'!AD14*VLOOKUP(AD$2,'NW Baseline Energy'!$A$4:$G$43,7,0)</f>
        <v>29384023.985590085</v>
      </c>
      <c r="AE20" s="63">
        <f>'NW Baseline Grid Char'!AE14*VLOOKUP(AE$2,'NW Baseline Energy'!$A$4:$G$43,7,0)</f>
        <v>29767001.68144688</v>
      </c>
      <c r="AF20" s="63">
        <f>'NW Baseline Grid Char'!AF14*VLOOKUP(AF$2,'NW Baseline Energy'!$A$4:$G$43,7,0)</f>
        <v>30154970.930386923</v>
      </c>
      <c r="AG20" s="63">
        <f>'NW Baseline Grid Char'!AG14*VLOOKUP(AG$2,'NW Baseline Energy'!$A$4:$G$43,7,0)</f>
        <v>30547996.789990488</v>
      </c>
      <c r="AH20" s="63">
        <f>'NW Baseline Grid Char'!AH14*VLOOKUP(AH$2,'NW Baseline Energy'!$A$4:$G$43,7,0)</f>
        <v>30946145.165768035</v>
      </c>
      <c r="AI20" s="63">
        <f>'NW Baseline Grid Char'!AI14*VLOOKUP(AI$2,'NW Baseline Energy'!$A$4:$G$43,7,0)</f>
        <v>31349482.822211813</v>
      </c>
      <c r="AJ20" s="63">
        <f>'NW Baseline Grid Char'!AJ14*VLOOKUP(AJ$2,'NW Baseline Energy'!$A$4:$G$43,7,0)</f>
        <v>31758077.393991377</v>
      </c>
      <c r="AK20" s="63">
        <f>'NW Baseline Grid Char'!AK14*VLOOKUP(AK$2,'NW Baseline Energy'!$A$4:$G$43,7,0)</f>
        <v>32171997.39729511</v>
      </c>
      <c r="AL20" s="63">
        <f>'NW Baseline Grid Char'!AL14*VLOOKUP(AL$2,'NW Baseline Energy'!$A$4:$G$43,7,0)</f>
        <v>32591312.241319504</v>
      </c>
      <c r="AM20" s="63">
        <f>'NW Baseline Grid Char'!AM14*VLOOKUP(AM$2,'NW Baseline Energy'!$A$4:$G$43,7,0)</f>
        <v>33016092.239908222</v>
      </c>
      <c r="AN20" s="63">
        <f>'NW Baseline Grid Char'!AN14*VLOOKUP(AN$2,'NW Baseline Energy'!$A$4:$G$43,7,0)</f>
        <v>33446408.623342846</v>
      </c>
      <c r="AO20" s="63">
        <f>'NW Baseline Grid Char'!AO14*VLOOKUP(AO$2,'NW Baseline Energy'!$A$4:$G$43,7,0)</f>
        <v>33882333.550287306</v>
      </c>
    </row>
    <row r="21" spans="1:41">
      <c r="A21" s="63" t="s">
        <v>200</v>
      </c>
      <c r="B21" s="63">
        <f>'NW Baseline Grid Char'!B17*VLOOKUP(B$2,'NW Baseline Energy'!$A$4:$G$43,7,0)</f>
        <v>606149.77570091304</v>
      </c>
      <c r="C21" s="63">
        <f>'NW Baseline Grid Char'!C17*VLOOKUP(C$2,'NW Baseline Energy'!$A$4:$G$43,7,0)</f>
        <v>608469.53858293605</v>
      </c>
      <c r="D21" s="63">
        <f>'NW Baseline Grid Char'!D17*VLOOKUP(D$2,'NW Baseline Energy'!$A$4:$G$43,7,0)</f>
        <v>610701.5723955927</v>
      </c>
      <c r="E21" s="63">
        <f>'NW Baseline Grid Char'!E17*VLOOKUP(E$2,'NW Baseline Energy'!$A$4:$G$43,7,0)</f>
        <v>612842.33860635222</v>
      </c>
      <c r="F21" s="63">
        <f>'NW Baseline Grid Char'!F17*VLOOKUP(F$2,'NW Baseline Energy'!$A$4:$G$43,7,0)</f>
        <v>614888.20459850261</v>
      </c>
      <c r="G21" s="63">
        <f>'NW Baseline Grid Char'!G17*VLOOKUP(G$2,'NW Baseline Energy'!$A$4:$G$43,7,0)</f>
        <v>616835.44148771605</v>
      </c>
      <c r="H21" s="63">
        <f>'NW Baseline Grid Char'!H17*VLOOKUP(H$2,'NW Baseline Energy'!$A$4:$G$43,7,0)</f>
        <v>618680.22189105267</v>
      </c>
      <c r="I21" s="63">
        <f>'NW Baseline Grid Char'!I17*VLOOKUP(I$2,'NW Baseline Energy'!$A$4:$G$43,7,0)</f>
        <v>620418.61764739733</v>
      </c>
      <c r="J21" s="63">
        <f>'NW Baseline Grid Char'!J17*VLOOKUP(J$2,'NW Baseline Energy'!$A$4:$G$43,7,0)</f>
        <v>622046.59748830472</v>
      </c>
      <c r="K21" s="63">
        <f>'NW Baseline Grid Char'!K17*VLOOKUP(K$2,'NW Baseline Energy'!$A$4:$G$43,7,0)</f>
        <v>625460.64162623999</v>
      </c>
      <c r="L21" s="63">
        <f>'NW Baseline Grid Char'!L17*VLOOKUP(L$2,'NW Baseline Energy'!$A$4:$G$43,7,0)</f>
        <v>635086.18597823731</v>
      </c>
      <c r="M21" s="63">
        <f>'NW Baseline Grid Char'!M17*VLOOKUP(M$2,'NW Baseline Energy'!$A$4:$G$43,7,0)</f>
        <v>644834.9816233794</v>
      </c>
      <c r="N21" s="63">
        <f>'NW Baseline Grid Char'!N17*VLOOKUP(N$2,'NW Baseline Energy'!$A$4:$G$43,7,0)</f>
        <v>654708.19906060223</v>
      </c>
      <c r="O21" s="63">
        <f>'NW Baseline Grid Char'!O17*VLOOKUP(O$2,'NW Baseline Energy'!$A$4:$G$43,7,0)</f>
        <v>664707.01059534866</v>
      </c>
      <c r="P21" s="63">
        <f>'NW Baseline Grid Char'!P17*VLOOKUP(P$2,'NW Baseline Energy'!$A$4:$G$43,7,0)</f>
        <v>674832.5900398849</v>
      </c>
      <c r="Q21" s="63">
        <f>'NW Baseline Grid Char'!Q17*VLOOKUP(Q$2,'NW Baseline Energy'!$A$4:$G$43,7,0)</f>
        <v>685086.11240269011</v>
      </c>
      <c r="R21" s="63">
        <f>'NW Baseline Grid Char'!R17*VLOOKUP(R$2,'NW Baseline Energy'!$A$4:$G$43,7,0)</f>
        <v>695468.7535666374</v>
      </c>
      <c r="S21" s="63">
        <f>'NW Baseline Grid Char'!S17*VLOOKUP(S$2,'NW Baseline Energy'!$A$4:$G$43,7,0)</f>
        <v>705981.68995566235</v>
      </c>
      <c r="T21" s="63">
        <f>'NW Baseline Grid Char'!T17*VLOOKUP(T$2,'NW Baseline Energy'!$A$4:$G$43,7,0)</f>
        <v>716626.09818963008</v>
      </c>
      <c r="U21" s="63">
        <f>'NW Baseline Grid Char'!U17*VLOOKUP(U$2,'NW Baseline Energy'!$A$4:$G$43,7,0)</f>
        <v>725966.26929792017</v>
      </c>
      <c r="V21" s="63">
        <f>'NW Baseline Grid Char'!V17*VLOOKUP(V$2,'NW Baseline Energy'!$A$4:$G$43,7,0)</f>
        <v>735428.17585033155</v>
      </c>
      <c r="W21" s="63">
        <f>'NW Baseline Grid Char'!W17*VLOOKUP(W$2,'NW Baseline Energy'!$A$4:$G$43,7,0)</f>
        <v>745013.40448999789</v>
      </c>
      <c r="X21" s="63">
        <f>'NW Baseline Grid Char'!X17*VLOOKUP(X$2,'NW Baseline Energy'!$A$4:$G$43,7,0)</f>
        <v>754723.56253962114</v>
      </c>
      <c r="Y21" s="63">
        <f>'NW Baseline Grid Char'!Y17*VLOOKUP(Y$2,'NW Baseline Energy'!$A$4:$G$43,7,0)</f>
        <v>764560.27827099955</v>
      </c>
      <c r="Z21" s="63">
        <f>'NW Baseline Grid Char'!Z17*VLOOKUP(Z$2,'NW Baseline Energy'!$A$4:$G$43,7,0)</f>
        <v>774525.20117806806</v>
      </c>
      <c r="AA21" s="63">
        <f>'NW Baseline Grid Char'!AA17*VLOOKUP(AA$2,'NW Baseline Energy'!$A$4:$G$43,7,0)</f>
        <v>784620.00225349795</v>
      </c>
      <c r="AB21" s="63">
        <f>'NW Baseline Grid Char'!AB17*VLOOKUP(AB$2,'NW Baseline Energy'!$A$4:$G$43,7,0)</f>
        <v>794846.37426890177</v>
      </c>
      <c r="AC21" s="63">
        <f>'NW Baseline Grid Char'!AC17*VLOOKUP(AC$2,'NW Baseline Energy'!$A$4:$G$43,7,0)</f>
        <v>805206.03205868963</v>
      </c>
      <c r="AD21" s="63">
        <f>'NW Baseline Grid Char'!AD17*VLOOKUP(AD$2,'NW Baseline Energy'!$A$4:$G$43,7,0)</f>
        <v>815700.71280762483</v>
      </c>
      <c r="AE21" s="63">
        <f>'NW Baseline Grid Char'!AE17*VLOOKUP(AE$2,'NW Baseline Energy'!$A$4:$G$43,7,0)</f>
        <v>826332.17634212936</v>
      </c>
      <c r="AF21" s="63">
        <f>'NW Baseline Grid Char'!AF17*VLOOKUP(AF$2,'NW Baseline Energy'!$A$4:$G$43,7,0)</f>
        <v>837102.20542538317</v>
      </c>
      <c r="AG21" s="63">
        <f>'NW Baseline Grid Char'!AG17*VLOOKUP(AG$2,'NW Baseline Energy'!$A$4:$G$43,7,0)</f>
        <v>848012.60605627275</v>
      </c>
      <c r="AH21" s="63">
        <f>'NW Baseline Grid Char'!AH17*VLOOKUP(AH$2,'NW Baseline Energy'!$A$4:$G$43,7,0)</f>
        <v>859065.20777223271</v>
      </c>
      <c r="AI21" s="63">
        <f>'NW Baseline Grid Char'!AI17*VLOOKUP(AI$2,'NW Baseline Energy'!$A$4:$G$43,7,0)</f>
        <v>870261.86395603826</v>
      </c>
      <c r="AJ21" s="63">
        <f>'NW Baseline Grid Char'!AJ17*VLOOKUP(AJ$2,'NW Baseline Energy'!$A$4:$G$43,7,0)</f>
        <v>881604.45214659255</v>
      </c>
      <c r="AK21" s="63">
        <f>'NW Baseline Grid Char'!AK17*VLOOKUP(AK$2,'NW Baseline Energy'!$A$4:$G$43,7,0)</f>
        <v>893094.87435376761</v>
      </c>
      <c r="AL21" s="63">
        <f>'NW Baseline Grid Char'!AL17*VLOOKUP(AL$2,'NW Baseline Energy'!$A$4:$G$43,7,0)</f>
        <v>904735.05737734702</v>
      </c>
      <c r="AM21" s="63">
        <f>'NW Baseline Grid Char'!AM17*VLOOKUP(AM$2,'NW Baseline Energy'!$A$4:$G$43,7,0)</f>
        <v>916526.95313012612</v>
      </c>
      <c r="AN21" s="63">
        <f>'NW Baseline Grid Char'!AN17*VLOOKUP(AN$2,'NW Baseline Energy'!$A$4:$G$43,7,0)</f>
        <v>928472.53896522336</v>
      </c>
      <c r="AO21" s="63">
        <f>'NW Baseline Grid Char'!AO17*VLOOKUP(AO$2,'NW Baseline Energy'!$A$4:$G$43,7,0)</f>
        <v>940573.81800765754</v>
      </c>
    </row>
    <row r="22" spans="1:41">
      <c r="A22" s="63" t="s">
        <v>203</v>
      </c>
      <c r="B22" s="63">
        <f>'NW Baseline Grid Char'!B20*VLOOKUP(B$2,'NW Baseline Energy'!$A$4:$G$43,7,0)</f>
        <v>0</v>
      </c>
      <c r="C22" s="63">
        <f>'NW Baseline Grid Char'!C20*VLOOKUP(C$2,'NW Baseline Energy'!$A$4:$G$43,7,0)</f>
        <v>0</v>
      </c>
      <c r="D22" s="63">
        <f>'NW Baseline Grid Char'!D20*VLOOKUP(D$2,'NW Baseline Energy'!$A$4:$G$43,7,0)</f>
        <v>0</v>
      </c>
      <c r="E22" s="63">
        <f>'NW Baseline Grid Char'!E20*VLOOKUP(E$2,'NW Baseline Energy'!$A$4:$G$43,7,0)</f>
        <v>0</v>
      </c>
      <c r="F22" s="63">
        <f>'NW Baseline Grid Char'!F20*VLOOKUP(F$2,'NW Baseline Energy'!$A$4:$G$43,7,0)</f>
        <v>0</v>
      </c>
      <c r="G22" s="63">
        <f>'NW Baseline Grid Char'!G20*VLOOKUP(G$2,'NW Baseline Energy'!$A$4:$G$43,7,0)</f>
        <v>0</v>
      </c>
      <c r="H22" s="63">
        <f>'NW Baseline Grid Char'!H20*VLOOKUP(H$2,'NW Baseline Energy'!$A$4:$G$43,7,0)</f>
        <v>0</v>
      </c>
      <c r="I22" s="63">
        <f>'NW Baseline Grid Char'!I20*VLOOKUP(I$2,'NW Baseline Energy'!$A$4:$G$43,7,0)</f>
        <v>0</v>
      </c>
      <c r="J22" s="63">
        <f>'NW Baseline Grid Char'!J20*VLOOKUP(J$2,'NW Baseline Energy'!$A$4:$G$43,7,0)</f>
        <v>0</v>
      </c>
      <c r="K22" s="63">
        <f>'NW Baseline Grid Char'!K20*VLOOKUP(K$2,'NW Baseline Energy'!$A$4:$G$43,7,0)</f>
        <v>0</v>
      </c>
      <c r="L22" s="63">
        <f>'NW Baseline Grid Char'!L20*VLOOKUP(L$2,'NW Baseline Energy'!$A$4:$G$43,7,0)</f>
        <v>0</v>
      </c>
      <c r="M22" s="63">
        <f>'NW Baseline Grid Char'!M20*VLOOKUP(M$2,'NW Baseline Energy'!$A$4:$G$43,7,0)</f>
        <v>0</v>
      </c>
      <c r="N22" s="63">
        <f>'NW Baseline Grid Char'!N20*VLOOKUP(N$2,'NW Baseline Energy'!$A$4:$G$43,7,0)</f>
        <v>0</v>
      </c>
      <c r="O22" s="63">
        <f>'NW Baseline Grid Char'!O20*VLOOKUP(O$2,'NW Baseline Energy'!$A$4:$G$43,7,0)</f>
        <v>0</v>
      </c>
      <c r="P22" s="63">
        <f>'NW Baseline Grid Char'!P20*VLOOKUP(P$2,'NW Baseline Energy'!$A$4:$G$43,7,0)</f>
        <v>0</v>
      </c>
      <c r="Q22" s="63">
        <f>'NW Baseline Grid Char'!Q20*VLOOKUP(Q$2,'NW Baseline Energy'!$A$4:$G$43,7,0)</f>
        <v>0</v>
      </c>
      <c r="R22" s="63">
        <f>'NW Baseline Grid Char'!R20*VLOOKUP(R$2,'NW Baseline Energy'!$A$4:$G$43,7,0)</f>
        <v>0</v>
      </c>
      <c r="S22" s="63">
        <f>'NW Baseline Grid Char'!S20*VLOOKUP(S$2,'NW Baseline Energy'!$A$4:$G$43,7,0)</f>
        <v>0</v>
      </c>
      <c r="T22" s="63">
        <f>'NW Baseline Grid Char'!T20*VLOOKUP(T$2,'NW Baseline Energy'!$A$4:$G$43,7,0)</f>
        <v>0</v>
      </c>
      <c r="U22" s="63">
        <f>'NW Baseline Grid Char'!U20*VLOOKUP(U$2,'NW Baseline Energy'!$A$4:$G$43,7,0)</f>
        <v>0</v>
      </c>
      <c r="V22" s="63">
        <f>'NW Baseline Grid Char'!V20*VLOOKUP(V$2,'NW Baseline Energy'!$A$4:$G$43,7,0)</f>
        <v>0</v>
      </c>
      <c r="W22" s="63">
        <f>'NW Baseline Grid Char'!W20*VLOOKUP(W$2,'NW Baseline Energy'!$A$4:$G$43,7,0)</f>
        <v>0</v>
      </c>
      <c r="X22" s="63">
        <f>'NW Baseline Grid Char'!X20*VLOOKUP(X$2,'NW Baseline Energy'!$A$4:$G$43,7,0)</f>
        <v>0</v>
      </c>
      <c r="Y22" s="63">
        <f>'NW Baseline Grid Char'!Y20*VLOOKUP(Y$2,'NW Baseline Energy'!$A$4:$G$43,7,0)</f>
        <v>0</v>
      </c>
      <c r="Z22" s="63">
        <f>'NW Baseline Grid Char'!Z20*VLOOKUP(Z$2,'NW Baseline Energy'!$A$4:$G$43,7,0)</f>
        <v>0</v>
      </c>
      <c r="AA22" s="63">
        <f>'NW Baseline Grid Char'!AA20*VLOOKUP(AA$2,'NW Baseline Energy'!$A$4:$G$43,7,0)</f>
        <v>0</v>
      </c>
      <c r="AB22" s="63">
        <f>'NW Baseline Grid Char'!AB20*VLOOKUP(AB$2,'NW Baseline Energy'!$A$4:$G$43,7,0)</f>
        <v>0</v>
      </c>
      <c r="AC22" s="63">
        <f>'NW Baseline Grid Char'!AC20*VLOOKUP(AC$2,'NW Baseline Energy'!$A$4:$G$43,7,0)</f>
        <v>0</v>
      </c>
      <c r="AD22" s="63">
        <f>'NW Baseline Grid Char'!AD20*VLOOKUP(AD$2,'NW Baseline Energy'!$A$4:$G$43,7,0)</f>
        <v>0</v>
      </c>
      <c r="AE22" s="63">
        <f>'NW Baseline Grid Char'!AE20*VLOOKUP(AE$2,'NW Baseline Energy'!$A$4:$G$43,7,0)</f>
        <v>0</v>
      </c>
      <c r="AF22" s="63">
        <f>'NW Baseline Grid Char'!AF20*VLOOKUP(AF$2,'NW Baseline Energy'!$A$4:$G$43,7,0)</f>
        <v>0</v>
      </c>
      <c r="AG22" s="63">
        <f>'NW Baseline Grid Char'!AG20*VLOOKUP(AG$2,'NW Baseline Energy'!$A$4:$G$43,7,0)</f>
        <v>0</v>
      </c>
      <c r="AH22" s="63">
        <f>'NW Baseline Grid Char'!AH20*VLOOKUP(AH$2,'NW Baseline Energy'!$A$4:$G$43,7,0)</f>
        <v>0</v>
      </c>
      <c r="AI22" s="63">
        <f>'NW Baseline Grid Char'!AI20*VLOOKUP(AI$2,'NW Baseline Energy'!$A$4:$G$43,7,0)</f>
        <v>0</v>
      </c>
      <c r="AJ22" s="63">
        <f>'NW Baseline Grid Char'!AJ20*VLOOKUP(AJ$2,'NW Baseline Energy'!$A$4:$G$43,7,0)</f>
        <v>0</v>
      </c>
      <c r="AK22" s="63">
        <f>'NW Baseline Grid Char'!AK20*VLOOKUP(AK$2,'NW Baseline Energy'!$A$4:$G$43,7,0)</f>
        <v>0</v>
      </c>
      <c r="AL22" s="63">
        <f>'NW Baseline Grid Char'!AL20*VLOOKUP(AL$2,'NW Baseline Energy'!$A$4:$G$43,7,0)</f>
        <v>0</v>
      </c>
      <c r="AM22" s="63">
        <f>'NW Baseline Grid Char'!AM20*VLOOKUP(AM$2,'NW Baseline Energy'!$A$4:$G$43,7,0)</f>
        <v>0</v>
      </c>
      <c r="AN22" s="63">
        <f>'NW Baseline Grid Char'!AN20*VLOOKUP(AN$2,'NW Baseline Energy'!$A$4:$G$43,7,0)</f>
        <v>0</v>
      </c>
      <c r="AO22" s="63">
        <f>'NW Baseline Grid Char'!AO20*VLOOKUP(AO$2,'NW Baseline Energy'!$A$4:$G$43,7,0)</f>
        <v>0</v>
      </c>
    </row>
    <row r="23" spans="1:41">
      <c r="A23" s="63" t="s">
        <v>310</v>
      </c>
      <c r="B23" s="63">
        <f>'NW Baseline Grid Char'!B23*VLOOKUP(B$2,'NW Baseline Energy'!$A$4:$G$43,7,0)</f>
        <v>6791946.6522974465</v>
      </c>
      <c r="C23" s="63">
        <f>'NW Baseline Grid Char'!C23*VLOOKUP(C$2,'NW Baseline Energy'!$A$4:$G$43,7,0)</f>
        <v>6817939.7424086519</v>
      </c>
      <c r="D23" s="63">
        <f>'NW Baseline Grid Char'!D23*VLOOKUP(D$2,'NW Baseline Energy'!$A$4:$G$43,7,0)</f>
        <v>6842949.8227376565</v>
      </c>
      <c r="E23" s="63">
        <f>'NW Baseline Grid Char'!E23*VLOOKUP(E$2,'NW Baseline Energy'!$A$4:$G$43,7,0)</f>
        <v>6866937.2438031957</v>
      </c>
      <c r="F23" s="63">
        <f>'NW Baseline Grid Char'!F23*VLOOKUP(F$2,'NW Baseline Energy'!$A$4:$G$43,7,0)</f>
        <v>6889861.3019047873</v>
      </c>
      <c r="G23" s="63">
        <f>'NW Baseline Grid Char'!G23*VLOOKUP(G$2,'NW Baseline Energy'!$A$4:$G$43,7,0)</f>
        <v>6911680.2146572173</v>
      </c>
      <c r="H23" s="63">
        <f>'NW Baseline Grid Char'!H23*VLOOKUP(H$2,'NW Baseline Energy'!$A$4:$G$43,7,0)</f>
        <v>6932351.095992079</v>
      </c>
      <c r="I23" s="63">
        <f>'NW Baseline Grid Char'!I23*VLOOKUP(I$2,'NW Baseline Energy'!$A$4:$G$43,7,0)</f>
        <v>6951829.9306151224</v>
      </c>
      <c r="J23" s="63">
        <f>'NW Baseline Grid Char'!J23*VLOOKUP(J$2,'NW Baseline Energy'!$A$4:$G$43,7,0)</f>
        <v>6970071.5479079317</v>
      </c>
      <c r="K23" s="63">
        <f>'NW Baseline Grid Char'!K23*VLOOKUP(K$2,'NW Baseline Energy'!$A$4:$G$43,7,0)</f>
        <v>7008326.1288432004</v>
      </c>
      <c r="L23" s="63">
        <f>'NW Baseline Grid Char'!L23*VLOOKUP(L$2,'NW Baseline Energy'!$A$4:$G$43,7,0)</f>
        <v>7116180.9633393306</v>
      </c>
      <c r="M23" s="63">
        <f>'NW Baseline Grid Char'!M23*VLOOKUP(M$2,'NW Baseline Energy'!$A$4:$G$43,7,0)</f>
        <v>7225416.8363863677</v>
      </c>
      <c r="N23" s="63">
        <f>'NW Baseline Grid Char'!N23*VLOOKUP(N$2,'NW Baseline Energy'!$A$4:$G$43,7,0)</f>
        <v>7336046.8634990696</v>
      </c>
      <c r="O23" s="63">
        <f>'NW Baseline Grid Char'!O23*VLOOKUP(O$2,'NW Baseline Energy'!$A$4:$G$43,7,0)</f>
        <v>7448084.1804342214</v>
      </c>
      <c r="P23" s="63">
        <f>'NW Baseline Grid Char'!P23*VLOOKUP(P$2,'NW Baseline Energy'!$A$4:$G$43,7,0)</f>
        <v>7561541.9398326566</v>
      </c>
      <c r="Q23" s="63">
        <f>'NW Baseline Grid Char'!Q23*VLOOKUP(Q$2,'NW Baseline Energy'!$A$4:$G$43,7,0)</f>
        <v>7676433.3077388527</v>
      </c>
      <c r="R23" s="63">
        <f>'NW Baseline Grid Char'!R23*VLOOKUP(R$2,'NW Baseline Energy'!$A$4:$G$43,7,0)</f>
        <v>7792771.4599949261</v>
      </c>
      <c r="S23" s="63">
        <f>'NW Baseline Grid Char'!S23*VLOOKUP(S$2,'NW Baseline Energy'!$A$4:$G$43,7,0)</f>
        <v>7910569.5785056315</v>
      </c>
      <c r="T23" s="63">
        <f>'NW Baseline Grid Char'!T23*VLOOKUP(T$2,'NW Baseline Energy'!$A$4:$G$43,7,0)</f>
        <v>8029840.8473711303</v>
      </c>
      <c r="U23" s="63">
        <f>'NW Baseline Grid Char'!U23*VLOOKUP(U$2,'NW Baseline Energy'!$A$4:$G$43,7,0)</f>
        <v>8134498.0565856015</v>
      </c>
      <c r="V23" s="63">
        <f>'NW Baseline Grid Char'!V23*VLOOKUP(V$2,'NW Baseline Energy'!$A$4:$G$43,7,0)</f>
        <v>8240519.3191666035</v>
      </c>
      <c r="W23" s="63">
        <f>'NW Baseline Grid Char'!W23*VLOOKUP(W$2,'NW Baseline Energy'!$A$4:$G$43,7,0)</f>
        <v>8347922.4135510027</v>
      </c>
      <c r="X23" s="63">
        <f>'NW Baseline Grid Char'!X23*VLOOKUP(X$2,'NW Baseline Energy'!$A$4:$G$43,7,0)</f>
        <v>8456725.3498915415</v>
      </c>
      <c r="Y23" s="63">
        <f>'NW Baseline Grid Char'!Y23*VLOOKUP(Y$2,'NW Baseline Energy'!$A$4:$G$43,7,0)</f>
        <v>8566946.373076912</v>
      </c>
      <c r="Z23" s="63">
        <f>'NW Baseline Grid Char'!Z23*VLOOKUP(Z$2,'NW Baseline Energy'!$A$4:$G$43,7,0)</f>
        <v>8678603.9657911938</v>
      </c>
      <c r="AA23" s="63">
        <f>'NW Baseline Grid Char'!AA23*VLOOKUP(AA$2,'NW Baseline Energy'!$A$4:$G$43,7,0)</f>
        <v>8791716.8516131714</v>
      </c>
      <c r="AB23" s="63">
        <f>'NW Baseline Grid Char'!AB23*VLOOKUP(AB$2,'NW Baseline Energy'!$A$4:$G$43,7,0)</f>
        <v>8906303.9981560446</v>
      </c>
      <c r="AC23" s="63">
        <f>'NW Baseline Grid Char'!AC23*VLOOKUP(AC$2,'NW Baseline Energy'!$A$4:$G$43,7,0)</f>
        <v>9022384.6202480569</v>
      </c>
      <c r="AD23" s="63">
        <f>'NW Baseline Grid Char'!AD23*VLOOKUP(AD$2,'NW Baseline Energy'!$A$4:$G$43,7,0)</f>
        <v>9139978.183154583</v>
      </c>
      <c r="AE23" s="63">
        <f>'NW Baseline Grid Char'!AE23*VLOOKUP(AE$2,'NW Baseline Energy'!$A$4:$G$43,7,0)</f>
        <v>9259104.4058422074</v>
      </c>
      <c r="AF23" s="63">
        <f>'NW Baseline Grid Char'!AF23*VLOOKUP(AF$2,'NW Baseline Energy'!$A$4:$G$43,7,0)</f>
        <v>9379783.2642853465</v>
      </c>
      <c r="AG23" s="63">
        <f>'NW Baseline Grid Char'!AG23*VLOOKUP(AG$2,'NW Baseline Energy'!$A$4:$G$43,7,0)</f>
        <v>9502034.9948159847</v>
      </c>
      <c r="AH23" s="63">
        <f>'NW Baseline Grid Char'!AH23*VLOOKUP(AH$2,'NW Baseline Energy'!$A$4:$G$43,7,0)</f>
        <v>9625880.0975170247</v>
      </c>
      <c r="AI23" s="63">
        <f>'NW Baseline Grid Char'!AI23*VLOOKUP(AI$2,'NW Baseline Energy'!$A$4:$G$43,7,0)</f>
        <v>9751339.3396599218</v>
      </c>
      <c r="AJ23" s="63">
        <f>'NW Baseline Grid Char'!AJ23*VLOOKUP(AJ$2,'NW Baseline Energy'!$A$4:$G$43,7,0)</f>
        <v>9878433.7591870762</v>
      </c>
      <c r="AK23" s="63">
        <f>'NW Baseline Grid Char'!AK23*VLOOKUP(AK$2,'NW Baseline Energy'!$A$4:$G$43,7,0)</f>
        <v>10007184.668239653</v>
      </c>
      <c r="AL23" s="63">
        <f>'NW Baseline Grid Char'!AL23*VLOOKUP(AL$2,'NW Baseline Energy'!$A$4:$G$43,7,0)</f>
        <v>10137613.656731334</v>
      </c>
      <c r="AM23" s="63">
        <f>'NW Baseline Grid Char'!AM23*VLOOKUP(AM$2,'NW Baseline Energy'!$A$4:$G$43,7,0)</f>
        <v>10269742.595968699</v>
      </c>
      <c r="AN23" s="63">
        <f>'NW Baseline Grid Char'!AN23*VLOOKUP(AN$2,'NW Baseline Energy'!$A$4:$G$43,7,0)</f>
        <v>10403593.642318757</v>
      </c>
      <c r="AO23" s="63">
        <f>'NW Baseline Grid Char'!AO23*VLOOKUP(AO$2,'NW Baseline Energy'!$A$4:$G$43,7,0)</f>
        <v>10539189.240924297</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sheetPr>
    <tabColor theme="0" tint="-0.34998626667073579"/>
  </sheetPr>
  <dimension ref="A1:S44"/>
  <sheetViews>
    <sheetView workbookViewId="0">
      <selection activeCell="R7" sqref="R7"/>
    </sheetView>
  </sheetViews>
  <sheetFormatPr defaultRowHeight="15"/>
  <sheetData>
    <row r="1" spans="1:19" s="70" customFormat="1" ht="15.75" thickBot="1">
      <c r="A1" s="260" t="s">
        <v>350</v>
      </c>
      <c r="B1" s="261"/>
      <c r="C1" s="261"/>
      <c r="D1" s="261"/>
      <c r="E1" s="261"/>
      <c r="F1" s="262"/>
    </row>
    <row r="2" spans="1:19">
      <c r="A2" s="70"/>
      <c r="B2" s="423" t="s">
        <v>180</v>
      </c>
      <c r="C2" s="423"/>
      <c r="D2" s="423"/>
      <c r="E2" s="423"/>
      <c r="F2" s="423"/>
      <c r="G2" s="424"/>
      <c r="H2" s="424" t="s">
        <v>181</v>
      </c>
      <c r="I2" s="424"/>
      <c r="J2" s="424"/>
      <c r="K2" s="424"/>
      <c r="L2" s="424"/>
      <c r="M2" s="424"/>
      <c r="N2" s="424" t="s">
        <v>184</v>
      </c>
      <c r="O2" s="424"/>
      <c r="P2" s="424"/>
      <c r="Q2" s="424"/>
      <c r="R2" s="424"/>
      <c r="S2" s="424"/>
    </row>
    <row r="3" spans="1:19">
      <c r="A3" s="74"/>
      <c r="B3" s="422" t="s">
        <v>3</v>
      </c>
      <c r="C3" s="422"/>
      <c r="D3" s="422" t="s">
        <v>4</v>
      </c>
      <c r="E3" s="422"/>
      <c r="F3" s="422" t="s">
        <v>2</v>
      </c>
      <c r="G3" s="422"/>
      <c r="H3" s="422" t="s">
        <v>3</v>
      </c>
      <c r="I3" s="422"/>
      <c r="J3" s="422" t="s">
        <v>4</v>
      </c>
      <c r="K3" s="422"/>
      <c r="L3" s="422" t="s">
        <v>2</v>
      </c>
      <c r="M3" s="422"/>
      <c r="N3" s="422" t="s">
        <v>3</v>
      </c>
      <c r="O3" s="422"/>
      <c r="P3" s="422" t="s">
        <v>4</v>
      </c>
      <c r="Q3" s="422"/>
      <c r="R3" s="422" t="s">
        <v>2</v>
      </c>
      <c r="S3" s="422"/>
    </row>
    <row r="4" spans="1:19">
      <c r="A4" s="71" t="s">
        <v>177</v>
      </c>
      <c r="B4" s="75" t="s">
        <v>178</v>
      </c>
      <c r="C4" s="75" t="s">
        <v>179</v>
      </c>
      <c r="D4" s="75" t="s">
        <v>178</v>
      </c>
      <c r="E4" s="75" t="s">
        <v>179</v>
      </c>
      <c r="F4" s="75" t="s">
        <v>178</v>
      </c>
      <c r="G4" s="75" t="s">
        <v>179</v>
      </c>
      <c r="H4" s="75" t="s">
        <v>178</v>
      </c>
      <c r="I4" s="75" t="s">
        <v>179</v>
      </c>
      <c r="J4" s="75" t="s">
        <v>178</v>
      </c>
      <c r="K4" s="75" t="s">
        <v>179</v>
      </c>
      <c r="L4" s="75" t="s">
        <v>178</v>
      </c>
      <c r="M4" s="75" t="s">
        <v>179</v>
      </c>
      <c r="N4" s="75" t="s">
        <v>178</v>
      </c>
      <c r="O4" s="75" t="s">
        <v>179</v>
      </c>
      <c r="P4" s="75" t="s">
        <v>178</v>
      </c>
      <c r="Q4" s="75" t="s">
        <v>179</v>
      </c>
      <c r="R4" s="75" t="s">
        <v>178</v>
      </c>
      <c r="S4" s="75" t="s">
        <v>179</v>
      </c>
    </row>
    <row r="5" spans="1:19">
      <c r="A5" s="72">
        <v>2011</v>
      </c>
      <c r="B5" s="73">
        <v>19691.2</v>
      </c>
      <c r="C5" s="73">
        <v>8615.7999999999993</v>
      </c>
      <c r="D5" s="73">
        <v>6957.9</v>
      </c>
      <c r="E5" s="73">
        <v>11531.6</v>
      </c>
      <c r="F5" s="73">
        <v>6173.6</v>
      </c>
      <c r="G5" s="73">
        <v>8844.5999999999985</v>
      </c>
      <c r="H5" s="73">
        <v>19691.2</v>
      </c>
      <c r="I5" s="73">
        <v>8615.7999999999993</v>
      </c>
      <c r="J5" s="73">
        <v>6957.9</v>
      </c>
      <c r="K5" s="73">
        <v>11531.6</v>
      </c>
      <c r="L5" s="73">
        <v>6173.6</v>
      </c>
      <c r="M5" s="73">
        <v>8844.5999999999985</v>
      </c>
      <c r="N5" s="73">
        <v>19691.2</v>
      </c>
      <c r="O5" s="73">
        <v>8615.7999999999993</v>
      </c>
      <c r="P5" s="73">
        <v>6957.9</v>
      </c>
      <c r="Q5" s="73">
        <v>11531.6</v>
      </c>
      <c r="R5" s="73">
        <v>6173.6</v>
      </c>
      <c r="S5" s="73">
        <v>8844.5999999999985</v>
      </c>
    </row>
    <row r="6" spans="1:19">
      <c r="A6" s="72">
        <v>2012</v>
      </c>
      <c r="B6" s="73">
        <v>19844.400000000001</v>
      </c>
      <c r="C6" s="73">
        <v>8754.5999999999985</v>
      </c>
      <c r="D6" s="73">
        <v>7106.7999999999993</v>
      </c>
      <c r="E6" s="73">
        <v>11799.2</v>
      </c>
      <c r="F6" s="73">
        <v>6193.2000000000007</v>
      </c>
      <c r="G6" s="73">
        <v>8905.1999999999989</v>
      </c>
      <c r="H6" s="73">
        <v>19844.400000000001</v>
      </c>
      <c r="I6" s="73">
        <v>8754.5999999999985</v>
      </c>
      <c r="J6" s="73">
        <v>7106.7999999999993</v>
      </c>
      <c r="K6" s="73">
        <v>11799.2</v>
      </c>
      <c r="L6" s="73">
        <v>6193.2000000000007</v>
      </c>
      <c r="M6" s="73">
        <v>8905.1999999999989</v>
      </c>
      <c r="N6" s="73">
        <v>19844.400000000001</v>
      </c>
      <c r="O6" s="73">
        <v>8754.5999999999985</v>
      </c>
      <c r="P6" s="73">
        <v>7106.7999999999993</v>
      </c>
      <c r="Q6" s="73">
        <v>11799.2</v>
      </c>
      <c r="R6" s="73">
        <v>6193.2000000000007</v>
      </c>
      <c r="S6" s="73">
        <v>8905.1999999999989</v>
      </c>
    </row>
    <row r="7" spans="1:19">
      <c r="A7" s="72">
        <v>2013</v>
      </c>
      <c r="B7" s="73">
        <v>19997.600000000002</v>
      </c>
      <c r="C7" s="73">
        <v>8893.3999999999978</v>
      </c>
      <c r="D7" s="73">
        <v>7255.6999999999989</v>
      </c>
      <c r="E7" s="73">
        <v>12066.800000000001</v>
      </c>
      <c r="F7" s="73">
        <v>6212.8000000000011</v>
      </c>
      <c r="G7" s="73">
        <v>8965.7999999999993</v>
      </c>
      <c r="H7" s="73">
        <v>19997.600000000002</v>
      </c>
      <c r="I7" s="73">
        <v>8893.3999999999978</v>
      </c>
      <c r="J7" s="73">
        <v>7255.6999999999989</v>
      </c>
      <c r="K7" s="73">
        <v>12066.800000000001</v>
      </c>
      <c r="L7" s="73">
        <v>6212.8000000000011</v>
      </c>
      <c r="M7" s="73">
        <v>8965.7999999999993</v>
      </c>
      <c r="N7" s="73">
        <v>19997.600000000002</v>
      </c>
      <c r="O7" s="73">
        <v>8893.3999999999978</v>
      </c>
      <c r="P7" s="73">
        <v>7255.6999999999989</v>
      </c>
      <c r="Q7" s="73">
        <v>12066.800000000001</v>
      </c>
      <c r="R7" s="73">
        <v>6212.8000000000011</v>
      </c>
      <c r="S7" s="73">
        <v>8965.7999999999993</v>
      </c>
    </row>
    <row r="8" spans="1:19">
      <c r="A8" s="72">
        <v>2014</v>
      </c>
      <c r="B8" s="73">
        <v>20258.32454904433</v>
      </c>
      <c r="C8" s="73">
        <v>9062.3917325305119</v>
      </c>
      <c r="D8" s="73">
        <v>7444.1109015946568</v>
      </c>
      <c r="E8" s="73">
        <v>12375.62992246899</v>
      </c>
      <c r="F8" s="73">
        <v>6265.6560493610132</v>
      </c>
      <c r="G8" s="73">
        <v>9056.5723450004916</v>
      </c>
      <c r="H8" s="73">
        <v>19867.632707663714</v>
      </c>
      <c r="I8" s="73">
        <v>9070.2390747869558</v>
      </c>
      <c r="J8" s="73">
        <v>7300.5475289897513</v>
      </c>
      <c r="K8" s="73">
        <v>12386.346277103283</v>
      </c>
      <c r="L8" s="73">
        <v>6144.8197633465343</v>
      </c>
      <c r="M8" s="73">
        <v>9064.4146481097614</v>
      </c>
      <c r="N8" s="73">
        <v>20258.32454904433</v>
      </c>
      <c r="O8" s="73">
        <v>8991.2443980258577</v>
      </c>
      <c r="P8" s="73">
        <v>7444.1109015946568</v>
      </c>
      <c r="Q8" s="73">
        <v>12278.470904431942</v>
      </c>
      <c r="R8" s="73">
        <v>6265.6560493610132</v>
      </c>
      <c r="S8" s="73">
        <v>8985.4706975421941</v>
      </c>
    </row>
    <row r="9" spans="1:19">
      <c r="A9" s="72">
        <v>2015</v>
      </c>
      <c r="B9" s="73">
        <v>20523.122642174178</v>
      </c>
      <c r="C9" s="73">
        <v>9234.5941051168429</v>
      </c>
      <c r="D9" s="73">
        <v>7635.0180692308213</v>
      </c>
      <c r="E9" s="73">
        <v>12689.385553667271</v>
      </c>
      <c r="F9" s="73">
        <v>6319.4721610950055</v>
      </c>
      <c r="G9" s="73">
        <v>9150.0116272158739</v>
      </c>
      <c r="H9" s="73">
        <v>20225.723390844196</v>
      </c>
      <c r="I9" s="73">
        <v>9268.4753078418635</v>
      </c>
      <c r="J9" s="73">
        <v>7524.379513038888</v>
      </c>
      <c r="K9" s="73">
        <v>12735.942190537917</v>
      </c>
      <c r="L9" s="73">
        <v>6227.8970961169198</v>
      </c>
      <c r="M9" s="73">
        <v>9183.582501620218</v>
      </c>
      <c r="N9" s="73">
        <v>20320.924389541917</v>
      </c>
      <c r="O9" s="73">
        <v>9090.164751291828</v>
      </c>
      <c r="P9" s="73">
        <v>7559.7962163319953</v>
      </c>
      <c r="Q9" s="73">
        <v>12490.92314859663</v>
      </c>
      <c r="R9" s="73">
        <v>6257.2113516260879</v>
      </c>
      <c r="S9" s="73">
        <v>9006.9051461115323</v>
      </c>
    </row>
    <row r="10" spans="1:19">
      <c r="A10" s="72">
        <v>2016</v>
      </c>
      <c r="B10" s="73">
        <v>20792.047717945836</v>
      </c>
      <c r="C10" s="73">
        <v>9410.0681301055392</v>
      </c>
      <c r="D10" s="73">
        <v>7828.4744902873272</v>
      </c>
      <c r="E10" s="73">
        <v>13008.207781821988</v>
      </c>
      <c r="F10" s="73">
        <v>6374.2548573543354</v>
      </c>
      <c r="G10" s="73">
        <v>9246.1212085064599</v>
      </c>
      <c r="H10" s="73">
        <v>20508.771974255909</v>
      </c>
      <c r="I10" s="73">
        <v>9441.7485172534853</v>
      </c>
      <c r="J10" s="73">
        <v>7721.8175143474491</v>
      </c>
      <c r="K10" s="73">
        <v>13052.001838669525</v>
      </c>
      <c r="L10" s="73">
        <v>6287.4105113966416</v>
      </c>
      <c r="M10" s="73">
        <v>9277.2496440769937</v>
      </c>
      <c r="N10" s="73">
        <v>20384.370400949541</v>
      </c>
      <c r="O10" s="73">
        <v>9190.1729094361654</v>
      </c>
      <c r="P10" s="73">
        <v>7674.9787153800926</v>
      </c>
      <c r="Q10" s="73">
        <v>12704.230947526237</v>
      </c>
      <c r="R10" s="73">
        <v>6249.2725009578598</v>
      </c>
      <c r="S10" s="73">
        <v>9030.0571125435872</v>
      </c>
    </row>
    <row r="11" spans="1:19">
      <c r="A11" s="72">
        <v>2017</v>
      </c>
      <c r="B11" s="73">
        <v>21065.154232627301</v>
      </c>
      <c r="C11" s="73">
        <v>9588.8759785539078</v>
      </c>
      <c r="D11" s="73">
        <v>8024.5335086474124</v>
      </c>
      <c r="E11" s="73">
        <v>13332.237739501988</v>
      </c>
      <c r="F11" s="73">
        <v>6430.0109802965926</v>
      </c>
      <c r="G11" s="73">
        <v>9344.9069476663335</v>
      </c>
      <c r="H11" s="73">
        <v>20756.944024815195</v>
      </c>
      <c r="I11" s="73">
        <v>9603.7289299867862</v>
      </c>
      <c r="J11" s="73">
        <v>7907.1242975406321</v>
      </c>
      <c r="K11" s="73">
        <v>13352.889073410082</v>
      </c>
      <c r="L11" s="73">
        <v>6335.9316776441683</v>
      </c>
      <c r="M11" s="73">
        <v>9359.3819966031315</v>
      </c>
      <c r="N11" s="73">
        <v>20448.65283345697</v>
      </c>
      <c r="O11" s="73">
        <v>9291.2808516561417</v>
      </c>
      <c r="P11" s="73">
        <v>7789.6842366630744</v>
      </c>
      <c r="Q11" s="73">
        <v>12918.46567791812</v>
      </c>
      <c r="R11" s="73">
        <v>6241.8276552538782</v>
      </c>
      <c r="S11" s="73">
        <v>9054.8835105962899</v>
      </c>
    </row>
    <row r="12" spans="1:19">
      <c r="A12" s="72">
        <v>2018</v>
      </c>
      <c r="B12" s="73">
        <v>21342.497665571278</v>
      </c>
      <c r="C12" s="73">
        <v>9771.0810022821843</v>
      </c>
      <c r="D12" s="73">
        <v>8223.2488501080352</v>
      </c>
      <c r="E12" s="73">
        <v>13661.616978470945</v>
      </c>
      <c r="F12" s="73">
        <v>6486.7476867155619</v>
      </c>
      <c r="G12" s="73">
        <v>9446.3770776178244</v>
      </c>
      <c r="H12" s="73">
        <v>20980.502916640533</v>
      </c>
      <c r="I12" s="73">
        <v>9747.8784724590041</v>
      </c>
      <c r="J12" s="73">
        <v>8083.7725362512992</v>
      </c>
      <c r="K12" s="73">
        <v>13629.175933790031</v>
      </c>
      <c r="L12" s="73">
        <v>6376.724547108166</v>
      </c>
      <c r="M12" s="73">
        <v>9423.9455937509665</v>
      </c>
      <c r="N12" s="73">
        <v>20513.762381701657</v>
      </c>
      <c r="O12" s="73">
        <v>9393.5006881885092</v>
      </c>
      <c r="P12" s="73">
        <v>7903.937747119453</v>
      </c>
      <c r="Q12" s="73">
        <v>13133.696103743394</v>
      </c>
      <c r="R12" s="73">
        <v>6234.8654201796817</v>
      </c>
      <c r="S12" s="73">
        <v>9081.3441786805251</v>
      </c>
    </row>
    <row r="13" spans="1:19">
      <c r="A13" s="72">
        <v>2019</v>
      </c>
      <c r="B13" s="73">
        <v>21624.134525180401</v>
      </c>
      <c r="C13" s="73">
        <v>9956.7477563416396</v>
      </c>
      <c r="D13" s="73">
        <v>8424.6746471328061</v>
      </c>
      <c r="E13" s="73">
        <v>13996.487633793833</v>
      </c>
      <c r="F13" s="73">
        <v>6544.472443117591</v>
      </c>
      <c r="G13" s="73">
        <v>9550.5420943445242</v>
      </c>
      <c r="H13" s="73">
        <v>21185.496698807507</v>
      </c>
      <c r="I13" s="73">
        <v>9886.9759166462918</v>
      </c>
      <c r="J13" s="73">
        <v>8253.7831383506145</v>
      </c>
      <c r="K13" s="73">
        <v>13898.40734539233</v>
      </c>
      <c r="L13" s="73">
        <v>6411.7201628418816</v>
      </c>
      <c r="M13" s="73">
        <v>9483.6167379613744</v>
      </c>
      <c r="N13" s="73">
        <v>20579.690165093994</v>
      </c>
      <c r="O13" s="73">
        <v>9496.8446618015914</v>
      </c>
      <c r="P13" s="73">
        <v>8017.7633827529708</v>
      </c>
      <c r="Q13" s="73">
        <v>13349.988582798647</v>
      </c>
      <c r="R13" s="73">
        <v>6228.3748288988299</v>
      </c>
      <c r="S13" s="73">
        <v>9109.4016766889199</v>
      </c>
    </row>
    <row r="14" spans="1:19">
      <c r="A14" s="72">
        <v>2020</v>
      </c>
      <c r="B14" s="73">
        <v>21910.122355442178</v>
      </c>
      <c r="C14" s="73">
        <v>10145.942021906874</v>
      </c>
      <c r="D14" s="73">
        <v>8628.8654630023339</v>
      </c>
      <c r="E14" s="73">
        <v>14336.992578345851</v>
      </c>
      <c r="F14" s="73">
        <v>6603.1930212177413</v>
      </c>
      <c r="G14" s="73">
        <v>9657.4146564323928</v>
      </c>
      <c r="H14" s="73">
        <v>21394.444257797189</v>
      </c>
      <c r="I14" s="73">
        <v>10022.804338002712</v>
      </c>
      <c r="J14" s="73">
        <v>8425.7759113052234</v>
      </c>
      <c r="K14" s="73">
        <v>14162.989606868503</v>
      </c>
      <c r="L14" s="73">
        <v>6447.7798308975862</v>
      </c>
      <c r="M14" s="73">
        <v>9540.206055128785</v>
      </c>
      <c r="N14" s="73">
        <v>20646.427709208914</v>
      </c>
      <c r="O14" s="73">
        <v>9601.3251492996296</v>
      </c>
      <c r="P14" s="73">
        <v>8131.1844865218582</v>
      </c>
      <c r="Q14" s="73">
        <v>13567.407256080774</v>
      </c>
      <c r="R14" s="73">
        <v>6222.3453228987464</v>
      </c>
      <c r="S14" s="73">
        <v>9139.0211000429335</v>
      </c>
    </row>
    <row r="15" spans="1:19">
      <c r="A15" s="72">
        <v>2021</v>
      </c>
      <c r="B15" s="73">
        <v>22234.737888606138</v>
      </c>
      <c r="C15" s="73">
        <v>10429.662290122049</v>
      </c>
      <c r="D15" s="73">
        <v>8751.0121283152148</v>
      </c>
      <c r="E15" s="73">
        <v>14531.596638662615</v>
      </c>
      <c r="F15" s="73">
        <v>6713.5635353358266</v>
      </c>
      <c r="G15" s="73">
        <v>9827.7569637774668</v>
      </c>
      <c r="H15" s="73">
        <v>21635.324707892567</v>
      </c>
      <c r="I15" s="73">
        <v>10253.676354294914</v>
      </c>
      <c r="J15" s="73">
        <v>8515.0987552601437</v>
      </c>
      <c r="K15" s="73">
        <v>14286.396308836062</v>
      </c>
      <c r="L15" s="73">
        <v>6532.5765368472848</v>
      </c>
      <c r="M15" s="73">
        <v>9661.927336869021</v>
      </c>
      <c r="N15" s="73">
        <v>20745.893817473636</v>
      </c>
      <c r="O15" s="73">
        <v>9792.3295102308712</v>
      </c>
      <c r="P15" s="73">
        <v>8165.0419860574466</v>
      </c>
      <c r="Q15" s="73">
        <v>13643.604043662901</v>
      </c>
      <c r="R15" s="73">
        <v>6264.0215026915776</v>
      </c>
      <c r="S15" s="73">
        <v>9227.2052400892135</v>
      </c>
    </row>
    <row r="16" spans="1:19">
      <c r="A16" s="72">
        <v>2022</v>
      </c>
      <c r="B16" s="73">
        <v>22564.262846497935</v>
      </c>
      <c r="C16" s="73">
        <v>10717.300168811144</v>
      </c>
      <c r="D16" s="73">
        <v>8875.0635475597282</v>
      </c>
      <c r="E16" s="73">
        <v>14731.158283330391</v>
      </c>
      <c r="F16" s="73">
        <v>6825.4768614833783</v>
      </c>
      <c r="G16" s="73">
        <v>10001.548742379277</v>
      </c>
      <c r="H16" s="73">
        <v>21878.57270661744</v>
      </c>
      <c r="I16" s="73">
        <v>10474.231489183481</v>
      </c>
      <c r="J16" s="73">
        <v>8605.3652371485368</v>
      </c>
      <c r="K16" s="73">
        <v>14397.05518489003</v>
      </c>
      <c r="L16" s="73">
        <v>6618.0620562340237</v>
      </c>
      <c r="M16" s="73">
        <v>9774.7133259264883</v>
      </c>
      <c r="N16" s="73">
        <v>20845.931491044648</v>
      </c>
      <c r="O16" s="73">
        <v>9983.3923378546951</v>
      </c>
      <c r="P16" s="73">
        <v>8199.2027813934073</v>
      </c>
      <c r="Q16" s="73">
        <v>13722.386274251317</v>
      </c>
      <c r="R16" s="73">
        <v>6305.6978203157178</v>
      </c>
      <c r="S16" s="73">
        <v>9316.6547086107894</v>
      </c>
    </row>
    <row r="17" spans="1:19">
      <c r="A17" s="72">
        <v>2023</v>
      </c>
      <c r="B17" s="73">
        <v>22898.769259012417</v>
      </c>
      <c r="C17" s="73">
        <v>11009.007416897432</v>
      </c>
      <c r="D17" s="73">
        <v>9001.0453830146689</v>
      </c>
      <c r="E17" s="73">
        <v>14935.705561168596</v>
      </c>
      <c r="F17" s="73">
        <v>6938.9606623470736</v>
      </c>
      <c r="G17" s="73">
        <v>10178.844353150678</v>
      </c>
      <c r="H17" s="73">
        <v>22049.309383143689</v>
      </c>
      <c r="I17" s="73">
        <v>10693.10643176542</v>
      </c>
      <c r="J17" s="73">
        <v>8667.1398002622172</v>
      </c>
      <c r="K17" s="73">
        <v>14507.128858315893</v>
      </c>
      <c r="L17" s="73">
        <v>6681.5508165940992</v>
      </c>
      <c r="M17" s="73">
        <v>9886.7647099186888</v>
      </c>
      <c r="N17" s="73">
        <v>20946.54101645853</v>
      </c>
      <c r="O17" s="73">
        <v>10174.61254794593</v>
      </c>
      <c r="P17" s="73">
        <v>8233.6637473263436</v>
      </c>
      <c r="Q17" s="73">
        <v>13803.698322688449</v>
      </c>
      <c r="R17" s="73">
        <v>6347.3814894326679</v>
      </c>
      <c r="S17" s="73">
        <v>9407.3692166103065</v>
      </c>
    </row>
    <row r="18" spans="1:19">
      <c r="A18" s="72">
        <v>2024</v>
      </c>
      <c r="B18" s="73">
        <v>23238.330304715477</v>
      </c>
      <c r="C18" s="73">
        <v>11304.933999039456</v>
      </c>
      <c r="D18" s="73">
        <v>9128.9838050481976</v>
      </c>
      <c r="E18" s="73">
        <v>15145.271055339728</v>
      </c>
      <c r="F18" s="73">
        <v>7054.0428241760928</v>
      </c>
      <c r="G18" s="73">
        <v>10359.69986613063</v>
      </c>
      <c r="H18" s="73">
        <v>22288.09160608548</v>
      </c>
      <c r="I18" s="73">
        <v>10948.214063637537</v>
      </c>
      <c r="J18" s="73">
        <v>8755.6904755802425</v>
      </c>
      <c r="K18" s="73">
        <v>14667.371749340737</v>
      </c>
      <c r="L18" s="73">
        <v>6765.5959183342738</v>
      </c>
      <c r="M18" s="73">
        <v>10032.806187021723</v>
      </c>
      <c r="N18" s="73">
        <v>21047.7228014592</v>
      </c>
      <c r="O18" s="73">
        <v>10366.083876941319</v>
      </c>
      <c r="P18" s="73">
        <v>8268.4219592435675</v>
      </c>
      <c r="Q18" s="73">
        <v>13887.489313250544</v>
      </c>
      <c r="R18" s="73">
        <v>6389.0794237808577</v>
      </c>
      <c r="S18" s="73">
        <v>9499.3493780125027</v>
      </c>
    </row>
    <row r="19" spans="1:19">
      <c r="A19" s="72">
        <v>2025</v>
      </c>
      <c r="B19" s="73">
        <v>23583.020324168756</v>
      </c>
      <c r="C19" s="73">
        <v>11605.228421981541</v>
      </c>
      <c r="D19" s="73">
        <v>9258.9054926892641</v>
      </c>
      <c r="E19" s="73">
        <v>15359.891652616378</v>
      </c>
      <c r="F19" s="73">
        <v>7170.7514710908363</v>
      </c>
      <c r="G19" s="73">
        <v>10544.17303940159</v>
      </c>
      <c r="H19" s="73">
        <v>22529.549221583471</v>
      </c>
      <c r="I19" s="73">
        <v>11205.944470119675</v>
      </c>
      <c r="J19" s="73">
        <v>8845.3032804179184</v>
      </c>
      <c r="K19" s="73">
        <v>14831.42654911094</v>
      </c>
      <c r="L19" s="73">
        <v>6850.4286559986012</v>
      </c>
      <c r="M19" s="73">
        <v>10181.395252769387</v>
      </c>
      <c r="N19" s="73">
        <v>21149.477368630436</v>
      </c>
      <c r="O19" s="73">
        <v>10557.895326081481</v>
      </c>
      <c r="P19" s="73">
        <v>8303.4746815375038</v>
      </c>
      <c r="Q19" s="73">
        <v>13973.712743224654</v>
      </c>
      <c r="R19" s="73">
        <v>6430.7982552380981</v>
      </c>
      <c r="S19" s="73">
        <v>9592.5966471484826</v>
      </c>
    </row>
    <row r="20" spans="1:19">
      <c r="A20" s="72">
        <v>2026</v>
      </c>
      <c r="B20" s="73">
        <v>23932.914833719573</v>
      </c>
      <c r="C20" s="73">
        <v>11910.038042457409</v>
      </c>
      <c r="D20" s="73">
        <v>9390.8376346865844</v>
      </c>
      <c r="E20" s="73">
        <v>15579.608338065173</v>
      </c>
      <c r="F20" s="73">
        <v>7289.1149788619314</v>
      </c>
      <c r="G20" s="73">
        <v>10732.323302642919</v>
      </c>
      <c r="H20" s="73">
        <v>22773.70998325208</v>
      </c>
      <c r="I20" s="73">
        <v>11466.409448015205</v>
      </c>
      <c r="J20" s="73">
        <v>8935.9868732263039</v>
      </c>
      <c r="K20" s="73">
        <v>14999.294511666192</v>
      </c>
      <c r="L20" s="73">
        <v>6936.0623942596067</v>
      </c>
      <c r="M20" s="73">
        <v>10332.562572670606</v>
      </c>
      <c r="N20" s="73">
        <v>21251.805349480881</v>
      </c>
      <c r="O20" s="73">
        <v>10750.131562746476</v>
      </c>
      <c r="P20" s="73">
        <v>8338.8193568364404</v>
      </c>
      <c r="Q20" s="73">
        <v>14062.32614314183</v>
      </c>
      <c r="R20" s="73">
        <v>6472.5443506157389</v>
      </c>
      <c r="S20" s="73">
        <v>9687.1132624473084</v>
      </c>
    </row>
    <row r="21" spans="1:19">
      <c r="A21" s="72">
        <v>2027</v>
      </c>
      <c r="B21" s="73">
        <v>24288.090539741999</v>
      </c>
      <c r="C21" s="73">
        <v>12219.509349901924</v>
      </c>
      <c r="D21" s="73">
        <v>9524.8079310245394</v>
      </c>
      <c r="E21" s="73">
        <v>15804.466012384033</v>
      </c>
      <c r="F21" s="73">
        <v>7409.1619882105633</v>
      </c>
      <c r="G21" s="73">
        <v>10924.211744859676</v>
      </c>
      <c r="H21" s="73">
        <v>23020.602022056053</v>
      </c>
      <c r="I21" s="73">
        <v>11729.718481805232</v>
      </c>
      <c r="J21" s="73">
        <v>9027.7501377828848</v>
      </c>
      <c r="K21" s="73">
        <v>15170.980419276128</v>
      </c>
      <c r="L21" s="73">
        <v>7022.510442657167</v>
      </c>
      <c r="M21" s="73">
        <v>10486.339895788271</v>
      </c>
      <c r="N21" s="73">
        <v>21354.707478944878</v>
      </c>
      <c r="O21" s="73">
        <v>10942.873283751765</v>
      </c>
      <c r="P21" s="73">
        <v>8374.4535959854747</v>
      </c>
      <c r="Q21" s="73">
        <v>14153.290769589545</v>
      </c>
      <c r="R21" s="73">
        <v>6514.3238272873687</v>
      </c>
      <c r="S21" s="73">
        <v>9782.9021956459874</v>
      </c>
    </row>
    <row r="22" spans="1:19">
      <c r="A22" s="72">
        <v>2028</v>
      </c>
      <c r="B22" s="73">
        <v>24648.625353316806</v>
      </c>
      <c r="C22" s="73">
        <v>12533.788226820232</v>
      </c>
      <c r="D22" s="73">
        <v>9660.8445948683548</v>
      </c>
      <c r="E22" s="73">
        <v>16034.513329476185</v>
      </c>
      <c r="F22" s="73">
        <v>7530.9214176765981</v>
      </c>
      <c r="G22" s="73">
        <v>11119.901105884981</v>
      </c>
      <c r="H22" s="73">
        <v>23270.253846477321</v>
      </c>
      <c r="I22" s="73">
        <v>11995.979016426283</v>
      </c>
      <c r="J22" s="73">
        <v>9120.6021784782297</v>
      </c>
      <c r="K22" s="73">
        <v>15346.492373902358</v>
      </c>
      <c r="L22" s="73">
        <v>7109.786066168007</v>
      </c>
      <c r="M22" s="73">
        <v>10642.7600272909</v>
      </c>
      <c r="N22" s="73">
        <v>21458.18459026581</v>
      </c>
      <c r="O22" s="73">
        <v>11136.197544774426</v>
      </c>
      <c r="P22" s="73">
        <v>8410.3751687175245</v>
      </c>
      <c r="Q22" s="73">
        <v>14246.571327036558</v>
      </c>
      <c r="R22" s="73">
        <v>6556.1425677454781</v>
      </c>
      <c r="S22" s="73">
        <v>9879.9671059151733</v>
      </c>
    </row>
    <row r="23" spans="1:19">
      <c r="A23" s="72">
        <v>2029</v>
      </c>
      <c r="B23" s="73">
        <v>25014.598405339279</v>
      </c>
      <c r="C23" s="73">
        <v>12853.020189314302</v>
      </c>
      <c r="D23" s="73">
        <v>9798.9763549135077</v>
      </c>
      <c r="E23" s="73">
        <v>16269.802552143728</v>
      </c>
      <c r="F23" s="73">
        <v>7654.4224760968882</v>
      </c>
      <c r="G23" s="73">
        <v>11319.455771304814</v>
      </c>
      <c r="H23" s="73">
        <v>23522.694342947303</v>
      </c>
      <c r="I23" s="73">
        <v>12265.296706534546</v>
      </c>
      <c r="J23" s="73">
        <v>9214.5523160267603</v>
      </c>
      <c r="K23" s="73">
        <v>15525.841609171383</v>
      </c>
      <c r="L23" s="73">
        <v>7197.902495151845</v>
      </c>
      <c r="M23" s="73">
        <v>10801.856804595529</v>
      </c>
      <c r="N23" s="73">
        <v>21562.237610231678</v>
      </c>
      <c r="O23" s="73">
        <v>11330.178059565627</v>
      </c>
      <c r="P23" s="73">
        <v>8446.5819949597244</v>
      </c>
      <c r="Q23" s="73">
        <v>14342.135715543298</v>
      </c>
      <c r="R23" s="73">
        <v>6598.0062331710442</v>
      </c>
      <c r="S23" s="73">
        <v>9978.3122983722187</v>
      </c>
    </row>
    <row r="24" spans="1:19">
      <c r="A24" s="72">
        <v>2030</v>
      </c>
      <c r="B24" s="73">
        <v>25386.090062045649</v>
      </c>
      <c r="C24" s="73">
        <v>13177.35060996538</v>
      </c>
      <c r="D24" s="73">
        <v>9939.232458116745</v>
      </c>
      <c r="E24" s="73">
        <v>16510.389424041976</v>
      </c>
      <c r="F24" s="73">
        <v>7779.6946747325264</v>
      </c>
      <c r="G24" s="73">
        <v>11522.941770497979</v>
      </c>
      <c r="H24" s="73">
        <v>23777.9527765274</v>
      </c>
      <c r="I24" s="73">
        <v>12537.775644785155</v>
      </c>
      <c r="J24" s="73">
        <v>9309.6100835696834</v>
      </c>
      <c r="K24" s="73">
        <v>15709.042320701803</v>
      </c>
      <c r="L24" s="73">
        <v>7286.8729347242106</v>
      </c>
      <c r="M24" s="73">
        <v>10963.665076739324</v>
      </c>
      <c r="N24" s="73">
        <v>21666.8675547354</v>
      </c>
      <c r="O24" s="73">
        <v>11524.885472161646</v>
      </c>
      <c r="P24" s="73">
        <v>8483.0721367254646</v>
      </c>
      <c r="Q24" s="73">
        <v>14439.954801610349</v>
      </c>
      <c r="R24" s="73">
        <v>6639.9202760933949</v>
      </c>
      <c r="S24" s="73">
        <v>10077.942686517439</v>
      </c>
    </row>
    <row r="25" spans="1:19">
      <c r="A25" s="72">
        <v>2031</v>
      </c>
      <c r="B25" s="73">
        <v>25763.087281262775</v>
      </c>
      <c r="C25" s="73">
        <v>13509.607733226918</v>
      </c>
      <c r="D25" s="73">
        <v>10081.491611272822</v>
      </c>
      <c r="E25" s="73">
        <v>16754.214733246754</v>
      </c>
      <c r="F25" s="73">
        <v>7907.013560282744</v>
      </c>
      <c r="G25" s="73">
        <v>11729.862292317264</v>
      </c>
      <c r="H25" s="73">
        <v>24035.970477971263</v>
      </c>
      <c r="I25" s="73">
        <v>12816.063651976887</v>
      </c>
      <c r="J25" s="73">
        <v>9405.6442885517117</v>
      </c>
      <c r="K25" s="73">
        <v>15894.101938435067</v>
      </c>
      <c r="L25" s="73">
        <v>7376.9398220413532</v>
      </c>
      <c r="M25" s="73">
        <v>11127.685180489947</v>
      </c>
      <c r="N25" s="73">
        <v>21771.995529164389</v>
      </c>
      <c r="O25" s="73">
        <v>11722.715562791203</v>
      </c>
      <c r="P25" s="73">
        <v>8519.7161307440056</v>
      </c>
      <c r="Q25" s="73">
        <v>14538.164073611033</v>
      </c>
      <c r="R25" s="73">
        <v>6682.0976074836362</v>
      </c>
      <c r="S25" s="73">
        <v>10178.373936450374</v>
      </c>
    </row>
    <row r="26" spans="1:19">
      <c r="A26" s="72">
        <v>2032</v>
      </c>
      <c r="B26" s="73">
        <v>26145.671476205065</v>
      </c>
      <c r="C26" s="73">
        <v>13849.978010396122</v>
      </c>
      <c r="D26" s="73">
        <v>10225.782352638082</v>
      </c>
      <c r="E26" s="73">
        <v>17001.316215481889</v>
      </c>
      <c r="F26" s="73">
        <v>8036.4125107674672</v>
      </c>
      <c r="G26" s="73">
        <v>11940.270543329952</v>
      </c>
      <c r="H26" s="73">
        <v>24296.777148831461</v>
      </c>
      <c r="I26" s="73">
        <v>13100.278381882235</v>
      </c>
      <c r="J26" s="73">
        <v>9502.6649141758044</v>
      </c>
      <c r="K26" s="73">
        <v>16081.034577386397</v>
      </c>
      <c r="L26" s="73">
        <v>7468.1166260312584</v>
      </c>
      <c r="M26" s="73">
        <v>11293.943423967708</v>
      </c>
      <c r="N26" s="73">
        <v>21877.623848236039</v>
      </c>
      <c r="O26" s="73">
        <v>11923.713818806276</v>
      </c>
      <c r="P26" s="73">
        <v>8556.5146058133487</v>
      </c>
      <c r="Q26" s="73">
        <v>14636.761801662868</v>
      </c>
      <c r="R26" s="73">
        <v>6724.5398596795949</v>
      </c>
      <c r="S26" s="73">
        <v>10279.609741684846</v>
      </c>
    </row>
    <row r="27" spans="1:19">
      <c r="A27" s="72">
        <v>2033</v>
      </c>
      <c r="B27" s="73">
        <v>26533.925261162494</v>
      </c>
      <c r="C27" s="73">
        <v>14198.65208528798</v>
      </c>
      <c r="D27" s="73">
        <v>10372.133626036482</v>
      </c>
      <c r="E27" s="73">
        <v>17251.731951707181</v>
      </c>
      <c r="F27" s="73">
        <v>8167.925447505786</v>
      </c>
      <c r="G27" s="73">
        <v>12154.220462827749</v>
      </c>
      <c r="H27" s="73">
        <v>24560.402808917945</v>
      </c>
      <c r="I27" s="73">
        <v>13390.539725820701</v>
      </c>
      <c r="J27" s="73">
        <v>9600.6820451946187</v>
      </c>
      <c r="K27" s="73">
        <v>16269.854395397693</v>
      </c>
      <c r="L27" s="73">
        <v>7560.4169805053762</v>
      </c>
      <c r="M27" s="73">
        <v>11462.466364149725</v>
      </c>
      <c r="N27" s="73">
        <v>21983.754837111741</v>
      </c>
      <c r="O27" s="73">
        <v>12127.926305466835</v>
      </c>
      <c r="P27" s="73">
        <v>8593.4681932001131</v>
      </c>
      <c r="Q27" s="73">
        <v>14735.746216978216</v>
      </c>
      <c r="R27" s="73">
        <v>6767.2486749857717</v>
      </c>
      <c r="S27" s="73">
        <v>10381.653778692629</v>
      </c>
    </row>
    <row r="28" spans="1:19">
      <c r="A28" s="72">
        <v>2034</v>
      </c>
      <c r="B28" s="73">
        <v>26927.932469176008</v>
      </c>
      <c r="C28" s="73">
        <v>14555.824883813913</v>
      </c>
      <c r="D28" s="73">
        <v>10520.5747866078</v>
      </c>
      <c r="E28" s="73">
        <v>17505.500370070251</v>
      </c>
      <c r="F28" s="73">
        <v>8301.5868439415299</v>
      </c>
      <c r="G28" s="73">
        <v>12371.766731435378</v>
      </c>
      <c r="H28" s="73">
        <v>24826.87779969137</v>
      </c>
      <c r="I28" s="73">
        <v>13686.969852167944</v>
      </c>
      <c r="J28" s="73">
        <v>9699.7058689377518</v>
      </c>
      <c r="K28" s="73">
        <v>16460.57559257247</v>
      </c>
      <c r="L28" s="73">
        <v>7653.8546861696213</v>
      </c>
      <c r="M28" s="73">
        <v>11633.280808393598</v>
      </c>
      <c r="N28" s="73">
        <v>22090.390831442306</v>
      </c>
      <c r="O28" s="73">
        <v>12335.399671986286</v>
      </c>
      <c r="P28" s="73">
        <v>8630.5775266486908</v>
      </c>
      <c r="Q28" s="73">
        <v>14835.115511937962</v>
      </c>
      <c r="R28" s="73">
        <v>6810.2257057331217</v>
      </c>
      <c r="S28" s="73">
        <v>10484.509706525942</v>
      </c>
    </row>
    <row r="29" spans="1:19">
      <c r="A29" s="72">
        <v>2035</v>
      </c>
      <c r="B29" s="73">
        <v>27327.778169972244</v>
      </c>
      <c r="C29" s="73">
        <v>14921.695705374561</v>
      </c>
      <c r="D29" s="73">
        <v>10671.135606637077</v>
      </c>
      <c r="E29" s="73">
        <v>17762.660247862099</v>
      </c>
      <c r="F29" s="73">
        <v>8437.4317346118896</v>
      </c>
      <c r="G29" s="73">
        <v>12592.964779803948</v>
      </c>
      <c r="H29" s="73">
        <v>25096.232787692396</v>
      </c>
      <c r="I29" s="73">
        <v>13989.693246509985</v>
      </c>
      <c r="J29" s="73">
        <v>9799.7466763493267</v>
      </c>
      <c r="K29" s="73">
        <v>16653.21241070906</v>
      </c>
      <c r="L29" s="73">
        <v>7748.4437126598023</v>
      </c>
      <c r="M29" s="73">
        <v>11806.413815965105</v>
      </c>
      <c r="N29" s="73">
        <v>22197.53417741353</v>
      </c>
      <c r="O29" s="73">
        <v>12546.181157627529</v>
      </c>
      <c r="P29" s="73">
        <v>8667.843242390516</v>
      </c>
      <c r="Q29" s="73">
        <v>14934.8678401744</v>
      </c>
      <c r="R29" s="73">
        <v>6853.4726143391836</v>
      </c>
      <c r="S29" s="73">
        <v>10588.181166443206</v>
      </c>
    </row>
    <row r="30" spans="1:19">
      <c r="A30" s="72">
        <v>2036</v>
      </c>
      <c r="B30" s="73">
        <v>27733.548688161653</v>
      </c>
      <c r="C30" s="73">
        <v>15296.468316101689</v>
      </c>
      <c r="D30" s="73">
        <v>10823.846281466429</v>
      </c>
      <c r="E30" s="73">
        <v>18023.250713476678</v>
      </c>
      <c r="F30" s="73">
        <v>8575.49572426144</v>
      </c>
      <c r="G30" s="73">
        <v>12817.87079739</v>
      </c>
      <c r="H30" s="73">
        <v>25368.498768007459</v>
      </c>
      <c r="I30" s="73">
        <v>14298.836752452327</v>
      </c>
      <c r="J30" s="73">
        <v>9900.8148630359919</v>
      </c>
      <c r="K30" s="73">
        <v>16847.779132732572</v>
      </c>
      <c r="L30" s="73">
        <v>7844.1982006017824</v>
      </c>
      <c r="M30" s="73">
        <v>11981.892699570191</v>
      </c>
      <c r="N30" s="73">
        <v>22305.187231792068</v>
      </c>
      <c r="O30" s="73">
        <v>12760.318597850046</v>
      </c>
      <c r="P30" s="73">
        <v>8705.2659791532915</v>
      </c>
      <c r="Q30" s="73">
        <v>15035.001316663511</v>
      </c>
      <c r="R30" s="73">
        <v>6896.9910733685774</v>
      </c>
      <c r="S30" s="73">
        <v>10692.671781538262</v>
      </c>
    </row>
    <row r="31" spans="1:19">
      <c r="A31" s="72">
        <v>2037</v>
      </c>
      <c r="B31" s="73">
        <v>28145.331621703535</v>
      </c>
      <c r="C31" s="73">
        <v>15680.351043985018</v>
      </c>
      <c r="D31" s="73">
        <v>10978.737435490451</v>
      </c>
      <c r="E31" s="73">
        <v>18287.311248374634</v>
      </c>
      <c r="F31" s="73">
        <v>8715.8149971038747</v>
      </c>
      <c r="G31" s="73">
        <v>13046.541741321114</v>
      </c>
      <c r="H31" s="73">
        <v>25643.70706777116</v>
      </c>
      <c r="I31" s="73">
        <v>14614.529613094215</v>
      </c>
      <c r="J31" s="73">
        <v>10002.920930325494</v>
      </c>
      <c r="K31" s="73">
        <v>17044.290082125626</v>
      </c>
      <c r="L31" s="73">
        <v>7941.1324636966738</v>
      </c>
      <c r="M31" s="73">
        <v>12159.745026891336</v>
      </c>
      <c r="N31" s="73">
        <v>22413.352361971345</v>
      </c>
      <c r="O31" s="73">
        <v>12977.860430508648</v>
      </c>
      <c r="P31" s="73">
        <v>8742.8463781703122</v>
      </c>
      <c r="Q31" s="73">
        <v>15135.514017826577</v>
      </c>
      <c r="R31" s="73">
        <v>6940.7827655938463</v>
      </c>
      <c r="S31" s="73">
        <v>10797.985156373165</v>
      </c>
    </row>
    <row r="32" spans="1:19">
      <c r="A32" s="72">
        <v>2038</v>
      </c>
      <c r="B32" s="73">
        <v>28563.215860642194</v>
      </c>
      <c r="C32" s="73">
        <v>16073.556875920256</v>
      </c>
      <c r="D32" s="73">
        <v>11135.840128236268</v>
      </c>
      <c r="E32" s="73">
        <v>18554.881689051472</v>
      </c>
      <c r="F32" s="73">
        <v>8858.4263262338591</v>
      </c>
      <c r="G32" s="73">
        <v>13279.035345348975</v>
      </c>
      <c r="H32" s="73">
        <v>25921.889349705878</v>
      </c>
      <c r="I32" s="73">
        <v>14936.903513178146</v>
      </c>
      <c r="J32" s="73">
        <v>10106.075486335836</v>
      </c>
      <c r="K32" s="73">
        <v>17242.75962235832</v>
      </c>
      <c r="L32" s="73">
        <v>8039.2609908313334</v>
      </c>
      <c r="M32" s="73">
        <v>12339.998622128491</v>
      </c>
      <c r="N32" s="73">
        <v>22522.031946017774</v>
      </c>
      <c r="O32" s="73">
        <v>13198.855702104283</v>
      </c>
      <c r="P32" s="73">
        <v>8780.5850831897551</v>
      </c>
      <c r="Q32" s="73">
        <v>15236.403981641179</v>
      </c>
      <c r="R32" s="73">
        <v>6984.8493840566525</v>
      </c>
      <c r="S32" s="73">
        <v>10904.12487661472</v>
      </c>
    </row>
    <row r="33" spans="1:19">
      <c r="A33" s="72">
        <v>2039</v>
      </c>
      <c r="B33" s="73">
        <v>28987.291606117971</v>
      </c>
      <c r="C33" s="73">
        <v>16476.303556715557</v>
      </c>
      <c r="D33" s="73">
        <v>11295.185860529591</v>
      </c>
      <c r="E33" s="73">
        <v>18826.002229010421</v>
      </c>
      <c r="F33" s="73">
        <v>9003.3670831914387</v>
      </c>
      <c r="G33" s="73">
        <v>13515.410128890815</v>
      </c>
      <c r="H33" s="73">
        <v>26203.077615698869</v>
      </c>
      <c r="I33" s="73">
        <v>15266.092621925247</v>
      </c>
      <c r="J33" s="73">
        <v>10210.289247055252</v>
      </c>
      <c r="K33" s="73">
        <v>17443.202156317606</v>
      </c>
      <c r="L33" s="73">
        <v>8138.5984482145241</v>
      </c>
      <c r="M33" s="73">
        <v>12522.681567544745</v>
      </c>
      <c r="N33" s="73">
        <v>22631.228372717083</v>
      </c>
      <c r="O33" s="73">
        <v>13423.354074087611</v>
      </c>
      <c r="P33" s="73">
        <v>8818.4827404840707</v>
      </c>
      <c r="Q33" s="73">
        <v>15337.669207761621</v>
      </c>
      <c r="R33" s="73">
        <v>7029.1926321293413</v>
      </c>
      <c r="S33" s="73">
        <v>11011.094508674905</v>
      </c>
    </row>
    <row r="34" spans="1:19">
      <c r="A34" s="72">
        <v>2040</v>
      </c>
      <c r="B34" s="73">
        <v>29417.650389657312</v>
      </c>
      <c r="C34" s="73">
        <v>16888.813690094019</v>
      </c>
      <c r="D34" s="73">
        <v>11456.806580747821</v>
      </c>
      <c r="E34" s="73">
        <v>19100.713420740296</v>
      </c>
      <c r="F34" s="73">
        <v>9150.6752476814509</v>
      </c>
      <c r="G34" s="73">
        <v>13755.725406160196</v>
      </c>
      <c r="H34" s="73">
        <v>26487.304210417326</v>
      </c>
      <c r="I34" s="73">
        <v>15602.233636566907</v>
      </c>
      <c r="J34" s="73">
        <v>10315.573037432976</v>
      </c>
      <c r="K34" s="73">
        <v>17645.632125736367</v>
      </c>
      <c r="L34" s="73">
        <v>8239.1596815389967</v>
      </c>
      <c r="M34" s="73">
        <v>12707.822205016926</v>
      </c>
      <c r="N34" s="73">
        <v>22740.944041620922</v>
      </c>
      <c r="O34" s="73">
        <v>13651.405829215721</v>
      </c>
      <c r="P34" s="73">
        <v>8856.5399988593563</v>
      </c>
      <c r="Q34" s="73">
        <v>15439.307657648833</v>
      </c>
      <c r="R34" s="73">
        <v>7073.8142235768701</v>
      </c>
      <c r="S34" s="73">
        <v>11118.897599355347</v>
      </c>
    </row>
    <row r="35" spans="1:19">
      <c r="A35" s="72">
        <v>2041</v>
      </c>
      <c r="B35" s="73">
        <v>29854.385092745899</v>
      </c>
      <c r="C35" s="73">
        <v>17311.314841730862</v>
      </c>
      <c r="D35" s="73">
        <v>11620.73469116153</v>
      </c>
      <c r="E35" s="73">
        <v>19379.056177698469</v>
      </c>
      <c r="F35" s="73">
        <v>9300.389417450453</v>
      </c>
      <c r="G35" s="73">
        <v>14000.041295388068</v>
      </c>
      <c r="H35" s="73">
        <v>26774.601824961741</v>
      </c>
      <c r="I35" s="73">
        <v>15945.465826583582</v>
      </c>
      <c r="J35" s="73">
        <v>10421.937792480994</v>
      </c>
      <c r="K35" s="73">
        <v>17850.064010622456</v>
      </c>
      <c r="L35" s="73">
        <v>8340.9597181698409</v>
      </c>
      <c r="M35" s="73">
        <v>12895.44913759128</v>
      </c>
      <c r="N35" s="73">
        <v>22851.181363093583</v>
      </c>
      <c r="O35" s="73">
        <v>13883.0618779627</v>
      </c>
      <c r="P35" s="73">
        <v>8894.7575096647652</v>
      </c>
      <c r="Q35" s="73">
        <v>15541.317254709656</v>
      </c>
      <c r="R35" s="73">
        <v>7118.7158826190807</v>
      </c>
      <c r="S35" s="73">
        <v>11227.53767549596</v>
      </c>
    </row>
    <row r="36" spans="1:19">
      <c r="A36" s="72">
        <v>2042</v>
      </c>
      <c r="B36" s="73">
        <v>30297.589966688938</v>
      </c>
      <c r="C36" s="73">
        <v>17744.039644364409</v>
      </c>
      <c r="D36" s="73">
        <v>11787.003054365578</v>
      </c>
      <c r="E36" s="73">
        <v>19661.07177629945</v>
      </c>
      <c r="F36" s="73">
        <v>9452.548818323723</v>
      </c>
      <c r="G36" s="73">
        <v>14248.418728135064</v>
      </c>
      <c r="H36" s="73">
        <v>27065.003500557996</v>
      </c>
      <c r="I36" s="73">
        <v>16295.931078661606</v>
      </c>
      <c r="J36" s="73">
        <v>10529.394558386903</v>
      </c>
      <c r="K36" s="73">
        <v>18056.512328688008</v>
      </c>
      <c r="L36" s="73">
        <v>8444.0137693594097</v>
      </c>
      <c r="M36" s="73">
        <v>13085.591231044466</v>
      </c>
      <c r="N36" s="73">
        <v>22961.94275835895</v>
      </c>
      <c r="O36" s="73">
        <v>14118.373764984553</v>
      </c>
      <c r="P36" s="73">
        <v>8933.1359268019914</v>
      </c>
      <c r="Q36" s="73">
        <v>15643.695884445673</v>
      </c>
      <c r="R36" s="73">
        <v>7163.8993439933656</v>
      </c>
      <c r="S36" s="73">
        <v>11337.018243627936</v>
      </c>
    </row>
    <row r="37" spans="1:19">
      <c r="A37" s="72">
        <v>2043</v>
      </c>
      <c r="B37" s="73">
        <v>30747.360652762953</v>
      </c>
      <c r="C37" s="73">
        <v>18187.225905020881</v>
      </c>
      <c r="D37" s="73">
        <v>11955.644999801038</v>
      </c>
      <c r="E37" s="73">
        <v>19946.801857909162</v>
      </c>
      <c r="F37" s="73">
        <v>9607.1933144049235</v>
      </c>
      <c r="G37" s="73">
        <v>14500.91945869604</v>
      </c>
      <c r="H37" s="73">
        <v>27358.542632288609</v>
      </c>
      <c r="I37" s="73">
        <v>16653.773942379135</v>
      </c>
      <c r="J37" s="73">
        <v>10637.954493637902</v>
      </c>
      <c r="K37" s="73">
        <v>18264.991634779271</v>
      </c>
      <c r="L37" s="73">
        <v>8548.3372324891425</v>
      </c>
      <c r="M37" s="73">
        <v>13278.277615449972</v>
      </c>
      <c r="N37" s="73">
        <v>23073.230659547658</v>
      </c>
      <c r="O37" s="73">
        <v>14357.393675639103</v>
      </c>
      <c r="P37" s="73">
        <v>8971.6759067347357</v>
      </c>
      <c r="Q37" s="73">
        <v>15746.441394611495</v>
      </c>
      <c r="R37" s="73">
        <v>7209.3663530176818</v>
      </c>
      <c r="S37" s="73">
        <v>11447.342789631197</v>
      </c>
    </row>
    <row r="38" spans="1:19">
      <c r="A38" s="72">
        <v>2044</v>
      </c>
      <c r="B38" s="73">
        <v>31203.794202663146</v>
      </c>
      <c r="C38" s="73">
        <v>18641.116714393716</v>
      </c>
      <c r="D38" s="73">
        <v>12126.694330369284</v>
      </c>
      <c r="E38" s="73">
        <v>20236.288430845354</v>
      </c>
      <c r="F38" s="73">
        <v>9764.3634184410148</v>
      </c>
      <c r="G38" s="73">
        <v>14757.606073597917</v>
      </c>
      <c r="H38" s="73">
        <v>27655.252972863516</v>
      </c>
      <c r="I38" s="73">
        <v>17019.14167663252</v>
      </c>
      <c r="J38" s="73">
        <v>10747.62887015611</v>
      </c>
      <c r="K38" s="73">
        <v>18475.51652030725</v>
      </c>
      <c r="L38" s="73">
        <v>8653.9456933385973</v>
      </c>
      <c r="M38" s="73">
        <v>13473.537686750349</v>
      </c>
      <c r="N38" s="73">
        <v>23185.047509744414</v>
      </c>
      <c r="O38" s="73">
        <v>14600.174442561462</v>
      </c>
      <c r="P38" s="73">
        <v>9010.3781084982311</v>
      </c>
      <c r="Q38" s="73">
        <v>15849.551595382512</v>
      </c>
      <c r="R38" s="73">
        <v>7255.1186656539303</v>
      </c>
      <c r="S38" s="73">
        <v>11558.514778396519</v>
      </c>
    </row>
    <row r="39" spans="1:19">
      <c r="A39" s="72">
        <v>2045</v>
      </c>
      <c r="B39" s="73">
        <v>31666.989099250844</v>
      </c>
      <c r="C39" s="73">
        <v>19105.960558418836</v>
      </c>
      <c r="D39" s="73">
        <v>12300.185329139524</v>
      </c>
      <c r="E39" s="73">
        <v>20529.573872384342</v>
      </c>
      <c r="F39" s="73">
        <v>9924.100302355173</v>
      </c>
      <c r="G39" s="73">
        <v>15018.542001191703</v>
      </c>
      <c r="H39" s="73">
        <v>27955.168636430801</v>
      </c>
      <c r="I39" s="73">
        <v>17392.184296814528</v>
      </c>
      <c r="J39" s="73">
        <v>10858.429074445292</v>
      </c>
      <c r="K39" s="73">
        <v>18688.101612679438</v>
      </c>
      <c r="L39" s="73">
        <v>8760.8549283820594</v>
      </c>
      <c r="M39" s="73">
        <v>13671.401108335192</v>
      </c>
      <c r="N39" s="73">
        <v>23297.395763035507</v>
      </c>
      <c r="O39" s="73">
        <v>14846.769552295686</v>
      </c>
      <c r="P39" s="73">
        <v>9049.2431937088058</v>
      </c>
      <c r="Q39" s="73">
        <v>15953.024259532192</v>
      </c>
      <c r="R39" s="73">
        <v>7301.1580485717377</v>
      </c>
      <c r="S39" s="73">
        <v>11670.537653492358</v>
      </c>
    </row>
    <row r="40" spans="1:19">
      <c r="A40" s="72">
        <v>2046</v>
      </c>
      <c r="B40" s="73">
        <v>32137.045277605321</v>
      </c>
      <c r="C40" s="73">
        <v>19582.011432088297</v>
      </c>
      <c r="D40" s="73">
        <v>12476.152766151057</v>
      </c>
      <c r="E40" s="73">
        <v>20826.700930774536</v>
      </c>
      <c r="F40" s="73">
        <v>10086.445807950337</v>
      </c>
      <c r="G40" s="73">
        <v>15283.791521339946</v>
      </c>
      <c r="H40" s="73">
        <v>28258.324102427887</v>
      </c>
      <c r="I40" s="73">
        <v>17773.054622756066</v>
      </c>
      <c r="J40" s="73">
        <v>10970.366608749082</v>
      </c>
      <c r="K40" s="73">
        <v>18902.761574732973</v>
      </c>
      <c r="L40" s="73">
        <v>8869.0809071130134</v>
      </c>
      <c r="M40" s="73">
        <v>13871.897812625384</v>
      </c>
      <c r="N40" s="73">
        <v>23410.277884556599</v>
      </c>
      <c r="O40" s="73">
        <v>15097.233151983271</v>
      </c>
      <c r="P40" s="73">
        <v>9088.2718265734493</v>
      </c>
      <c r="Q40" s="73">
        <v>16056.857122618823</v>
      </c>
      <c r="R40" s="73">
        <v>7347.4862792125759</v>
      </c>
      <c r="S40" s="73">
        <v>11783.414836836659</v>
      </c>
    </row>
    <row r="41" spans="1:19">
      <c r="A41" s="72">
        <v>2047</v>
      </c>
      <c r="B41" s="73">
        <v>32614.064146384419</v>
      </c>
      <c r="C41" s="73">
        <v>20069.528955545225</v>
      </c>
      <c r="D41" s="73">
        <v>12654.631905311675</v>
      </c>
      <c r="E41" s="73">
        <v>21127.712727256901</v>
      </c>
      <c r="F41" s="73">
        <v>10251.442457786223</v>
      </c>
      <c r="G41" s="73">
        <v>15553.419775200502</v>
      </c>
      <c r="H41" s="73">
        <v>28564.754219473441</v>
      </c>
      <c r="I41" s="73">
        <v>18161.908327443278</v>
      </c>
      <c r="J41" s="73">
        <v>11083.453092220892</v>
      </c>
      <c r="K41" s="73">
        <v>19119.511104169411</v>
      </c>
      <c r="L41" s="73">
        <v>8978.639794396835</v>
      </c>
      <c r="M41" s="73">
        <v>14075.058002663563</v>
      </c>
      <c r="N41" s="73">
        <v>23523.696350540591</v>
      </c>
      <c r="O41" s="73">
        <v>15351.620056109135</v>
      </c>
      <c r="P41" s="73">
        <v>9127.4646738994616</v>
      </c>
      <c r="Q41" s="73">
        <v>16161.047883181765</v>
      </c>
      <c r="R41" s="73">
        <v>7394.1051458542806</v>
      </c>
      <c r="S41" s="73">
        <v>11897.149728373673</v>
      </c>
    </row>
    <row r="42" spans="1:19">
      <c r="A42" s="72">
        <v>2048</v>
      </c>
      <c r="B42" s="73">
        <v>33098.148609498588</v>
      </c>
      <c r="C42" s="73">
        <v>20568.778492504003</v>
      </c>
      <c r="D42" s="73">
        <v>12835.658511393422</v>
      </c>
      <c r="E42" s="73">
        <v>21432.65275809286</v>
      </c>
      <c r="F42" s="73">
        <v>10419.133466232539</v>
      </c>
      <c r="G42" s="73">
        <v>15827.492775107819</v>
      </c>
      <c r="H42" s="73">
        <v>28874.494209300599</v>
      </c>
      <c r="I42" s="73">
        <v>18558.903986521909</v>
      </c>
      <c r="J42" s="73">
        <v>11197.700262105505</v>
      </c>
      <c r="K42" s="73">
        <v>19338.364932991506</v>
      </c>
      <c r="L42" s="73">
        <v>9089.5479528520718</v>
      </c>
      <c r="M42" s="73">
        <v>14280.912153711262</v>
      </c>
      <c r="N42" s="73">
        <v>23637.653648365784</v>
      </c>
      <c r="O42" s="73">
        <v>15609.985753305691</v>
      </c>
      <c r="P42" s="73">
        <v>9166.8224051040779</v>
      </c>
      <c r="Q42" s="73">
        <v>16265.594202947166</v>
      </c>
      <c r="R42" s="73">
        <v>7441.0164476759428</v>
      </c>
      <c r="S42" s="73">
        <v>12011.745705756024</v>
      </c>
    </row>
    <row r="43" spans="1:19">
      <c r="A43" s="72">
        <v>2049</v>
      </c>
      <c r="B43" s="73">
        <v>33589.403088102845</v>
      </c>
      <c r="C43" s="73">
        <v>21080.031271040429</v>
      </c>
      <c r="D43" s="73">
        <v>13019.268857127248</v>
      </c>
      <c r="E43" s="73">
        <v>21741.564896599841</v>
      </c>
      <c r="F43" s="73">
        <v>10589.562750701314</v>
      </c>
      <c r="G43" s="73">
        <v>16106.077414552792</v>
      </c>
      <c r="H43" s="73">
        <v>29187.579670731815</v>
      </c>
      <c r="I43" s="73">
        <v>18964.203128601257</v>
      </c>
      <c r="J43" s="73">
        <v>11313.119974932602</v>
      </c>
      <c r="K43" s="73">
        <v>19559.337826942221</v>
      </c>
      <c r="L43" s="73">
        <v>9201.8219452605899</v>
      </c>
      <c r="M43" s="73">
        <v>14489.491014852789</v>
      </c>
      <c r="N43" s="73">
        <v>23752.152276604182</v>
      </c>
      <c r="O43" s="73">
        <v>15872.386413215761</v>
      </c>
      <c r="P43" s="73">
        <v>9206.345692224173</v>
      </c>
      <c r="Q43" s="73">
        <v>16370.493707043144</v>
      </c>
      <c r="R43" s="73">
        <v>7488.2219948231714</v>
      </c>
      <c r="S43" s="73">
        <v>12127.206124032067</v>
      </c>
    </row>
    <row r="44" spans="1:19">
      <c r="A44" s="72">
        <v>2050</v>
      </c>
      <c r="B44" s="73">
        <v>34087.933542911349</v>
      </c>
      <c r="C44" s="73">
        <v>21603.564506797436</v>
      </c>
      <c r="D44" s="73">
        <v>13205.499730397829</v>
      </c>
      <c r="E44" s="73">
        <v>22054.493395194968</v>
      </c>
      <c r="F44" s="73">
        <v>10762.774943061198</v>
      </c>
      <c r="G44" s="73">
        <v>16389.241478262316</v>
      </c>
      <c r="H44" s="73">
        <v>29504.046583695901</v>
      </c>
      <c r="I44" s="73">
        <v>19377.970286370077</v>
      </c>
      <c r="J44" s="73">
        <v>11429.724207722253</v>
      </c>
      <c r="K44" s="73">
        <v>19782.444584946308</v>
      </c>
      <c r="L44" s="73">
        <v>9315.4785370070276</v>
      </c>
      <c r="M44" s="73">
        <v>14700.825610606214</v>
      </c>
      <c r="N44" s="73">
        <v>23867.194745070043</v>
      </c>
      <c r="O44" s="73">
        <v>16138.878893414974</v>
      </c>
      <c r="P44" s="73">
        <v>9246.0352099259726</v>
      </c>
      <c r="Q44" s="73">
        <v>16475.74398422442</v>
      </c>
      <c r="R44" s="73">
        <v>7535.7236084737642</v>
      </c>
      <c r="S44" s="73">
        <v>12243.534315338764</v>
      </c>
    </row>
  </sheetData>
  <mergeCells count="12">
    <mergeCell ref="L3:M3"/>
    <mergeCell ref="N3:O3"/>
    <mergeCell ref="P3:Q3"/>
    <mergeCell ref="R3:S3"/>
    <mergeCell ref="B2:G2"/>
    <mergeCell ref="H2:M2"/>
    <mergeCell ref="N2:S2"/>
    <mergeCell ref="B3:C3"/>
    <mergeCell ref="D3:E3"/>
    <mergeCell ref="F3:G3"/>
    <mergeCell ref="H3:I3"/>
    <mergeCell ref="J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tint="-0.34998626667073579"/>
  </sheetPr>
  <dimension ref="A1:AO11"/>
  <sheetViews>
    <sheetView workbookViewId="0">
      <selection activeCell="D15" sqref="D15"/>
    </sheetView>
  </sheetViews>
  <sheetFormatPr defaultRowHeight="15"/>
  <cols>
    <col min="1" max="1" width="30" bestFit="1" customWidth="1"/>
  </cols>
  <sheetData>
    <row r="1" spans="1:41" s="70" customFormat="1" ht="15.75" thickBot="1">
      <c r="A1" s="260" t="s">
        <v>350</v>
      </c>
      <c r="B1" s="261"/>
      <c r="C1" s="261"/>
      <c r="D1" s="262"/>
    </row>
    <row r="2" spans="1:41">
      <c r="A2" s="263"/>
      <c r="B2" s="264">
        <v>2011</v>
      </c>
      <c r="C2" s="264">
        <v>2012</v>
      </c>
      <c r="D2" s="264">
        <v>2013</v>
      </c>
      <c r="E2" s="68">
        <v>2014</v>
      </c>
      <c r="F2" s="68">
        <v>2015</v>
      </c>
      <c r="G2" s="68">
        <v>2016</v>
      </c>
      <c r="H2" s="68">
        <v>2017</v>
      </c>
      <c r="I2" s="68">
        <v>2018</v>
      </c>
      <c r="J2" s="68">
        <v>2019</v>
      </c>
      <c r="K2" s="68">
        <v>2020</v>
      </c>
      <c r="L2" s="68">
        <v>2021</v>
      </c>
      <c r="M2" s="68">
        <v>2022</v>
      </c>
      <c r="N2" s="68">
        <v>2023</v>
      </c>
      <c r="O2" s="68">
        <v>2024</v>
      </c>
      <c r="P2" s="68">
        <v>2025</v>
      </c>
      <c r="Q2" s="68">
        <v>2026</v>
      </c>
      <c r="R2" s="68">
        <v>2027</v>
      </c>
      <c r="S2" s="68">
        <v>2028</v>
      </c>
      <c r="T2" s="68">
        <v>2029</v>
      </c>
      <c r="U2" s="68">
        <v>2030</v>
      </c>
      <c r="V2" s="68">
        <v>2031</v>
      </c>
      <c r="W2" s="68">
        <v>2032</v>
      </c>
      <c r="X2" s="68">
        <v>2033</v>
      </c>
      <c r="Y2" s="68">
        <v>2034</v>
      </c>
      <c r="Z2" s="68">
        <v>2035</v>
      </c>
      <c r="AA2" s="68">
        <v>2036</v>
      </c>
      <c r="AB2" s="68">
        <v>2037</v>
      </c>
      <c r="AC2" s="68">
        <v>2038</v>
      </c>
      <c r="AD2" s="68">
        <v>2039</v>
      </c>
      <c r="AE2" s="68">
        <v>2040</v>
      </c>
      <c r="AF2" s="68">
        <v>2041</v>
      </c>
      <c r="AG2" s="68">
        <v>2042</v>
      </c>
      <c r="AH2" s="68">
        <v>2043</v>
      </c>
      <c r="AI2" s="68">
        <v>2044</v>
      </c>
      <c r="AJ2" s="68">
        <v>2045</v>
      </c>
      <c r="AK2" s="68">
        <v>2046</v>
      </c>
      <c r="AL2" s="68">
        <v>2047</v>
      </c>
      <c r="AM2" s="68">
        <v>2048</v>
      </c>
      <c r="AN2" s="68">
        <v>2049</v>
      </c>
      <c r="AO2" s="68">
        <v>2050</v>
      </c>
    </row>
    <row r="3" spans="1:41">
      <c r="A3" s="67" t="s">
        <v>208</v>
      </c>
      <c r="B3" s="69">
        <v>5874919</v>
      </c>
      <c r="C3" s="69">
        <v>5966561</v>
      </c>
      <c r="D3" s="69">
        <v>6060419</v>
      </c>
      <c r="E3" s="69">
        <v>6154480</v>
      </c>
      <c r="F3" s="69">
        <v>6249711</v>
      </c>
      <c r="G3" s="69">
        <v>6345977</v>
      </c>
      <c r="H3" s="69">
        <v>6441457</v>
      </c>
      <c r="I3" s="69">
        <v>6536223</v>
      </c>
      <c r="J3" s="69">
        <v>6630423</v>
      </c>
      <c r="K3" s="69">
        <v>6724196</v>
      </c>
      <c r="L3" s="69">
        <v>6816156</v>
      </c>
      <c r="M3" s="69">
        <v>6907512</v>
      </c>
      <c r="N3" s="69">
        <v>6998378</v>
      </c>
      <c r="O3" s="69">
        <v>7088375</v>
      </c>
      <c r="P3" s="69">
        <v>7177924</v>
      </c>
      <c r="Q3" s="69">
        <v>7266466</v>
      </c>
      <c r="R3" s="69">
        <v>7353492</v>
      </c>
      <c r="S3" s="69">
        <v>7438640</v>
      </c>
      <c r="T3" s="69">
        <v>7522347</v>
      </c>
      <c r="U3" s="69">
        <v>7605304</v>
      </c>
      <c r="V3" s="69">
        <v>7689175.8559417697</v>
      </c>
      <c r="W3" s="69">
        <v>7773972.6569244107</v>
      </c>
      <c r="X3" s="69">
        <v>7859704.6033103568</v>
      </c>
      <c r="Y3" s="69">
        <v>7946382.0079523949</v>
      </c>
      <c r="Z3" s="69">
        <v>8034015.2974342164</v>
      </c>
      <c r="AA3" s="69">
        <v>8122615.01332465</v>
      </c>
      <c r="AB3" s="69">
        <v>8212191.8134457264</v>
      </c>
      <c r="AC3" s="69">
        <v>8302756.4731547274</v>
      </c>
      <c r="AD3" s="69">
        <v>8394319.8866403718</v>
      </c>
      <c r="AE3" s="69">
        <v>8486893.0682333019</v>
      </c>
      <c r="AF3" s="69">
        <v>8580487.1537310109</v>
      </c>
      <c r="AG3" s="69">
        <v>8675113.4017373938</v>
      </c>
      <c r="AH3" s="69">
        <v>8770783.1950170621</v>
      </c>
      <c r="AI3" s="69">
        <v>8867508.0418646</v>
      </c>
      <c r="AJ3" s="69">
        <v>8965299.577488916</v>
      </c>
      <c r="AK3" s="69">
        <v>9064169.565412866</v>
      </c>
      <c r="AL3" s="69">
        <v>9164129.8988883048</v>
      </c>
      <c r="AM3" s="69">
        <v>9265192.6023267508</v>
      </c>
      <c r="AN3" s="69">
        <v>9367369.832745824</v>
      </c>
      <c r="AO3" s="69">
        <v>9470673.8812316358</v>
      </c>
    </row>
    <row r="4" spans="1:41">
      <c r="A4" s="67" t="s">
        <v>209</v>
      </c>
      <c r="B4" s="69">
        <v>368109.8661258581</v>
      </c>
      <c r="C4" s="69">
        <v>373486.05763078062</v>
      </c>
      <c r="D4" s="69">
        <v>378939.52680845541</v>
      </c>
      <c r="E4" s="69">
        <v>384222.696794555</v>
      </c>
      <c r="F4" s="69">
        <v>389432.25250224111</v>
      </c>
      <c r="G4" s="69">
        <v>394176.6962072298</v>
      </c>
      <c r="H4" s="69">
        <v>398910.99371926603</v>
      </c>
      <c r="I4" s="69">
        <v>404211.04209112196</v>
      </c>
      <c r="J4" s="69">
        <v>409461.45527194545</v>
      </c>
      <c r="K4" s="69">
        <v>414973.96221003355</v>
      </c>
      <c r="L4" s="69">
        <v>420270.55792898097</v>
      </c>
      <c r="M4" s="69">
        <v>425475.03615722148</v>
      </c>
      <c r="N4" s="69">
        <v>430609.97963586426</v>
      </c>
      <c r="O4" s="69">
        <v>435727.19666466326</v>
      </c>
      <c r="P4" s="69">
        <v>440815.13833749207</v>
      </c>
      <c r="Q4" s="69">
        <v>445687.17196607753</v>
      </c>
      <c r="R4" s="69">
        <v>450729.45878165902</v>
      </c>
      <c r="S4" s="69">
        <v>455977.8439503425</v>
      </c>
      <c r="T4" s="69">
        <v>461256.43179383531</v>
      </c>
      <c r="U4" s="69">
        <v>466415.471809601</v>
      </c>
      <c r="V4" s="69">
        <v>471632.21442212129</v>
      </c>
      <c r="W4" s="69">
        <v>476907.30502078304</v>
      </c>
      <c r="X4" s="69">
        <v>482241.39621349488</v>
      </c>
      <c r="Y4" s="69">
        <v>487635.14790742495</v>
      </c>
      <c r="Z4" s="69">
        <v>493089.22739064106</v>
      </c>
      <c r="AA4" s="69">
        <v>498604.30941466434</v>
      </c>
      <c r="AB4" s="69">
        <v>504181.07627794618</v>
      </c>
      <c r="AC4" s="69">
        <v>509820.21791027865</v>
      </c>
      <c r="AD4" s="69">
        <v>515522.43195814936</v>
      </c>
      <c r="AE4" s="69">
        <v>521288.42387105065</v>
      </c>
      <c r="AF4" s="69">
        <v>527118.90698875429</v>
      </c>
      <c r="AG4" s="69">
        <v>533014.60262956249</v>
      </c>
      <c r="AH4" s="69">
        <v>538976.2401795456</v>
      </c>
      <c r="AI4" s="69">
        <v>545004.55718277826</v>
      </c>
      <c r="AJ4" s="69">
        <v>551100.29943258467</v>
      </c>
      <c r="AK4" s="69">
        <v>557264.22106380423</v>
      </c>
      <c r="AL4" s="69">
        <v>563497.08464608958</v>
      </c>
      <c r="AM4" s="69">
        <v>569799.66127824772</v>
      </c>
      <c r="AN4" s="69">
        <v>576172.73068363674</v>
      </c>
      <c r="AO4" s="69">
        <v>582617.08130662923</v>
      </c>
    </row>
    <row r="5" spans="1:41">
      <c r="A5" s="67" t="s">
        <v>210</v>
      </c>
      <c r="B5" s="69">
        <v>34446.785272905516</v>
      </c>
      <c r="C5" s="69">
        <v>34949.875603803535</v>
      </c>
      <c r="D5" s="69">
        <v>35460.19738282248</v>
      </c>
      <c r="E5" s="69">
        <v>35954.582996516438</v>
      </c>
      <c r="F5" s="69">
        <v>36442.079973216722</v>
      </c>
      <c r="G5" s="69">
        <v>36886.0529513527</v>
      </c>
      <c r="H5" s="69">
        <v>37329.076474551082</v>
      </c>
      <c r="I5" s="69">
        <v>37825.041524667162</v>
      </c>
      <c r="J5" s="69">
        <v>38316.361839814657</v>
      </c>
      <c r="K5" s="69">
        <v>38832.208222336769</v>
      </c>
      <c r="L5" s="69">
        <v>39327.850181972783</v>
      </c>
      <c r="M5" s="69">
        <v>39814.872021057141</v>
      </c>
      <c r="N5" s="69">
        <v>40295.386975081325</v>
      </c>
      <c r="O5" s="69">
        <v>40774.243133002463</v>
      </c>
      <c r="P5" s="69">
        <v>41250.359777550853</v>
      </c>
      <c r="Q5" s="69">
        <v>41706.272296311967</v>
      </c>
      <c r="R5" s="69">
        <v>42178.116675406534</v>
      </c>
      <c r="S5" s="69">
        <v>42669.247214334624</v>
      </c>
      <c r="T5" s="69">
        <v>43163.204042774523</v>
      </c>
      <c r="U5" s="69">
        <v>43645.973889471999</v>
      </c>
      <c r="V5" s="69">
        <v>44134.143398452405</v>
      </c>
      <c r="W5" s="69">
        <v>44627.772963613519</v>
      </c>
      <c r="X5" s="69">
        <v>45126.923654344042</v>
      </c>
      <c r="Y5" s="69">
        <v>45631.657223078801</v>
      </c>
      <c r="Z5" s="69">
        <v>46142.036112938462</v>
      </c>
      <c r="AA5" s="69">
        <v>46658.123465454672</v>
      </c>
      <c r="AB5" s="69">
        <v>47179.983128381617</v>
      </c>
      <c r="AC5" s="69">
        <v>47707.67966359495</v>
      </c>
      <c r="AD5" s="69">
        <v>48241.278355079055</v>
      </c>
      <c r="AE5" s="69">
        <v>48780.845217003669</v>
      </c>
      <c r="AF5" s="69">
        <v>49326.447001890818</v>
      </c>
      <c r="AG5" s="69">
        <v>49878.151208873111</v>
      </c>
      <c r="AH5" s="69">
        <v>50436.026092044391</v>
      </c>
      <c r="AI5" s="69">
        <v>51000.140668903798</v>
      </c>
      <c r="AJ5" s="69">
        <v>51570.564728894264</v>
      </c>
      <c r="AK5" s="69">
        <v>52147.368842036514</v>
      </c>
      <c r="AL5" s="69">
        <v>52730.624367659635</v>
      </c>
      <c r="AM5" s="69">
        <v>53320.403463229319</v>
      </c>
      <c r="AN5" s="69">
        <v>53916.779093274788</v>
      </c>
      <c r="AO5" s="69">
        <v>54519.825038415627</v>
      </c>
    </row>
    <row r="8" spans="1:41">
      <c r="A8" s="71" t="s">
        <v>521</v>
      </c>
    </row>
    <row r="9" spans="1:41">
      <c r="A9" s="70" t="s">
        <v>3</v>
      </c>
      <c r="B9" s="391">
        <f>RATE(20,,F3,-Z3)</f>
        <v>1.2636636848189211E-2</v>
      </c>
    </row>
    <row r="10" spans="1:41">
      <c r="A10" s="252" t="s">
        <v>4</v>
      </c>
      <c r="B10" s="391">
        <f>RATE(20,,F4,-Z4)</f>
        <v>1.1869906316853229E-2</v>
      </c>
    </row>
    <row r="11" spans="1:41">
      <c r="A11" s="252" t="s">
        <v>522</v>
      </c>
      <c r="B11" s="391">
        <f>RATE(20,,F5,-Z5)</f>
        <v>1.1869906316873007E-2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7030A0"/>
  </sheetPr>
  <dimension ref="A1:AJ24"/>
  <sheetViews>
    <sheetView zoomScaleNormal="100" workbookViewId="0">
      <pane xSplit="4" ySplit="3" topLeftCell="E4" activePane="bottomRight" state="frozen"/>
      <selection pane="topRight" activeCell="E1" sqref="E1"/>
      <selection pane="bottomLeft" activeCell="A3" sqref="A3"/>
      <selection pane="bottomRight" activeCell="C29" sqref="C29"/>
    </sheetView>
  </sheetViews>
  <sheetFormatPr defaultRowHeight="15"/>
  <cols>
    <col min="1" max="1" width="2.5703125" style="70" bestFit="1" customWidth="1"/>
    <col min="2" max="2" width="18.140625" customWidth="1"/>
    <col min="3" max="3" width="36" customWidth="1"/>
    <col min="4" max="4" width="3.85546875" style="70" hidden="1" customWidth="1"/>
    <col min="5" max="5" width="14.85546875" customWidth="1"/>
    <col min="6" max="6" width="12" customWidth="1"/>
    <col min="7" max="9" width="12" style="70" customWidth="1"/>
    <col min="10" max="10" width="15.7109375" style="70" customWidth="1"/>
    <col min="11" max="11" width="15.42578125" customWidth="1"/>
    <col min="12" max="12" width="10.140625" style="70" bestFit="1" customWidth="1"/>
    <col min="13" max="13" width="12.28515625" style="70" bestFit="1" customWidth="1"/>
    <col min="14" max="15" width="12.28515625" style="70" customWidth="1"/>
    <col min="16" max="16" width="30.5703125" customWidth="1"/>
    <col min="17" max="17" width="13.7109375" customWidth="1"/>
    <col min="18" max="20" width="12.28515625" style="70" customWidth="1"/>
    <col min="21" max="21" width="15.140625" style="70" customWidth="1"/>
    <col min="22" max="22" width="15.140625" customWidth="1"/>
    <col min="23" max="23" width="10.140625" style="70" bestFit="1" customWidth="1"/>
    <col min="24" max="26" width="12.42578125" style="70" customWidth="1"/>
    <col min="27" max="27" width="30.42578125" customWidth="1"/>
    <col min="28" max="28" width="11.85546875" customWidth="1"/>
    <col min="29" max="30" width="11.85546875" style="70" customWidth="1"/>
    <col min="31" max="31" width="15.85546875" style="70" customWidth="1"/>
    <col min="32" max="32" width="15.140625" customWidth="1"/>
    <col min="33" max="33" width="10.42578125" customWidth="1"/>
    <col min="34" max="34" width="12.28515625" customWidth="1"/>
    <col min="35" max="36" width="12.28515625" style="70" customWidth="1"/>
  </cols>
  <sheetData>
    <row r="1" spans="1:36" s="70" customFormat="1">
      <c r="A1" s="458" t="s">
        <v>227</v>
      </c>
      <c r="B1" s="458"/>
      <c r="C1" s="458" t="s">
        <v>254</v>
      </c>
      <c r="D1" s="204"/>
      <c r="E1" s="459" t="s">
        <v>266</v>
      </c>
      <c r="F1" s="460"/>
      <c r="G1" s="460"/>
      <c r="H1" s="460"/>
      <c r="I1" s="460"/>
      <c r="J1" s="460"/>
      <c r="K1" s="460"/>
      <c r="L1" s="460"/>
      <c r="M1" s="461"/>
      <c r="N1" s="449" t="s">
        <v>351</v>
      </c>
      <c r="O1" s="450"/>
      <c r="P1" s="440" t="s">
        <v>267</v>
      </c>
      <c r="Q1" s="441"/>
      <c r="R1" s="441"/>
      <c r="S1" s="441"/>
      <c r="T1" s="441"/>
      <c r="U1" s="441"/>
      <c r="V1" s="441"/>
      <c r="W1" s="441"/>
      <c r="X1" s="442"/>
      <c r="Y1" s="425" t="s">
        <v>351</v>
      </c>
      <c r="Z1" s="426"/>
      <c r="AA1" s="439" t="s">
        <v>268</v>
      </c>
      <c r="AB1" s="439"/>
      <c r="AC1" s="439"/>
      <c r="AD1" s="439"/>
      <c r="AE1" s="439"/>
      <c r="AF1" s="439"/>
      <c r="AG1" s="439"/>
      <c r="AH1" s="439"/>
      <c r="AI1" s="431" t="s">
        <v>351</v>
      </c>
      <c r="AJ1" s="432"/>
    </row>
    <row r="2" spans="1:36" s="70" customFormat="1">
      <c r="A2" s="458"/>
      <c r="B2" s="458"/>
      <c r="C2" s="458"/>
      <c r="D2" s="249"/>
      <c r="E2" s="457" t="s">
        <v>253</v>
      </c>
      <c r="F2" s="456" t="s">
        <v>336</v>
      </c>
      <c r="G2" s="456"/>
      <c r="H2" s="456"/>
      <c r="I2" s="310"/>
      <c r="J2" s="457" t="s">
        <v>342</v>
      </c>
      <c r="K2" s="457" t="s">
        <v>335</v>
      </c>
      <c r="L2" s="457" t="s">
        <v>337</v>
      </c>
      <c r="M2" s="457" t="s">
        <v>338</v>
      </c>
      <c r="N2" s="451" t="s">
        <v>352</v>
      </c>
      <c r="O2" s="452"/>
      <c r="P2" s="444" t="s">
        <v>253</v>
      </c>
      <c r="Q2" s="443" t="s">
        <v>336</v>
      </c>
      <c r="R2" s="443"/>
      <c r="S2" s="443"/>
      <c r="T2" s="311"/>
      <c r="U2" s="433" t="s">
        <v>348</v>
      </c>
      <c r="V2" s="433" t="s">
        <v>335</v>
      </c>
      <c r="W2" s="433" t="s">
        <v>339</v>
      </c>
      <c r="X2" s="433" t="s">
        <v>338</v>
      </c>
      <c r="Y2" s="427" t="s">
        <v>352</v>
      </c>
      <c r="Z2" s="428"/>
      <c r="AA2" s="437" t="s">
        <v>253</v>
      </c>
      <c r="AB2" s="434" t="s">
        <v>336</v>
      </c>
      <c r="AC2" s="435"/>
      <c r="AD2" s="436"/>
      <c r="AE2" s="437" t="s">
        <v>348</v>
      </c>
      <c r="AF2" s="437" t="s">
        <v>340</v>
      </c>
      <c r="AG2" s="437" t="s">
        <v>337</v>
      </c>
      <c r="AH2" s="437" t="s">
        <v>341</v>
      </c>
      <c r="AI2" s="429" t="s">
        <v>352</v>
      </c>
      <c r="AJ2" s="430"/>
    </row>
    <row r="3" spans="1:36" s="225" customFormat="1" ht="30">
      <c r="A3" s="458"/>
      <c r="B3" s="458"/>
      <c r="C3" s="458"/>
      <c r="D3" s="224"/>
      <c r="E3" s="457"/>
      <c r="F3" s="193" t="s">
        <v>250</v>
      </c>
      <c r="G3" s="193" t="s">
        <v>265</v>
      </c>
      <c r="H3" s="193" t="s">
        <v>299</v>
      </c>
      <c r="I3" s="193" t="s">
        <v>410</v>
      </c>
      <c r="J3" s="457"/>
      <c r="K3" s="457"/>
      <c r="L3" s="457"/>
      <c r="M3" s="457"/>
      <c r="N3" s="273" t="s">
        <v>178</v>
      </c>
      <c r="O3" s="273" t="s">
        <v>179</v>
      </c>
      <c r="P3" s="445"/>
      <c r="Q3" s="194" t="s">
        <v>250</v>
      </c>
      <c r="R3" s="194" t="s">
        <v>265</v>
      </c>
      <c r="S3" s="194" t="s">
        <v>299</v>
      </c>
      <c r="T3" s="311" t="s">
        <v>410</v>
      </c>
      <c r="U3" s="433"/>
      <c r="V3" s="433"/>
      <c r="W3" s="433"/>
      <c r="X3" s="433"/>
      <c r="Y3" s="272" t="s">
        <v>178</v>
      </c>
      <c r="Z3" s="272" t="s">
        <v>179</v>
      </c>
      <c r="AA3" s="438"/>
      <c r="AB3" s="200" t="s">
        <v>250</v>
      </c>
      <c r="AC3" s="200" t="s">
        <v>265</v>
      </c>
      <c r="AD3" s="200" t="s">
        <v>299</v>
      </c>
      <c r="AE3" s="438"/>
      <c r="AF3" s="438"/>
      <c r="AG3" s="438"/>
      <c r="AH3" s="438"/>
      <c r="AI3" s="270" t="s">
        <v>178</v>
      </c>
      <c r="AJ3" s="271" t="s">
        <v>179</v>
      </c>
    </row>
    <row r="4" spans="1:36">
      <c r="A4" s="446">
        <v>1</v>
      </c>
      <c r="B4" s="453" t="s">
        <v>228</v>
      </c>
      <c r="C4" s="53" t="s">
        <v>272</v>
      </c>
      <c r="D4" s="202" t="s">
        <v>255</v>
      </c>
      <c r="E4" s="195" t="s">
        <v>251</v>
      </c>
      <c r="F4" s="254">
        <v>60</v>
      </c>
      <c r="G4" s="255">
        <f t="shared" ref="G4:G5" si="0">80*K4</f>
        <v>139.19999999999999</v>
      </c>
      <c r="H4" s="254">
        <v>0</v>
      </c>
      <c r="I4" s="254">
        <f>SUM(F4:H4)/K4</f>
        <v>114.48275862068965</v>
      </c>
      <c r="J4" s="254">
        <v>20</v>
      </c>
      <c r="K4" s="191">
        <v>1.74</v>
      </c>
      <c r="L4" s="250">
        <v>0.33</v>
      </c>
      <c r="M4" s="250">
        <v>0.25</v>
      </c>
      <c r="N4" s="266">
        <v>1</v>
      </c>
      <c r="O4" s="266">
        <f>1-N4</f>
        <v>0</v>
      </c>
      <c r="P4" s="192" t="s">
        <v>252</v>
      </c>
      <c r="Q4" s="198">
        <f>400*V4</f>
        <v>696</v>
      </c>
      <c r="R4" s="198">
        <f>114.9*V4</f>
        <v>199.92600000000002</v>
      </c>
      <c r="S4" s="389">
        <v>0</v>
      </c>
      <c r="T4" s="389">
        <f>SUM(Q4:S4)/V4</f>
        <v>514.9</v>
      </c>
      <c r="U4" s="198">
        <f>J4*1.25</f>
        <v>25</v>
      </c>
      <c r="V4" s="257">
        <f>K4</f>
        <v>1.74</v>
      </c>
      <c r="W4" s="251">
        <f>L4</f>
        <v>0.33</v>
      </c>
      <c r="X4" s="251">
        <f>M4</f>
        <v>0.25</v>
      </c>
      <c r="Y4" s="268">
        <f>N4</f>
        <v>1</v>
      </c>
      <c r="Z4" s="268">
        <f>O4</f>
        <v>0</v>
      </c>
      <c r="AA4" s="201" t="s">
        <v>33</v>
      </c>
      <c r="AB4" s="212" t="s">
        <v>33</v>
      </c>
      <c r="AC4" s="201" t="s">
        <v>33</v>
      </c>
      <c r="AD4" s="201" t="s">
        <v>33</v>
      </c>
      <c r="AE4" s="201" t="s">
        <v>33</v>
      </c>
      <c r="AF4" s="201" t="s">
        <v>33</v>
      </c>
      <c r="AG4" s="201" t="s">
        <v>33</v>
      </c>
      <c r="AH4" s="201" t="s">
        <v>33</v>
      </c>
      <c r="AI4" s="269" t="s">
        <v>33</v>
      </c>
      <c r="AJ4" s="269" t="s">
        <v>33</v>
      </c>
    </row>
    <row r="5" spans="1:36">
      <c r="A5" s="447"/>
      <c r="B5" s="454"/>
      <c r="C5" s="53" t="s">
        <v>263</v>
      </c>
      <c r="D5" s="202" t="s">
        <v>256</v>
      </c>
      <c r="E5" s="195" t="s">
        <v>251</v>
      </c>
      <c r="F5" s="197">
        <v>60</v>
      </c>
      <c r="G5" s="255">
        <f t="shared" si="0"/>
        <v>46.4</v>
      </c>
      <c r="H5" s="254">
        <v>0</v>
      </c>
      <c r="I5" s="254">
        <f t="shared" ref="I5:I12" si="1">SUM(F5:H5)/K5</f>
        <v>183.44827586206898</v>
      </c>
      <c r="J5" s="254">
        <v>20</v>
      </c>
      <c r="K5" s="191">
        <v>0.57999999999999996</v>
      </c>
      <c r="L5" s="250">
        <v>0.56999999999999995</v>
      </c>
      <c r="M5" s="250">
        <v>0.25</v>
      </c>
      <c r="N5" s="266">
        <v>1</v>
      </c>
      <c r="O5" s="266">
        <v>1</v>
      </c>
      <c r="P5" s="192" t="s">
        <v>273</v>
      </c>
      <c r="Q5" s="198">
        <f>400*V5</f>
        <v>231.99999999999997</v>
      </c>
      <c r="R5" s="198">
        <f>114.9*V5</f>
        <v>66.641999999999996</v>
      </c>
      <c r="S5" s="389">
        <v>0</v>
      </c>
      <c r="T5" s="389">
        <f t="shared" ref="T5:T14" si="2">SUM(Q5:S5)/V5</f>
        <v>514.9</v>
      </c>
      <c r="U5" s="198">
        <f t="shared" ref="U5:U7" si="3">J5*1.25</f>
        <v>25</v>
      </c>
      <c r="V5" s="257">
        <f t="shared" ref="V5:V12" si="4">K5</f>
        <v>0.57999999999999996</v>
      </c>
      <c r="W5" s="251">
        <f t="shared" ref="W5:W9" si="5">L5</f>
        <v>0.56999999999999995</v>
      </c>
      <c r="X5" s="251">
        <f t="shared" ref="X5:X12" si="6">M5</f>
        <v>0.25</v>
      </c>
      <c r="Y5" s="268">
        <f t="shared" ref="Y5:Z14" si="7">N5</f>
        <v>1</v>
      </c>
      <c r="Z5" s="268">
        <f t="shared" si="7"/>
        <v>1</v>
      </c>
      <c r="AA5" s="201" t="str">
        <f>P5</f>
        <v>Water Heater Controls</v>
      </c>
      <c r="AB5" s="212">
        <f t="shared" ref="AB5:AB14" si="8">Q5</f>
        <v>231.99999999999997</v>
      </c>
      <c r="AC5" s="258">
        <f>R5</f>
        <v>66.641999999999996</v>
      </c>
      <c r="AD5" s="258">
        <f t="shared" ref="AD5" si="9">S5*1.1</f>
        <v>0</v>
      </c>
      <c r="AE5" s="258">
        <f>U5*1.5</f>
        <v>37.5</v>
      </c>
      <c r="AF5" s="258">
        <f>V5</f>
        <v>0.57999999999999996</v>
      </c>
      <c r="AG5" s="253">
        <v>1</v>
      </c>
      <c r="AH5" s="253">
        <f>X5</f>
        <v>0.25</v>
      </c>
      <c r="AI5" s="269">
        <f t="shared" ref="AI5:AJ14" si="10">N5</f>
        <v>1</v>
      </c>
      <c r="AJ5" s="269">
        <f t="shared" si="10"/>
        <v>1</v>
      </c>
    </row>
    <row r="6" spans="1:36">
      <c r="A6" s="447"/>
      <c r="B6" s="454"/>
      <c r="C6" s="196" t="s">
        <v>271</v>
      </c>
      <c r="D6" s="202" t="s">
        <v>257</v>
      </c>
      <c r="E6" s="195" t="s">
        <v>251</v>
      </c>
      <c r="F6" s="197">
        <v>60</v>
      </c>
      <c r="G6" s="255">
        <f>80*K6</f>
        <v>48</v>
      </c>
      <c r="H6" s="254">
        <v>0</v>
      </c>
      <c r="I6" s="254">
        <f t="shared" si="1"/>
        <v>180</v>
      </c>
      <c r="J6" s="254">
        <v>20</v>
      </c>
      <c r="K6" s="191">
        <v>0.6</v>
      </c>
      <c r="L6" s="250">
        <v>0.35</v>
      </c>
      <c r="M6" s="250">
        <v>0.25</v>
      </c>
      <c r="N6" s="266">
        <v>0</v>
      </c>
      <c r="O6" s="266">
        <f t="shared" ref="O6:O7" si="11">1-N6</f>
        <v>1</v>
      </c>
      <c r="P6" s="192" t="s">
        <v>252</v>
      </c>
      <c r="Q6" s="198">
        <f>400*V6</f>
        <v>240</v>
      </c>
      <c r="R6" s="198">
        <f>114.9*V6</f>
        <v>68.94</v>
      </c>
      <c r="S6" s="389">
        <v>0</v>
      </c>
      <c r="T6" s="389">
        <f t="shared" si="2"/>
        <v>514.9</v>
      </c>
      <c r="U6" s="198">
        <f t="shared" si="3"/>
        <v>25</v>
      </c>
      <c r="V6" s="257">
        <f t="shared" si="4"/>
        <v>0.6</v>
      </c>
      <c r="W6" s="251">
        <f t="shared" si="5"/>
        <v>0.35</v>
      </c>
      <c r="X6" s="251">
        <f t="shared" si="6"/>
        <v>0.25</v>
      </c>
      <c r="Y6" s="268">
        <f t="shared" si="7"/>
        <v>0</v>
      </c>
      <c r="Z6" s="268">
        <f t="shared" si="7"/>
        <v>1</v>
      </c>
      <c r="AA6" s="201" t="s">
        <v>33</v>
      </c>
      <c r="AB6" s="212" t="s">
        <v>33</v>
      </c>
      <c r="AC6" s="258" t="s">
        <v>33</v>
      </c>
      <c r="AD6" s="259" t="s">
        <v>33</v>
      </c>
      <c r="AE6" s="258" t="s">
        <v>33</v>
      </c>
      <c r="AF6" s="258" t="s">
        <v>33</v>
      </c>
      <c r="AG6" s="253" t="s">
        <v>33</v>
      </c>
      <c r="AH6" s="253" t="s">
        <v>33</v>
      </c>
      <c r="AI6" s="269">
        <f t="shared" si="10"/>
        <v>0</v>
      </c>
      <c r="AJ6" s="269">
        <f t="shared" si="10"/>
        <v>1</v>
      </c>
    </row>
    <row r="7" spans="1:36" s="70" customFormat="1">
      <c r="A7" s="448"/>
      <c r="B7" s="455"/>
      <c r="C7" s="196" t="s">
        <v>281</v>
      </c>
      <c r="D7" s="203" t="s">
        <v>258</v>
      </c>
      <c r="E7" s="195" t="s">
        <v>251</v>
      </c>
      <c r="F7" s="211">
        <v>40</v>
      </c>
      <c r="G7" s="255">
        <f>80*K7</f>
        <v>21.6</v>
      </c>
      <c r="H7" s="254">
        <v>0</v>
      </c>
      <c r="I7" s="254">
        <f t="shared" si="1"/>
        <v>228.14814814814815</v>
      </c>
      <c r="J7" s="254">
        <v>20</v>
      </c>
      <c r="K7" s="191">
        <v>0.27</v>
      </c>
      <c r="L7" s="250">
        <f>L6/2</f>
        <v>0.17499999999999999</v>
      </c>
      <c r="M7" s="250">
        <v>0.25</v>
      </c>
      <c r="N7" s="266">
        <v>0</v>
      </c>
      <c r="O7" s="266">
        <f t="shared" si="11"/>
        <v>1</v>
      </c>
      <c r="P7" s="192" t="s">
        <v>252</v>
      </c>
      <c r="Q7" s="198">
        <f>400*V7</f>
        <v>108</v>
      </c>
      <c r="R7" s="198">
        <f>114.9*V7</f>
        <v>31.023000000000003</v>
      </c>
      <c r="S7" s="389">
        <v>0</v>
      </c>
      <c r="T7" s="389">
        <f t="shared" si="2"/>
        <v>514.9</v>
      </c>
      <c r="U7" s="198">
        <f t="shared" si="3"/>
        <v>25</v>
      </c>
      <c r="V7" s="257">
        <f t="shared" si="4"/>
        <v>0.27</v>
      </c>
      <c r="W7" s="251">
        <f t="shared" si="5"/>
        <v>0.17499999999999999</v>
      </c>
      <c r="X7" s="251">
        <f t="shared" si="6"/>
        <v>0.25</v>
      </c>
      <c r="Y7" s="268">
        <f t="shared" si="7"/>
        <v>0</v>
      </c>
      <c r="Z7" s="268">
        <f t="shared" si="7"/>
        <v>1</v>
      </c>
      <c r="AA7" s="201" t="s">
        <v>33</v>
      </c>
      <c r="AB7" s="212" t="s">
        <v>33</v>
      </c>
      <c r="AC7" s="258" t="s">
        <v>33</v>
      </c>
      <c r="AD7" s="259" t="s">
        <v>33</v>
      </c>
      <c r="AE7" s="258" t="s">
        <v>33</v>
      </c>
      <c r="AF7" s="258" t="s">
        <v>33</v>
      </c>
      <c r="AG7" s="253" t="s">
        <v>33</v>
      </c>
      <c r="AH7" s="253" t="s">
        <v>33</v>
      </c>
      <c r="AI7" s="269">
        <f t="shared" si="10"/>
        <v>0</v>
      </c>
      <c r="AJ7" s="269">
        <f t="shared" si="10"/>
        <v>1</v>
      </c>
    </row>
    <row r="8" spans="1:36">
      <c r="A8" s="446">
        <v>2</v>
      </c>
      <c r="B8" s="453" t="s">
        <v>229</v>
      </c>
      <c r="C8" s="196" t="s">
        <v>274</v>
      </c>
      <c r="D8" s="202" t="s">
        <v>259</v>
      </c>
      <c r="E8" s="195" t="s">
        <v>251</v>
      </c>
      <c r="F8" s="197">
        <v>100</v>
      </c>
      <c r="G8" s="255">
        <f>60*K8</f>
        <v>168</v>
      </c>
      <c r="H8" s="254">
        <v>0</v>
      </c>
      <c r="I8" s="254">
        <f t="shared" si="1"/>
        <v>95.714285714285722</v>
      </c>
      <c r="J8" s="254">
        <v>10</v>
      </c>
      <c r="K8" s="191">
        <v>2.8</v>
      </c>
      <c r="L8" s="250">
        <f>0.58*0.6</f>
        <v>0.34799999999999998</v>
      </c>
      <c r="M8" s="250">
        <v>0.15</v>
      </c>
      <c r="N8" s="266">
        <v>0.2</v>
      </c>
      <c r="O8" s="266">
        <v>1</v>
      </c>
      <c r="P8" s="192" t="s">
        <v>252</v>
      </c>
      <c r="Q8" s="198">
        <f>285.17*V8</f>
        <v>798.476</v>
      </c>
      <c r="R8" s="198">
        <f>82.07*V8</f>
        <v>229.79599999999996</v>
      </c>
      <c r="S8" s="389">
        <v>0</v>
      </c>
      <c r="T8" s="389">
        <f t="shared" si="2"/>
        <v>367.24</v>
      </c>
      <c r="U8" s="198">
        <v>20</v>
      </c>
      <c r="V8" s="257">
        <f t="shared" si="4"/>
        <v>2.8</v>
      </c>
      <c r="W8" s="251">
        <f t="shared" si="5"/>
        <v>0.34799999999999998</v>
      </c>
      <c r="X8" s="251">
        <f t="shared" si="6"/>
        <v>0.15</v>
      </c>
      <c r="Y8" s="268">
        <f t="shared" si="7"/>
        <v>0.2</v>
      </c>
      <c r="Z8" s="268">
        <f t="shared" si="7"/>
        <v>1</v>
      </c>
      <c r="AA8" s="201" t="s">
        <v>33</v>
      </c>
      <c r="AB8" s="212" t="s">
        <v>33</v>
      </c>
      <c r="AC8" s="258" t="s">
        <v>33</v>
      </c>
      <c r="AD8" s="259" t="s">
        <v>33</v>
      </c>
      <c r="AE8" s="258" t="s">
        <v>33</v>
      </c>
      <c r="AF8" s="258" t="s">
        <v>33</v>
      </c>
      <c r="AG8" s="253" t="s">
        <v>33</v>
      </c>
      <c r="AH8" s="253" t="s">
        <v>33</v>
      </c>
      <c r="AI8" s="269">
        <f t="shared" si="10"/>
        <v>0.2</v>
      </c>
      <c r="AJ8" s="269">
        <f t="shared" si="10"/>
        <v>1</v>
      </c>
    </row>
    <row r="9" spans="1:36" s="70" customFormat="1">
      <c r="A9" s="447"/>
      <c r="B9" s="454"/>
      <c r="C9" s="196" t="s">
        <v>275</v>
      </c>
      <c r="D9" s="203" t="s">
        <v>260</v>
      </c>
      <c r="E9" s="195" t="s">
        <v>251</v>
      </c>
      <c r="F9" s="254">
        <v>100</v>
      </c>
      <c r="G9" s="255">
        <f>60*K9</f>
        <v>900</v>
      </c>
      <c r="H9" s="254">
        <v>0</v>
      </c>
      <c r="I9" s="254">
        <f t="shared" si="1"/>
        <v>66.666666666666671</v>
      </c>
      <c r="J9" s="254">
        <v>10</v>
      </c>
      <c r="K9" s="256">
        <v>15</v>
      </c>
      <c r="L9" s="250">
        <f>0.58*0.3</f>
        <v>0.17399999999999999</v>
      </c>
      <c r="M9" s="250">
        <v>0.15</v>
      </c>
      <c r="N9" s="266">
        <v>0.2</v>
      </c>
      <c r="O9" s="266">
        <v>1</v>
      </c>
      <c r="P9" s="192" t="s">
        <v>295</v>
      </c>
      <c r="Q9" s="198">
        <f>138.5*V9</f>
        <v>2077.5</v>
      </c>
      <c r="R9" s="198">
        <f>96*V9</f>
        <v>1440</v>
      </c>
      <c r="S9" s="389">
        <v>0</v>
      </c>
      <c r="T9" s="389">
        <f t="shared" si="2"/>
        <v>234.5</v>
      </c>
      <c r="U9" s="198">
        <v>20</v>
      </c>
      <c r="V9" s="257">
        <f t="shared" si="4"/>
        <v>15</v>
      </c>
      <c r="W9" s="251">
        <f t="shared" si="5"/>
        <v>0.17399999999999999</v>
      </c>
      <c r="X9" s="251">
        <f t="shared" si="6"/>
        <v>0.15</v>
      </c>
      <c r="Y9" s="268">
        <f t="shared" si="7"/>
        <v>0.2</v>
      </c>
      <c r="Z9" s="268">
        <f t="shared" si="7"/>
        <v>1</v>
      </c>
      <c r="AA9" s="201" t="s">
        <v>295</v>
      </c>
      <c r="AB9" s="212">
        <f t="shared" si="8"/>
        <v>2077.5</v>
      </c>
      <c r="AC9" s="258">
        <f t="shared" ref="AC9:AC14" si="12">R9</f>
        <v>1440</v>
      </c>
      <c r="AD9" s="258">
        <f t="shared" ref="AD9" si="13">S9</f>
        <v>0</v>
      </c>
      <c r="AE9" s="258">
        <f t="shared" ref="AE9:AE14" si="14">U9*1.5</f>
        <v>30</v>
      </c>
      <c r="AF9" s="258">
        <f t="shared" ref="AF9:AF14" si="15">V9</f>
        <v>15</v>
      </c>
      <c r="AG9" s="253">
        <v>1</v>
      </c>
      <c r="AH9" s="253">
        <f>X9</f>
        <v>0.15</v>
      </c>
      <c r="AI9" s="269">
        <f t="shared" si="10"/>
        <v>0.2</v>
      </c>
      <c r="AJ9" s="269">
        <f t="shared" si="10"/>
        <v>1</v>
      </c>
    </row>
    <row r="10" spans="1:36" s="70" customFormat="1">
      <c r="A10" s="448"/>
      <c r="B10" s="455"/>
      <c r="C10" s="196" t="s">
        <v>296</v>
      </c>
      <c r="D10" s="203" t="s">
        <v>261</v>
      </c>
      <c r="E10" s="195" t="s">
        <v>33</v>
      </c>
      <c r="F10" s="197" t="s">
        <v>33</v>
      </c>
      <c r="G10" s="255" t="s">
        <v>33</v>
      </c>
      <c r="H10" s="254" t="s">
        <v>33</v>
      </c>
      <c r="I10" s="254"/>
      <c r="J10" s="254" t="s">
        <v>33</v>
      </c>
      <c r="K10" s="197" t="s">
        <v>33</v>
      </c>
      <c r="L10" s="213" t="s">
        <v>33</v>
      </c>
      <c r="M10" s="250" t="s">
        <v>33</v>
      </c>
      <c r="N10" s="266">
        <v>1</v>
      </c>
      <c r="O10" s="266">
        <v>1</v>
      </c>
      <c r="P10" s="192" t="s">
        <v>295</v>
      </c>
      <c r="Q10" s="198">
        <f>138.5*V10</f>
        <v>7894.5</v>
      </c>
      <c r="R10" s="198">
        <f>96*V10</f>
        <v>5472</v>
      </c>
      <c r="S10" s="389">
        <v>0</v>
      </c>
      <c r="T10" s="389">
        <f t="shared" si="2"/>
        <v>234.5</v>
      </c>
      <c r="U10" s="198">
        <v>20</v>
      </c>
      <c r="V10" s="257">
        <v>57</v>
      </c>
      <c r="W10" s="251">
        <v>0.25</v>
      </c>
      <c r="X10" s="251">
        <v>0.15</v>
      </c>
      <c r="Y10" s="268">
        <f t="shared" si="7"/>
        <v>1</v>
      </c>
      <c r="Z10" s="268">
        <f t="shared" si="7"/>
        <v>1</v>
      </c>
      <c r="AA10" s="201" t="str">
        <f>P10</f>
        <v>AutoDR</v>
      </c>
      <c r="AB10" s="212">
        <f t="shared" si="8"/>
        <v>7894.5</v>
      </c>
      <c r="AC10" s="258">
        <f t="shared" si="12"/>
        <v>5472</v>
      </c>
      <c r="AD10" s="258">
        <f t="shared" ref="AD10:AD14" si="16">S10</f>
        <v>0</v>
      </c>
      <c r="AE10" s="258">
        <f t="shared" si="14"/>
        <v>30</v>
      </c>
      <c r="AF10" s="258">
        <f t="shared" si="15"/>
        <v>57</v>
      </c>
      <c r="AG10" s="253">
        <v>1</v>
      </c>
      <c r="AH10" s="253">
        <f t="shared" ref="AH10:AH13" si="17">X10</f>
        <v>0.15</v>
      </c>
      <c r="AI10" s="269">
        <f t="shared" si="10"/>
        <v>1</v>
      </c>
      <c r="AJ10" s="269">
        <f t="shared" si="10"/>
        <v>1</v>
      </c>
    </row>
    <row r="11" spans="1:36">
      <c r="A11" s="446">
        <v>3</v>
      </c>
      <c r="B11" s="406" t="s">
        <v>314</v>
      </c>
      <c r="C11" s="53" t="s">
        <v>264</v>
      </c>
      <c r="D11" s="202" t="s">
        <v>262</v>
      </c>
      <c r="E11" s="195" t="s">
        <v>251</v>
      </c>
      <c r="F11" s="254">
        <v>100</v>
      </c>
      <c r="G11" s="255">
        <f>40*K11</f>
        <v>1000</v>
      </c>
      <c r="H11" s="254">
        <v>0</v>
      </c>
      <c r="I11" s="254">
        <f t="shared" si="1"/>
        <v>44</v>
      </c>
      <c r="J11" s="254">
        <v>10</v>
      </c>
      <c r="K11" s="256">
        <v>25</v>
      </c>
      <c r="L11" s="250">
        <v>0.7</v>
      </c>
      <c r="M11" s="250">
        <v>0.2</v>
      </c>
      <c r="N11" s="266">
        <v>0</v>
      </c>
      <c r="O11" s="266">
        <v>1</v>
      </c>
      <c r="P11" s="192" t="s">
        <v>295</v>
      </c>
      <c r="Q11" s="198">
        <f>138.5*V11</f>
        <v>3462.5</v>
      </c>
      <c r="R11" s="198">
        <f>96*V11</f>
        <v>2400</v>
      </c>
      <c r="S11" s="389">
        <v>0</v>
      </c>
      <c r="T11" s="389">
        <f t="shared" si="2"/>
        <v>234.5</v>
      </c>
      <c r="U11" s="198">
        <v>20</v>
      </c>
      <c r="V11" s="257">
        <f t="shared" si="4"/>
        <v>25</v>
      </c>
      <c r="W11" s="251">
        <f>L11*0.5</f>
        <v>0.35</v>
      </c>
      <c r="X11" s="251">
        <f t="shared" si="6"/>
        <v>0.2</v>
      </c>
      <c r="Y11" s="268">
        <f t="shared" si="7"/>
        <v>0</v>
      </c>
      <c r="Z11" s="268">
        <f t="shared" si="7"/>
        <v>1</v>
      </c>
      <c r="AA11" s="201" t="s">
        <v>295</v>
      </c>
      <c r="AB11" s="212">
        <f t="shared" si="8"/>
        <v>3462.5</v>
      </c>
      <c r="AC11" s="258">
        <f t="shared" si="12"/>
        <v>2400</v>
      </c>
      <c r="AD11" s="258">
        <f t="shared" si="16"/>
        <v>0</v>
      </c>
      <c r="AE11" s="258">
        <f t="shared" si="14"/>
        <v>30</v>
      </c>
      <c r="AF11" s="258">
        <f t="shared" si="15"/>
        <v>25</v>
      </c>
      <c r="AG11" s="253">
        <v>1</v>
      </c>
      <c r="AH11" s="253">
        <f t="shared" si="17"/>
        <v>0.2</v>
      </c>
      <c r="AI11" s="269">
        <f t="shared" si="10"/>
        <v>0</v>
      </c>
      <c r="AJ11" s="269">
        <f t="shared" si="10"/>
        <v>1</v>
      </c>
    </row>
    <row r="12" spans="1:36" ht="15" customHeight="1">
      <c r="A12" s="447"/>
      <c r="B12" s="407"/>
      <c r="C12" s="53" t="s">
        <v>248</v>
      </c>
      <c r="D12" s="205" t="s">
        <v>332</v>
      </c>
      <c r="E12" s="195" t="s">
        <v>270</v>
      </c>
      <c r="F12" s="197">
        <v>0</v>
      </c>
      <c r="G12" s="197">
        <v>0</v>
      </c>
      <c r="H12" s="254">
        <v>0</v>
      </c>
      <c r="I12" s="254">
        <f t="shared" si="1"/>
        <v>0</v>
      </c>
      <c r="J12" s="211">
        <v>10</v>
      </c>
      <c r="K12" s="256">
        <v>500</v>
      </c>
      <c r="L12" s="250">
        <v>0.7</v>
      </c>
      <c r="M12" s="213">
        <v>0.25</v>
      </c>
      <c r="N12" s="267">
        <v>1</v>
      </c>
      <c r="O12" s="266">
        <v>1</v>
      </c>
      <c r="P12" s="192" t="s">
        <v>295</v>
      </c>
      <c r="Q12" s="198">
        <v>2500</v>
      </c>
      <c r="R12" s="198">
        <f>Q12/2</f>
        <v>1250</v>
      </c>
      <c r="S12" s="389">
        <v>0</v>
      </c>
      <c r="T12" s="389">
        <f t="shared" si="2"/>
        <v>7.5</v>
      </c>
      <c r="U12" s="198">
        <v>20</v>
      </c>
      <c r="V12" s="257">
        <f t="shared" si="4"/>
        <v>500</v>
      </c>
      <c r="W12" s="251">
        <f>L12*0.25</f>
        <v>0.17499999999999999</v>
      </c>
      <c r="X12" s="251">
        <f t="shared" si="6"/>
        <v>0.25</v>
      </c>
      <c r="Y12" s="268">
        <f t="shared" si="7"/>
        <v>1</v>
      </c>
      <c r="Z12" s="268">
        <f t="shared" si="7"/>
        <v>1</v>
      </c>
      <c r="AA12" s="201" t="s">
        <v>295</v>
      </c>
      <c r="AB12" s="212">
        <f t="shared" si="8"/>
        <v>2500</v>
      </c>
      <c r="AC12" s="258">
        <f t="shared" si="12"/>
        <v>1250</v>
      </c>
      <c r="AD12" s="258">
        <f t="shared" si="16"/>
        <v>0</v>
      </c>
      <c r="AE12" s="258">
        <f t="shared" si="14"/>
        <v>30</v>
      </c>
      <c r="AF12" s="258">
        <f t="shared" si="15"/>
        <v>500</v>
      </c>
      <c r="AG12" s="253">
        <v>1</v>
      </c>
      <c r="AH12" s="253">
        <f t="shared" si="17"/>
        <v>0.25</v>
      </c>
      <c r="AI12" s="269">
        <f t="shared" si="10"/>
        <v>1</v>
      </c>
      <c r="AJ12" s="269">
        <f t="shared" si="10"/>
        <v>1</v>
      </c>
    </row>
    <row r="13" spans="1:36">
      <c r="A13" s="447"/>
      <c r="B13" s="407"/>
      <c r="C13" s="53" t="s">
        <v>249</v>
      </c>
      <c r="D13" s="205" t="s">
        <v>333</v>
      </c>
      <c r="E13" s="195" t="s">
        <v>33</v>
      </c>
      <c r="F13" s="233" t="s">
        <v>33</v>
      </c>
      <c r="G13" s="197" t="s">
        <v>33</v>
      </c>
      <c r="H13" s="197" t="s">
        <v>33</v>
      </c>
      <c r="I13" s="197"/>
      <c r="J13" s="197" t="s">
        <v>33</v>
      </c>
      <c r="K13" s="197" t="s">
        <v>33</v>
      </c>
      <c r="L13" s="213" t="s">
        <v>33</v>
      </c>
      <c r="M13" s="213" t="s">
        <v>33</v>
      </c>
      <c r="N13" s="267">
        <v>1</v>
      </c>
      <c r="O13" s="266">
        <v>1</v>
      </c>
      <c r="P13" s="192" t="s">
        <v>295</v>
      </c>
      <c r="Q13" s="198">
        <v>2500</v>
      </c>
      <c r="R13" s="198">
        <f>Q13/2</f>
        <v>1250</v>
      </c>
      <c r="S13" s="389">
        <v>0</v>
      </c>
      <c r="T13" s="389">
        <f t="shared" si="2"/>
        <v>37.5</v>
      </c>
      <c r="U13" s="198">
        <v>50</v>
      </c>
      <c r="V13" s="257">
        <v>100</v>
      </c>
      <c r="W13" s="251">
        <f>W12</f>
        <v>0.17499999999999999</v>
      </c>
      <c r="X13" s="251">
        <f>X12</f>
        <v>0.25</v>
      </c>
      <c r="Y13" s="268">
        <f t="shared" si="7"/>
        <v>1</v>
      </c>
      <c r="Z13" s="268">
        <f t="shared" si="7"/>
        <v>1</v>
      </c>
      <c r="AA13" s="201" t="s">
        <v>295</v>
      </c>
      <c r="AB13" s="212">
        <f t="shared" si="8"/>
        <v>2500</v>
      </c>
      <c r="AC13" s="258">
        <f t="shared" si="12"/>
        <v>1250</v>
      </c>
      <c r="AD13" s="258">
        <f t="shared" si="16"/>
        <v>0</v>
      </c>
      <c r="AE13" s="258">
        <f t="shared" si="14"/>
        <v>75</v>
      </c>
      <c r="AF13" s="258">
        <f t="shared" si="15"/>
        <v>100</v>
      </c>
      <c r="AG13" s="253">
        <v>1</v>
      </c>
      <c r="AH13" s="253">
        <f t="shared" si="17"/>
        <v>0.25</v>
      </c>
      <c r="AI13" s="269">
        <f t="shared" si="10"/>
        <v>1</v>
      </c>
      <c r="AJ13" s="269">
        <f t="shared" si="10"/>
        <v>1</v>
      </c>
    </row>
    <row r="14" spans="1:36">
      <c r="A14" s="448"/>
      <c r="B14" s="408"/>
      <c r="C14" s="53" t="s">
        <v>206</v>
      </c>
      <c r="D14" s="205" t="s">
        <v>334</v>
      </c>
      <c r="E14" s="195" t="s">
        <v>33</v>
      </c>
      <c r="F14" s="233" t="s">
        <v>33</v>
      </c>
      <c r="G14" s="197" t="s">
        <v>33</v>
      </c>
      <c r="H14" s="197" t="s">
        <v>33</v>
      </c>
      <c r="I14" s="197"/>
      <c r="J14" s="197" t="s">
        <v>33</v>
      </c>
      <c r="K14" s="197" t="s">
        <v>33</v>
      </c>
      <c r="L14" s="213" t="s">
        <v>33</v>
      </c>
      <c r="M14" s="213" t="s">
        <v>33</v>
      </c>
      <c r="N14" s="267">
        <v>0.9</v>
      </c>
      <c r="O14" s="266">
        <v>1</v>
      </c>
      <c r="P14" s="192" t="s">
        <v>313</v>
      </c>
      <c r="Q14" s="198">
        <v>5000</v>
      </c>
      <c r="R14" s="210">
        <f>Q14/2</f>
        <v>2500</v>
      </c>
      <c r="S14" s="389">
        <v>0</v>
      </c>
      <c r="T14" s="389">
        <f t="shared" si="2"/>
        <v>30</v>
      </c>
      <c r="U14" s="198">
        <v>20</v>
      </c>
      <c r="V14" s="257">
        <v>250</v>
      </c>
      <c r="W14" s="251">
        <f>W12</f>
        <v>0.17499999999999999</v>
      </c>
      <c r="X14" s="251">
        <f>X11</f>
        <v>0.2</v>
      </c>
      <c r="Y14" s="268">
        <f t="shared" si="7"/>
        <v>0.9</v>
      </c>
      <c r="Z14" s="268">
        <f t="shared" si="7"/>
        <v>1</v>
      </c>
      <c r="AA14" s="201" t="str">
        <f>P14</f>
        <v>Refrigerated Warehouse Controls</v>
      </c>
      <c r="AB14" s="212">
        <f t="shared" si="8"/>
        <v>5000</v>
      </c>
      <c r="AC14" s="258">
        <f t="shared" si="12"/>
        <v>2500</v>
      </c>
      <c r="AD14" s="258">
        <f t="shared" si="16"/>
        <v>0</v>
      </c>
      <c r="AE14" s="258">
        <f t="shared" si="14"/>
        <v>30</v>
      </c>
      <c r="AF14" s="258">
        <f t="shared" si="15"/>
        <v>250</v>
      </c>
      <c r="AG14" s="253">
        <v>1</v>
      </c>
      <c r="AH14" s="253">
        <f>X14</f>
        <v>0.2</v>
      </c>
      <c r="AI14" s="269">
        <f t="shared" si="10"/>
        <v>0.9</v>
      </c>
      <c r="AJ14" s="269">
        <f t="shared" si="10"/>
        <v>1</v>
      </c>
    </row>
    <row r="15" spans="1:36" s="288" customFormat="1">
      <c r="A15" s="288" t="s">
        <v>520</v>
      </c>
    </row>
    <row r="16" spans="1:36" s="70" customFormat="1">
      <c r="A16" s="287" t="s">
        <v>367</v>
      </c>
      <c r="P16" s="252"/>
    </row>
    <row r="17" spans="1:17">
      <c r="B17" s="70" t="s">
        <v>252</v>
      </c>
      <c r="C17" s="70" t="s">
        <v>368</v>
      </c>
      <c r="P17" s="252"/>
    </row>
    <row r="18" spans="1:17">
      <c r="B18" s="70" t="s">
        <v>369</v>
      </c>
      <c r="C18" s="70" t="s">
        <v>85</v>
      </c>
      <c r="Q18" s="70"/>
    </row>
    <row r="19" spans="1:17">
      <c r="B19" s="70" t="s">
        <v>370</v>
      </c>
      <c r="C19" s="70" t="s">
        <v>371</v>
      </c>
    </row>
    <row r="20" spans="1:17">
      <c r="B20" s="70" t="s">
        <v>372</v>
      </c>
      <c r="C20" s="70" t="s">
        <v>373</v>
      </c>
    </row>
    <row r="21" spans="1:17">
      <c r="A21" s="390" t="s">
        <v>519</v>
      </c>
    </row>
    <row r="22" spans="1:17">
      <c r="B22" s="387" t="s">
        <v>353</v>
      </c>
    </row>
    <row r="23" spans="1:17">
      <c r="B23" s="387" t="s">
        <v>354</v>
      </c>
    </row>
    <row r="24" spans="1:17">
      <c r="B24" s="388" t="s">
        <v>355</v>
      </c>
    </row>
  </sheetData>
  <mergeCells count="35">
    <mergeCell ref="W2:W3"/>
    <mergeCell ref="A1:B3"/>
    <mergeCell ref="E1:M1"/>
    <mergeCell ref="K2:K3"/>
    <mergeCell ref="L2:L3"/>
    <mergeCell ref="M2:M3"/>
    <mergeCell ref="U2:U3"/>
    <mergeCell ref="A8:A10"/>
    <mergeCell ref="A4:A7"/>
    <mergeCell ref="B11:B14"/>
    <mergeCell ref="A11:A14"/>
    <mergeCell ref="N1:O1"/>
    <mergeCell ref="N2:O2"/>
    <mergeCell ref="B8:B10"/>
    <mergeCell ref="B4:B7"/>
    <mergeCell ref="F2:H2"/>
    <mergeCell ref="E2:E3"/>
    <mergeCell ref="J2:J3"/>
    <mergeCell ref="C1:C3"/>
    <mergeCell ref="Y1:Z1"/>
    <mergeCell ref="Y2:Z2"/>
    <mergeCell ref="AI2:AJ2"/>
    <mergeCell ref="AI1:AJ1"/>
    <mergeCell ref="V2:V3"/>
    <mergeCell ref="AB2:AD2"/>
    <mergeCell ref="AA2:AA3"/>
    <mergeCell ref="AH2:AH3"/>
    <mergeCell ref="AG2:AG3"/>
    <mergeCell ref="AF2:AF3"/>
    <mergeCell ref="AE2:AE3"/>
    <mergeCell ref="AA1:AH1"/>
    <mergeCell ref="P1:X1"/>
    <mergeCell ref="Q2:S2"/>
    <mergeCell ref="P2:P3"/>
    <mergeCell ref="X2:X3"/>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sheetPr>
    <tabColor theme="5" tint="0.39997558519241921"/>
  </sheetPr>
  <dimension ref="A1:W118"/>
  <sheetViews>
    <sheetView workbookViewId="0">
      <selection activeCell="B24" sqref="B24"/>
    </sheetView>
  </sheetViews>
  <sheetFormatPr defaultRowHeight="12.75"/>
  <cols>
    <col min="1" max="1" width="33.85546875" style="76" customWidth="1"/>
    <col min="2" max="2" width="41.85546875" style="76" customWidth="1"/>
    <col min="3" max="23" width="14.42578125" style="76" bestFit="1" customWidth="1"/>
    <col min="24" max="25" width="9.140625" style="76"/>
    <col min="26" max="26" width="12.42578125" style="76" bestFit="1" customWidth="1"/>
    <col min="27"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300</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67" t="s">
        <v>230</v>
      </c>
      <c r="D4" s="467"/>
      <c r="E4" s="467"/>
      <c r="F4" s="467"/>
      <c r="G4" s="467"/>
      <c r="H4" s="467"/>
      <c r="I4" s="467"/>
      <c r="J4" s="467"/>
      <c r="K4" s="467"/>
      <c r="L4" s="467"/>
      <c r="M4" s="467"/>
      <c r="N4" s="467"/>
      <c r="O4" s="467"/>
      <c r="P4" s="467"/>
      <c r="Q4" s="467"/>
      <c r="R4" s="467"/>
      <c r="S4" s="467"/>
      <c r="T4" s="467"/>
      <c r="U4" s="467"/>
      <c r="V4" s="467"/>
      <c r="W4" s="468"/>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ht="13.5" thickBot="1">
      <c r="A6" s="161"/>
      <c r="B6" s="162" t="s">
        <v>234</v>
      </c>
      <c r="C6" s="332">
        <f>HLOOKUP('Res-Capacity-Base'!C$5,'NW Customers'!$B$2:$AO$5,2)</f>
        <v>6345977</v>
      </c>
      <c r="D6" s="332">
        <f>HLOOKUP('Res-Capacity-Base'!D$5,'NW Customers'!$B$2:$AO$5,2)</f>
        <v>6441457</v>
      </c>
      <c r="E6" s="332">
        <f>HLOOKUP('Res-Capacity-Base'!E$5,'NW Customers'!$B$2:$AO$5,2)</f>
        <v>6536223</v>
      </c>
      <c r="F6" s="332">
        <f>HLOOKUP('Res-Capacity-Base'!F$5,'NW Customers'!$B$2:$AO$5,2)</f>
        <v>6630423</v>
      </c>
      <c r="G6" s="332">
        <f>HLOOKUP('Res-Capacity-Base'!G$5,'NW Customers'!$B$2:$AO$5,2)</f>
        <v>6724196</v>
      </c>
      <c r="H6" s="332">
        <f>HLOOKUP('Res-Capacity-Base'!H$5,'NW Customers'!$B$2:$AO$5,2)</f>
        <v>6816156</v>
      </c>
      <c r="I6" s="332">
        <f>HLOOKUP('Res-Capacity-Base'!I$5,'NW Customers'!$B$2:$AO$5,2)</f>
        <v>6907512</v>
      </c>
      <c r="J6" s="332">
        <f>HLOOKUP('Res-Capacity-Base'!J$5,'NW Customers'!$B$2:$AO$5,2)</f>
        <v>6998378</v>
      </c>
      <c r="K6" s="332">
        <f>HLOOKUP('Res-Capacity-Base'!K$5,'NW Customers'!$B$2:$AO$5,2)</f>
        <v>7088375</v>
      </c>
      <c r="L6" s="332">
        <f>HLOOKUP('Res-Capacity-Base'!L$5,'NW Customers'!$B$2:$AO$5,2)</f>
        <v>7177924</v>
      </c>
      <c r="M6" s="332">
        <f>HLOOKUP('Res-Capacity-Base'!M$5,'NW Customers'!$B$2:$AO$5,2)</f>
        <v>7266466</v>
      </c>
      <c r="N6" s="332">
        <f>HLOOKUP('Res-Capacity-Base'!N$5,'NW Customers'!$B$2:$AO$5,2)</f>
        <v>7353492</v>
      </c>
      <c r="O6" s="332">
        <f>HLOOKUP('Res-Capacity-Base'!O$5,'NW Customers'!$B$2:$AO$5,2)</f>
        <v>7438640</v>
      </c>
      <c r="P6" s="332">
        <f>HLOOKUP('Res-Capacity-Base'!P$5,'NW Customers'!$B$2:$AO$5,2)</f>
        <v>7522347</v>
      </c>
      <c r="Q6" s="332">
        <f>HLOOKUP('Res-Capacity-Base'!Q$5,'NW Customers'!$B$2:$AO$5,2)</f>
        <v>7605304</v>
      </c>
      <c r="R6" s="332">
        <f>HLOOKUP('Res-Capacity-Base'!R$5,'NW Customers'!$B$2:$AO$5,2)</f>
        <v>7689175.8559417697</v>
      </c>
      <c r="S6" s="332">
        <f>HLOOKUP('Res-Capacity-Base'!S$5,'NW Customers'!$B$2:$AO$5,2)</f>
        <v>7773972.6569244107</v>
      </c>
      <c r="T6" s="332">
        <f>HLOOKUP('Res-Capacity-Base'!T$5,'NW Customers'!$B$2:$AO$5,2)</f>
        <v>7859704.6033103568</v>
      </c>
      <c r="U6" s="332">
        <f>HLOOKUP('Res-Capacity-Base'!U$5,'NW Customers'!$B$2:$AO$5,2)</f>
        <v>7946382.0079523949</v>
      </c>
      <c r="V6" s="332">
        <f>HLOOKUP('Res-Capacity-Base'!V$5,'NW Customers'!$B$2:$AO$5,2)</f>
        <v>8034015.2974342164</v>
      </c>
      <c r="W6" s="332"/>
    </row>
    <row r="7" spans="1:23" s="221" customFormat="1" ht="16.5" thickBot="1">
      <c r="A7" s="230"/>
      <c r="B7" s="230"/>
      <c r="C7" s="230"/>
      <c r="D7" s="231"/>
      <c r="E7" s="231"/>
      <c r="F7" s="231"/>
      <c r="G7" s="231"/>
      <c r="H7" s="231"/>
      <c r="I7" s="231"/>
      <c r="J7" s="231"/>
      <c r="K7" s="231"/>
      <c r="L7" s="231"/>
    </row>
    <row r="8" spans="1:23" ht="15.75">
      <c r="A8" s="151" t="s">
        <v>290</v>
      </c>
      <c r="B8" s="152"/>
      <c r="C8" s="152"/>
      <c r="D8" s="153"/>
      <c r="E8" s="153"/>
      <c r="F8" s="153"/>
      <c r="G8" s="153"/>
      <c r="H8" s="153"/>
      <c r="I8" s="153"/>
      <c r="J8" s="153"/>
      <c r="K8" s="153"/>
      <c r="L8" s="153"/>
      <c r="M8" s="154"/>
      <c r="N8" s="154"/>
      <c r="O8" s="154"/>
      <c r="P8" s="154"/>
      <c r="Q8" s="154"/>
      <c r="R8" s="154"/>
      <c r="S8" s="154"/>
      <c r="T8" s="154"/>
      <c r="U8" s="154"/>
      <c r="V8" s="154"/>
      <c r="W8" s="155"/>
    </row>
    <row r="9" spans="1:23" ht="15.75">
      <c r="A9" s="185"/>
      <c r="B9" s="158" t="s">
        <v>241</v>
      </c>
      <c r="C9" s="331">
        <f>KeyAssumptions!L4</f>
        <v>0.33</v>
      </c>
      <c r="D9" s="163"/>
      <c r="E9" s="163"/>
      <c r="F9" s="163"/>
      <c r="G9" s="163"/>
      <c r="H9" s="163"/>
      <c r="I9" s="163"/>
      <c r="J9" s="163"/>
      <c r="K9" s="163"/>
      <c r="L9" s="163"/>
      <c r="M9" s="164"/>
      <c r="N9" s="164"/>
      <c r="O9" s="164"/>
      <c r="P9" s="164"/>
      <c r="Q9" s="164"/>
      <c r="R9" s="164"/>
      <c r="S9" s="164"/>
      <c r="T9" s="164"/>
      <c r="U9" s="164"/>
      <c r="V9" s="164"/>
      <c r="W9" s="165"/>
    </row>
    <row r="10" spans="1:23" ht="15.75">
      <c r="A10" s="185"/>
      <c r="B10" s="158" t="s">
        <v>207</v>
      </c>
      <c r="C10" s="331">
        <f>KeyAssumptions!M4</f>
        <v>0.25</v>
      </c>
      <c r="D10" s="163"/>
      <c r="E10" s="163"/>
      <c r="F10" s="163"/>
      <c r="G10" s="163"/>
      <c r="H10" s="163"/>
      <c r="I10" s="163"/>
      <c r="J10" s="163"/>
      <c r="K10" s="163"/>
      <c r="L10" s="163"/>
      <c r="M10" s="164"/>
      <c r="N10" s="164"/>
      <c r="O10" s="164"/>
      <c r="P10" s="164"/>
      <c r="Q10" s="164"/>
      <c r="R10" s="164"/>
      <c r="S10" s="164"/>
      <c r="T10" s="164"/>
      <c r="U10" s="164"/>
      <c r="V10" s="164"/>
      <c r="W10" s="165"/>
    </row>
    <row r="11" spans="1:23" ht="15.75" customHeight="1">
      <c r="A11" s="185"/>
      <c r="B11" s="188" t="s">
        <v>343</v>
      </c>
      <c r="C11" s="331">
        <v>0.95</v>
      </c>
      <c r="D11" s="163"/>
      <c r="E11" s="163"/>
      <c r="F11" s="163"/>
      <c r="G11" s="163"/>
      <c r="H11" s="163"/>
      <c r="I11" s="163"/>
      <c r="J11" s="163"/>
      <c r="K11" s="163"/>
      <c r="L11" s="163"/>
      <c r="M11" s="164"/>
      <c r="N11" s="164"/>
      <c r="O11" s="164"/>
      <c r="P11" s="164"/>
      <c r="Q11" s="164"/>
      <c r="R11" s="164"/>
      <c r="S11" s="164"/>
      <c r="T11" s="164"/>
      <c r="U11" s="164"/>
      <c r="V11" s="164"/>
      <c r="W11" s="165"/>
    </row>
    <row r="12" spans="1:23" ht="15.75">
      <c r="A12" s="185"/>
      <c r="B12" s="157"/>
      <c r="C12" s="157"/>
      <c r="D12" s="163"/>
      <c r="E12" s="163"/>
      <c r="F12" s="163"/>
      <c r="G12" s="163"/>
      <c r="H12" s="163"/>
      <c r="I12" s="163"/>
      <c r="J12" s="163"/>
      <c r="K12" s="163"/>
      <c r="L12" s="163"/>
      <c r="M12" s="164"/>
      <c r="N12" s="164"/>
      <c r="O12" s="164"/>
      <c r="P12" s="164"/>
      <c r="Q12" s="164"/>
      <c r="R12" s="164"/>
      <c r="S12" s="164"/>
      <c r="T12" s="164"/>
      <c r="U12" s="164"/>
      <c r="V12" s="164"/>
      <c r="W12" s="165"/>
    </row>
    <row r="13" spans="1:23">
      <c r="A13" s="156"/>
      <c r="B13" s="158" t="s">
        <v>1</v>
      </c>
      <c r="C13" s="159">
        <v>2016</v>
      </c>
      <c r="D13" s="159">
        <v>2017</v>
      </c>
      <c r="E13" s="159">
        <v>2018</v>
      </c>
      <c r="F13" s="159">
        <v>2019</v>
      </c>
      <c r="G13" s="159">
        <v>2020</v>
      </c>
      <c r="H13" s="159">
        <v>2021</v>
      </c>
      <c r="I13" s="159">
        <v>2022</v>
      </c>
      <c r="J13" s="159">
        <v>2023</v>
      </c>
      <c r="K13" s="159">
        <v>2024</v>
      </c>
      <c r="L13" s="159">
        <v>2025</v>
      </c>
      <c r="M13" s="159">
        <v>2026</v>
      </c>
      <c r="N13" s="159">
        <v>2027</v>
      </c>
      <c r="O13" s="159">
        <v>2028</v>
      </c>
      <c r="P13" s="159">
        <v>2029</v>
      </c>
      <c r="Q13" s="159">
        <v>2030</v>
      </c>
      <c r="R13" s="159">
        <v>2031</v>
      </c>
      <c r="S13" s="159">
        <v>2032</v>
      </c>
      <c r="T13" s="159">
        <v>2033</v>
      </c>
      <c r="U13" s="159">
        <v>2034</v>
      </c>
      <c r="V13" s="159">
        <v>2035</v>
      </c>
      <c r="W13" s="160"/>
    </row>
    <row r="14" spans="1:23">
      <c r="A14" s="156"/>
      <c r="B14" s="158" t="s">
        <v>231</v>
      </c>
      <c r="C14" s="330">
        <v>0.05</v>
      </c>
      <c r="D14" s="330">
        <v>0.2</v>
      </c>
      <c r="E14" s="330">
        <v>0.2</v>
      </c>
      <c r="F14" s="330">
        <v>0.2</v>
      </c>
      <c r="G14" s="330">
        <v>0.2</v>
      </c>
      <c r="H14" s="330">
        <v>0.15</v>
      </c>
      <c r="I14" s="330">
        <v>0</v>
      </c>
      <c r="J14" s="330">
        <v>0</v>
      </c>
      <c r="K14" s="330">
        <v>0</v>
      </c>
      <c r="L14" s="330">
        <v>0</v>
      </c>
      <c r="M14" s="330">
        <v>0</v>
      </c>
      <c r="N14" s="330">
        <v>0</v>
      </c>
      <c r="O14" s="330">
        <v>0</v>
      </c>
      <c r="P14" s="330">
        <v>0</v>
      </c>
      <c r="Q14" s="330">
        <v>0</v>
      </c>
      <c r="R14" s="330">
        <v>0</v>
      </c>
      <c r="S14" s="330">
        <v>0</v>
      </c>
      <c r="T14" s="330">
        <v>0</v>
      </c>
      <c r="U14" s="330">
        <v>0</v>
      </c>
      <c r="V14" s="330">
        <v>0</v>
      </c>
      <c r="W14" s="333"/>
    </row>
    <row r="15" spans="1:23">
      <c r="A15" s="156"/>
      <c r="B15" s="158" t="s">
        <v>237</v>
      </c>
      <c r="C15" s="174">
        <f>C14</f>
        <v>0.05</v>
      </c>
      <c r="D15" s="174">
        <f>C15+D14</f>
        <v>0.25</v>
      </c>
      <c r="E15" s="174">
        <f t="shared" ref="E15:V15" si="0">D15+E14</f>
        <v>0.45</v>
      </c>
      <c r="F15" s="174">
        <f t="shared" si="0"/>
        <v>0.65</v>
      </c>
      <c r="G15" s="174">
        <f t="shared" si="0"/>
        <v>0.85000000000000009</v>
      </c>
      <c r="H15" s="174">
        <f t="shared" si="0"/>
        <v>1</v>
      </c>
      <c r="I15" s="174">
        <f t="shared" si="0"/>
        <v>1</v>
      </c>
      <c r="J15" s="174">
        <f t="shared" si="0"/>
        <v>1</v>
      </c>
      <c r="K15" s="174">
        <f t="shared" si="0"/>
        <v>1</v>
      </c>
      <c r="L15" s="174">
        <f t="shared" si="0"/>
        <v>1</v>
      </c>
      <c r="M15" s="174">
        <f t="shared" si="0"/>
        <v>1</v>
      </c>
      <c r="N15" s="174">
        <f t="shared" si="0"/>
        <v>1</v>
      </c>
      <c r="O15" s="174">
        <f t="shared" si="0"/>
        <v>1</v>
      </c>
      <c r="P15" s="174">
        <f t="shared" si="0"/>
        <v>1</v>
      </c>
      <c r="Q15" s="174">
        <f t="shared" si="0"/>
        <v>1</v>
      </c>
      <c r="R15" s="174">
        <f t="shared" si="0"/>
        <v>1</v>
      </c>
      <c r="S15" s="174">
        <f t="shared" si="0"/>
        <v>1</v>
      </c>
      <c r="T15" s="174">
        <f t="shared" si="0"/>
        <v>1</v>
      </c>
      <c r="U15" s="174">
        <f t="shared" si="0"/>
        <v>1</v>
      </c>
      <c r="V15" s="174">
        <f t="shared" si="0"/>
        <v>1</v>
      </c>
      <c r="W15" s="216"/>
    </row>
    <row r="16" spans="1:23">
      <c r="A16" s="156"/>
      <c r="B16" s="158" t="s">
        <v>232</v>
      </c>
      <c r="C16" s="330">
        <v>0.01</v>
      </c>
      <c r="D16" s="330">
        <v>0.01</v>
      </c>
      <c r="E16" s="330">
        <v>0.01</v>
      </c>
      <c r="F16" s="330">
        <v>0.01</v>
      </c>
      <c r="G16" s="330">
        <v>0.01</v>
      </c>
      <c r="H16" s="330">
        <v>0.01</v>
      </c>
      <c r="I16" s="330">
        <v>0.01</v>
      </c>
      <c r="J16" s="330">
        <v>0.01</v>
      </c>
      <c r="K16" s="330">
        <v>0.01</v>
      </c>
      <c r="L16" s="330">
        <v>0.01</v>
      </c>
      <c r="M16" s="330">
        <v>0.01</v>
      </c>
      <c r="N16" s="330">
        <v>0.01</v>
      </c>
      <c r="O16" s="330">
        <v>0.01</v>
      </c>
      <c r="P16" s="330">
        <v>0.01</v>
      </c>
      <c r="Q16" s="330">
        <v>0.01</v>
      </c>
      <c r="R16" s="330">
        <v>0.01</v>
      </c>
      <c r="S16" s="330">
        <v>0.01</v>
      </c>
      <c r="T16" s="330">
        <v>0.01</v>
      </c>
      <c r="U16" s="330">
        <v>0.01</v>
      </c>
      <c r="V16" s="330">
        <v>0.01</v>
      </c>
      <c r="W16" s="333"/>
    </row>
    <row r="17" spans="1:23" ht="15" customHeight="1" thickBot="1">
      <c r="A17" s="161"/>
      <c r="B17" s="162" t="s">
        <v>236</v>
      </c>
      <c r="C17" s="334">
        <v>0.5</v>
      </c>
      <c r="D17" s="334">
        <f>C17-0.05</f>
        <v>0.45</v>
      </c>
      <c r="E17" s="334">
        <f>D17-0.05</f>
        <v>0.4</v>
      </c>
      <c r="F17" s="334">
        <f>E17-0.05</f>
        <v>0.35000000000000003</v>
      </c>
      <c r="G17" s="334">
        <f t="shared" ref="G17" si="1">F17-0.05</f>
        <v>0.30000000000000004</v>
      </c>
      <c r="H17" s="334">
        <v>0.3</v>
      </c>
      <c r="I17" s="334">
        <f>H17</f>
        <v>0.3</v>
      </c>
      <c r="J17" s="334">
        <f t="shared" ref="J17:V17" si="2">I17</f>
        <v>0.3</v>
      </c>
      <c r="K17" s="334">
        <f t="shared" si="2"/>
        <v>0.3</v>
      </c>
      <c r="L17" s="334">
        <f t="shared" si="2"/>
        <v>0.3</v>
      </c>
      <c r="M17" s="334">
        <f t="shared" si="2"/>
        <v>0.3</v>
      </c>
      <c r="N17" s="334">
        <f t="shared" si="2"/>
        <v>0.3</v>
      </c>
      <c r="O17" s="334">
        <f t="shared" si="2"/>
        <v>0.3</v>
      </c>
      <c r="P17" s="334">
        <f t="shared" si="2"/>
        <v>0.3</v>
      </c>
      <c r="Q17" s="334">
        <f t="shared" si="2"/>
        <v>0.3</v>
      </c>
      <c r="R17" s="334">
        <f t="shared" si="2"/>
        <v>0.3</v>
      </c>
      <c r="S17" s="334">
        <f t="shared" si="2"/>
        <v>0.3</v>
      </c>
      <c r="T17" s="334">
        <f t="shared" si="2"/>
        <v>0.3</v>
      </c>
      <c r="U17" s="334">
        <f t="shared" si="2"/>
        <v>0.3</v>
      </c>
      <c r="V17" s="334">
        <f t="shared" si="2"/>
        <v>0.3</v>
      </c>
      <c r="W17" s="335"/>
    </row>
    <row r="18" spans="1:23" s="221" customFormat="1" ht="16.5" thickBot="1">
      <c r="A18" s="228"/>
      <c r="B18" s="228"/>
      <c r="C18" s="228"/>
      <c r="D18" s="229"/>
      <c r="E18" s="229"/>
      <c r="F18" s="229"/>
      <c r="G18" s="229"/>
      <c r="H18" s="229"/>
      <c r="I18" s="229"/>
      <c r="J18" s="229"/>
      <c r="K18" s="229"/>
      <c r="L18" s="229"/>
      <c r="M18" s="78"/>
      <c r="N18" s="78"/>
      <c r="O18" s="78"/>
      <c r="P18" s="78"/>
      <c r="Q18" s="78"/>
      <c r="R18" s="78"/>
      <c r="S18" s="78"/>
      <c r="T18" s="78"/>
      <c r="U18" s="78"/>
      <c r="V18" s="78"/>
      <c r="W18" s="78"/>
    </row>
    <row r="19" spans="1:23" ht="15.75">
      <c r="A19" s="151" t="s">
        <v>291</v>
      </c>
      <c r="B19" s="152"/>
      <c r="C19" s="152"/>
      <c r="D19" s="153"/>
      <c r="E19" s="153"/>
      <c r="F19" s="153"/>
      <c r="G19" s="153"/>
      <c r="H19" s="153"/>
      <c r="I19" s="153"/>
      <c r="J19" s="153"/>
      <c r="K19" s="153"/>
      <c r="L19" s="153"/>
      <c r="M19" s="154"/>
      <c r="N19" s="154"/>
      <c r="O19" s="154"/>
      <c r="P19" s="154"/>
      <c r="Q19" s="154"/>
      <c r="R19" s="154"/>
      <c r="S19" s="154"/>
      <c r="T19" s="154"/>
      <c r="U19" s="154"/>
      <c r="V19" s="154"/>
      <c r="W19" s="155"/>
    </row>
    <row r="20" spans="1:23" ht="15.75">
      <c r="A20" s="185"/>
      <c r="B20" s="158" t="s">
        <v>241</v>
      </c>
      <c r="C20" s="336">
        <f>KeyAssumptions!L6</f>
        <v>0.35</v>
      </c>
      <c r="D20" s="163"/>
      <c r="E20" s="163"/>
      <c r="F20" s="163"/>
      <c r="G20" s="163"/>
      <c r="H20" s="163"/>
      <c r="I20" s="163"/>
      <c r="J20" s="163"/>
      <c r="K20" s="163"/>
      <c r="L20" s="163"/>
      <c r="M20" s="164"/>
      <c r="N20" s="164"/>
      <c r="O20" s="164"/>
      <c r="P20" s="164"/>
      <c r="Q20" s="164"/>
      <c r="R20" s="164"/>
      <c r="S20" s="164"/>
      <c r="T20" s="164"/>
      <c r="U20" s="164"/>
      <c r="V20" s="164"/>
      <c r="W20" s="165"/>
    </row>
    <row r="21" spans="1:23" ht="15.75">
      <c r="A21" s="185"/>
      <c r="B21" s="158" t="s">
        <v>207</v>
      </c>
      <c r="C21" s="331">
        <f>KeyAssumptions!M6</f>
        <v>0.25</v>
      </c>
      <c r="D21" s="163"/>
      <c r="E21" s="163"/>
      <c r="F21" s="163"/>
      <c r="G21" s="163"/>
      <c r="H21" s="163"/>
      <c r="I21" s="163"/>
      <c r="J21" s="163"/>
      <c r="K21" s="163"/>
      <c r="L21" s="163"/>
      <c r="M21" s="164"/>
      <c r="N21" s="164"/>
      <c r="O21" s="164"/>
      <c r="P21" s="164"/>
      <c r="Q21" s="164"/>
      <c r="R21" s="164"/>
      <c r="S21" s="164"/>
      <c r="T21" s="164"/>
      <c r="U21" s="164"/>
      <c r="V21" s="164"/>
      <c r="W21" s="165"/>
    </row>
    <row r="22" spans="1:23" ht="15.75" customHeight="1">
      <c r="A22" s="185"/>
      <c r="B22" s="188" t="s">
        <v>343</v>
      </c>
      <c r="C22" s="331">
        <v>0.95</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7"/>
      <c r="C23" s="157"/>
      <c r="D23" s="163"/>
      <c r="E23" s="163"/>
      <c r="F23" s="163"/>
      <c r="G23" s="163"/>
      <c r="H23" s="163"/>
      <c r="I23" s="163"/>
      <c r="J23" s="163"/>
      <c r="K23" s="163"/>
      <c r="L23" s="163"/>
      <c r="M23" s="164"/>
      <c r="N23" s="164"/>
      <c r="O23" s="164"/>
      <c r="P23" s="164"/>
      <c r="Q23" s="164"/>
      <c r="R23" s="164"/>
      <c r="S23" s="164"/>
      <c r="T23" s="164"/>
      <c r="U23" s="164"/>
      <c r="V23" s="164"/>
      <c r="W23" s="165"/>
    </row>
    <row r="24" spans="1:23">
      <c r="A24" s="156"/>
      <c r="B24" s="158" t="s">
        <v>1</v>
      </c>
      <c r="C24" s="159">
        <v>2016</v>
      </c>
      <c r="D24" s="159">
        <v>2017</v>
      </c>
      <c r="E24" s="159">
        <v>2018</v>
      </c>
      <c r="F24" s="159">
        <v>2019</v>
      </c>
      <c r="G24" s="159">
        <v>2020</v>
      </c>
      <c r="H24" s="159">
        <v>2021</v>
      </c>
      <c r="I24" s="159">
        <v>2022</v>
      </c>
      <c r="J24" s="159">
        <v>2023</v>
      </c>
      <c r="K24" s="159">
        <v>2024</v>
      </c>
      <c r="L24" s="159">
        <v>2025</v>
      </c>
      <c r="M24" s="159">
        <v>2026</v>
      </c>
      <c r="N24" s="159">
        <v>2027</v>
      </c>
      <c r="O24" s="159">
        <v>2028</v>
      </c>
      <c r="P24" s="159">
        <v>2029</v>
      </c>
      <c r="Q24" s="159">
        <v>2030</v>
      </c>
      <c r="R24" s="159">
        <v>2031</v>
      </c>
      <c r="S24" s="159">
        <v>2032</v>
      </c>
      <c r="T24" s="159">
        <v>2033</v>
      </c>
      <c r="U24" s="159">
        <v>2034</v>
      </c>
      <c r="V24" s="159">
        <v>2035</v>
      </c>
      <c r="W24" s="160"/>
    </row>
    <row r="25" spans="1:23">
      <c r="A25" s="156"/>
      <c r="B25" s="158" t="s">
        <v>231</v>
      </c>
      <c r="C25" s="330">
        <v>0.05</v>
      </c>
      <c r="D25" s="330">
        <v>0.2</v>
      </c>
      <c r="E25" s="330">
        <v>0.2</v>
      </c>
      <c r="F25" s="330">
        <v>0.2</v>
      </c>
      <c r="G25" s="330">
        <v>0.2</v>
      </c>
      <c r="H25" s="330">
        <v>0.15</v>
      </c>
      <c r="I25" s="330">
        <v>0</v>
      </c>
      <c r="J25" s="330">
        <v>0</v>
      </c>
      <c r="K25" s="330">
        <v>0</v>
      </c>
      <c r="L25" s="330">
        <v>0</v>
      </c>
      <c r="M25" s="330">
        <v>0</v>
      </c>
      <c r="N25" s="330">
        <v>0</v>
      </c>
      <c r="O25" s="330">
        <v>0</v>
      </c>
      <c r="P25" s="330">
        <v>0</v>
      </c>
      <c r="Q25" s="330">
        <v>0</v>
      </c>
      <c r="R25" s="330">
        <v>0</v>
      </c>
      <c r="S25" s="330">
        <v>0</v>
      </c>
      <c r="T25" s="330">
        <v>0</v>
      </c>
      <c r="U25" s="330">
        <v>0</v>
      </c>
      <c r="V25" s="330">
        <v>0</v>
      </c>
      <c r="W25" s="333"/>
    </row>
    <row r="26" spans="1:23">
      <c r="A26" s="156"/>
      <c r="B26" s="158" t="s">
        <v>237</v>
      </c>
      <c r="C26" s="174">
        <f>C25</f>
        <v>0.05</v>
      </c>
      <c r="D26" s="174">
        <f>C26+D25</f>
        <v>0.25</v>
      </c>
      <c r="E26" s="174">
        <f t="shared" ref="E26:V26" si="3">D26+E25</f>
        <v>0.45</v>
      </c>
      <c r="F26" s="174">
        <f t="shared" si="3"/>
        <v>0.65</v>
      </c>
      <c r="G26" s="174">
        <f t="shared" si="3"/>
        <v>0.85000000000000009</v>
      </c>
      <c r="H26" s="174">
        <f t="shared" si="3"/>
        <v>1</v>
      </c>
      <c r="I26" s="174">
        <f t="shared" si="3"/>
        <v>1</v>
      </c>
      <c r="J26" s="174">
        <f t="shared" si="3"/>
        <v>1</v>
      </c>
      <c r="K26" s="174">
        <f t="shared" si="3"/>
        <v>1</v>
      </c>
      <c r="L26" s="174">
        <f t="shared" si="3"/>
        <v>1</v>
      </c>
      <c r="M26" s="174">
        <f t="shared" si="3"/>
        <v>1</v>
      </c>
      <c r="N26" s="174">
        <f t="shared" si="3"/>
        <v>1</v>
      </c>
      <c r="O26" s="174">
        <f t="shared" si="3"/>
        <v>1</v>
      </c>
      <c r="P26" s="174">
        <f t="shared" si="3"/>
        <v>1</v>
      </c>
      <c r="Q26" s="174">
        <f t="shared" si="3"/>
        <v>1</v>
      </c>
      <c r="R26" s="174">
        <f t="shared" si="3"/>
        <v>1</v>
      </c>
      <c r="S26" s="174">
        <f t="shared" si="3"/>
        <v>1</v>
      </c>
      <c r="T26" s="174">
        <f t="shared" si="3"/>
        <v>1</v>
      </c>
      <c r="U26" s="174">
        <f t="shared" si="3"/>
        <v>1</v>
      </c>
      <c r="V26" s="174">
        <f t="shared" si="3"/>
        <v>1</v>
      </c>
      <c r="W26" s="216"/>
    </row>
    <row r="27" spans="1:23">
      <c r="A27" s="156"/>
      <c r="B27" s="158" t="s">
        <v>232</v>
      </c>
      <c r="C27" s="330">
        <v>0.01</v>
      </c>
      <c r="D27" s="330">
        <v>0.01</v>
      </c>
      <c r="E27" s="330">
        <v>0.01</v>
      </c>
      <c r="F27" s="330">
        <v>0.01</v>
      </c>
      <c r="G27" s="330">
        <v>0.01</v>
      </c>
      <c r="H27" s="330">
        <v>0.01</v>
      </c>
      <c r="I27" s="330">
        <v>0.01</v>
      </c>
      <c r="J27" s="330">
        <v>0.01</v>
      </c>
      <c r="K27" s="330">
        <v>0.01</v>
      </c>
      <c r="L27" s="330">
        <v>0.01</v>
      </c>
      <c r="M27" s="330">
        <v>0.01</v>
      </c>
      <c r="N27" s="330">
        <v>0.01</v>
      </c>
      <c r="O27" s="330">
        <v>0.01</v>
      </c>
      <c r="P27" s="330">
        <v>0.01</v>
      </c>
      <c r="Q27" s="330">
        <v>0.01</v>
      </c>
      <c r="R27" s="330">
        <v>0.01</v>
      </c>
      <c r="S27" s="330">
        <v>0.01</v>
      </c>
      <c r="T27" s="330">
        <v>0.01</v>
      </c>
      <c r="U27" s="330">
        <v>0.01</v>
      </c>
      <c r="V27" s="330">
        <v>0.01</v>
      </c>
      <c r="W27" s="333"/>
    </row>
    <row r="28" spans="1:23" ht="13.5" thickBot="1">
      <c r="A28" s="161"/>
      <c r="B28" s="162" t="s">
        <v>236</v>
      </c>
      <c r="C28" s="334">
        <v>0.5</v>
      </c>
      <c r="D28" s="334">
        <f>C28-0.05</f>
        <v>0.45</v>
      </c>
      <c r="E28" s="334">
        <f t="shared" ref="E28:G28" si="4">D28-0.05</f>
        <v>0.4</v>
      </c>
      <c r="F28" s="334">
        <f t="shared" si="4"/>
        <v>0.35000000000000003</v>
      </c>
      <c r="G28" s="334">
        <f t="shared" si="4"/>
        <v>0.30000000000000004</v>
      </c>
      <c r="H28" s="334">
        <v>0.3</v>
      </c>
      <c r="I28" s="334">
        <f>H28</f>
        <v>0.3</v>
      </c>
      <c r="J28" s="334">
        <f t="shared" ref="J28:V28" si="5">I28</f>
        <v>0.3</v>
      </c>
      <c r="K28" s="334">
        <f t="shared" si="5"/>
        <v>0.3</v>
      </c>
      <c r="L28" s="334">
        <f t="shared" si="5"/>
        <v>0.3</v>
      </c>
      <c r="M28" s="334">
        <f t="shared" si="5"/>
        <v>0.3</v>
      </c>
      <c r="N28" s="334">
        <f t="shared" si="5"/>
        <v>0.3</v>
      </c>
      <c r="O28" s="334">
        <f t="shared" si="5"/>
        <v>0.3</v>
      </c>
      <c r="P28" s="334">
        <f t="shared" si="5"/>
        <v>0.3</v>
      </c>
      <c r="Q28" s="334">
        <f t="shared" si="5"/>
        <v>0.3</v>
      </c>
      <c r="R28" s="334">
        <f t="shared" si="5"/>
        <v>0.3</v>
      </c>
      <c r="S28" s="334">
        <f t="shared" si="5"/>
        <v>0.3</v>
      </c>
      <c r="T28" s="334">
        <f t="shared" si="5"/>
        <v>0.3</v>
      </c>
      <c r="U28" s="334">
        <f t="shared" si="5"/>
        <v>0.3</v>
      </c>
      <c r="V28" s="334">
        <f t="shared" si="5"/>
        <v>0.3</v>
      </c>
      <c r="W28" s="335"/>
    </row>
    <row r="29" spans="1:23" s="221" customFormat="1" ht="16.5" thickBot="1">
      <c r="A29" s="228"/>
      <c r="B29" s="228"/>
      <c r="C29" s="228"/>
      <c r="D29" s="229"/>
      <c r="E29" s="229"/>
      <c r="F29" s="229"/>
      <c r="G29" s="229"/>
      <c r="H29" s="229"/>
      <c r="I29" s="229"/>
      <c r="J29" s="229"/>
      <c r="K29" s="229"/>
      <c r="L29" s="229"/>
      <c r="M29" s="78"/>
      <c r="N29" s="78"/>
      <c r="O29" s="78"/>
      <c r="P29" s="78"/>
      <c r="Q29" s="78"/>
      <c r="R29" s="78"/>
      <c r="S29" s="78"/>
      <c r="T29" s="78"/>
      <c r="U29" s="78"/>
      <c r="V29" s="78"/>
      <c r="W29" s="78"/>
    </row>
    <row r="30" spans="1:23" ht="15.75">
      <c r="A30" s="151" t="s">
        <v>292</v>
      </c>
      <c r="B30" s="152"/>
      <c r="C30" s="152"/>
      <c r="D30" s="153"/>
      <c r="E30" s="153"/>
      <c r="F30" s="153"/>
      <c r="G30" s="153"/>
      <c r="H30" s="153"/>
      <c r="I30" s="153"/>
      <c r="J30" s="153"/>
      <c r="K30" s="153"/>
      <c r="L30" s="153"/>
      <c r="M30" s="154"/>
      <c r="N30" s="154"/>
      <c r="O30" s="154"/>
      <c r="P30" s="154"/>
      <c r="Q30" s="154"/>
      <c r="R30" s="154"/>
      <c r="S30" s="154"/>
      <c r="T30" s="154"/>
      <c r="U30" s="154"/>
      <c r="V30" s="154"/>
      <c r="W30" s="155"/>
    </row>
    <row r="31" spans="1:23" ht="15.75">
      <c r="A31" s="185"/>
      <c r="B31" s="158" t="s">
        <v>241</v>
      </c>
      <c r="C31" s="336">
        <f>KeyAssumptions!L7</f>
        <v>0.17499999999999999</v>
      </c>
      <c r="D31" s="163"/>
      <c r="E31" s="163"/>
      <c r="F31" s="163"/>
      <c r="G31" s="163"/>
      <c r="H31" s="163"/>
      <c r="I31" s="163"/>
      <c r="J31" s="163"/>
      <c r="K31" s="163"/>
      <c r="L31" s="163"/>
      <c r="M31" s="164"/>
      <c r="N31" s="164"/>
      <c r="O31" s="164"/>
      <c r="P31" s="164"/>
      <c r="Q31" s="164"/>
      <c r="R31" s="164"/>
      <c r="S31" s="164"/>
      <c r="T31" s="164"/>
      <c r="U31" s="164"/>
      <c r="V31" s="164"/>
      <c r="W31" s="165"/>
    </row>
    <row r="32" spans="1:23" ht="15.75">
      <c r="A32" s="185"/>
      <c r="B32" s="158" t="s">
        <v>207</v>
      </c>
      <c r="C32" s="331">
        <f>KeyAssumptions!M7</f>
        <v>0.25</v>
      </c>
      <c r="D32" s="163"/>
      <c r="E32" s="163"/>
      <c r="F32" s="163"/>
      <c r="G32" s="163"/>
      <c r="H32" s="163"/>
      <c r="I32" s="163"/>
      <c r="J32" s="163"/>
      <c r="K32" s="163"/>
      <c r="L32" s="163"/>
      <c r="M32" s="164"/>
      <c r="N32" s="164"/>
      <c r="O32" s="164"/>
      <c r="P32" s="164"/>
      <c r="Q32" s="164"/>
      <c r="R32" s="164"/>
      <c r="S32" s="164"/>
      <c r="T32" s="164"/>
      <c r="U32" s="164"/>
      <c r="V32" s="164"/>
      <c r="W32" s="165"/>
    </row>
    <row r="33" spans="1:23" ht="15.75" customHeight="1">
      <c r="A33" s="185"/>
      <c r="B33" s="188" t="s">
        <v>343</v>
      </c>
      <c r="C33" s="331">
        <v>0.95</v>
      </c>
      <c r="D33" s="163"/>
      <c r="E33" s="163"/>
      <c r="F33" s="163"/>
      <c r="G33" s="163"/>
      <c r="H33" s="163"/>
      <c r="I33" s="163"/>
      <c r="J33" s="163"/>
      <c r="K33" s="163"/>
      <c r="L33" s="163"/>
      <c r="M33" s="164"/>
      <c r="N33" s="164"/>
      <c r="O33" s="164"/>
      <c r="P33" s="164"/>
      <c r="Q33" s="164"/>
      <c r="R33" s="164"/>
      <c r="S33" s="164"/>
      <c r="T33" s="164"/>
      <c r="U33" s="164"/>
      <c r="V33" s="164"/>
      <c r="W33" s="165"/>
    </row>
    <row r="34" spans="1:23" ht="15.75">
      <c r="A34" s="185"/>
      <c r="B34" s="157"/>
      <c r="C34" s="157"/>
      <c r="D34" s="163"/>
      <c r="E34" s="163"/>
      <c r="F34" s="163"/>
      <c r="G34" s="163"/>
      <c r="H34" s="163"/>
      <c r="I34" s="163"/>
      <c r="J34" s="163"/>
      <c r="K34" s="163"/>
      <c r="L34" s="163"/>
      <c r="M34" s="164"/>
      <c r="N34" s="164"/>
      <c r="O34" s="164"/>
      <c r="P34" s="164"/>
      <c r="Q34" s="164"/>
      <c r="R34" s="164"/>
      <c r="S34" s="164"/>
      <c r="T34" s="164"/>
      <c r="U34" s="164"/>
      <c r="V34" s="164"/>
      <c r="W34" s="165"/>
    </row>
    <row r="35" spans="1:23">
      <c r="A35" s="156"/>
      <c r="B35" s="158" t="s">
        <v>1</v>
      </c>
      <c r="C35" s="159">
        <v>2016</v>
      </c>
      <c r="D35" s="159">
        <v>2017</v>
      </c>
      <c r="E35" s="159">
        <v>2018</v>
      </c>
      <c r="F35" s="159">
        <v>2019</v>
      </c>
      <c r="G35" s="159">
        <v>2020</v>
      </c>
      <c r="H35" s="159">
        <v>2021</v>
      </c>
      <c r="I35" s="159">
        <v>2022</v>
      </c>
      <c r="J35" s="159">
        <v>2023</v>
      </c>
      <c r="K35" s="159">
        <v>2024</v>
      </c>
      <c r="L35" s="159">
        <v>2025</v>
      </c>
      <c r="M35" s="159">
        <v>2026</v>
      </c>
      <c r="N35" s="159">
        <v>2027</v>
      </c>
      <c r="O35" s="159">
        <v>2028</v>
      </c>
      <c r="P35" s="159">
        <v>2029</v>
      </c>
      <c r="Q35" s="159">
        <v>2030</v>
      </c>
      <c r="R35" s="159">
        <v>2031</v>
      </c>
      <c r="S35" s="159">
        <v>2032</v>
      </c>
      <c r="T35" s="159">
        <v>2033</v>
      </c>
      <c r="U35" s="159">
        <v>2034</v>
      </c>
      <c r="V35" s="159">
        <v>2035</v>
      </c>
      <c r="W35" s="160"/>
    </row>
    <row r="36" spans="1:23">
      <c r="A36" s="156"/>
      <c r="B36" s="158" t="s">
        <v>231</v>
      </c>
      <c r="C36" s="330">
        <v>0.05</v>
      </c>
      <c r="D36" s="330">
        <v>0.2</v>
      </c>
      <c r="E36" s="330">
        <v>0.2</v>
      </c>
      <c r="F36" s="330">
        <v>0.2</v>
      </c>
      <c r="G36" s="330">
        <v>0.2</v>
      </c>
      <c r="H36" s="330">
        <v>0.15</v>
      </c>
      <c r="I36" s="330">
        <v>0</v>
      </c>
      <c r="J36" s="330">
        <v>0</v>
      </c>
      <c r="K36" s="330">
        <v>0</v>
      </c>
      <c r="L36" s="330">
        <v>0</v>
      </c>
      <c r="M36" s="330">
        <v>0</v>
      </c>
      <c r="N36" s="330">
        <v>0</v>
      </c>
      <c r="O36" s="330">
        <v>0</v>
      </c>
      <c r="P36" s="330">
        <v>0</v>
      </c>
      <c r="Q36" s="330">
        <v>0</v>
      </c>
      <c r="R36" s="330">
        <v>0</v>
      </c>
      <c r="S36" s="330">
        <v>0</v>
      </c>
      <c r="T36" s="330">
        <v>0</v>
      </c>
      <c r="U36" s="330">
        <v>0</v>
      </c>
      <c r="V36" s="330">
        <v>0</v>
      </c>
      <c r="W36" s="333"/>
    </row>
    <row r="37" spans="1:23">
      <c r="A37" s="156"/>
      <c r="B37" s="158" t="s">
        <v>237</v>
      </c>
      <c r="C37" s="174">
        <f>C36</f>
        <v>0.05</v>
      </c>
      <c r="D37" s="174">
        <f>C37+D36</f>
        <v>0.25</v>
      </c>
      <c r="E37" s="174">
        <f t="shared" ref="E37:V37" si="6">D37+E36</f>
        <v>0.45</v>
      </c>
      <c r="F37" s="174">
        <f t="shared" si="6"/>
        <v>0.65</v>
      </c>
      <c r="G37" s="174">
        <f t="shared" si="6"/>
        <v>0.85000000000000009</v>
      </c>
      <c r="H37" s="174">
        <f t="shared" si="6"/>
        <v>1</v>
      </c>
      <c r="I37" s="174">
        <f t="shared" si="6"/>
        <v>1</v>
      </c>
      <c r="J37" s="174">
        <f t="shared" si="6"/>
        <v>1</v>
      </c>
      <c r="K37" s="174">
        <f t="shared" si="6"/>
        <v>1</v>
      </c>
      <c r="L37" s="174">
        <f t="shared" si="6"/>
        <v>1</v>
      </c>
      <c r="M37" s="174">
        <f t="shared" si="6"/>
        <v>1</v>
      </c>
      <c r="N37" s="174">
        <f t="shared" si="6"/>
        <v>1</v>
      </c>
      <c r="O37" s="174">
        <f t="shared" si="6"/>
        <v>1</v>
      </c>
      <c r="P37" s="174">
        <f t="shared" si="6"/>
        <v>1</v>
      </c>
      <c r="Q37" s="174">
        <f t="shared" si="6"/>
        <v>1</v>
      </c>
      <c r="R37" s="174">
        <f t="shared" si="6"/>
        <v>1</v>
      </c>
      <c r="S37" s="174">
        <f t="shared" si="6"/>
        <v>1</v>
      </c>
      <c r="T37" s="174">
        <f t="shared" si="6"/>
        <v>1</v>
      </c>
      <c r="U37" s="174">
        <f t="shared" si="6"/>
        <v>1</v>
      </c>
      <c r="V37" s="174">
        <f t="shared" si="6"/>
        <v>1</v>
      </c>
      <c r="W37" s="216"/>
    </row>
    <row r="38" spans="1:23">
      <c r="A38" s="156"/>
      <c r="B38" s="158" t="s">
        <v>232</v>
      </c>
      <c r="C38" s="330">
        <v>0.01</v>
      </c>
      <c r="D38" s="330">
        <v>0.01</v>
      </c>
      <c r="E38" s="330">
        <v>0.01</v>
      </c>
      <c r="F38" s="330">
        <v>0.01</v>
      </c>
      <c r="G38" s="330">
        <v>0.01</v>
      </c>
      <c r="H38" s="330">
        <v>0.01</v>
      </c>
      <c r="I38" s="330">
        <v>0.01</v>
      </c>
      <c r="J38" s="330">
        <v>0.01</v>
      </c>
      <c r="K38" s="330">
        <v>0.01</v>
      </c>
      <c r="L38" s="330">
        <v>0.01</v>
      </c>
      <c r="M38" s="330">
        <v>0.01</v>
      </c>
      <c r="N38" s="330">
        <v>0.01</v>
      </c>
      <c r="O38" s="330">
        <v>0.01</v>
      </c>
      <c r="P38" s="330">
        <v>0.01</v>
      </c>
      <c r="Q38" s="330">
        <v>0.01</v>
      </c>
      <c r="R38" s="330">
        <v>0.01</v>
      </c>
      <c r="S38" s="330">
        <v>0.01</v>
      </c>
      <c r="T38" s="330">
        <v>0.01</v>
      </c>
      <c r="U38" s="330">
        <v>0.01</v>
      </c>
      <c r="V38" s="330">
        <v>0.01</v>
      </c>
      <c r="W38" s="333"/>
    </row>
    <row r="39" spans="1:23" ht="13.5" thickBot="1">
      <c r="A39" s="161"/>
      <c r="B39" s="162" t="s">
        <v>236</v>
      </c>
      <c r="C39" s="334">
        <v>0.1</v>
      </c>
      <c r="D39" s="334">
        <f>C39-0.01</f>
        <v>9.0000000000000011E-2</v>
      </c>
      <c r="E39" s="334">
        <f t="shared" ref="E39:F39" si="7">D39-0.01</f>
        <v>8.0000000000000016E-2</v>
      </c>
      <c r="F39" s="334">
        <f t="shared" si="7"/>
        <v>7.0000000000000021E-2</v>
      </c>
      <c r="G39" s="334">
        <v>0.06</v>
      </c>
      <c r="H39" s="334">
        <v>0.06</v>
      </c>
      <c r="I39" s="334">
        <f>H39</f>
        <v>0.06</v>
      </c>
      <c r="J39" s="334">
        <f t="shared" ref="J39:V39" si="8">I39</f>
        <v>0.06</v>
      </c>
      <c r="K39" s="334">
        <f t="shared" si="8"/>
        <v>0.06</v>
      </c>
      <c r="L39" s="334">
        <f t="shared" si="8"/>
        <v>0.06</v>
      </c>
      <c r="M39" s="334">
        <f t="shared" si="8"/>
        <v>0.06</v>
      </c>
      <c r="N39" s="334">
        <f t="shared" si="8"/>
        <v>0.06</v>
      </c>
      <c r="O39" s="334">
        <f t="shared" si="8"/>
        <v>0.06</v>
      </c>
      <c r="P39" s="334">
        <f t="shared" si="8"/>
        <v>0.06</v>
      </c>
      <c r="Q39" s="334">
        <f t="shared" si="8"/>
        <v>0.06</v>
      </c>
      <c r="R39" s="334">
        <f t="shared" si="8"/>
        <v>0.06</v>
      </c>
      <c r="S39" s="334">
        <f t="shared" si="8"/>
        <v>0.06</v>
      </c>
      <c r="T39" s="334">
        <f t="shared" si="8"/>
        <v>0.06</v>
      </c>
      <c r="U39" s="334">
        <f t="shared" si="8"/>
        <v>0.06</v>
      </c>
      <c r="V39" s="334">
        <f t="shared" si="8"/>
        <v>0.06</v>
      </c>
      <c r="W39" s="335"/>
    </row>
    <row r="40" spans="1:23" s="221" customFormat="1" ht="16.5" thickBot="1">
      <c r="A40" s="228"/>
      <c r="B40" s="228"/>
      <c r="C40" s="228"/>
      <c r="D40" s="229"/>
      <c r="E40" s="229"/>
      <c r="F40" s="229"/>
      <c r="G40" s="229"/>
      <c r="H40" s="229"/>
      <c r="I40" s="229"/>
      <c r="J40" s="229"/>
      <c r="K40" s="229"/>
      <c r="L40" s="229"/>
      <c r="M40" s="78"/>
      <c r="N40" s="78"/>
      <c r="O40" s="78"/>
      <c r="P40" s="78"/>
      <c r="Q40" s="78"/>
      <c r="R40" s="78"/>
      <c r="S40" s="78"/>
      <c r="T40" s="78"/>
      <c r="U40" s="78"/>
      <c r="V40" s="78"/>
      <c r="W40" s="78"/>
    </row>
    <row r="41" spans="1:23" ht="15.75">
      <c r="A41" s="151" t="s">
        <v>293</v>
      </c>
      <c r="B41" s="152"/>
      <c r="C41" s="152"/>
      <c r="D41" s="153"/>
      <c r="E41" s="153"/>
      <c r="F41" s="153"/>
      <c r="G41" s="153"/>
      <c r="H41" s="153"/>
      <c r="I41" s="153"/>
      <c r="J41" s="153"/>
      <c r="K41" s="153"/>
      <c r="L41" s="153"/>
      <c r="M41" s="154"/>
      <c r="N41" s="154"/>
      <c r="O41" s="154"/>
      <c r="P41" s="154"/>
      <c r="Q41" s="154"/>
      <c r="R41" s="154"/>
      <c r="S41" s="154"/>
      <c r="T41" s="154"/>
      <c r="U41" s="154"/>
      <c r="V41" s="154"/>
      <c r="W41" s="155"/>
    </row>
    <row r="42" spans="1:23" ht="15.75">
      <c r="A42" s="185"/>
      <c r="B42" s="158" t="s">
        <v>241</v>
      </c>
      <c r="C42" s="336">
        <f>KeyAssumptions!L5</f>
        <v>0.56999999999999995</v>
      </c>
      <c r="D42" s="163"/>
      <c r="E42" s="163"/>
      <c r="F42" s="163"/>
      <c r="G42" s="163"/>
      <c r="H42" s="163"/>
      <c r="I42" s="163"/>
      <c r="J42" s="163"/>
      <c r="K42" s="163"/>
      <c r="L42" s="163"/>
      <c r="M42" s="164"/>
      <c r="N42" s="164"/>
      <c r="O42" s="164"/>
      <c r="P42" s="164"/>
      <c r="Q42" s="164"/>
      <c r="R42" s="164"/>
      <c r="S42" s="164"/>
      <c r="T42" s="164"/>
      <c r="U42" s="164"/>
      <c r="V42" s="164"/>
      <c r="W42" s="165"/>
    </row>
    <row r="43" spans="1:23" ht="15.75">
      <c r="A43" s="185"/>
      <c r="B43" s="158" t="s">
        <v>207</v>
      </c>
      <c r="C43" s="331">
        <f>KeyAssumptions!M5</f>
        <v>0.25</v>
      </c>
      <c r="D43" s="163"/>
      <c r="E43" s="163"/>
      <c r="F43" s="163"/>
      <c r="G43" s="163"/>
      <c r="H43" s="163"/>
      <c r="I43" s="163"/>
      <c r="J43" s="163"/>
      <c r="K43" s="163"/>
      <c r="L43" s="163"/>
      <c r="M43" s="164"/>
      <c r="N43" s="164"/>
      <c r="O43" s="164"/>
      <c r="P43" s="164"/>
      <c r="Q43" s="164"/>
      <c r="R43" s="164"/>
      <c r="S43" s="164"/>
      <c r="T43" s="164"/>
      <c r="U43" s="164"/>
      <c r="V43" s="164"/>
      <c r="W43" s="165"/>
    </row>
    <row r="44" spans="1:23" ht="15.75" customHeight="1">
      <c r="A44" s="185"/>
      <c r="B44" s="188" t="s">
        <v>343</v>
      </c>
      <c r="C44" s="331">
        <v>0.95</v>
      </c>
      <c r="D44" s="163"/>
      <c r="E44" s="163"/>
      <c r="F44" s="163"/>
      <c r="G44" s="163"/>
      <c r="H44" s="163"/>
      <c r="I44" s="163"/>
      <c r="J44" s="163"/>
      <c r="K44" s="163"/>
      <c r="L44" s="163"/>
      <c r="M44" s="164"/>
      <c r="N44" s="164"/>
      <c r="O44" s="164"/>
      <c r="P44" s="164"/>
      <c r="Q44" s="164"/>
      <c r="R44" s="164"/>
      <c r="S44" s="164"/>
      <c r="T44" s="164"/>
      <c r="U44" s="164"/>
      <c r="V44" s="164"/>
      <c r="W44" s="165"/>
    </row>
    <row r="45" spans="1:23" ht="15.75">
      <c r="A45" s="185"/>
      <c r="B45" s="157"/>
      <c r="C45" s="157"/>
      <c r="D45" s="163"/>
      <c r="E45" s="163"/>
      <c r="F45" s="163"/>
      <c r="G45" s="163"/>
      <c r="H45" s="163"/>
      <c r="I45" s="163"/>
      <c r="J45" s="163"/>
      <c r="K45" s="163"/>
      <c r="L45" s="163"/>
      <c r="M45" s="164"/>
      <c r="N45" s="164"/>
      <c r="O45" s="164"/>
      <c r="P45" s="164"/>
      <c r="Q45" s="164"/>
      <c r="R45" s="164"/>
      <c r="S45" s="164"/>
      <c r="T45" s="164"/>
      <c r="U45" s="164"/>
      <c r="V45" s="164"/>
      <c r="W45" s="165"/>
    </row>
    <row r="46" spans="1:23">
      <c r="A46" s="156"/>
      <c r="B46" s="158" t="s">
        <v>1</v>
      </c>
      <c r="C46" s="159">
        <v>2016</v>
      </c>
      <c r="D46" s="159">
        <v>2017</v>
      </c>
      <c r="E46" s="159">
        <v>2018</v>
      </c>
      <c r="F46" s="159">
        <v>2019</v>
      </c>
      <c r="G46" s="159">
        <v>2020</v>
      </c>
      <c r="H46" s="159">
        <v>2021</v>
      </c>
      <c r="I46" s="159">
        <v>2022</v>
      </c>
      <c r="J46" s="159">
        <v>2023</v>
      </c>
      <c r="K46" s="159">
        <v>2024</v>
      </c>
      <c r="L46" s="159">
        <v>2025</v>
      </c>
      <c r="M46" s="159">
        <v>2026</v>
      </c>
      <c r="N46" s="159">
        <v>2027</v>
      </c>
      <c r="O46" s="159">
        <v>2028</v>
      </c>
      <c r="P46" s="159">
        <v>2029</v>
      </c>
      <c r="Q46" s="159">
        <v>2030</v>
      </c>
      <c r="R46" s="159">
        <v>2031</v>
      </c>
      <c r="S46" s="159">
        <v>2032</v>
      </c>
      <c r="T46" s="159">
        <v>2033</v>
      </c>
      <c r="U46" s="159">
        <v>2034</v>
      </c>
      <c r="V46" s="159">
        <v>2035</v>
      </c>
      <c r="W46" s="160"/>
    </row>
    <row r="47" spans="1:23">
      <c r="A47" s="156"/>
      <c r="B47" s="158" t="s">
        <v>231</v>
      </c>
      <c r="C47" s="330">
        <v>0.05</v>
      </c>
      <c r="D47" s="330">
        <v>0.2</v>
      </c>
      <c r="E47" s="330">
        <v>0.2</v>
      </c>
      <c r="F47" s="330">
        <v>0.2</v>
      </c>
      <c r="G47" s="330">
        <v>0.2</v>
      </c>
      <c r="H47" s="330">
        <v>0.15</v>
      </c>
      <c r="I47" s="330">
        <v>0</v>
      </c>
      <c r="J47" s="330">
        <v>0</v>
      </c>
      <c r="K47" s="330">
        <v>0</v>
      </c>
      <c r="L47" s="330">
        <v>0</v>
      </c>
      <c r="M47" s="330">
        <v>0</v>
      </c>
      <c r="N47" s="330">
        <v>0</v>
      </c>
      <c r="O47" s="330">
        <v>0</v>
      </c>
      <c r="P47" s="330">
        <v>0</v>
      </c>
      <c r="Q47" s="330">
        <v>0</v>
      </c>
      <c r="R47" s="330">
        <v>0</v>
      </c>
      <c r="S47" s="330">
        <v>0</v>
      </c>
      <c r="T47" s="330">
        <v>0</v>
      </c>
      <c r="U47" s="330">
        <v>0</v>
      </c>
      <c r="V47" s="330">
        <v>0</v>
      </c>
      <c r="W47" s="333"/>
    </row>
    <row r="48" spans="1:23">
      <c r="A48" s="156"/>
      <c r="B48" s="158" t="s">
        <v>237</v>
      </c>
      <c r="C48" s="174">
        <f>C47</f>
        <v>0.05</v>
      </c>
      <c r="D48" s="174">
        <f>C48+D47</f>
        <v>0.25</v>
      </c>
      <c r="E48" s="174">
        <f t="shared" ref="E48:V48" si="9">D48+E47</f>
        <v>0.45</v>
      </c>
      <c r="F48" s="174">
        <f t="shared" si="9"/>
        <v>0.65</v>
      </c>
      <c r="G48" s="174">
        <f t="shared" si="9"/>
        <v>0.85000000000000009</v>
      </c>
      <c r="H48" s="174">
        <f t="shared" si="9"/>
        <v>1</v>
      </c>
      <c r="I48" s="174">
        <f t="shared" si="9"/>
        <v>1</v>
      </c>
      <c r="J48" s="174">
        <f t="shared" si="9"/>
        <v>1</v>
      </c>
      <c r="K48" s="174">
        <f t="shared" si="9"/>
        <v>1</v>
      </c>
      <c r="L48" s="174">
        <f t="shared" si="9"/>
        <v>1</v>
      </c>
      <c r="M48" s="174">
        <f t="shared" si="9"/>
        <v>1</v>
      </c>
      <c r="N48" s="174">
        <f t="shared" si="9"/>
        <v>1</v>
      </c>
      <c r="O48" s="174">
        <f t="shared" si="9"/>
        <v>1</v>
      </c>
      <c r="P48" s="174">
        <f t="shared" si="9"/>
        <v>1</v>
      </c>
      <c r="Q48" s="174">
        <f t="shared" si="9"/>
        <v>1</v>
      </c>
      <c r="R48" s="174">
        <f t="shared" si="9"/>
        <v>1</v>
      </c>
      <c r="S48" s="174">
        <f t="shared" si="9"/>
        <v>1</v>
      </c>
      <c r="T48" s="174">
        <f t="shared" si="9"/>
        <v>1</v>
      </c>
      <c r="U48" s="174">
        <f t="shared" si="9"/>
        <v>1</v>
      </c>
      <c r="V48" s="174">
        <f t="shared" si="9"/>
        <v>1</v>
      </c>
      <c r="W48" s="216"/>
    </row>
    <row r="49" spans="1:23">
      <c r="A49" s="156"/>
      <c r="B49" s="158" t="s">
        <v>232</v>
      </c>
      <c r="C49" s="330">
        <v>0.01</v>
      </c>
      <c r="D49" s="330">
        <v>0.01</v>
      </c>
      <c r="E49" s="330">
        <v>0.01</v>
      </c>
      <c r="F49" s="330">
        <v>0.01</v>
      </c>
      <c r="G49" s="330">
        <v>0.01</v>
      </c>
      <c r="H49" s="330">
        <v>0.01</v>
      </c>
      <c r="I49" s="330">
        <v>0.01</v>
      </c>
      <c r="J49" s="330">
        <v>0.01</v>
      </c>
      <c r="K49" s="330">
        <v>0.01</v>
      </c>
      <c r="L49" s="330">
        <v>0.01</v>
      </c>
      <c r="M49" s="330">
        <v>0.01</v>
      </c>
      <c r="N49" s="330">
        <v>0.01</v>
      </c>
      <c r="O49" s="330">
        <v>0.01</v>
      </c>
      <c r="P49" s="330">
        <v>0.01</v>
      </c>
      <c r="Q49" s="330">
        <v>0.01</v>
      </c>
      <c r="R49" s="330">
        <v>0.01</v>
      </c>
      <c r="S49" s="330">
        <v>0.01</v>
      </c>
      <c r="T49" s="330">
        <v>0.01</v>
      </c>
      <c r="U49" s="330">
        <v>0.01</v>
      </c>
      <c r="V49" s="330">
        <v>0.01</v>
      </c>
      <c r="W49" s="333"/>
    </row>
    <row r="50" spans="1:23" ht="13.5" thickBot="1">
      <c r="A50" s="161"/>
      <c r="B50" s="162" t="s">
        <v>236</v>
      </c>
      <c r="C50" s="334">
        <v>0.9</v>
      </c>
      <c r="D50" s="334">
        <v>0.9</v>
      </c>
      <c r="E50" s="334">
        <v>0.9</v>
      </c>
      <c r="F50" s="334">
        <v>0.9</v>
      </c>
      <c r="G50" s="334">
        <v>0.9</v>
      </c>
      <c r="H50" s="334">
        <v>0.9</v>
      </c>
      <c r="I50" s="334">
        <v>0.9</v>
      </c>
      <c r="J50" s="334">
        <v>0.9</v>
      </c>
      <c r="K50" s="334">
        <v>0.9</v>
      </c>
      <c r="L50" s="334">
        <v>0.9</v>
      </c>
      <c r="M50" s="334">
        <v>0.9</v>
      </c>
      <c r="N50" s="334">
        <v>0.9</v>
      </c>
      <c r="O50" s="334">
        <v>0.9</v>
      </c>
      <c r="P50" s="334">
        <v>0.9</v>
      </c>
      <c r="Q50" s="334">
        <v>0.9</v>
      </c>
      <c r="R50" s="334">
        <v>0.9</v>
      </c>
      <c r="S50" s="334">
        <v>0.9</v>
      </c>
      <c r="T50" s="334">
        <v>0.9</v>
      </c>
      <c r="U50" s="334">
        <v>0.9</v>
      </c>
      <c r="V50" s="334">
        <v>0.9</v>
      </c>
      <c r="W50" s="334"/>
    </row>
    <row r="51" spans="1:23" s="221" customFormat="1" ht="13.5" thickBot="1">
      <c r="A51" s="227"/>
      <c r="B51" s="227"/>
    </row>
    <row r="52" spans="1:23" ht="15.75" thickBot="1">
      <c r="A52" s="186" t="s">
        <v>240</v>
      </c>
      <c r="B52" s="187"/>
      <c r="C52" s="180"/>
      <c r="D52" s="180"/>
      <c r="E52" s="180"/>
      <c r="F52" s="180"/>
      <c r="G52" s="180"/>
      <c r="H52" s="180"/>
      <c r="I52" s="180"/>
      <c r="J52" s="180"/>
      <c r="K52" s="180"/>
      <c r="L52" s="180"/>
      <c r="M52" s="180"/>
      <c r="N52" s="180"/>
      <c r="O52" s="180"/>
      <c r="P52" s="180"/>
      <c r="Q52" s="180"/>
      <c r="R52" s="180"/>
      <c r="S52" s="180"/>
      <c r="T52" s="180"/>
      <c r="U52" s="180"/>
      <c r="V52" s="180"/>
      <c r="W52" s="181"/>
    </row>
    <row r="53" spans="1:23">
      <c r="A53" s="77" t="s">
        <v>212</v>
      </c>
      <c r="B53" s="77"/>
      <c r="F53" s="78"/>
      <c r="G53" s="78"/>
    </row>
    <row r="55" spans="1:23">
      <c r="A55" s="79"/>
      <c r="B55" s="323"/>
      <c r="C55" s="469" t="s">
        <v>213</v>
      </c>
      <c r="D55" s="469"/>
      <c r="E55" s="469"/>
      <c r="F55" s="469"/>
      <c r="G55" s="469"/>
      <c r="H55" s="469"/>
      <c r="I55" s="469"/>
      <c r="J55" s="469"/>
      <c r="K55" s="469"/>
      <c r="L55" s="469"/>
      <c r="M55" s="469"/>
      <c r="N55" s="469"/>
      <c r="O55" s="469"/>
      <c r="P55" s="469"/>
      <c r="Q55" s="469"/>
      <c r="R55" s="469"/>
      <c r="S55" s="469"/>
      <c r="T55" s="469"/>
      <c r="U55" s="469"/>
      <c r="V55" s="469"/>
      <c r="W55" s="469"/>
    </row>
    <row r="56" spans="1:23" ht="16.5" customHeight="1">
      <c r="A56" s="80" t="s">
        <v>214</v>
      </c>
      <c r="B56" s="81"/>
      <c r="C56" s="324">
        <v>2016</v>
      </c>
      <c r="D56" s="324">
        <v>2017</v>
      </c>
      <c r="E56" s="324">
        <v>2018</v>
      </c>
      <c r="F56" s="324">
        <v>2019</v>
      </c>
      <c r="G56" s="324">
        <v>2020</v>
      </c>
      <c r="H56" s="324">
        <v>2021</v>
      </c>
      <c r="I56" s="324">
        <v>2022</v>
      </c>
      <c r="J56" s="324">
        <v>2023</v>
      </c>
      <c r="K56" s="324">
        <v>2024</v>
      </c>
      <c r="L56" s="324">
        <v>2025</v>
      </c>
      <c r="M56" s="324">
        <v>2026</v>
      </c>
      <c r="N56" s="324">
        <v>2027</v>
      </c>
      <c r="O56" s="324">
        <v>2028</v>
      </c>
      <c r="P56" s="324">
        <v>2029</v>
      </c>
      <c r="Q56" s="324">
        <v>2030</v>
      </c>
      <c r="R56" s="324">
        <v>2031</v>
      </c>
      <c r="S56" s="324">
        <v>2032</v>
      </c>
      <c r="T56" s="324">
        <v>2033</v>
      </c>
      <c r="U56" s="324">
        <v>2034</v>
      </c>
      <c r="V56" s="324">
        <v>2035</v>
      </c>
      <c r="W56" s="324"/>
    </row>
    <row r="57" spans="1:23">
      <c r="A57" s="82"/>
      <c r="B57" s="83"/>
      <c r="C57" s="82"/>
      <c r="D57" s="82"/>
      <c r="E57" s="82"/>
      <c r="F57" s="82"/>
      <c r="G57" s="82"/>
      <c r="H57" s="84"/>
      <c r="I57" s="82"/>
      <c r="J57" s="82"/>
      <c r="K57" s="82"/>
      <c r="L57" s="82"/>
      <c r="M57" s="82"/>
      <c r="N57" s="82"/>
      <c r="O57" s="82"/>
      <c r="P57" s="82"/>
      <c r="Q57" s="82"/>
      <c r="R57" s="82"/>
      <c r="S57" s="82"/>
      <c r="T57" s="82"/>
      <c r="U57" s="82"/>
      <c r="V57" s="82"/>
      <c r="W57" s="82"/>
    </row>
    <row r="58" spans="1:23">
      <c r="A58" s="166" t="s">
        <v>285</v>
      </c>
      <c r="B58" s="83"/>
      <c r="C58" s="86">
        <f>C70</f>
        <v>13743.006440624999</v>
      </c>
      <c r="D58" s="86">
        <f t="shared" ref="D58:V58" si="10">D70-C70</f>
        <v>49031.004979687496</v>
      </c>
      <c r="E58" s="86">
        <f t="shared" si="10"/>
        <v>39142.045707187499</v>
      </c>
      <c r="F58" s="86">
        <f t="shared" si="10"/>
        <v>28750.932137812517</v>
      </c>
      <c r="G58" s="86">
        <f t="shared" si="10"/>
        <v>17866.297752187485</v>
      </c>
      <c r="H58" s="86">
        <f t="shared" si="10"/>
        <v>28601.567032499966</v>
      </c>
      <c r="I58" s="86">
        <f t="shared" si="10"/>
        <v>2374.1140500000038</v>
      </c>
      <c r="J58" s="86">
        <f t="shared" si="10"/>
        <v>2361.3801750000275</v>
      </c>
      <c r="K58" s="86">
        <f t="shared" si="10"/>
        <v>2338.797037500015</v>
      </c>
      <c r="L58" s="86">
        <f t="shared" si="10"/>
        <v>2327.1546374999743</v>
      </c>
      <c r="M58" s="86">
        <f t="shared" si="10"/>
        <v>2300.9852249999531</v>
      </c>
      <c r="N58" s="86">
        <f t="shared" si="10"/>
        <v>2261.5881750000408</v>
      </c>
      <c r="O58" s="86">
        <f t="shared" si="10"/>
        <v>2212.7836499999976</v>
      </c>
      <c r="P58" s="86">
        <f t="shared" si="10"/>
        <v>2175.3356625000015</v>
      </c>
      <c r="Q58" s="86">
        <f t="shared" si="10"/>
        <v>2155.8450374999957</v>
      </c>
      <c r="R58" s="86">
        <f t="shared" si="10"/>
        <v>2179.6198562867648</v>
      </c>
      <c r="S58" s="86">
        <f t="shared" si="10"/>
        <v>2203.6568655363808</v>
      </c>
      <c r="T58" s="86">
        <f t="shared" si="10"/>
        <v>2227.958956704766</v>
      </c>
      <c r="U58" s="86">
        <f t="shared" si="10"/>
        <v>2252.5290531349601</v>
      </c>
      <c r="V58" s="86">
        <f t="shared" si="10"/>
        <v>2277.3701104088104</v>
      </c>
      <c r="W58" s="86"/>
    </row>
    <row r="59" spans="1:23">
      <c r="A59" s="166" t="s">
        <v>286</v>
      </c>
      <c r="B59" s="83"/>
      <c r="C59" s="86">
        <f>C71</f>
        <v>1374.3006440624999</v>
      </c>
      <c r="D59" s="86">
        <f t="shared" ref="D59:V59" si="11">D71-C71</f>
        <v>4903.1004979687496</v>
      </c>
      <c r="E59" s="86">
        <f t="shared" si="11"/>
        <v>3914.2045707187535</v>
      </c>
      <c r="F59" s="86">
        <f t="shared" si="11"/>
        <v>2875.0932137812506</v>
      </c>
      <c r="G59" s="86">
        <f t="shared" si="11"/>
        <v>1786.6297752187475</v>
      </c>
      <c r="H59" s="86">
        <f t="shared" si="11"/>
        <v>2860.1567032499988</v>
      </c>
      <c r="I59" s="86">
        <f t="shared" si="11"/>
        <v>237.41140499999892</v>
      </c>
      <c r="J59" s="86">
        <f t="shared" si="11"/>
        <v>236.1380175000013</v>
      </c>
      <c r="K59" s="86">
        <f t="shared" si="11"/>
        <v>233.87970375000077</v>
      </c>
      <c r="L59" s="86">
        <f t="shared" si="11"/>
        <v>232.71546374999525</v>
      </c>
      <c r="M59" s="86">
        <f t="shared" si="11"/>
        <v>230.0985225000004</v>
      </c>
      <c r="N59" s="86">
        <f t="shared" si="11"/>
        <v>226.15881749999971</v>
      </c>
      <c r="O59" s="86">
        <f t="shared" si="11"/>
        <v>221.27836500000558</v>
      </c>
      <c r="P59" s="86">
        <f t="shared" si="11"/>
        <v>217.53356624999651</v>
      </c>
      <c r="Q59" s="86">
        <f t="shared" si="11"/>
        <v>215.58450375000029</v>
      </c>
      <c r="R59" s="86">
        <f t="shared" si="11"/>
        <v>217.96198562867721</v>
      </c>
      <c r="S59" s="86">
        <f t="shared" si="11"/>
        <v>220.3656865536359</v>
      </c>
      <c r="T59" s="86">
        <f t="shared" si="11"/>
        <v>222.79589567047515</v>
      </c>
      <c r="U59" s="86">
        <f t="shared" si="11"/>
        <v>225.25290531349674</v>
      </c>
      <c r="V59" s="86">
        <f t="shared" si="11"/>
        <v>227.73701104088468</v>
      </c>
      <c r="W59" s="86"/>
    </row>
    <row r="60" spans="1:23">
      <c r="A60" s="166" t="s">
        <v>239</v>
      </c>
      <c r="B60" s="83"/>
      <c r="C60" s="86">
        <f>C72</f>
        <v>12957.691786875002</v>
      </c>
      <c r="D60" s="86">
        <f t="shared" ref="D60:V60" si="12">D72-C72</f>
        <v>46229.2332665625</v>
      </c>
      <c r="E60" s="86">
        <f t="shared" si="12"/>
        <v>36905.357381062524</v>
      </c>
      <c r="F60" s="86">
        <f t="shared" si="12"/>
        <v>27108.021729937507</v>
      </c>
      <c r="G60" s="86">
        <f t="shared" si="12"/>
        <v>16845.366452062488</v>
      </c>
      <c r="H60" s="86">
        <f t="shared" si="12"/>
        <v>26967.191773499973</v>
      </c>
      <c r="I60" s="86">
        <f t="shared" si="12"/>
        <v>2238.4503899999836</v>
      </c>
      <c r="J60" s="86">
        <f t="shared" si="12"/>
        <v>2226.4441650000226</v>
      </c>
      <c r="K60" s="86">
        <f t="shared" si="12"/>
        <v>2205.1514925000083</v>
      </c>
      <c r="L60" s="86">
        <f t="shared" si="12"/>
        <v>2194.1743724999542</v>
      </c>
      <c r="M60" s="86">
        <f t="shared" si="12"/>
        <v>2169.5003550000547</v>
      </c>
      <c r="N60" s="86">
        <f t="shared" si="12"/>
        <v>2132.354565000016</v>
      </c>
      <c r="O60" s="86">
        <f t="shared" si="12"/>
        <v>2086.3388699999487</v>
      </c>
      <c r="P60" s="86">
        <f t="shared" si="12"/>
        <v>2051.0307675000222</v>
      </c>
      <c r="Q60" s="86">
        <f t="shared" si="12"/>
        <v>2032.6538925000059</v>
      </c>
      <c r="R60" s="86">
        <f t="shared" si="12"/>
        <v>2055.0701502131997</v>
      </c>
      <c r="S60" s="86">
        <f t="shared" si="12"/>
        <v>2077.7336160771956</v>
      </c>
      <c r="T60" s="86">
        <f t="shared" si="12"/>
        <v>2100.6470163215999</v>
      </c>
      <c r="U60" s="86">
        <f t="shared" si="12"/>
        <v>2123.8131072415563</v>
      </c>
      <c r="V60" s="86">
        <f t="shared" si="12"/>
        <v>2147.234675528307</v>
      </c>
      <c r="W60" s="86"/>
    </row>
    <row r="61" spans="1:23">
      <c r="A61" s="85" t="s">
        <v>215</v>
      </c>
      <c r="B61" s="83"/>
      <c r="C61" s="86">
        <f>C73</f>
        <v>40286.641737375001</v>
      </c>
      <c r="D61" s="86">
        <f t="shared" ref="D61:V61" si="13">D73-C73</f>
        <v>164177.28117449998</v>
      </c>
      <c r="E61" s="86">
        <f t="shared" si="13"/>
        <v>168985.62927675</v>
      </c>
      <c r="F61" s="86">
        <f t="shared" si="13"/>
        <v>173751.79877550004</v>
      </c>
      <c r="G61" s="86">
        <f t="shared" si="13"/>
        <v>178489.851321375</v>
      </c>
      <c r="H61" s="86">
        <f t="shared" si="13"/>
        <v>139739.08464449982</v>
      </c>
      <c r="I61" s="86">
        <f t="shared" si="13"/>
        <v>11599.242930000182</v>
      </c>
      <c r="J61" s="86">
        <f t="shared" si="13"/>
        <v>11537.028854999808</v>
      </c>
      <c r="K61" s="86">
        <f t="shared" si="13"/>
        <v>11426.694097500062</v>
      </c>
      <c r="L61" s="86">
        <f t="shared" si="13"/>
        <v>11369.812657500035</v>
      </c>
      <c r="M61" s="86">
        <f t="shared" si="13"/>
        <v>11241.956385000027</v>
      </c>
      <c r="N61" s="86">
        <f t="shared" si="13"/>
        <v>11049.47365499998</v>
      </c>
      <c r="O61" s="86">
        <f t="shared" si="13"/>
        <v>10811.028690000065</v>
      </c>
      <c r="P61" s="86">
        <f t="shared" si="13"/>
        <v>10628.068522499991</v>
      </c>
      <c r="Q61" s="86">
        <f t="shared" si="13"/>
        <v>10532.842897499911</v>
      </c>
      <c r="R61" s="86">
        <f t="shared" si="13"/>
        <v>10648.999869286548</v>
      </c>
      <c r="S61" s="86">
        <f t="shared" si="13"/>
        <v>10766.437828763621</v>
      </c>
      <c r="T61" s="86">
        <f t="shared" si="13"/>
        <v>10885.170902757556</v>
      </c>
      <c r="U61" s="86">
        <f t="shared" si="13"/>
        <v>11005.213373887935</v>
      </c>
      <c r="V61" s="86">
        <f t="shared" si="13"/>
        <v>11126.579682283336</v>
      </c>
      <c r="W61" s="86"/>
    </row>
    <row r="62" spans="1:23">
      <c r="A62" s="87"/>
      <c r="B62" s="88"/>
      <c r="C62" s="89"/>
      <c r="D62" s="90"/>
      <c r="E62" s="90"/>
      <c r="F62" s="90"/>
      <c r="G62" s="90"/>
      <c r="H62" s="90"/>
      <c r="I62" s="90"/>
      <c r="J62" s="90"/>
      <c r="K62" s="90"/>
      <c r="L62" s="90"/>
      <c r="M62" s="90"/>
      <c r="N62" s="90"/>
      <c r="O62" s="90"/>
      <c r="P62" s="90"/>
      <c r="Q62" s="90"/>
      <c r="R62" s="90"/>
      <c r="S62" s="90"/>
      <c r="T62" s="90"/>
      <c r="U62" s="90"/>
      <c r="V62" s="90"/>
      <c r="W62" s="90"/>
    </row>
    <row r="63" spans="1:23">
      <c r="A63" s="91" t="s">
        <v>216</v>
      </c>
      <c r="B63" s="92"/>
      <c r="C63" s="93">
        <f t="shared" ref="C63:V63" si="14">SUM(C58:C61)</f>
        <v>68361.640608937509</v>
      </c>
      <c r="D63" s="93">
        <f t="shared" si="14"/>
        <v>264340.6199187187</v>
      </c>
      <c r="E63" s="93">
        <f t="shared" si="14"/>
        <v>248947.23693571877</v>
      </c>
      <c r="F63" s="93">
        <f t="shared" si="14"/>
        <v>232485.84585703129</v>
      </c>
      <c r="G63" s="93">
        <f t="shared" si="14"/>
        <v>214988.14530084372</v>
      </c>
      <c r="H63" s="93">
        <f t="shared" si="14"/>
        <v>198168.00015374977</v>
      </c>
      <c r="I63" s="93">
        <f t="shared" si="14"/>
        <v>16449.218775000169</v>
      </c>
      <c r="J63" s="93">
        <f t="shared" si="14"/>
        <v>16360.991212499859</v>
      </c>
      <c r="K63" s="93">
        <f t="shared" si="14"/>
        <v>16204.522331250086</v>
      </c>
      <c r="L63" s="93">
        <f t="shared" si="14"/>
        <v>16123.857131249959</v>
      </c>
      <c r="M63" s="93">
        <f t="shared" si="14"/>
        <v>15942.540487500035</v>
      </c>
      <c r="N63" s="93">
        <f t="shared" si="14"/>
        <v>15669.575212500036</v>
      </c>
      <c r="O63" s="93">
        <f t="shared" si="14"/>
        <v>15331.429575000016</v>
      </c>
      <c r="P63" s="93">
        <f t="shared" si="14"/>
        <v>15071.968518750011</v>
      </c>
      <c r="Q63" s="93">
        <f t="shared" si="14"/>
        <v>14936.926331249913</v>
      </c>
      <c r="R63" s="93">
        <f t="shared" si="14"/>
        <v>15101.65186141519</v>
      </c>
      <c r="S63" s="93">
        <f t="shared" si="14"/>
        <v>15268.193996930833</v>
      </c>
      <c r="T63" s="93">
        <f t="shared" si="14"/>
        <v>15436.572771454397</v>
      </c>
      <c r="U63" s="93">
        <f t="shared" si="14"/>
        <v>15606.808439577948</v>
      </c>
      <c r="V63" s="93">
        <f t="shared" si="14"/>
        <v>15778.921479261338</v>
      </c>
      <c r="W63" s="93"/>
    </row>
    <row r="64" spans="1:23">
      <c r="A64" s="94"/>
      <c r="B64" s="94"/>
      <c r="C64" s="95"/>
      <c r="D64" s="95"/>
      <c r="E64" s="95"/>
      <c r="F64" s="95"/>
      <c r="G64" s="95"/>
      <c r="H64" s="95"/>
      <c r="I64" s="95"/>
      <c r="J64" s="94"/>
      <c r="K64" s="94"/>
      <c r="L64" s="94"/>
    </row>
    <row r="65" spans="1:23">
      <c r="A65" s="96" t="s">
        <v>217</v>
      </c>
      <c r="B65" s="96"/>
      <c r="C65" s="97"/>
      <c r="D65" s="97"/>
      <c r="E65" s="97"/>
      <c r="F65" s="97"/>
      <c r="G65" s="97"/>
      <c r="H65" s="97"/>
      <c r="I65" s="97"/>
      <c r="J65" s="98"/>
      <c r="K65" s="98"/>
      <c r="L65" s="98"/>
    </row>
    <row r="66" spans="1:23">
      <c r="A66" s="96"/>
      <c r="B66" s="96"/>
      <c r="C66" s="97"/>
      <c r="D66" s="97"/>
      <c r="E66" s="97"/>
      <c r="F66" s="97"/>
      <c r="G66" s="97"/>
      <c r="H66" s="97"/>
      <c r="I66" s="97"/>
      <c r="J66" s="98"/>
      <c r="K66" s="98"/>
      <c r="L66" s="98"/>
    </row>
    <row r="67" spans="1:23">
      <c r="A67" s="470" t="s">
        <v>214</v>
      </c>
      <c r="B67" s="472"/>
      <c r="C67" s="469" t="s">
        <v>218</v>
      </c>
      <c r="D67" s="469"/>
      <c r="E67" s="469"/>
      <c r="F67" s="469"/>
      <c r="G67" s="469"/>
      <c r="H67" s="469"/>
      <c r="I67" s="469"/>
      <c r="J67" s="469"/>
      <c r="K67" s="469"/>
      <c r="L67" s="469"/>
      <c r="M67" s="469"/>
      <c r="N67" s="469"/>
      <c r="O67" s="469"/>
      <c r="P67" s="469"/>
      <c r="Q67" s="469"/>
      <c r="R67" s="469"/>
      <c r="S67" s="469"/>
      <c r="T67" s="469"/>
      <c r="U67" s="469"/>
      <c r="V67" s="469"/>
      <c r="W67" s="469"/>
    </row>
    <row r="68" spans="1:23">
      <c r="A68" s="471"/>
      <c r="B68" s="473"/>
      <c r="C68" s="324">
        <v>2016</v>
      </c>
      <c r="D68" s="324">
        <v>2017</v>
      </c>
      <c r="E68" s="324">
        <v>2018</v>
      </c>
      <c r="F68" s="324">
        <v>2019</v>
      </c>
      <c r="G68" s="324">
        <v>2020</v>
      </c>
      <c r="H68" s="324">
        <v>2021</v>
      </c>
      <c r="I68" s="324">
        <v>2022</v>
      </c>
      <c r="J68" s="324">
        <v>2023</v>
      </c>
      <c r="K68" s="324">
        <v>2024</v>
      </c>
      <c r="L68" s="324">
        <v>2025</v>
      </c>
      <c r="M68" s="324">
        <v>2026</v>
      </c>
      <c r="N68" s="324">
        <v>2027</v>
      </c>
      <c r="O68" s="324">
        <v>2028</v>
      </c>
      <c r="P68" s="324">
        <v>2029</v>
      </c>
      <c r="Q68" s="324">
        <v>2030</v>
      </c>
      <c r="R68" s="324">
        <v>2031</v>
      </c>
      <c r="S68" s="324">
        <v>2032</v>
      </c>
      <c r="T68" s="324">
        <v>2033</v>
      </c>
      <c r="U68" s="324">
        <v>2034</v>
      </c>
      <c r="V68" s="324">
        <v>2035</v>
      </c>
      <c r="W68" s="324"/>
    </row>
    <row r="69" spans="1:23">
      <c r="A69" s="82"/>
      <c r="B69" s="85"/>
      <c r="C69" s="90"/>
      <c r="D69" s="90"/>
      <c r="E69" s="90"/>
      <c r="F69" s="90"/>
      <c r="G69" s="90"/>
      <c r="H69" s="90"/>
      <c r="I69" s="90"/>
      <c r="J69" s="90"/>
      <c r="K69" s="90"/>
      <c r="L69" s="90"/>
      <c r="M69" s="90"/>
      <c r="N69" s="90"/>
      <c r="O69" s="90"/>
      <c r="P69" s="90"/>
      <c r="Q69" s="90"/>
      <c r="R69" s="90"/>
      <c r="S69" s="90"/>
      <c r="T69" s="90"/>
      <c r="U69" s="90"/>
      <c r="V69" s="90"/>
      <c r="W69" s="90"/>
    </row>
    <row r="70" spans="1:23">
      <c r="A70" s="101" t="str">
        <f>+A58</f>
        <v>a. Space Cooling - CAC Switch</v>
      </c>
      <c r="B70" s="102"/>
      <c r="C70" s="90">
        <f>C6*$C$20*$C$21*C28*C26*(1-C27)</f>
        <v>13743.006440624999</v>
      </c>
      <c r="D70" s="90">
        <f>D6*$C$20*$C$21*D28*D26*(1-D27)</f>
        <v>62774.011420312498</v>
      </c>
      <c r="E70" s="90">
        <f t="shared" ref="E70:V70" si="15">E6*$C$20*$C$21*E28*E26*(1-E27)</f>
        <v>101916.0571275</v>
      </c>
      <c r="F70" s="90">
        <f t="shared" si="15"/>
        <v>130666.98926531251</v>
      </c>
      <c r="G70" s="90">
        <f t="shared" si="15"/>
        <v>148533.2870175</v>
      </c>
      <c r="H70" s="90">
        <f t="shared" si="15"/>
        <v>177134.85404999997</v>
      </c>
      <c r="I70" s="90">
        <f t="shared" si="15"/>
        <v>179508.96809999997</v>
      </c>
      <c r="J70" s="90">
        <f t="shared" si="15"/>
        <v>181870.348275</v>
      </c>
      <c r="K70" s="90">
        <f t="shared" si="15"/>
        <v>184209.14531250001</v>
      </c>
      <c r="L70" s="90">
        <f t="shared" si="15"/>
        <v>186536.29994999999</v>
      </c>
      <c r="M70" s="90">
        <f t="shared" si="15"/>
        <v>188837.28517499994</v>
      </c>
      <c r="N70" s="90">
        <f t="shared" si="15"/>
        <v>191098.87334999998</v>
      </c>
      <c r="O70" s="90">
        <f t="shared" si="15"/>
        <v>193311.65699999998</v>
      </c>
      <c r="P70" s="90">
        <f t="shared" si="15"/>
        <v>195486.99266249998</v>
      </c>
      <c r="Q70" s="90">
        <f t="shared" si="15"/>
        <v>197642.83769999997</v>
      </c>
      <c r="R70" s="90">
        <f t="shared" si="15"/>
        <v>199822.45755628674</v>
      </c>
      <c r="S70" s="90">
        <f t="shared" si="15"/>
        <v>202026.11442182312</v>
      </c>
      <c r="T70" s="90">
        <f t="shared" si="15"/>
        <v>204254.07337852789</v>
      </c>
      <c r="U70" s="90">
        <f t="shared" si="15"/>
        <v>206506.60243166285</v>
      </c>
      <c r="V70" s="90">
        <f t="shared" si="15"/>
        <v>208783.97254207166</v>
      </c>
      <c r="W70" s="90"/>
    </row>
    <row r="71" spans="1:23">
      <c r="A71" s="101" t="str">
        <f>+A59</f>
        <v>b. Space Cooling - RAC Switch</v>
      </c>
      <c r="B71" s="102"/>
      <c r="C71" s="90">
        <f>C6*$C$31*$C$32*C39*C37*(1-C38)</f>
        <v>1374.3006440624999</v>
      </c>
      <c r="D71" s="90">
        <f t="shared" ref="D71:V71" si="16">D6*$C$31*$C$32*D39*D37*(1-D38)</f>
        <v>6277.401142031249</v>
      </c>
      <c r="E71" s="90">
        <f t="shared" si="16"/>
        <v>10191.605712750003</v>
      </c>
      <c r="F71" s="90">
        <f t="shared" si="16"/>
        <v>13066.698926531253</v>
      </c>
      <c r="G71" s="90">
        <f t="shared" si="16"/>
        <v>14853.328701750001</v>
      </c>
      <c r="H71" s="90">
        <f t="shared" si="16"/>
        <v>17713.485404999999</v>
      </c>
      <c r="I71" s="90">
        <f t="shared" si="16"/>
        <v>17950.896809999998</v>
      </c>
      <c r="J71" s="90">
        <f t="shared" si="16"/>
        <v>18187.0348275</v>
      </c>
      <c r="K71" s="90">
        <f t="shared" si="16"/>
        <v>18420.91453125</v>
      </c>
      <c r="L71" s="90">
        <f t="shared" si="16"/>
        <v>18653.629994999996</v>
      </c>
      <c r="M71" s="90">
        <f t="shared" si="16"/>
        <v>18883.728517499996</v>
      </c>
      <c r="N71" s="90">
        <f t="shared" si="16"/>
        <v>19109.887334999996</v>
      </c>
      <c r="O71" s="90">
        <f t="shared" si="16"/>
        <v>19331.165700000001</v>
      </c>
      <c r="P71" s="90">
        <f t="shared" si="16"/>
        <v>19548.699266249998</v>
      </c>
      <c r="Q71" s="90">
        <f t="shared" si="16"/>
        <v>19764.283769999998</v>
      </c>
      <c r="R71" s="90">
        <f t="shared" si="16"/>
        <v>19982.245755628675</v>
      </c>
      <c r="S71" s="90">
        <f t="shared" si="16"/>
        <v>20202.611442182311</v>
      </c>
      <c r="T71" s="90">
        <f t="shared" si="16"/>
        <v>20425.407337852786</v>
      </c>
      <c r="U71" s="90">
        <f t="shared" si="16"/>
        <v>20650.660243166283</v>
      </c>
      <c r="V71" s="90">
        <f t="shared" si="16"/>
        <v>20878.397254207168</v>
      </c>
      <c r="W71" s="90"/>
    </row>
    <row r="72" spans="1:23">
      <c r="A72" s="101" t="str">
        <f>+A60</f>
        <v>c. Space Heating - Switch</v>
      </c>
      <c r="B72" s="102"/>
      <c r="C72" s="90">
        <f t="shared" ref="C72:V72" si="17">C6*$C$9*$C$10*C17*C15*(1-C16)</f>
        <v>12957.691786875002</v>
      </c>
      <c r="D72" s="90">
        <f>D6*$C$9*$C$10*D17*D15*(1-D16)</f>
        <v>59186.925053437502</v>
      </c>
      <c r="E72" s="90">
        <f t="shared" si="17"/>
        <v>96092.282434500026</v>
      </c>
      <c r="F72" s="90">
        <f t="shared" si="17"/>
        <v>123200.30416443753</v>
      </c>
      <c r="G72" s="90">
        <f t="shared" si="17"/>
        <v>140045.67061650002</v>
      </c>
      <c r="H72" s="90">
        <f t="shared" si="17"/>
        <v>167012.86238999999</v>
      </c>
      <c r="I72" s="90">
        <f t="shared" si="17"/>
        <v>169251.31277999998</v>
      </c>
      <c r="J72" s="90">
        <f t="shared" si="17"/>
        <v>171477.756945</v>
      </c>
      <c r="K72" s="90">
        <f t="shared" si="17"/>
        <v>173682.90843750001</v>
      </c>
      <c r="L72" s="90">
        <f t="shared" si="17"/>
        <v>175877.08280999996</v>
      </c>
      <c r="M72" s="90">
        <f t="shared" si="17"/>
        <v>178046.58316500002</v>
      </c>
      <c r="N72" s="90">
        <f t="shared" si="17"/>
        <v>180178.93773000003</v>
      </c>
      <c r="O72" s="90">
        <f t="shared" si="17"/>
        <v>182265.27659999998</v>
      </c>
      <c r="P72" s="90">
        <f t="shared" si="17"/>
        <v>184316.30736750001</v>
      </c>
      <c r="Q72" s="90">
        <f t="shared" si="17"/>
        <v>186348.96126000001</v>
      </c>
      <c r="R72" s="90">
        <f t="shared" si="17"/>
        <v>188404.03141021321</v>
      </c>
      <c r="S72" s="90">
        <f t="shared" si="17"/>
        <v>190481.76502629041</v>
      </c>
      <c r="T72" s="90">
        <f t="shared" si="17"/>
        <v>192582.41204261201</v>
      </c>
      <c r="U72" s="90">
        <f t="shared" si="17"/>
        <v>194706.22514985356</v>
      </c>
      <c r="V72" s="90">
        <f t="shared" si="17"/>
        <v>196853.45982538187</v>
      </c>
      <c r="W72" s="90"/>
    </row>
    <row r="73" spans="1:23">
      <c r="A73" s="101" t="str">
        <f>+A61</f>
        <v>d. Water Heating - Switch</v>
      </c>
      <c r="B73" s="102"/>
      <c r="C73" s="90">
        <f t="shared" ref="C73:V73" si="18">C6*$C$42*$C$43*C50*C48*(1-C49)</f>
        <v>40286.641737375001</v>
      </c>
      <c r="D73" s="90">
        <f>D6*$C$42*$C$43*D50*D48*(1-D49)</f>
        <v>204463.92291187498</v>
      </c>
      <c r="E73" s="90">
        <f t="shared" si="18"/>
        <v>373449.55218862498</v>
      </c>
      <c r="F73" s="90">
        <f t="shared" si="18"/>
        <v>547201.35096412501</v>
      </c>
      <c r="G73" s="90">
        <f t="shared" si="18"/>
        <v>725691.20228550001</v>
      </c>
      <c r="H73" s="90">
        <f t="shared" si="18"/>
        <v>865430.28692999983</v>
      </c>
      <c r="I73" s="90">
        <f t="shared" si="18"/>
        <v>877029.52986000001</v>
      </c>
      <c r="J73" s="90">
        <f t="shared" si="18"/>
        <v>888566.55871499982</v>
      </c>
      <c r="K73" s="90">
        <f t="shared" si="18"/>
        <v>899993.25281249988</v>
      </c>
      <c r="L73" s="90">
        <f t="shared" si="18"/>
        <v>911363.06546999991</v>
      </c>
      <c r="M73" s="90">
        <f t="shared" si="18"/>
        <v>922605.02185499994</v>
      </c>
      <c r="N73" s="90">
        <f t="shared" si="18"/>
        <v>933654.49550999992</v>
      </c>
      <c r="O73" s="90">
        <f t="shared" si="18"/>
        <v>944465.52419999999</v>
      </c>
      <c r="P73" s="90">
        <f t="shared" si="18"/>
        <v>955093.59272249998</v>
      </c>
      <c r="Q73" s="90">
        <f t="shared" si="18"/>
        <v>965626.43561999989</v>
      </c>
      <c r="R73" s="90">
        <f t="shared" si="18"/>
        <v>976275.43548928644</v>
      </c>
      <c r="S73" s="90">
        <f t="shared" si="18"/>
        <v>987041.87331805006</v>
      </c>
      <c r="T73" s="90">
        <f t="shared" si="18"/>
        <v>997927.04422080761</v>
      </c>
      <c r="U73" s="90">
        <f t="shared" si="18"/>
        <v>1008932.2575946955</v>
      </c>
      <c r="V73" s="90">
        <f t="shared" si="18"/>
        <v>1020058.8372769789</v>
      </c>
      <c r="W73" s="90"/>
    </row>
    <row r="74" spans="1:23">
      <c r="A74" s="85"/>
      <c r="B74" s="85"/>
      <c r="C74" s="103"/>
      <c r="D74" s="103"/>
      <c r="E74" s="103"/>
      <c r="F74" s="103"/>
      <c r="G74" s="103"/>
      <c r="H74" s="103"/>
      <c r="I74" s="103"/>
      <c r="J74" s="103"/>
      <c r="K74" s="103"/>
      <c r="L74" s="103"/>
      <c r="M74" s="103"/>
      <c r="N74" s="103"/>
      <c r="O74" s="103"/>
      <c r="P74" s="103"/>
      <c r="Q74" s="103"/>
      <c r="R74" s="103"/>
      <c r="S74" s="103"/>
      <c r="T74" s="103"/>
      <c r="U74" s="103"/>
      <c r="V74" s="103"/>
      <c r="W74" s="103"/>
    </row>
    <row r="75" spans="1:23">
      <c r="A75" s="91" t="s">
        <v>219</v>
      </c>
      <c r="B75" s="91"/>
      <c r="C75" s="93">
        <f t="shared" ref="C75:V75" si="19">SUM(C70:C73)</f>
        <v>68361.640608937509</v>
      </c>
      <c r="D75" s="93">
        <f t="shared" si="19"/>
        <v>332702.26052765624</v>
      </c>
      <c r="E75" s="93">
        <f t="shared" si="19"/>
        <v>581649.49746337498</v>
      </c>
      <c r="F75" s="93">
        <f t="shared" si="19"/>
        <v>814135.34332040627</v>
      </c>
      <c r="G75" s="93">
        <f t="shared" si="19"/>
        <v>1029123.48862125</v>
      </c>
      <c r="H75" s="93">
        <f t="shared" si="19"/>
        <v>1227291.4887749997</v>
      </c>
      <c r="I75" s="93">
        <f t="shared" si="19"/>
        <v>1243740.7075499999</v>
      </c>
      <c r="J75" s="93">
        <f t="shared" si="19"/>
        <v>1260101.6987624997</v>
      </c>
      <c r="K75" s="93">
        <f t="shared" si="19"/>
        <v>1276306.2210937499</v>
      </c>
      <c r="L75" s="93">
        <f t="shared" si="19"/>
        <v>1292430.0782249998</v>
      </c>
      <c r="M75" s="93">
        <f t="shared" si="19"/>
        <v>1308372.6187124997</v>
      </c>
      <c r="N75" s="93">
        <f t="shared" si="19"/>
        <v>1324042.1939249998</v>
      </c>
      <c r="O75" s="93">
        <f t="shared" si="19"/>
        <v>1339373.6235</v>
      </c>
      <c r="P75" s="93">
        <f t="shared" si="19"/>
        <v>1354445.59201875</v>
      </c>
      <c r="Q75" s="93">
        <f t="shared" si="19"/>
        <v>1369382.51835</v>
      </c>
      <c r="R75" s="93">
        <f t="shared" si="19"/>
        <v>1384484.170211415</v>
      </c>
      <c r="S75" s="93">
        <f t="shared" si="19"/>
        <v>1399752.3642083458</v>
      </c>
      <c r="T75" s="93">
        <f t="shared" si="19"/>
        <v>1415188.9369798002</v>
      </c>
      <c r="U75" s="93">
        <f t="shared" si="19"/>
        <v>1430795.7454193784</v>
      </c>
      <c r="V75" s="93">
        <f t="shared" si="19"/>
        <v>1446574.6668986396</v>
      </c>
      <c r="W75" s="93"/>
    </row>
    <row r="77" spans="1:23">
      <c r="A77" s="77" t="s">
        <v>220</v>
      </c>
      <c r="B77" s="77"/>
      <c r="D77" s="214"/>
      <c r="E77" s="78"/>
      <c r="F77" s="78"/>
      <c r="G77" s="215"/>
    </row>
    <row r="79" spans="1:23">
      <c r="A79" s="104"/>
      <c r="B79" s="474" t="s">
        <v>242</v>
      </c>
      <c r="C79" s="476" t="s">
        <v>221</v>
      </c>
      <c r="D79" s="477"/>
      <c r="E79" s="477"/>
      <c r="F79" s="477"/>
      <c r="G79" s="477"/>
      <c r="H79" s="477"/>
      <c r="I79" s="477"/>
      <c r="J79" s="477"/>
      <c r="K79" s="477"/>
      <c r="L79" s="477"/>
      <c r="M79" s="477"/>
      <c r="N79" s="477"/>
      <c r="O79" s="477"/>
      <c r="P79" s="477"/>
      <c r="Q79" s="477"/>
      <c r="R79" s="477"/>
      <c r="S79" s="477"/>
      <c r="T79" s="477"/>
      <c r="U79" s="477"/>
      <c r="V79" s="477"/>
      <c r="W79" s="477"/>
    </row>
    <row r="80" spans="1:23">
      <c r="A80" s="321" t="s">
        <v>214</v>
      </c>
      <c r="B80" s="475"/>
      <c r="C80" s="324">
        <v>2016</v>
      </c>
      <c r="D80" s="324">
        <v>2017</v>
      </c>
      <c r="E80" s="324">
        <v>2018</v>
      </c>
      <c r="F80" s="324">
        <v>2019</v>
      </c>
      <c r="G80" s="324">
        <v>2020</v>
      </c>
      <c r="H80" s="324">
        <v>2021</v>
      </c>
      <c r="I80" s="324">
        <v>2022</v>
      </c>
      <c r="J80" s="324">
        <v>2023</v>
      </c>
      <c r="K80" s="324">
        <v>2024</v>
      </c>
      <c r="L80" s="324">
        <v>2025</v>
      </c>
      <c r="M80" s="324">
        <v>2026</v>
      </c>
      <c r="N80" s="324">
        <v>2027</v>
      </c>
      <c r="O80" s="324">
        <v>2028</v>
      </c>
      <c r="P80" s="324">
        <v>2029</v>
      </c>
      <c r="Q80" s="324">
        <v>2030</v>
      </c>
      <c r="R80" s="324">
        <v>2031</v>
      </c>
      <c r="S80" s="324">
        <v>2032</v>
      </c>
      <c r="T80" s="324">
        <v>2033</v>
      </c>
      <c r="U80" s="324">
        <v>2034</v>
      </c>
      <c r="V80" s="324">
        <v>2035</v>
      </c>
      <c r="W80" s="324"/>
    </row>
    <row r="81" spans="1:23">
      <c r="A81" s="82"/>
      <c r="B81" s="82"/>
      <c r="C81" s="82"/>
      <c r="D81" s="105"/>
      <c r="E81" s="82"/>
      <c r="F81" s="82"/>
      <c r="G81" s="82"/>
      <c r="H81" s="82"/>
      <c r="I81" s="82"/>
      <c r="J81" s="82"/>
      <c r="K81" s="82"/>
      <c r="L81" s="82"/>
      <c r="M81" s="82"/>
      <c r="N81" s="82"/>
      <c r="O81" s="82"/>
      <c r="P81" s="82"/>
      <c r="Q81" s="82"/>
      <c r="R81" s="82"/>
      <c r="S81" s="82"/>
      <c r="T81" s="82"/>
      <c r="U81" s="82"/>
      <c r="V81" s="82"/>
      <c r="W81" s="82"/>
    </row>
    <row r="82" spans="1:23">
      <c r="A82" s="101" t="str">
        <f>+A58</f>
        <v>a. Space Cooling - CAC Switch</v>
      </c>
      <c r="B82" s="234">
        <f>KeyAssumptions!K6</f>
        <v>0.6</v>
      </c>
      <c r="C82" s="189">
        <f t="shared" ref="C82:V82" si="20">$B82/1000*C70*$C$11</f>
        <v>7.8335136711562487</v>
      </c>
      <c r="D82" s="189">
        <f t="shared" si="20"/>
        <v>35.78118650957812</v>
      </c>
      <c r="E82" s="189">
        <f t="shared" si="20"/>
        <v>58.09215256267499</v>
      </c>
      <c r="F82" s="189">
        <f t="shared" si="20"/>
        <v>74.480183881228115</v>
      </c>
      <c r="G82" s="189">
        <f t="shared" si="20"/>
        <v>84.663973599974994</v>
      </c>
      <c r="H82" s="189">
        <f t="shared" si="20"/>
        <v>100.96686680849997</v>
      </c>
      <c r="I82" s="189">
        <f t="shared" si="20"/>
        <v>102.32011181699997</v>
      </c>
      <c r="J82" s="189">
        <f t="shared" si="20"/>
        <v>103.66609851674998</v>
      </c>
      <c r="K82" s="189">
        <f t="shared" si="20"/>
        <v>104.99921282812498</v>
      </c>
      <c r="L82" s="189">
        <f t="shared" si="20"/>
        <v>106.32569097149998</v>
      </c>
      <c r="M82" s="189">
        <f t="shared" si="20"/>
        <v>107.63725254974995</v>
      </c>
      <c r="N82" s="189">
        <f t="shared" si="20"/>
        <v>108.92635780949998</v>
      </c>
      <c r="O82" s="189">
        <f t="shared" si="20"/>
        <v>110.18764448999997</v>
      </c>
      <c r="P82" s="189">
        <f t="shared" si="20"/>
        <v>111.42758581762497</v>
      </c>
      <c r="Q82" s="189">
        <f t="shared" si="20"/>
        <v>112.65641748899998</v>
      </c>
      <c r="R82" s="189">
        <f t="shared" si="20"/>
        <v>113.89880080708343</v>
      </c>
      <c r="S82" s="189">
        <f t="shared" si="20"/>
        <v>115.15488522043916</v>
      </c>
      <c r="T82" s="189">
        <f t="shared" si="20"/>
        <v>116.42482182576087</v>
      </c>
      <c r="U82" s="189">
        <f t="shared" si="20"/>
        <v>117.70876338604781</v>
      </c>
      <c r="V82" s="189">
        <f t="shared" si="20"/>
        <v>119.00686434898083</v>
      </c>
      <c r="W82" s="189"/>
    </row>
    <row r="83" spans="1:23">
      <c r="A83" s="101" t="str">
        <f>+A59</f>
        <v>b. Space Cooling - RAC Switch</v>
      </c>
      <c r="B83" s="234">
        <f>KeyAssumptions!K7</f>
        <v>0.27</v>
      </c>
      <c r="C83" s="189">
        <f t="shared" ref="C83:V83" si="21">$B83/1000*C71*$C$22</f>
        <v>0.35250811520203124</v>
      </c>
      <c r="D83" s="189">
        <f t="shared" si="21"/>
        <v>1.6101533929310152</v>
      </c>
      <c r="E83" s="189">
        <f t="shared" si="21"/>
        <v>2.6141468653203757</v>
      </c>
      <c r="F83" s="189">
        <f t="shared" si="21"/>
        <v>3.3516082746552662</v>
      </c>
      <c r="G83" s="189">
        <f t="shared" si="21"/>
        <v>3.8098788119988751</v>
      </c>
      <c r="H83" s="189">
        <f t="shared" si="21"/>
        <v>4.5435090063824992</v>
      </c>
      <c r="I83" s="189">
        <f t="shared" si="21"/>
        <v>4.6044050317649994</v>
      </c>
      <c r="J83" s="189">
        <f t="shared" si="21"/>
        <v>4.6649744332537493</v>
      </c>
      <c r="K83" s="189">
        <f t="shared" si="21"/>
        <v>4.7249645772656255</v>
      </c>
      <c r="L83" s="189">
        <f t="shared" si="21"/>
        <v>4.7846560937174987</v>
      </c>
      <c r="M83" s="189">
        <f t="shared" si="21"/>
        <v>4.8436763647387489</v>
      </c>
      <c r="N83" s="189">
        <f t="shared" si="21"/>
        <v>4.9016861014274991</v>
      </c>
      <c r="O83" s="189">
        <f t="shared" si="21"/>
        <v>4.9584440020500002</v>
      </c>
      <c r="P83" s="189">
        <f t="shared" si="21"/>
        <v>5.0142413617931245</v>
      </c>
      <c r="Q83" s="189">
        <f t="shared" si="21"/>
        <v>5.0695387870049995</v>
      </c>
      <c r="R83" s="189">
        <f t="shared" si="21"/>
        <v>5.1254460363187553</v>
      </c>
      <c r="S83" s="189">
        <f t="shared" si="21"/>
        <v>5.1819698349197623</v>
      </c>
      <c r="T83" s="189">
        <f t="shared" si="21"/>
        <v>5.2391169821592394</v>
      </c>
      <c r="U83" s="189">
        <f t="shared" si="21"/>
        <v>5.296894352372151</v>
      </c>
      <c r="V83" s="189">
        <f t="shared" si="21"/>
        <v>5.3553088957041384</v>
      </c>
      <c r="W83" s="189"/>
    </row>
    <row r="84" spans="1:23">
      <c r="A84" s="101" t="str">
        <f>+A60</f>
        <v>c. Space Heating - Switch</v>
      </c>
      <c r="B84" s="234">
        <f>KeyAssumptions!K4</f>
        <v>1.74</v>
      </c>
      <c r="C84" s="189">
        <f t="shared" ref="C84:V84" si="22">$B84/1000*C72*$C$33</f>
        <v>21.419064523704378</v>
      </c>
      <c r="D84" s="189">
        <f t="shared" si="22"/>
        <v>97.83598711333218</v>
      </c>
      <c r="E84" s="189">
        <f t="shared" si="22"/>
        <v>158.84054286422855</v>
      </c>
      <c r="F84" s="189">
        <f t="shared" si="22"/>
        <v>203.65010278381524</v>
      </c>
      <c r="G84" s="189">
        <f t="shared" si="22"/>
        <v>231.49549352907454</v>
      </c>
      <c r="H84" s="189">
        <f t="shared" si="22"/>
        <v>276.07226153066995</v>
      </c>
      <c r="I84" s="189">
        <f t="shared" si="22"/>
        <v>279.77242002533995</v>
      </c>
      <c r="J84" s="189">
        <f t="shared" si="22"/>
        <v>283.45273223008502</v>
      </c>
      <c r="K84" s="189">
        <f t="shared" si="22"/>
        <v>287.09784764718751</v>
      </c>
      <c r="L84" s="189">
        <f t="shared" si="22"/>
        <v>290.72481788492996</v>
      </c>
      <c r="M84" s="189">
        <f t="shared" si="22"/>
        <v>294.31100197174504</v>
      </c>
      <c r="N84" s="189">
        <f t="shared" si="22"/>
        <v>297.83578406769004</v>
      </c>
      <c r="O84" s="189">
        <f t="shared" si="22"/>
        <v>301.28450221979995</v>
      </c>
      <c r="P84" s="189">
        <f t="shared" si="22"/>
        <v>304.67485607847749</v>
      </c>
      <c r="Q84" s="189">
        <f t="shared" si="22"/>
        <v>308.03483296278</v>
      </c>
      <c r="R84" s="189">
        <f t="shared" si="22"/>
        <v>311.43186392108242</v>
      </c>
      <c r="S84" s="189">
        <f t="shared" si="22"/>
        <v>314.86635758845802</v>
      </c>
      <c r="T84" s="189">
        <f t="shared" si="22"/>
        <v>318.33872710643766</v>
      </c>
      <c r="U84" s="189">
        <f t="shared" si="22"/>
        <v>321.84939017270796</v>
      </c>
      <c r="V84" s="189">
        <f t="shared" si="22"/>
        <v>325.3987690913562</v>
      </c>
      <c r="W84" s="189"/>
    </row>
    <row r="85" spans="1:23">
      <c r="A85" s="101" t="str">
        <f>+A61</f>
        <v>d. Water Heating - Switch</v>
      </c>
      <c r="B85" s="234">
        <f>KeyAssumptions!K5</f>
        <v>0.57999999999999996</v>
      </c>
      <c r="C85" s="189">
        <f t="shared" ref="C85:V85" si="23">$B85/1000*C73*$C$44</f>
        <v>22.197939597293626</v>
      </c>
      <c r="D85" s="189">
        <f t="shared" si="23"/>
        <v>112.65962152444311</v>
      </c>
      <c r="E85" s="189">
        <f t="shared" si="23"/>
        <v>205.77070325593235</v>
      </c>
      <c r="F85" s="189">
        <f t="shared" si="23"/>
        <v>301.5079443812329</v>
      </c>
      <c r="G85" s="189">
        <f t="shared" si="23"/>
        <v>399.85585245931048</v>
      </c>
      <c r="H85" s="189">
        <f t="shared" si="23"/>
        <v>476.85208809842987</v>
      </c>
      <c r="I85" s="189">
        <f t="shared" si="23"/>
        <v>483.24327095285997</v>
      </c>
      <c r="J85" s="189">
        <f t="shared" si="23"/>
        <v>489.60017385196483</v>
      </c>
      <c r="K85" s="189">
        <f t="shared" si="23"/>
        <v>495.89628229968741</v>
      </c>
      <c r="L85" s="189">
        <f t="shared" si="23"/>
        <v>502.16104907396993</v>
      </c>
      <c r="M85" s="189">
        <f t="shared" si="23"/>
        <v>508.35536704210494</v>
      </c>
      <c r="N85" s="189">
        <f t="shared" si="23"/>
        <v>514.44362702600995</v>
      </c>
      <c r="O85" s="189">
        <f t="shared" si="23"/>
        <v>520.40050383419998</v>
      </c>
      <c r="P85" s="189">
        <f t="shared" si="23"/>
        <v>526.25656959009746</v>
      </c>
      <c r="Q85" s="189">
        <f t="shared" si="23"/>
        <v>532.06016602661998</v>
      </c>
      <c r="R85" s="189">
        <f t="shared" si="23"/>
        <v>537.9277649545968</v>
      </c>
      <c r="S85" s="189">
        <f t="shared" si="23"/>
        <v>543.86007219824546</v>
      </c>
      <c r="T85" s="189">
        <f t="shared" si="23"/>
        <v>549.85780136566495</v>
      </c>
      <c r="U85" s="189">
        <f t="shared" si="23"/>
        <v>555.92167393467719</v>
      </c>
      <c r="V85" s="189">
        <f t="shared" si="23"/>
        <v>562.05241933961531</v>
      </c>
      <c r="W85" s="189"/>
    </row>
    <row r="86" spans="1:23">
      <c r="A86" s="85"/>
      <c r="B86" s="85"/>
      <c r="C86" s="106"/>
      <c r="D86" s="106"/>
      <c r="E86" s="106"/>
      <c r="F86" s="106"/>
      <c r="G86" s="106"/>
      <c r="H86" s="106"/>
      <c r="I86" s="106"/>
      <c r="J86" s="106"/>
      <c r="K86" s="106"/>
      <c r="L86" s="106"/>
      <c r="M86" s="106"/>
      <c r="N86" s="106"/>
      <c r="O86" s="106"/>
      <c r="P86" s="106"/>
      <c r="Q86" s="106"/>
      <c r="R86" s="106"/>
      <c r="S86" s="106"/>
      <c r="T86" s="106"/>
      <c r="U86" s="106"/>
      <c r="V86" s="106"/>
      <c r="W86" s="106"/>
    </row>
    <row r="87" spans="1:23">
      <c r="A87" s="107" t="s">
        <v>269</v>
      </c>
      <c r="B87" s="108"/>
      <c r="C87" s="109">
        <f t="shared" ref="C87:V87" si="24">SUM(C82:C85)</f>
        <v>51.803025907356286</v>
      </c>
      <c r="D87" s="109">
        <f t="shared" si="24"/>
        <v>247.88694854028444</v>
      </c>
      <c r="E87" s="109">
        <f t="shared" si="24"/>
        <v>425.31754554815626</v>
      </c>
      <c r="F87" s="109">
        <f t="shared" si="24"/>
        <v>582.98983932093154</v>
      </c>
      <c r="G87" s="109">
        <f t="shared" si="24"/>
        <v>719.82519840035889</v>
      </c>
      <c r="H87" s="109">
        <f t="shared" si="24"/>
        <v>858.4347254439823</v>
      </c>
      <c r="I87" s="109">
        <f t="shared" si="24"/>
        <v>869.94020782696498</v>
      </c>
      <c r="J87" s="109">
        <f t="shared" si="24"/>
        <v>881.3839790320535</v>
      </c>
      <c r="K87" s="109">
        <f t="shared" si="24"/>
        <v>892.71830735226558</v>
      </c>
      <c r="L87" s="109">
        <f t="shared" si="24"/>
        <v>903.99621402411731</v>
      </c>
      <c r="M87" s="109">
        <f t="shared" si="24"/>
        <v>915.14729792833873</v>
      </c>
      <c r="N87" s="109">
        <f t="shared" si="24"/>
        <v>926.10745500462747</v>
      </c>
      <c r="O87" s="109">
        <f t="shared" si="24"/>
        <v>936.83109454604983</v>
      </c>
      <c r="P87" s="109">
        <f t="shared" si="24"/>
        <v>947.37325284799306</v>
      </c>
      <c r="Q87" s="109">
        <f t="shared" si="24"/>
        <v>957.82095526540502</v>
      </c>
      <c r="R87" s="109">
        <f t="shared" si="24"/>
        <v>968.3838757190814</v>
      </c>
      <c r="S87" s="109">
        <f t="shared" si="24"/>
        <v>979.06328484206233</v>
      </c>
      <c r="T87" s="109">
        <f t="shared" si="24"/>
        <v>989.8604672800227</v>
      </c>
      <c r="U87" s="109">
        <f t="shared" si="24"/>
        <v>1000.7767218458051</v>
      </c>
      <c r="V87" s="109">
        <f t="shared" si="24"/>
        <v>1011.8133616756566</v>
      </c>
      <c r="W87" s="109"/>
    </row>
    <row r="88" spans="1:23">
      <c r="A88" s="110"/>
      <c r="B88" s="110"/>
      <c r="C88" s="111"/>
      <c r="D88" s="111"/>
      <c r="E88" s="112"/>
      <c r="F88" s="112"/>
      <c r="G88" s="112"/>
      <c r="H88" s="112"/>
      <c r="I88" s="112"/>
      <c r="J88" s="112"/>
      <c r="K88" s="112"/>
      <c r="L88" s="112"/>
      <c r="M88" s="112"/>
      <c r="N88" s="112"/>
      <c r="O88" s="112"/>
      <c r="P88" s="112"/>
      <c r="Q88" s="112"/>
      <c r="R88" s="112"/>
      <c r="S88" s="112"/>
      <c r="T88" s="112"/>
      <c r="U88" s="112"/>
      <c r="V88" s="112"/>
      <c r="W88" s="112"/>
    </row>
    <row r="89" spans="1:23">
      <c r="A89" s="77" t="s">
        <v>276</v>
      </c>
      <c r="B89" s="110"/>
      <c r="C89" s="98"/>
      <c r="D89" s="122"/>
      <c r="E89" s="121"/>
      <c r="F89" s="121"/>
      <c r="G89" s="121"/>
      <c r="H89" s="121"/>
      <c r="I89" s="121"/>
      <c r="J89" s="121"/>
      <c r="K89" s="121"/>
      <c r="L89" s="121"/>
      <c r="M89" s="121"/>
      <c r="N89" s="121"/>
      <c r="O89" s="121"/>
      <c r="P89" s="121"/>
      <c r="Q89" s="121"/>
      <c r="R89" s="121"/>
      <c r="S89" s="121"/>
      <c r="T89" s="121"/>
      <c r="U89" s="121"/>
      <c r="V89" s="121"/>
      <c r="W89" s="121"/>
    </row>
    <row r="90" spans="1:23">
      <c r="A90" s="113"/>
      <c r="B90" s="110"/>
      <c r="C90" s="98"/>
      <c r="D90" s="121"/>
      <c r="E90" s="121"/>
      <c r="F90" s="121"/>
      <c r="G90" s="121"/>
      <c r="H90" s="121"/>
      <c r="I90" s="121"/>
      <c r="J90" s="121"/>
      <c r="K90" s="121"/>
      <c r="L90" s="121"/>
      <c r="M90" s="121"/>
      <c r="N90" s="121"/>
      <c r="O90" s="121"/>
      <c r="P90" s="121"/>
      <c r="Q90" s="121"/>
      <c r="R90" s="121"/>
      <c r="S90" s="121"/>
      <c r="T90" s="121"/>
      <c r="U90" s="121"/>
      <c r="V90" s="121"/>
      <c r="W90" s="121"/>
    </row>
    <row r="91" spans="1:23">
      <c r="A91" s="478" t="s">
        <v>214</v>
      </c>
      <c r="B91" s="474" t="s">
        <v>304</v>
      </c>
      <c r="C91" s="469" t="s">
        <v>222</v>
      </c>
      <c r="D91" s="469"/>
      <c r="E91" s="469"/>
      <c r="F91" s="469"/>
      <c r="G91" s="469"/>
      <c r="H91" s="469"/>
      <c r="I91" s="469"/>
      <c r="J91" s="469"/>
      <c r="K91" s="469"/>
      <c r="L91" s="469"/>
      <c r="M91" s="469"/>
      <c r="N91" s="469"/>
      <c r="O91" s="469"/>
      <c r="P91" s="469"/>
      <c r="Q91" s="469"/>
      <c r="R91" s="469"/>
      <c r="S91" s="469"/>
      <c r="T91" s="469"/>
      <c r="U91" s="469"/>
      <c r="V91" s="469"/>
      <c r="W91" s="469"/>
    </row>
    <row r="92" spans="1:23">
      <c r="A92" s="479"/>
      <c r="B92" s="480"/>
      <c r="C92" s="324">
        <v>2016</v>
      </c>
      <c r="D92" s="324">
        <v>2017</v>
      </c>
      <c r="E92" s="324">
        <v>2018</v>
      </c>
      <c r="F92" s="324">
        <v>2019</v>
      </c>
      <c r="G92" s="324">
        <v>2020</v>
      </c>
      <c r="H92" s="324">
        <v>2021</v>
      </c>
      <c r="I92" s="324">
        <v>2022</v>
      </c>
      <c r="J92" s="324">
        <v>2023</v>
      </c>
      <c r="K92" s="324">
        <v>2024</v>
      </c>
      <c r="L92" s="324">
        <v>2025</v>
      </c>
      <c r="M92" s="324">
        <v>2026</v>
      </c>
      <c r="N92" s="324">
        <v>2027</v>
      </c>
      <c r="O92" s="324">
        <v>2028</v>
      </c>
      <c r="P92" s="324">
        <v>2029</v>
      </c>
      <c r="Q92" s="324">
        <v>2030</v>
      </c>
      <c r="R92" s="324">
        <v>2031</v>
      </c>
      <c r="S92" s="324">
        <v>2032</v>
      </c>
      <c r="T92" s="324">
        <v>2033</v>
      </c>
      <c r="U92" s="324">
        <v>2034</v>
      </c>
      <c r="V92" s="324">
        <v>2035</v>
      </c>
      <c r="W92" s="324"/>
    </row>
    <row r="93" spans="1:23">
      <c r="A93" s="123"/>
      <c r="B93" s="124"/>
      <c r="C93" s="78"/>
      <c r="D93" s="82"/>
      <c r="E93" s="82"/>
      <c r="F93" s="82"/>
      <c r="G93" s="82"/>
      <c r="H93" s="82"/>
      <c r="I93" s="82"/>
      <c r="J93" s="82"/>
      <c r="K93" s="82"/>
      <c r="L93" s="82"/>
      <c r="M93" s="82"/>
      <c r="N93" s="82"/>
      <c r="O93" s="82"/>
      <c r="P93" s="82"/>
      <c r="Q93" s="82"/>
      <c r="R93" s="82"/>
      <c r="S93" s="82"/>
      <c r="T93" s="82"/>
      <c r="U93" s="82"/>
      <c r="V93" s="82"/>
      <c r="W93" s="82"/>
    </row>
    <row r="94" spans="1:23">
      <c r="A94" s="85" t="str">
        <f>+A58</f>
        <v>a. Space Cooling - CAC Switch</v>
      </c>
      <c r="B94" s="223">
        <f>SUM(KeyAssumptions!F6:H6)</f>
        <v>108</v>
      </c>
      <c r="C94" s="116">
        <f t="shared" ref="C94:V94" si="25">MAX(0,($B$94*C58))</f>
        <v>1484244.6955874998</v>
      </c>
      <c r="D94" s="116">
        <f t="shared" si="25"/>
        <v>5295348.5378062492</v>
      </c>
      <c r="E94" s="116">
        <f t="shared" si="25"/>
        <v>4227340.9363762494</v>
      </c>
      <c r="F94" s="116">
        <f t="shared" si="25"/>
        <v>3105100.6708837519</v>
      </c>
      <c r="G94" s="116">
        <f t="shared" si="25"/>
        <v>1929560.1572362485</v>
      </c>
      <c r="H94" s="116">
        <f t="shared" si="25"/>
        <v>3088969.2395099965</v>
      </c>
      <c r="I94" s="116">
        <f t="shared" si="25"/>
        <v>256404.31740000041</v>
      </c>
      <c r="J94" s="116">
        <f t="shared" si="25"/>
        <v>255029.05890000297</v>
      </c>
      <c r="K94" s="116">
        <f t="shared" si="25"/>
        <v>252590.08005000162</v>
      </c>
      <c r="L94" s="116">
        <f t="shared" si="25"/>
        <v>251332.70084999723</v>
      </c>
      <c r="M94" s="116">
        <f t="shared" si="25"/>
        <v>248506.40429999493</v>
      </c>
      <c r="N94" s="116">
        <f t="shared" si="25"/>
        <v>244251.52290000441</v>
      </c>
      <c r="O94" s="116">
        <f t="shared" si="25"/>
        <v>238980.63419999974</v>
      </c>
      <c r="P94" s="116">
        <f t="shared" si="25"/>
        <v>234936.25155000016</v>
      </c>
      <c r="Q94" s="116">
        <f t="shared" si="25"/>
        <v>232831.26404999953</v>
      </c>
      <c r="R94" s="116">
        <f t="shared" si="25"/>
        <v>235398.9444789706</v>
      </c>
      <c r="S94" s="116">
        <f t="shared" si="25"/>
        <v>237994.94147792913</v>
      </c>
      <c r="T94" s="116">
        <f t="shared" si="25"/>
        <v>240619.56732411473</v>
      </c>
      <c r="U94" s="116">
        <f t="shared" si="25"/>
        <v>243273.13773857569</v>
      </c>
      <c r="V94" s="116">
        <f t="shared" si="25"/>
        <v>245955.97192415153</v>
      </c>
      <c r="W94" s="116"/>
    </row>
    <row r="95" spans="1:23">
      <c r="A95" s="85" t="str">
        <f>+A59</f>
        <v>b. Space Cooling - RAC Switch</v>
      </c>
      <c r="B95" s="223">
        <f>SUM(KeyAssumptions!F7:H7)</f>
        <v>61.6</v>
      </c>
      <c r="C95" s="116">
        <f t="shared" ref="C95:V95" si="26">MAX(0,($B$95*C59))</f>
        <v>84656.919674249992</v>
      </c>
      <c r="D95" s="116">
        <f t="shared" si="26"/>
        <v>302030.99067487498</v>
      </c>
      <c r="E95" s="116">
        <f t="shared" si="26"/>
        <v>241115.00155627521</v>
      </c>
      <c r="F95" s="116">
        <f t="shared" si="26"/>
        <v>177105.74196892505</v>
      </c>
      <c r="G95" s="116">
        <f t="shared" si="26"/>
        <v>110056.39415347484</v>
      </c>
      <c r="H95" s="116">
        <f t="shared" si="26"/>
        <v>176185.65292019994</v>
      </c>
      <c r="I95" s="116">
        <f t="shared" si="26"/>
        <v>14624.542547999934</v>
      </c>
      <c r="J95" s="116">
        <f t="shared" si="26"/>
        <v>14546.10187800008</v>
      </c>
      <c r="K95" s="116">
        <f t="shared" si="26"/>
        <v>14406.989751000048</v>
      </c>
      <c r="L95" s="116">
        <f t="shared" si="26"/>
        <v>14335.272566999707</v>
      </c>
      <c r="M95" s="116">
        <f t="shared" si="26"/>
        <v>14174.068986000026</v>
      </c>
      <c r="N95" s="116">
        <f t="shared" si="26"/>
        <v>13931.383157999982</v>
      </c>
      <c r="O95" s="116">
        <f t="shared" si="26"/>
        <v>13630.747284000345</v>
      </c>
      <c r="P95" s="116">
        <f t="shared" si="26"/>
        <v>13400.067680999786</v>
      </c>
      <c r="Q95" s="116">
        <f t="shared" si="26"/>
        <v>13280.005431000018</v>
      </c>
      <c r="R95" s="116">
        <f t="shared" si="26"/>
        <v>13426.458314726517</v>
      </c>
      <c r="S95" s="116">
        <f t="shared" si="26"/>
        <v>13574.526291703971</v>
      </c>
      <c r="T95" s="116">
        <f t="shared" si="26"/>
        <v>13724.227173301269</v>
      </c>
      <c r="U95" s="116">
        <f t="shared" si="26"/>
        <v>13875.5789673114</v>
      </c>
      <c r="V95" s="116">
        <f t="shared" si="26"/>
        <v>14028.599880118496</v>
      </c>
      <c r="W95" s="116"/>
    </row>
    <row r="96" spans="1:23">
      <c r="A96" s="166" t="s">
        <v>239</v>
      </c>
      <c r="B96" s="223">
        <f>SUM(KeyAssumptions!F4:H4)</f>
        <v>199.2</v>
      </c>
      <c r="C96" s="116">
        <f t="shared" ref="C96:V96" si="27">MAX(0,($B$96*C60))</f>
        <v>2581172.2039455003</v>
      </c>
      <c r="D96" s="116">
        <f t="shared" si="27"/>
        <v>9208863.2666992489</v>
      </c>
      <c r="E96" s="116">
        <f t="shared" si="27"/>
        <v>7351547.1903076544</v>
      </c>
      <c r="F96" s="116">
        <f t="shared" si="27"/>
        <v>5399917.9286035514</v>
      </c>
      <c r="G96" s="116">
        <f t="shared" si="27"/>
        <v>3355596.9972508475</v>
      </c>
      <c r="H96" s="116">
        <f t="shared" si="27"/>
        <v>5371864.601281194</v>
      </c>
      <c r="I96" s="116">
        <f t="shared" si="27"/>
        <v>445899.31768799672</v>
      </c>
      <c r="J96" s="116">
        <f t="shared" si="27"/>
        <v>443507.67766800447</v>
      </c>
      <c r="K96" s="116">
        <f t="shared" si="27"/>
        <v>439266.17730600166</v>
      </c>
      <c r="L96" s="116">
        <f t="shared" si="27"/>
        <v>437079.53500199085</v>
      </c>
      <c r="M96" s="116">
        <f t="shared" si="27"/>
        <v>432164.4707160109</v>
      </c>
      <c r="N96" s="116">
        <f t="shared" si="27"/>
        <v>424765.02934800315</v>
      </c>
      <c r="O96" s="116">
        <f t="shared" si="27"/>
        <v>415598.70290398976</v>
      </c>
      <c r="P96" s="116">
        <f t="shared" si="27"/>
        <v>408565.3288860044</v>
      </c>
      <c r="Q96" s="116">
        <f t="shared" si="27"/>
        <v>404904.65538600116</v>
      </c>
      <c r="R96" s="116">
        <f t="shared" si="27"/>
        <v>409369.97392246936</v>
      </c>
      <c r="S96" s="116">
        <f t="shared" si="27"/>
        <v>413884.53632257733</v>
      </c>
      <c r="T96" s="116">
        <f t="shared" si="27"/>
        <v>418448.88565126271</v>
      </c>
      <c r="U96" s="116">
        <f t="shared" si="27"/>
        <v>423063.57096251799</v>
      </c>
      <c r="V96" s="116">
        <f t="shared" si="27"/>
        <v>427729.14736523875</v>
      </c>
      <c r="W96" s="116"/>
    </row>
    <row r="97" spans="1:23">
      <c r="A97" s="85" t="str">
        <f>+A61</f>
        <v>d. Water Heating - Switch</v>
      </c>
      <c r="B97" s="223">
        <f>SUM(KeyAssumptions!F5:H5)</f>
        <v>106.4</v>
      </c>
      <c r="C97" s="116">
        <f t="shared" ref="C97:V97" si="28">MAX(0,($B$97*C61))</f>
        <v>4286498.6808567001</v>
      </c>
      <c r="D97" s="116">
        <f t="shared" si="28"/>
        <v>17468462.7169668</v>
      </c>
      <c r="E97" s="116">
        <f t="shared" si="28"/>
        <v>17980070.955046199</v>
      </c>
      <c r="F97" s="116">
        <f t="shared" si="28"/>
        <v>18487191.389713205</v>
      </c>
      <c r="G97" s="116">
        <f t="shared" si="28"/>
        <v>18991320.180594299</v>
      </c>
      <c r="H97" s="116">
        <f t="shared" si="28"/>
        <v>14868238.606174782</v>
      </c>
      <c r="I97" s="116">
        <f t="shared" si="28"/>
        <v>1234159.4477520194</v>
      </c>
      <c r="J97" s="116">
        <f t="shared" si="28"/>
        <v>1227539.8701719795</v>
      </c>
      <c r="K97" s="116">
        <f t="shared" si="28"/>
        <v>1215800.2519740066</v>
      </c>
      <c r="L97" s="116">
        <f t="shared" si="28"/>
        <v>1209748.0667580038</v>
      </c>
      <c r="M97" s="116">
        <f t="shared" si="28"/>
        <v>1196144.159364003</v>
      </c>
      <c r="N97" s="116">
        <f t="shared" si="28"/>
        <v>1175663.996891998</v>
      </c>
      <c r="O97" s="116">
        <f t="shared" si="28"/>
        <v>1150293.4526160068</v>
      </c>
      <c r="P97" s="116">
        <f t="shared" si="28"/>
        <v>1130826.4907939991</v>
      </c>
      <c r="Q97" s="116">
        <f t="shared" si="28"/>
        <v>1120694.4842939905</v>
      </c>
      <c r="R97" s="116">
        <f t="shared" si="28"/>
        <v>1133053.5860920888</v>
      </c>
      <c r="S97" s="116">
        <f t="shared" si="28"/>
        <v>1145548.9849804493</v>
      </c>
      <c r="T97" s="116">
        <f t="shared" si="28"/>
        <v>1158182.184053404</v>
      </c>
      <c r="U97" s="116">
        <f t="shared" si="28"/>
        <v>1170954.7029816762</v>
      </c>
      <c r="V97" s="116">
        <f t="shared" si="28"/>
        <v>1183868.078194947</v>
      </c>
      <c r="W97" s="116"/>
    </row>
    <row r="98" spans="1:23">
      <c r="A98" s="85"/>
      <c r="B98" s="125"/>
      <c r="C98" s="116"/>
      <c r="D98" s="116"/>
      <c r="E98" s="116"/>
      <c r="F98" s="116"/>
      <c r="G98" s="116"/>
      <c r="H98" s="116"/>
      <c r="I98" s="116"/>
      <c r="J98" s="116"/>
      <c r="K98" s="116"/>
      <c r="L98" s="116"/>
      <c r="M98" s="116"/>
      <c r="N98" s="116"/>
      <c r="O98" s="116"/>
      <c r="P98" s="116"/>
      <c r="Q98" s="116"/>
      <c r="R98" s="116"/>
      <c r="S98" s="116"/>
      <c r="T98" s="116"/>
      <c r="U98" s="116"/>
      <c r="V98" s="116"/>
      <c r="W98" s="116"/>
    </row>
    <row r="99" spans="1:23">
      <c r="A99" s="126" t="s">
        <v>278</v>
      </c>
      <c r="B99" s="107"/>
      <c r="C99" s="119">
        <f t="shared" ref="C99:V99" si="29">SUM(C94:C97)</f>
        <v>8436572.5000639502</v>
      </c>
      <c r="D99" s="119">
        <f t="shared" si="29"/>
        <v>32274705.512147173</v>
      </c>
      <c r="E99" s="119">
        <f t="shared" si="29"/>
        <v>29800074.083286379</v>
      </c>
      <c r="F99" s="119">
        <f t="shared" si="29"/>
        <v>27169315.731169432</v>
      </c>
      <c r="G99" s="119">
        <f t="shared" si="29"/>
        <v>24386533.729234871</v>
      </c>
      <c r="H99" s="119">
        <f t="shared" si="29"/>
        <v>23505258.099886172</v>
      </c>
      <c r="I99" s="119">
        <f t="shared" si="29"/>
        <v>1951087.6253880165</v>
      </c>
      <c r="J99" s="119">
        <f t="shared" si="29"/>
        <v>1940622.7086179871</v>
      </c>
      <c r="K99" s="119">
        <f t="shared" si="29"/>
        <v>1922063.49908101</v>
      </c>
      <c r="L99" s="119">
        <f t="shared" si="29"/>
        <v>1912495.5751769915</v>
      </c>
      <c r="M99" s="119">
        <f t="shared" si="29"/>
        <v>1890989.103366009</v>
      </c>
      <c r="N99" s="119">
        <f t="shared" si="29"/>
        <v>1858611.9322980056</v>
      </c>
      <c r="O99" s="119">
        <f t="shared" si="29"/>
        <v>1818503.5370039968</v>
      </c>
      <c r="P99" s="119">
        <f t="shared" si="29"/>
        <v>1787728.1389110032</v>
      </c>
      <c r="Q99" s="119">
        <f t="shared" si="29"/>
        <v>1771710.4091609912</v>
      </c>
      <c r="R99" s="119">
        <f t="shared" si="29"/>
        <v>1791248.9628082553</v>
      </c>
      <c r="S99" s="119">
        <f t="shared" si="29"/>
        <v>1811002.9890726598</v>
      </c>
      <c r="T99" s="119">
        <f t="shared" si="29"/>
        <v>1830974.8642020826</v>
      </c>
      <c r="U99" s="119">
        <f t="shared" si="29"/>
        <v>1851166.9906500813</v>
      </c>
      <c r="V99" s="119">
        <f t="shared" si="29"/>
        <v>1871581.7973644556</v>
      </c>
      <c r="W99" s="119"/>
    </row>
    <row r="100" spans="1:23">
      <c r="A100" s="110"/>
      <c r="B100" s="110"/>
      <c r="C100" s="121"/>
      <c r="D100" s="121"/>
      <c r="E100" s="121"/>
      <c r="F100" s="121"/>
      <c r="G100" s="121"/>
      <c r="H100" s="121"/>
      <c r="I100" s="121"/>
      <c r="J100" s="121"/>
      <c r="K100" s="121"/>
      <c r="L100" s="121"/>
      <c r="M100" s="121"/>
      <c r="N100" s="121"/>
      <c r="O100" s="121"/>
      <c r="P100" s="121"/>
      <c r="Q100" s="121"/>
      <c r="R100" s="121"/>
      <c r="S100" s="121"/>
      <c r="T100" s="121"/>
      <c r="U100" s="121"/>
      <c r="V100" s="121"/>
      <c r="W100" s="121"/>
    </row>
    <row r="101" spans="1:23">
      <c r="A101" s="96" t="s">
        <v>277</v>
      </c>
      <c r="B101" s="96"/>
      <c r="C101" s="111"/>
      <c r="D101" s="127"/>
      <c r="E101" s="128"/>
      <c r="F101" s="129"/>
      <c r="G101" s="120"/>
      <c r="H101" s="130"/>
      <c r="I101" s="120"/>
      <c r="J101" s="78"/>
      <c r="L101" s="78"/>
    </row>
    <row r="102" spans="1:23">
      <c r="A102" s="110"/>
      <c r="B102" s="110"/>
      <c r="C102" s="111"/>
      <c r="D102" s="127"/>
      <c r="E102" s="128"/>
      <c r="F102" s="129"/>
      <c r="G102" s="120"/>
      <c r="H102" s="130"/>
      <c r="I102" s="120"/>
      <c r="J102" s="78"/>
      <c r="L102" s="78"/>
    </row>
    <row r="103" spans="1:23">
      <c r="A103" s="462" t="s">
        <v>214</v>
      </c>
      <c r="B103" s="462" t="s">
        <v>344</v>
      </c>
      <c r="C103" s="463" t="s">
        <v>223</v>
      </c>
      <c r="D103" s="463"/>
      <c r="E103" s="463"/>
      <c r="F103" s="463"/>
      <c r="G103" s="463"/>
      <c r="H103" s="463"/>
      <c r="I103" s="463"/>
      <c r="J103" s="463"/>
      <c r="K103" s="463"/>
      <c r="L103" s="463"/>
      <c r="M103" s="463"/>
      <c r="N103" s="463"/>
      <c r="O103" s="463"/>
      <c r="P103" s="463"/>
      <c r="Q103" s="463"/>
      <c r="R103" s="463"/>
      <c r="S103" s="463"/>
      <c r="T103" s="463"/>
      <c r="U103" s="463"/>
      <c r="V103" s="463"/>
      <c r="W103" s="463"/>
    </row>
    <row r="104" spans="1:23">
      <c r="A104" s="462"/>
      <c r="B104" s="462"/>
      <c r="C104" s="324">
        <v>2016</v>
      </c>
      <c r="D104" s="324">
        <v>2017</v>
      </c>
      <c r="E104" s="324">
        <v>2018</v>
      </c>
      <c r="F104" s="324">
        <v>2019</v>
      </c>
      <c r="G104" s="324">
        <v>2020</v>
      </c>
      <c r="H104" s="324">
        <v>2021</v>
      </c>
      <c r="I104" s="324">
        <v>2022</v>
      </c>
      <c r="J104" s="324">
        <v>2023</v>
      </c>
      <c r="K104" s="324">
        <v>2024</v>
      </c>
      <c r="L104" s="324">
        <v>2025</v>
      </c>
      <c r="M104" s="324">
        <v>2026</v>
      </c>
      <c r="N104" s="324">
        <v>2027</v>
      </c>
      <c r="O104" s="324">
        <v>2028</v>
      </c>
      <c r="P104" s="324">
        <v>2029</v>
      </c>
      <c r="Q104" s="324">
        <v>2030</v>
      </c>
      <c r="R104" s="324">
        <v>2031</v>
      </c>
      <c r="S104" s="324">
        <v>2032</v>
      </c>
      <c r="T104" s="324">
        <v>2033</v>
      </c>
      <c r="U104" s="324">
        <v>2034</v>
      </c>
      <c r="V104" s="324">
        <v>2035</v>
      </c>
      <c r="W104" s="324"/>
    </row>
    <row r="105" spans="1:23">
      <c r="A105" s="131"/>
      <c r="B105" s="132"/>
      <c r="C105" s="132"/>
      <c r="D105" s="133"/>
      <c r="E105" s="133"/>
      <c r="F105" s="133"/>
      <c r="G105" s="133"/>
      <c r="H105" s="133"/>
      <c r="I105" s="133"/>
      <c r="J105" s="133"/>
      <c r="K105" s="133"/>
      <c r="L105" s="133"/>
      <c r="M105" s="133"/>
      <c r="N105" s="133"/>
      <c r="O105" s="133"/>
      <c r="P105" s="133"/>
      <c r="Q105" s="133"/>
      <c r="R105" s="133"/>
      <c r="S105" s="133"/>
      <c r="T105" s="133"/>
      <c r="U105" s="133"/>
      <c r="V105" s="133"/>
      <c r="W105" s="133"/>
    </row>
    <row r="106" spans="1:23">
      <c r="A106" s="135" t="str">
        <f>A58</f>
        <v>a. Space Cooling - CAC Switch</v>
      </c>
      <c r="B106" s="136">
        <f>KeyAssumptions!J6</f>
        <v>20</v>
      </c>
      <c r="C106" s="137">
        <f>($B106-IF('7thPlanAssumptions'!$D$14=1,'7thPlanAssumptions'!$B$14,0))*C82*1000</f>
        <v>-47001.082026937496</v>
      </c>
      <c r="D106" s="137">
        <f>($B106-IF('7thPlanAssumptions'!$D$14=1,'7thPlanAssumptions'!$B$14,0))*D82*1000</f>
        <v>-214687.11905746872</v>
      </c>
      <c r="E106" s="137">
        <f>($B106-IF('7thPlanAssumptions'!$D$14=1,'7thPlanAssumptions'!$B$14,0))*E82*1000</f>
        <v>-348552.91537604993</v>
      </c>
      <c r="F106" s="137">
        <f>($B106-IF('7thPlanAssumptions'!$D$14=1,'7thPlanAssumptions'!$B$14,0))*F82*1000</f>
        <v>-446881.10328736866</v>
      </c>
      <c r="G106" s="137">
        <f>($B106-IF('7thPlanAssumptions'!$D$14=1,'7thPlanAssumptions'!$B$14,0))*G82*1000</f>
        <v>-507983.84159984993</v>
      </c>
      <c r="H106" s="137">
        <f>($B106-IF('7thPlanAssumptions'!$D$14=1,'7thPlanAssumptions'!$B$14,0))*H82*1000</f>
        <v>-605801.20085099991</v>
      </c>
      <c r="I106" s="137">
        <f>($B106-IF('7thPlanAssumptions'!$D$14=1,'7thPlanAssumptions'!$B$14,0))*I82*1000</f>
        <v>-613920.67090199981</v>
      </c>
      <c r="J106" s="137">
        <f>($B106-IF('7thPlanAssumptions'!$D$14=1,'7thPlanAssumptions'!$B$14,0))*J82*1000</f>
        <v>-621996.59110049997</v>
      </c>
      <c r="K106" s="137">
        <f>($B106-IF('7thPlanAssumptions'!$D$14=1,'7thPlanAssumptions'!$B$14,0))*K82*1000</f>
        <v>-629995.27696874982</v>
      </c>
      <c r="L106" s="137">
        <f>($B106-IF('7thPlanAssumptions'!$D$14=1,'7thPlanAssumptions'!$B$14,0))*L82*1000</f>
        <v>-637954.14582899993</v>
      </c>
      <c r="M106" s="137">
        <f>($B106-IF('7thPlanAssumptions'!$D$14=1,'7thPlanAssumptions'!$B$14,0))*M82*1000</f>
        <v>-645823.51529849961</v>
      </c>
      <c r="N106" s="137">
        <f>($B106-IF('7thPlanAssumptions'!$D$14=1,'7thPlanAssumptions'!$B$14,0))*N82*1000</f>
        <v>-653558.14685699984</v>
      </c>
      <c r="O106" s="137">
        <f>($B106-IF('7thPlanAssumptions'!$D$14=1,'7thPlanAssumptions'!$B$14,0))*O82*1000</f>
        <v>-661125.86693999986</v>
      </c>
      <c r="P106" s="137">
        <f>($B106-IF('7thPlanAssumptions'!$D$14=1,'7thPlanAssumptions'!$B$14,0))*P82*1000</f>
        <v>-668565.51490574982</v>
      </c>
      <c r="Q106" s="137">
        <f>($B106-IF('7thPlanAssumptions'!$D$14=1,'7thPlanAssumptions'!$B$14,0))*Q82*1000</f>
        <v>-675938.50493399985</v>
      </c>
      <c r="R106" s="137">
        <f>($B106-IF('7thPlanAssumptions'!$D$14=1,'7thPlanAssumptions'!$B$14,0))*R82*1000</f>
        <v>-683392.8048425006</v>
      </c>
      <c r="S106" s="137">
        <f>($B106-IF('7thPlanAssumptions'!$D$14=1,'7thPlanAssumptions'!$B$14,0))*S82*1000</f>
        <v>-690929.31132263492</v>
      </c>
      <c r="T106" s="137">
        <f>($B106-IF('7thPlanAssumptions'!$D$14=1,'7thPlanAssumptions'!$B$14,0))*T82*1000</f>
        <v>-698548.93095456518</v>
      </c>
      <c r="U106" s="137">
        <f>($B106-IF('7thPlanAssumptions'!$D$14=1,'7thPlanAssumptions'!$B$14,0))*U82*1000</f>
        <v>-706252.58031628688</v>
      </c>
      <c r="V106" s="137">
        <f>($B106-IF('7thPlanAssumptions'!$D$14=1,'7thPlanAssumptions'!$B$14,0))*V82*1000</f>
        <v>-714041.18609388499</v>
      </c>
      <c r="W106" s="137"/>
    </row>
    <row r="107" spans="1:23">
      <c r="A107" s="135" t="str">
        <f>A59</f>
        <v>b. Space Cooling - RAC Switch</v>
      </c>
      <c r="B107" s="136">
        <f>KeyAssumptions!J7</f>
        <v>20</v>
      </c>
      <c r="C107" s="137">
        <f>($B107-IF('7thPlanAssumptions'!$D$14=1,'7thPlanAssumptions'!$B$14,0))*C83*1000</f>
        <v>-2115.0486912121874</v>
      </c>
      <c r="D107" s="137">
        <f>($B107-IF('7thPlanAssumptions'!$D$14=1,'7thPlanAssumptions'!$B$14,0))*D83*1000</f>
        <v>-9660.920357586092</v>
      </c>
      <c r="E107" s="137">
        <f>($B107-IF('7thPlanAssumptions'!$D$14=1,'7thPlanAssumptions'!$B$14,0))*E83*1000</f>
        <v>-15684.881191922255</v>
      </c>
      <c r="F107" s="137">
        <f>($B107-IF('7thPlanAssumptions'!$D$14=1,'7thPlanAssumptions'!$B$14,0))*F83*1000</f>
        <v>-20109.649647931597</v>
      </c>
      <c r="G107" s="137">
        <f>($B107-IF('7thPlanAssumptions'!$D$14=1,'7thPlanAssumptions'!$B$14,0))*G83*1000</f>
        <v>-22859.272871993253</v>
      </c>
      <c r="H107" s="137">
        <f>($B107-IF('7thPlanAssumptions'!$D$14=1,'7thPlanAssumptions'!$B$14,0))*H83*1000</f>
        <v>-27261.054038294995</v>
      </c>
      <c r="I107" s="137">
        <f>($B107-IF('7thPlanAssumptions'!$D$14=1,'7thPlanAssumptions'!$B$14,0))*I83*1000</f>
        <v>-27626.430190589996</v>
      </c>
      <c r="J107" s="137">
        <f>($B107-IF('7thPlanAssumptions'!$D$14=1,'7thPlanAssumptions'!$B$14,0))*J83*1000</f>
        <v>-27989.846599522494</v>
      </c>
      <c r="K107" s="137">
        <f>($B107-IF('7thPlanAssumptions'!$D$14=1,'7thPlanAssumptions'!$B$14,0))*K83*1000</f>
        <v>-28349.787463593751</v>
      </c>
      <c r="L107" s="137">
        <f>($B107-IF('7thPlanAssumptions'!$D$14=1,'7thPlanAssumptions'!$B$14,0))*L83*1000</f>
        <v>-28707.936562304993</v>
      </c>
      <c r="M107" s="137">
        <f>($B107-IF('7thPlanAssumptions'!$D$14=1,'7thPlanAssumptions'!$B$14,0))*M83*1000</f>
        <v>-29062.058188432497</v>
      </c>
      <c r="N107" s="137">
        <f>($B107-IF('7thPlanAssumptions'!$D$14=1,'7thPlanAssumptions'!$B$14,0))*N83*1000</f>
        <v>-29410.116608564993</v>
      </c>
      <c r="O107" s="137">
        <f>($B107-IF('7thPlanAssumptions'!$D$14=1,'7thPlanAssumptions'!$B$14,0))*O83*1000</f>
        <v>-29750.6640123</v>
      </c>
      <c r="P107" s="137">
        <f>($B107-IF('7thPlanAssumptions'!$D$14=1,'7thPlanAssumptions'!$B$14,0))*P83*1000</f>
        <v>-30085.448170758744</v>
      </c>
      <c r="Q107" s="137">
        <f>($B107-IF('7thPlanAssumptions'!$D$14=1,'7thPlanAssumptions'!$B$14,0))*Q83*1000</f>
        <v>-30417.232722029996</v>
      </c>
      <c r="R107" s="137">
        <f>($B107-IF('7thPlanAssumptions'!$D$14=1,'7thPlanAssumptions'!$B$14,0))*R83*1000</f>
        <v>-30752.676217912529</v>
      </c>
      <c r="S107" s="137">
        <f>($B107-IF('7thPlanAssumptions'!$D$14=1,'7thPlanAssumptions'!$B$14,0))*S83*1000</f>
        <v>-31091.819009518575</v>
      </c>
      <c r="T107" s="137">
        <f>($B107-IF('7thPlanAssumptions'!$D$14=1,'7thPlanAssumptions'!$B$14,0))*T83*1000</f>
        <v>-31434.70189295544</v>
      </c>
      <c r="U107" s="137">
        <f>($B107-IF('7thPlanAssumptions'!$D$14=1,'7thPlanAssumptions'!$B$14,0))*U83*1000</f>
        <v>-31781.366114232907</v>
      </c>
      <c r="V107" s="137">
        <f>($B107-IF('7thPlanAssumptions'!$D$14=1,'7thPlanAssumptions'!$B$14,0))*V83*1000</f>
        <v>-32131.853374224833</v>
      </c>
      <c r="W107" s="137"/>
    </row>
    <row r="108" spans="1:23">
      <c r="A108" s="135" t="str">
        <f>A60</f>
        <v>c. Space Heating - Switch</v>
      </c>
      <c r="B108" s="136">
        <f>KeyAssumptions!J4</f>
        <v>20</v>
      </c>
      <c r="C108" s="137">
        <f>($B108-IF('7thPlanAssumptions'!$D$14=1,'7thPlanAssumptions'!$B$14,0))*C84*1000</f>
        <v>-128514.38714222627</v>
      </c>
      <c r="D108" s="137">
        <f>($B108-IF('7thPlanAssumptions'!$D$14=1,'7thPlanAssumptions'!$B$14,0))*D84*1000</f>
        <v>-587015.92267999309</v>
      </c>
      <c r="E108" s="137">
        <f>($B108-IF('7thPlanAssumptions'!$D$14=1,'7thPlanAssumptions'!$B$14,0))*E84*1000</f>
        <v>-953043.25718537136</v>
      </c>
      <c r="F108" s="137">
        <f>($B108-IF('7thPlanAssumptions'!$D$14=1,'7thPlanAssumptions'!$B$14,0))*F84*1000</f>
        <v>-1221900.6167028914</v>
      </c>
      <c r="G108" s="137">
        <f>($B108-IF('7thPlanAssumptions'!$D$14=1,'7thPlanAssumptions'!$B$14,0))*G84*1000</f>
        <v>-1388972.9611744471</v>
      </c>
      <c r="H108" s="137">
        <f>($B108-IF('7thPlanAssumptions'!$D$14=1,'7thPlanAssumptions'!$B$14,0))*H84*1000</f>
        <v>-1656433.5691840197</v>
      </c>
      <c r="I108" s="137">
        <f>($B108-IF('7thPlanAssumptions'!$D$14=1,'7thPlanAssumptions'!$B$14,0))*I84*1000</f>
        <v>-1678634.5201520398</v>
      </c>
      <c r="J108" s="137">
        <f>($B108-IF('7thPlanAssumptions'!$D$14=1,'7thPlanAssumptions'!$B$14,0))*J84*1000</f>
        <v>-1700716.3933805099</v>
      </c>
      <c r="K108" s="137">
        <f>($B108-IF('7thPlanAssumptions'!$D$14=1,'7thPlanAssumptions'!$B$14,0))*K84*1000</f>
        <v>-1722587.085883125</v>
      </c>
      <c r="L108" s="137">
        <f>($B108-IF('7thPlanAssumptions'!$D$14=1,'7thPlanAssumptions'!$B$14,0))*L84*1000</f>
        <v>-1744348.9073095797</v>
      </c>
      <c r="M108" s="137">
        <f>($B108-IF('7thPlanAssumptions'!$D$14=1,'7thPlanAssumptions'!$B$14,0))*M84*1000</f>
        <v>-1765866.0118304701</v>
      </c>
      <c r="N108" s="137">
        <f>($B108-IF('7thPlanAssumptions'!$D$14=1,'7thPlanAssumptions'!$B$14,0))*N84*1000</f>
        <v>-1787014.7044061401</v>
      </c>
      <c r="O108" s="137">
        <f>($B108-IF('7thPlanAssumptions'!$D$14=1,'7thPlanAssumptions'!$B$14,0))*O84*1000</f>
        <v>-1807707.0133187997</v>
      </c>
      <c r="P108" s="137">
        <f>($B108-IF('7thPlanAssumptions'!$D$14=1,'7thPlanAssumptions'!$B$14,0))*P84*1000</f>
        <v>-1828049.136470865</v>
      </c>
      <c r="Q108" s="137">
        <f>($B108-IF('7thPlanAssumptions'!$D$14=1,'7thPlanAssumptions'!$B$14,0))*Q84*1000</f>
        <v>-1848208.9977766799</v>
      </c>
      <c r="R108" s="137">
        <f>($B108-IF('7thPlanAssumptions'!$D$14=1,'7thPlanAssumptions'!$B$14,0))*R84*1000</f>
        <v>-1868591.1835264948</v>
      </c>
      <c r="S108" s="137">
        <f>($B108-IF('7thPlanAssumptions'!$D$14=1,'7thPlanAssumptions'!$B$14,0))*S84*1000</f>
        <v>-1889198.1455307482</v>
      </c>
      <c r="T108" s="137">
        <f>($B108-IF('7thPlanAssumptions'!$D$14=1,'7thPlanAssumptions'!$B$14,0))*T84*1000</f>
        <v>-1910032.362638626</v>
      </c>
      <c r="U108" s="137">
        <f>($B108-IF('7thPlanAssumptions'!$D$14=1,'7thPlanAssumptions'!$B$14,0))*U84*1000</f>
        <v>-1931096.3410362478</v>
      </c>
      <c r="V108" s="137">
        <f>($B108-IF('7thPlanAssumptions'!$D$14=1,'7thPlanAssumptions'!$B$14,0))*V84*1000</f>
        <v>-1952392.6145481374</v>
      </c>
      <c r="W108" s="137"/>
    </row>
    <row r="109" spans="1:23">
      <c r="A109" s="135" t="str">
        <f>A61</f>
        <v>d. Water Heating - Switch</v>
      </c>
      <c r="B109" s="136">
        <f>KeyAssumptions!J5</f>
        <v>20</v>
      </c>
      <c r="C109" s="137">
        <f>($B109-IF('7thPlanAssumptions'!$D$14=1,'7thPlanAssumptions'!$B$14,0))*C85*1000</f>
        <v>-133187.63758376177</v>
      </c>
      <c r="D109" s="137">
        <f>($B109-IF('7thPlanAssumptions'!$D$14=1,'7thPlanAssumptions'!$B$14,0))*D85*1000</f>
        <v>-675957.72914665868</v>
      </c>
      <c r="E109" s="137">
        <f>($B109-IF('7thPlanAssumptions'!$D$14=1,'7thPlanAssumptions'!$B$14,0))*E85*1000</f>
        <v>-1234624.2195355939</v>
      </c>
      <c r="F109" s="137">
        <f>($B109-IF('7thPlanAssumptions'!$D$14=1,'7thPlanAssumptions'!$B$14,0))*F85*1000</f>
        <v>-1809047.6662873975</v>
      </c>
      <c r="G109" s="137">
        <f>($B109-IF('7thPlanAssumptions'!$D$14=1,'7thPlanAssumptions'!$B$14,0))*G85*1000</f>
        <v>-2399135.1147558629</v>
      </c>
      <c r="H109" s="137">
        <f>($B109-IF('7thPlanAssumptions'!$D$14=1,'7thPlanAssumptions'!$B$14,0))*H85*1000</f>
        <v>-2861112.5285905791</v>
      </c>
      <c r="I109" s="137">
        <f>($B109-IF('7thPlanAssumptions'!$D$14=1,'7thPlanAssumptions'!$B$14,0))*I85*1000</f>
        <v>-2899459.6257171598</v>
      </c>
      <c r="J109" s="137">
        <f>($B109-IF('7thPlanAssumptions'!$D$14=1,'7thPlanAssumptions'!$B$14,0))*J85*1000</f>
        <v>-2937601.043111789</v>
      </c>
      <c r="K109" s="137">
        <f>($B109-IF('7thPlanAssumptions'!$D$14=1,'7thPlanAssumptions'!$B$14,0))*K85*1000</f>
        <v>-2975377.6937981248</v>
      </c>
      <c r="L109" s="137">
        <f>($B109-IF('7thPlanAssumptions'!$D$14=1,'7thPlanAssumptions'!$B$14,0))*L85*1000</f>
        <v>-3012966.2944438197</v>
      </c>
      <c r="M109" s="137">
        <f>($B109-IF('7thPlanAssumptions'!$D$14=1,'7thPlanAssumptions'!$B$14,0))*M85*1000</f>
        <v>-3050132.2022526297</v>
      </c>
      <c r="N109" s="137">
        <f>($B109-IF('7thPlanAssumptions'!$D$14=1,'7thPlanAssumptions'!$B$14,0))*N85*1000</f>
        <v>-3086661.76215606</v>
      </c>
      <c r="O109" s="137">
        <f>($B109-IF('7thPlanAssumptions'!$D$14=1,'7thPlanAssumptions'!$B$14,0))*O85*1000</f>
        <v>-3122403.0230052001</v>
      </c>
      <c r="P109" s="137">
        <f>($B109-IF('7thPlanAssumptions'!$D$14=1,'7thPlanAssumptions'!$B$14,0))*P85*1000</f>
        <v>-3157539.4175405847</v>
      </c>
      <c r="Q109" s="137">
        <f>($B109-IF('7thPlanAssumptions'!$D$14=1,'7thPlanAssumptions'!$B$14,0))*Q85*1000</f>
        <v>-3192360.9961597198</v>
      </c>
      <c r="R109" s="137">
        <f>($B109-IF('7thPlanAssumptions'!$D$14=1,'7thPlanAssumptions'!$B$14,0))*R85*1000</f>
        <v>-3227566.5897275805</v>
      </c>
      <c r="S109" s="137">
        <f>($B109-IF('7thPlanAssumptions'!$D$14=1,'7thPlanAssumptions'!$B$14,0))*S85*1000</f>
        <v>-3263160.4331894726</v>
      </c>
      <c r="T109" s="137">
        <f>($B109-IF('7thPlanAssumptions'!$D$14=1,'7thPlanAssumptions'!$B$14,0))*T85*1000</f>
        <v>-3299146.8081939896</v>
      </c>
      <c r="U109" s="137">
        <f>($B109-IF('7thPlanAssumptions'!$D$14=1,'7thPlanAssumptions'!$B$14,0))*U85*1000</f>
        <v>-3335530.0436080634</v>
      </c>
      <c r="V109" s="137">
        <f>($B109-IF('7thPlanAssumptions'!$D$14=1,'7thPlanAssumptions'!$B$14,0))*V85*1000</f>
        <v>-3372314.5160376919</v>
      </c>
      <c r="W109" s="137"/>
    </row>
    <row r="110" spans="1:23">
      <c r="A110" s="13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7"/>
    </row>
    <row r="111" spans="1:23">
      <c r="A111" s="143" t="s">
        <v>224</v>
      </c>
      <c r="B111" s="144"/>
      <c r="C111" s="145">
        <f t="shared" ref="C111:V111" si="30">SUM(C106:C109)</f>
        <v>-310818.15544413775</v>
      </c>
      <c r="D111" s="145">
        <f t="shared" si="30"/>
        <v>-1487321.6912417067</v>
      </c>
      <c r="E111" s="145">
        <f t="shared" si="30"/>
        <v>-2551905.2732889373</v>
      </c>
      <c r="F111" s="145">
        <f t="shared" si="30"/>
        <v>-3497939.035925589</v>
      </c>
      <c r="G111" s="145">
        <f t="shared" si="30"/>
        <v>-4318951.1904021529</v>
      </c>
      <c r="H111" s="145">
        <f t="shared" si="30"/>
        <v>-5150608.3526638933</v>
      </c>
      <c r="I111" s="145">
        <f t="shared" si="30"/>
        <v>-5219641.2469617892</v>
      </c>
      <c r="J111" s="145">
        <f t="shared" si="30"/>
        <v>-5288303.8741923217</v>
      </c>
      <c r="K111" s="145">
        <f t="shared" si="30"/>
        <v>-5356309.8441135939</v>
      </c>
      <c r="L111" s="145">
        <f t="shared" si="30"/>
        <v>-5423977.2841447042</v>
      </c>
      <c r="M111" s="145">
        <f t="shared" si="30"/>
        <v>-5490883.7875700314</v>
      </c>
      <c r="N111" s="145">
        <f t="shared" si="30"/>
        <v>-5556644.730027765</v>
      </c>
      <c r="O111" s="145">
        <f t="shared" si="30"/>
        <v>-5620986.567276299</v>
      </c>
      <c r="P111" s="145">
        <f t="shared" si="30"/>
        <v>-5684239.5170879588</v>
      </c>
      <c r="Q111" s="145">
        <f t="shared" si="30"/>
        <v>-5746925.7315924298</v>
      </c>
      <c r="R111" s="145">
        <f t="shared" si="30"/>
        <v>-5810303.2543144887</v>
      </c>
      <c r="S111" s="145">
        <f t="shared" si="30"/>
        <v>-5874379.7090523746</v>
      </c>
      <c r="T111" s="145">
        <f t="shared" si="30"/>
        <v>-5939162.8036801368</v>
      </c>
      <c r="U111" s="145">
        <f t="shared" si="30"/>
        <v>-6004660.3310748311</v>
      </c>
      <c r="V111" s="145">
        <f t="shared" si="30"/>
        <v>-6070880.1700539384</v>
      </c>
      <c r="W111" s="145"/>
    </row>
    <row r="112" spans="1:23">
      <c r="A112" s="120"/>
      <c r="B112" s="120"/>
      <c r="C112" s="325">
        <f>NPV(4%,'Res-Capacity-Base'!$C$106:$W$106)/NPV(4%,C82:W82)/1000</f>
        <v>-6</v>
      </c>
      <c r="D112" s="146"/>
      <c r="E112" s="146"/>
      <c r="F112" s="146"/>
      <c r="G112" s="146"/>
      <c r="H112" s="146"/>
      <c r="I112" s="146"/>
      <c r="J112" s="146"/>
      <c r="K112" s="146"/>
      <c r="L112" s="146"/>
      <c r="M112" s="146"/>
      <c r="N112" s="146"/>
      <c r="O112" s="146"/>
      <c r="P112" s="146"/>
      <c r="Q112" s="146"/>
      <c r="R112" s="146"/>
      <c r="S112" s="146"/>
      <c r="T112" s="146"/>
      <c r="U112" s="146"/>
      <c r="V112" s="146"/>
      <c r="W112" s="146"/>
    </row>
    <row r="113" spans="1:23">
      <c r="A113" s="96" t="s">
        <v>308</v>
      </c>
      <c r="B113" s="96"/>
      <c r="C113" s="111"/>
      <c r="D113" s="127"/>
      <c r="E113" s="128"/>
      <c r="F113" s="190"/>
      <c r="G113" s="120"/>
      <c r="H113" s="130"/>
      <c r="I113" s="120"/>
      <c r="J113" s="78"/>
      <c r="L113" s="78"/>
    </row>
    <row r="114" spans="1:23">
      <c r="A114" s="110"/>
      <c r="B114" s="110"/>
      <c r="C114" s="111"/>
      <c r="D114" s="127"/>
      <c r="E114" s="128"/>
      <c r="F114" s="129"/>
      <c r="G114" s="120"/>
      <c r="H114" s="130"/>
      <c r="I114" s="120"/>
      <c r="J114" s="78"/>
      <c r="L114" s="78"/>
    </row>
    <row r="115" spans="1:23">
      <c r="A115" s="462" t="s">
        <v>214</v>
      </c>
      <c r="B115" s="462"/>
      <c r="C115" s="322">
        <v>2016</v>
      </c>
      <c r="D115" s="322">
        <v>2017</v>
      </c>
      <c r="E115" s="322">
        <v>2018</v>
      </c>
      <c r="F115" s="322">
        <v>2019</v>
      </c>
      <c r="G115" s="322">
        <v>2020</v>
      </c>
      <c r="H115" s="322">
        <v>2021</v>
      </c>
      <c r="I115" s="322">
        <v>2022</v>
      </c>
      <c r="J115" s="322">
        <v>2023</v>
      </c>
      <c r="K115" s="322">
        <v>2024</v>
      </c>
      <c r="L115" s="322">
        <v>2025</v>
      </c>
      <c r="M115" s="322">
        <v>2026</v>
      </c>
      <c r="N115" s="322">
        <v>2027</v>
      </c>
      <c r="O115" s="322">
        <v>2028</v>
      </c>
      <c r="P115" s="322">
        <v>2029</v>
      </c>
      <c r="Q115" s="322">
        <v>2030</v>
      </c>
      <c r="R115" s="322">
        <v>2031</v>
      </c>
      <c r="S115" s="322">
        <v>2032</v>
      </c>
      <c r="T115" s="322">
        <v>2033</v>
      </c>
      <c r="U115" s="322">
        <v>2034</v>
      </c>
      <c r="V115" s="322">
        <v>2035</v>
      </c>
      <c r="W115" s="322"/>
    </row>
    <row r="116" spans="1:23">
      <c r="A116" s="118" t="s">
        <v>278</v>
      </c>
      <c r="B116" s="226"/>
      <c r="C116" s="148">
        <f t="shared" ref="C116:V116" si="31">C99</f>
        <v>8436572.5000639502</v>
      </c>
      <c r="D116" s="148">
        <f t="shared" si="31"/>
        <v>32274705.512147173</v>
      </c>
      <c r="E116" s="148">
        <f t="shared" si="31"/>
        <v>29800074.083286379</v>
      </c>
      <c r="F116" s="148">
        <f t="shared" si="31"/>
        <v>27169315.731169432</v>
      </c>
      <c r="G116" s="148">
        <f t="shared" si="31"/>
        <v>24386533.729234871</v>
      </c>
      <c r="H116" s="148">
        <f t="shared" si="31"/>
        <v>23505258.099886172</v>
      </c>
      <c r="I116" s="148">
        <f t="shared" si="31"/>
        <v>1951087.6253880165</v>
      </c>
      <c r="J116" s="148">
        <f t="shared" si="31"/>
        <v>1940622.7086179871</v>
      </c>
      <c r="K116" s="148">
        <f t="shared" si="31"/>
        <v>1922063.49908101</v>
      </c>
      <c r="L116" s="148">
        <f t="shared" si="31"/>
        <v>1912495.5751769915</v>
      </c>
      <c r="M116" s="148">
        <f t="shared" si="31"/>
        <v>1890989.103366009</v>
      </c>
      <c r="N116" s="148">
        <f t="shared" si="31"/>
        <v>1858611.9322980056</v>
      </c>
      <c r="O116" s="148">
        <f t="shared" si="31"/>
        <v>1818503.5370039968</v>
      </c>
      <c r="P116" s="148">
        <f t="shared" si="31"/>
        <v>1787728.1389110032</v>
      </c>
      <c r="Q116" s="148">
        <f t="shared" si="31"/>
        <v>1771710.4091609912</v>
      </c>
      <c r="R116" s="148">
        <f t="shared" si="31"/>
        <v>1791248.9628082553</v>
      </c>
      <c r="S116" s="148">
        <f t="shared" si="31"/>
        <v>1811002.9890726598</v>
      </c>
      <c r="T116" s="148">
        <f t="shared" si="31"/>
        <v>1830974.8642020826</v>
      </c>
      <c r="U116" s="148">
        <f t="shared" si="31"/>
        <v>1851166.9906500813</v>
      </c>
      <c r="V116" s="148">
        <f t="shared" si="31"/>
        <v>1871581.7973644556</v>
      </c>
      <c r="W116" s="148"/>
    </row>
    <row r="117" spans="1:23">
      <c r="A117" s="118" t="str">
        <f>A111</f>
        <v>TOTAL IMPLEMENTATION COST</v>
      </c>
      <c r="B117" s="226"/>
      <c r="C117" s="148">
        <f t="shared" ref="C117:V117" si="32">C111</f>
        <v>-310818.15544413775</v>
      </c>
      <c r="D117" s="148">
        <f t="shared" si="32"/>
        <v>-1487321.6912417067</v>
      </c>
      <c r="E117" s="148">
        <f t="shared" si="32"/>
        <v>-2551905.2732889373</v>
      </c>
      <c r="F117" s="148">
        <f t="shared" si="32"/>
        <v>-3497939.035925589</v>
      </c>
      <c r="G117" s="148">
        <f t="shared" si="32"/>
        <v>-4318951.1904021529</v>
      </c>
      <c r="H117" s="148">
        <f t="shared" si="32"/>
        <v>-5150608.3526638933</v>
      </c>
      <c r="I117" s="148">
        <f t="shared" si="32"/>
        <v>-5219641.2469617892</v>
      </c>
      <c r="J117" s="148">
        <f t="shared" si="32"/>
        <v>-5288303.8741923217</v>
      </c>
      <c r="K117" s="148">
        <f t="shared" si="32"/>
        <v>-5356309.8441135939</v>
      </c>
      <c r="L117" s="148">
        <f t="shared" si="32"/>
        <v>-5423977.2841447042</v>
      </c>
      <c r="M117" s="148">
        <f t="shared" si="32"/>
        <v>-5490883.7875700314</v>
      </c>
      <c r="N117" s="148">
        <f t="shared" si="32"/>
        <v>-5556644.730027765</v>
      </c>
      <c r="O117" s="148">
        <f t="shared" si="32"/>
        <v>-5620986.567276299</v>
      </c>
      <c r="P117" s="148">
        <f t="shared" si="32"/>
        <v>-5684239.5170879588</v>
      </c>
      <c r="Q117" s="148">
        <f t="shared" si="32"/>
        <v>-5746925.7315924298</v>
      </c>
      <c r="R117" s="148">
        <f t="shared" si="32"/>
        <v>-5810303.2543144887</v>
      </c>
      <c r="S117" s="148">
        <f t="shared" si="32"/>
        <v>-5874379.7090523746</v>
      </c>
      <c r="T117" s="148">
        <f t="shared" si="32"/>
        <v>-5939162.8036801368</v>
      </c>
      <c r="U117" s="148">
        <f t="shared" si="32"/>
        <v>-6004660.3310748311</v>
      </c>
      <c r="V117" s="148">
        <f t="shared" si="32"/>
        <v>-6070880.1700539384</v>
      </c>
      <c r="W117" s="148"/>
    </row>
    <row r="118" spans="1:23">
      <c r="A118" s="226" t="s">
        <v>226</v>
      </c>
      <c r="B118" s="226"/>
      <c r="C118" s="150">
        <f t="shared" ref="C118:V118" si="33">SUM(C116:C117)</f>
        <v>8125754.3446198124</v>
      </c>
      <c r="D118" s="150">
        <f t="shared" si="33"/>
        <v>30787383.820905466</v>
      </c>
      <c r="E118" s="150">
        <f t="shared" si="33"/>
        <v>27248168.809997439</v>
      </c>
      <c r="F118" s="150">
        <f t="shared" si="33"/>
        <v>23671376.695243843</v>
      </c>
      <c r="G118" s="150">
        <f t="shared" si="33"/>
        <v>20067582.538832717</v>
      </c>
      <c r="H118" s="150">
        <f t="shared" si="33"/>
        <v>18354649.747222278</v>
      </c>
      <c r="I118" s="150">
        <f t="shared" si="33"/>
        <v>-3268553.6215737727</v>
      </c>
      <c r="J118" s="150">
        <f t="shared" si="33"/>
        <v>-3347681.1655743346</v>
      </c>
      <c r="K118" s="150">
        <f t="shared" si="33"/>
        <v>-3434246.3450325839</v>
      </c>
      <c r="L118" s="150">
        <f t="shared" si="33"/>
        <v>-3511481.7089677127</v>
      </c>
      <c r="M118" s="150">
        <f t="shared" si="33"/>
        <v>-3599894.6842040224</v>
      </c>
      <c r="N118" s="150">
        <f t="shared" si="33"/>
        <v>-3698032.7977297595</v>
      </c>
      <c r="O118" s="150">
        <f t="shared" si="33"/>
        <v>-3802483.0302723022</v>
      </c>
      <c r="P118" s="150">
        <f t="shared" si="33"/>
        <v>-3896511.3781769555</v>
      </c>
      <c r="Q118" s="150">
        <f t="shared" si="33"/>
        <v>-3975215.3224314386</v>
      </c>
      <c r="R118" s="150">
        <f t="shared" si="33"/>
        <v>-4019054.2915062336</v>
      </c>
      <c r="S118" s="150">
        <f t="shared" si="33"/>
        <v>-4063376.7199797146</v>
      </c>
      <c r="T118" s="150">
        <f t="shared" si="33"/>
        <v>-4108187.9394780542</v>
      </c>
      <c r="U118" s="150">
        <f t="shared" si="33"/>
        <v>-4153493.34042475</v>
      </c>
      <c r="V118" s="150">
        <f t="shared" si="33"/>
        <v>-4199298.3726894828</v>
      </c>
      <c r="W118" s="150"/>
    </row>
  </sheetData>
  <mergeCells count="15">
    <mergeCell ref="A103:A104"/>
    <mergeCell ref="B103:B104"/>
    <mergeCell ref="C103:W103"/>
    <mergeCell ref="A115:B115"/>
    <mergeCell ref="A1:W1"/>
    <mergeCell ref="C4:W4"/>
    <mergeCell ref="C55:W55"/>
    <mergeCell ref="A67:A68"/>
    <mergeCell ref="B67:B68"/>
    <mergeCell ref="C67:W67"/>
    <mergeCell ref="B79:B80"/>
    <mergeCell ref="C79:W79"/>
    <mergeCell ref="A91:A92"/>
    <mergeCell ref="B91:B92"/>
    <mergeCell ref="C91:W91"/>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sheetPr>
    <tabColor theme="5" tint="0.39997558519241921"/>
  </sheetPr>
  <dimension ref="A1:W86"/>
  <sheetViews>
    <sheetView topLeftCell="A63" workbookViewId="0">
      <selection activeCell="C101" sqref="C101"/>
    </sheetView>
  </sheetViews>
  <sheetFormatPr defaultRowHeight="12.75"/>
  <cols>
    <col min="1" max="1" width="35.85546875" style="76" customWidth="1"/>
    <col min="2" max="2" width="34.7109375" style="76" bestFit="1" customWidth="1"/>
    <col min="3" max="3" width="20.28515625" style="76" customWidth="1"/>
    <col min="4" max="4" width="15" style="76" customWidth="1"/>
    <col min="5" max="5" width="17" style="76" bestFit="1" customWidth="1"/>
    <col min="6" max="7" width="12.85546875" style="76" customWidth="1"/>
    <col min="8" max="8" width="13.7109375" style="76" customWidth="1"/>
    <col min="9" max="23" width="12.85546875" style="76" customWidth="1"/>
    <col min="24"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302</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81" t="s">
        <v>230</v>
      </c>
      <c r="D4" s="482"/>
      <c r="E4" s="482"/>
      <c r="F4" s="482"/>
      <c r="G4" s="482"/>
      <c r="H4" s="482"/>
      <c r="I4" s="482"/>
      <c r="J4" s="482"/>
      <c r="K4" s="482"/>
      <c r="L4" s="482"/>
      <c r="M4" s="482"/>
      <c r="N4" s="482"/>
      <c r="O4" s="482"/>
      <c r="P4" s="482"/>
      <c r="Q4" s="482"/>
      <c r="R4" s="482"/>
      <c r="S4" s="482"/>
      <c r="T4" s="482"/>
      <c r="U4" s="482"/>
      <c r="V4" s="482"/>
      <c r="W4" s="483"/>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ht="13.5" thickBot="1">
      <c r="A6" s="161"/>
      <c r="B6" s="162" t="s">
        <v>244</v>
      </c>
      <c r="C6" s="332">
        <f>HLOOKUP('Res-Capacity-Base'!C$5,'NW Customers'!$B$2:$AO$5,3)</f>
        <v>394176.6962072298</v>
      </c>
      <c r="D6" s="332">
        <f>HLOOKUP('Res-Capacity-Base'!D$5,'NW Customers'!$B$2:$AO$5,3)</f>
        <v>398910.99371926603</v>
      </c>
      <c r="E6" s="332">
        <f>HLOOKUP('Res-Capacity-Base'!E$5,'NW Customers'!$B$2:$AO$5,3)</f>
        <v>404211.04209112196</v>
      </c>
      <c r="F6" s="332">
        <f>HLOOKUP('Res-Capacity-Base'!F$5,'NW Customers'!$B$2:$AO$5,3)</f>
        <v>409461.45527194545</v>
      </c>
      <c r="G6" s="332">
        <f>HLOOKUP('Res-Capacity-Base'!G$5,'NW Customers'!$B$2:$AO$5,3)</f>
        <v>414973.96221003355</v>
      </c>
      <c r="H6" s="332">
        <f>HLOOKUP('Res-Capacity-Base'!H$5,'NW Customers'!$B$2:$AO$5,3)</f>
        <v>420270.55792898097</v>
      </c>
      <c r="I6" s="332">
        <f>HLOOKUP('Res-Capacity-Base'!I$5,'NW Customers'!$B$2:$AO$5,3)</f>
        <v>425475.03615722148</v>
      </c>
      <c r="J6" s="332">
        <f>HLOOKUP('Res-Capacity-Base'!J$5,'NW Customers'!$B$2:$AO$5,3)</f>
        <v>430609.97963586426</v>
      </c>
      <c r="K6" s="332">
        <f>HLOOKUP('Res-Capacity-Base'!K$5,'NW Customers'!$B$2:$AO$5,3)</f>
        <v>435727.19666466326</v>
      </c>
      <c r="L6" s="332">
        <f>HLOOKUP('Res-Capacity-Base'!L$5,'NW Customers'!$B$2:$AO$5,3)</f>
        <v>440815.13833749207</v>
      </c>
      <c r="M6" s="332">
        <f>HLOOKUP('Res-Capacity-Base'!M$5,'NW Customers'!$B$2:$AO$5,3)</f>
        <v>445687.17196607753</v>
      </c>
      <c r="N6" s="332">
        <f>HLOOKUP('Res-Capacity-Base'!N$5,'NW Customers'!$B$2:$AO$5,3)</f>
        <v>450729.45878165902</v>
      </c>
      <c r="O6" s="332">
        <f>HLOOKUP('Res-Capacity-Base'!O$5,'NW Customers'!$B$2:$AO$5,3)</f>
        <v>455977.8439503425</v>
      </c>
      <c r="P6" s="332">
        <f>HLOOKUP('Res-Capacity-Base'!P$5,'NW Customers'!$B$2:$AO$5,3)</f>
        <v>461256.43179383531</v>
      </c>
      <c r="Q6" s="332">
        <f>HLOOKUP('Res-Capacity-Base'!Q$5,'NW Customers'!$B$2:$AO$5,3)</f>
        <v>466415.471809601</v>
      </c>
      <c r="R6" s="332">
        <f>HLOOKUP('Res-Capacity-Base'!R$5,'NW Customers'!$B$2:$AO$5,3)</f>
        <v>471632.21442212129</v>
      </c>
      <c r="S6" s="332">
        <f>HLOOKUP('Res-Capacity-Base'!S$5,'NW Customers'!$B$2:$AO$5,3)</f>
        <v>476907.30502078304</v>
      </c>
      <c r="T6" s="332">
        <f>HLOOKUP('Res-Capacity-Base'!T$5,'NW Customers'!$B$2:$AO$5,3)</f>
        <v>482241.39621349488</v>
      </c>
      <c r="U6" s="332">
        <f>HLOOKUP('Res-Capacity-Base'!U$5,'NW Customers'!$B$2:$AO$5,3)</f>
        <v>487635.14790742495</v>
      </c>
      <c r="V6" s="332">
        <f>HLOOKUP('Res-Capacity-Base'!V$5,'NW Customers'!$B$2:$AO$5,3)</f>
        <v>493089.22739064106</v>
      </c>
      <c r="W6" s="168"/>
    </row>
    <row r="7" spans="1:23" s="221" customFormat="1" ht="16.5" thickBot="1">
      <c r="A7" s="230"/>
      <c r="B7" s="230"/>
      <c r="C7" s="230"/>
      <c r="D7" s="231"/>
      <c r="E7" s="231"/>
      <c r="F7" s="231"/>
      <c r="G7" s="231"/>
      <c r="H7" s="231"/>
      <c r="I7" s="231"/>
      <c r="J7" s="231"/>
      <c r="K7" s="231"/>
      <c r="L7" s="231"/>
    </row>
    <row r="8" spans="1:23" ht="15.75">
      <c r="A8" s="151" t="s">
        <v>307</v>
      </c>
      <c r="B8" s="152"/>
      <c r="C8" s="152"/>
      <c r="D8" s="153"/>
      <c r="E8" s="153"/>
      <c r="F8" s="153"/>
      <c r="G8" s="153"/>
      <c r="H8" s="153"/>
      <c r="I8" s="153"/>
      <c r="J8" s="153"/>
      <c r="K8" s="153"/>
      <c r="L8" s="153"/>
      <c r="M8" s="154"/>
      <c r="N8" s="154"/>
      <c r="O8" s="154"/>
      <c r="P8" s="154"/>
      <c r="Q8" s="154"/>
      <c r="R8" s="154"/>
      <c r="S8" s="154"/>
      <c r="T8" s="154"/>
      <c r="U8" s="154"/>
      <c r="V8" s="154"/>
      <c r="W8" s="155"/>
    </row>
    <row r="9" spans="1:23" ht="15.75">
      <c r="A9" s="185"/>
      <c r="B9" s="158" t="s">
        <v>241</v>
      </c>
      <c r="C9" s="174">
        <f>KeyAssumptions!L8</f>
        <v>0.34799999999999998</v>
      </c>
      <c r="D9" s="163"/>
      <c r="E9" s="163"/>
      <c r="F9" s="163"/>
      <c r="G9" s="163"/>
      <c r="H9" s="163"/>
      <c r="I9" s="163"/>
      <c r="J9" s="163"/>
      <c r="K9" s="163"/>
      <c r="L9" s="163"/>
      <c r="M9" s="164"/>
      <c r="N9" s="164"/>
      <c r="O9" s="164"/>
      <c r="P9" s="164"/>
      <c r="Q9" s="164"/>
      <c r="R9" s="164"/>
      <c r="S9" s="164"/>
      <c r="T9" s="164"/>
      <c r="U9" s="164"/>
      <c r="V9" s="164"/>
      <c r="W9" s="165"/>
    </row>
    <row r="10" spans="1:23" ht="15.75">
      <c r="A10" s="185"/>
      <c r="B10" s="158" t="s">
        <v>207</v>
      </c>
      <c r="C10" s="174">
        <f>KeyAssumptions!M8</f>
        <v>0.15</v>
      </c>
      <c r="D10" s="163"/>
      <c r="E10" s="163"/>
      <c r="F10" s="163"/>
      <c r="G10" s="163"/>
      <c r="H10" s="163"/>
      <c r="I10" s="163"/>
      <c r="J10" s="163"/>
      <c r="K10" s="163"/>
      <c r="L10" s="163"/>
      <c r="M10" s="164"/>
      <c r="N10" s="164"/>
      <c r="O10" s="164"/>
      <c r="P10" s="164"/>
      <c r="Q10" s="164"/>
      <c r="R10" s="164"/>
      <c r="S10" s="164"/>
      <c r="T10" s="164"/>
      <c r="U10" s="164"/>
      <c r="V10" s="164"/>
      <c r="W10" s="165"/>
    </row>
    <row r="11" spans="1:23" ht="15.75" customHeight="1">
      <c r="A11" s="185"/>
      <c r="B11" s="188" t="s">
        <v>343</v>
      </c>
      <c r="C11" s="174">
        <v>0.95</v>
      </c>
      <c r="D11" s="163"/>
      <c r="E11" s="163"/>
      <c r="F11" s="163"/>
      <c r="G11" s="163"/>
      <c r="H11" s="163"/>
      <c r="I11" s="163"/>
      <c r="J11" s="163"/>
      <c r="K11" s="163"/>
      <c r="L11" s="163"/>
      <c r="M11" s="164"/>
      <c r="N11" s="164"/>
      <c r="O11" s="164"/>
      <c r="P11" s="164"/>
      <c r="Q11" s="164"/>
      <c r="R11" s="164"/>
      <c r="S11" s="164"/>
      <c r="T11" s="164"/>
      <c r="U11" s="164"/>
      <c r="V11" s="164"/>
      <c r="W11" s="165"/>
    </row>
    <row r="12" spans="1:23" ht="15.75">
      <c r="A12" s="185"/>
      <c r="B12" s="157"/>
      <c r="C12" s="157"/>
      <c r="D12" s="163"/>
      <c r="E12" s="163"/>
      <c r="F12" s="163"/>
      <c r="G12" s="163"/>
      <c r="H12" s="163"/>
      <c r="I12" s="163"/>
      <c r="J12" s="163"/>
      <c r="K12" s="163"/>
      <c r="L12" s="163"/>
      <c r="M12" s="164"/>
      <c r="N12" s="164"/>
      <c r="O12" s="164"/>
      <c r="P12" s="164"/>
      <c r="Q12" s="164"/>
      <c r="R12" s="164"/>
      <c r="S12" s="164"/>
      <c r="T12" s="164"/>
      <c r="U12" s="164"/>
      <c r="V12" s="164"/>
      <c r="W12" s="165"/>
    </row>
    <row r="13" spans="1:23">
      <c r="A13" s="156"/>
      <c r="B13" s="158" t="s">
        <v>1</v>
      </c>
      <c r="C13" s="159">
        <v>2016</v>
      </c>
      <c r="D13" s="159">
        <v>2017</v>
      </c>
      <c r="E13" s="159">
        <v>2018</v>
      </c>
      <c r="F13" s="159">
        <v>2019</v>
      </c>
      <c r="G13" s="159">
        <v>2020</v>
      </c>
      <c r="H13" s="159">
        <v>2021</v>
      </c>
      <c r="I13" s="159">
        <v>2022</v>
      </c>
      <c r="J13" s="159">
        <v>2023</v>
      </c>
      <c r="K13" s="159">
        <v>2024</v>
      </c>
      <c r="L13" s="159">
        <v>2025</v>
      </c>
      <c r="M13" s="159">
        <v>2026</v>
      </c>
      <c r="N13" s="159">
        <v>2027</v>
      </c>
      <c r="O13" s="159">
        <v>2028</v>
      </c>
      <c r="P13" s="159">
        <v>2029</v>
      </c>
      <c r="Q13" s="159">
        <v>2030</v>
      </c>
      <c r="R13" s="159">
        <v>2031</v>
      </c>
      <c r="S13" s="159">
        <v>2032</v>
      </c>
      <c r="T13" s="159">
        <v>2033</v>
      </c>
      <c r="U13" s="159">
        <v>2034</v>
      </c>
      <c r="V13" s="159">
        <v>2035</v>
      </c>
      <c r="W13" s="160"/>
    </row>
    <row r="14" spans="1:23">
      <c r="A14" s="156"/>
      <c r="B14" s="158" t="s">
        <v>231</v>
      </c>
      <c r="C14" s="174">
        <v>0.05</v>
      </c>
      <c r="D14" s="174">
        <v>0.2</v>
      </c>
      <c r="E14" s="174">
        <v>0.2</v>
      </c>
      <c r="F14" s="174">
        <v>0.2</v>
      </c>
      <c r="G14" s="174">
        <v>0.2</v>
      </c>
      <c r="H14" s="174">
        <v>0.15</v>
      </c>
      <c r="I14" s="174">
        <v>0</v>
      </c>
      <c r="J14" s="174">
        <v>0</v>
      </c>
      <c r="K14" s="174">
        <v>0</v>
      </c>
      <c r="L14" s="174">
        <v>0</v>
      </c>
      <c r="M14" s="174">
        <v>0</v>
      </c>
      <c r="N14" s="174">
        <v>0</v>
      </c>
      <c r="O14" s="174">
        <v>0</v>
      </c>
      <c r="P14" s="174">
        <v>0</v>
      </c>
      <c r="Q14" s="174">
        <v>0</v>
      </c>
      <c r="R14" s="174">
        <v>0</v>
      </c>
      <c r="S14" s="174">
        <v>0</v>
      </c>
      <c r="T14" s="174">
        <v>0</v>
      </c>
      <c r="U14" s="174">
        <v>0</v>
      </c>
      <c r="V14" s="174">
        <v>0</v>
      </c>
      <c r="W14" s="216"/>
    </row>
    <row r="15" spans="1:23">
      <c r="A15" s="156"/>
      <c r="B15" s="158" t="s">
        <v>237</v>
      </c>
      <c r="C15" s="174">
        <f>C14</f>
        <v>0.05</v>
      </c>
      <c r="D15" s="174">
        <f>C15+D14</f>
        <v>0.25</v>
      </c>
      <c r="E15" s="174">
        <f t="shared" ref="E15:V15" si="0">D15+E14</f>
        <v>0.45</v>
      </c>
      <c r="F15" s="174">
        <f t="shared" si="0"/>
        <v>0.65</v>
      </c>
      <c r="G15" s="174">
        <f t="shared" si="0"/>
        <v>0.85000000000000009</v>
      </c>
      <c r="H15" s="174">
        <f t="shared" si="0"/>
        <v>1</v>
      </c>
      <c r="I15" s="174">
        <f t="shared" si="0"/>
        <v>1</v>
      </c>
      <c r="J15" s="174">
        <f t="shared" si="0"/>
        <v>1</v>
      </c>
      <c r="K15" s="174">
        <f t="shared" si="0"/>
        <v>1</v>
      </c>
      <c r="L15" s="174">
        <f t="shared" si="0"/>
        <v>1</v>
      </c>
      <c r="M15" s="174">
        <f t="shared" si="0"/>
        <v>1</v>
      </c>
      <c r="N15" s="174">
        <f t="shared" si="0"/>
        <v>1</v>
      </c>
      <c r="O15" s="174">
        <f t="shared" si="0"/>
        <v>1</v>
      </c>
      <c r="P15" s="174">
        <f t="shared" si="0"/>
        <v>1</v>
      </c>
      <c r="Q15" s="174">
        <f t="shared" si="0"/>
        <v>1</v>
      </c>
      <c r="R15" s="174">
        <f t="shared" si="0"/>
        <v>1</v>
      </c>
      <c r="S15" s="174">
        <f t="shared" si="0"/>
        <v>1</v>
      </c>
      <c r="T15" s="174">
        <f t="shared" si="0"/>
        <v>1</v>
      </c>
      <c r="U15" s="174">
        <f t="shared" si="0"/>
        <v>1</v>
      </c>
      <c r="V15" s="174">
        <f t="shared" si="0"/>
        <v>1</v>
      </c>
      <c r="W15" s="216"/>
    </row>
    <row r="16" spans="1:23">
      <c r="A16" s="156"/>
      <c r="B16" s="158" t="s">
        <v>232</v>
      </c>
      <c r="C16" s="174">
        <v>0.01</v>
      </c>
      <c r="D16" s="174">
        <v>0.01</v>
      </c>
      <c r="E16" s="174">
        <v>0.01</v>
      </c>
      <c r="F16" s="174">
        <v>0.01</v>
      </c>
      <c r="G16" s="174">
        <v>0.01</v>
      </c>
      <c r="H16" s="174">
        <v>0.01</v>
      </c>
      <c r="I16" s="174">
        <v>0.01</v>
      </c>
      <c r="J16" s="174">
        <v>0.01</v>
      </c>
      <c r="K16" s="174">
        <v>0.01</v>
      </c>
      <c r="L16" s="174">
        <v>0.01</v>
      </c>
      <c r="M16" s="174">
        <v>0.01</v>
      </c>
      <c r="N16" s="174">
        <v>0.01</v>
      </c>
      <c r="O16" s="174">
        <v>0.01</v>
      </c>
      <c r="P16" s="174">
        <v>0.01</v>
      </c>
      <c r="Q16" s="174">
        <v>0.01</v>
      </c>
      <c r="R16" s="174">
        <v>0.01</v>
      </c>
      <c r="S16" s="174">
        <v>0.01</v>
      </c>
      <c r="T16" s="174">
        <v>0.01</v>
      </c>
      <c r="U16" s="174">
        <v>0.01</v>
      </c>
      <c r="V16" s="174">
        <v>0.01</v>
      </c>
      <c r="W16" s="216"/>
    </row>
    <row r="17" spans="1:23" ht="15" customHeight="1" thickBot="1">
      <c r="A17" s="161"/>
      <c r="B17" s="162" t="s">
        <v>243</v>
      </c>
      <c r="C17" s="217">
        <v>0.5</v>
      </c>
      <c r="D17" s="217">
        <f>C17-0.05</f>
        <v>0.45</v>
      </c>
      <c r="E17" s="217">
        <f>D17-0.05</f>
        <v>0.4</v>
      </c>
      <c r="F17" s="217">
        <f t="shared" ref="F17:G17" si="1">E17-0.05</f>
        <v>0.35000000000000003</v>
      </c>
      <c r="G17" s="217">
        <f t="shared" si="1"/>
        <v>0.30000000000000004</v>
      </c>
      <c r="H17" s="217">
        <v>0.3</v>
      </c>
      <c r="I17" s="217">
        <f>H17</f>
        <v>0.3</v>
      </c>
      <c r="J17" s="217">
        <f t="shared" ref="J17:V17" si="2">I17</f>
        <v>0.3</v>
      </c>
      <c r="K17" s="217">
        <f t="shared" si="2"/>
        <v>0.3</v>
      </c>
      <c r="L17" s="217">
        <f t="shared" si="2"/>
        <v>0.3</v>
      </c>
      <c r="M17" s="217">
        <f t="shared" si="2"/>
        <v>0.3</v>
      </c>
      <c r="N17" s="217">
        <f t="shared" si="2"/>
        <v>0.3</v>
      </c>
      <c r="O17" s="217">
        <f t="shared" si="2"/>
        <v>0.3</v>
      </c>
      <c r="P17" s="217">
        <f t="shared" si="2"/>
        <v>0.3</v>
      </c>
      <c r="Q17" s="217">
        <f t="shared" si="2"/>
        <v>0.3</v>
      </c>
      <c r="R17" s="217">
        <f t="shared" si="2"/>
        <v>0.3</v>
      </c>
      <c r="S17" s="217">
        <f t="shared" si="2"/>
        <v>0.3</v>
      </c>
      <c r="T17" s="217">
        <f t="shared" si="2"/>
        <v>0.3</v>
      </c>
      <c r="U17" s="217">
        <f t="shared" si="2"/>
        <v>0.3</v>
      </c>
      <c r="V17" s="217">
        <f t="shared" si="2"/>
        <v>0.3</v>
      </c>
      <c r="W17" s="218"/>
    </row>
    <row r="18" spans="1:23" s="221" customFormat="1" ht="16.5" thickBot="1">
      <c r="A18" s="228"/>
      <c r="B18" s="228"/>
      <c r="C18" s="228"/>
      <c r="D18" s="229"/>
      <c r="E18" s="229"/>
      <c r="F18" s="229"/>
      <c r="G18" s="229"/>
      <c r="H18" s="229"/>
      <c r="I18" s="229"/>
      <c r="J18" s="229"/>
      <c r="K18" s="229"/>
      <c r="L18" s="229"/>
      <c r="M18" s="78"/>
      <c r="N18" s="78"/>
      <c r="O18" s="78"/>
      <c r="P18" s="78"/>
      <c r="Q18" s="78"/>
      <c r="R18" s="78"/>
      <c r="S18" s="78"/>
      <c r="T18" s="78"/>
      <c r="U18" s="78"/>
      <c r="V18" s="78"/>
      <c r="W18" s="78"/>
    </row>
    <row r="19" spans="1:23" ht="15.75">
      <c r="A19" s="151" t="s">
        <v>289</v>
      </c>
      <c r="B19" s="152"/>
      <c r="C19" s="152"/>
      <c r="D19" s="153"/>
      <c r="E19" s="153"/>
      <c r="F19" s="153"/>
      <c r="G19" s="153"/>
      <c r="H19" s="153"/>
      <c r="I19" s="153"/>
      <c r="J19" s="153"/>
      <c r="K19" s="153"/>
      <c r="L19" s="153"/>
      <c r="M19" s="154"/>
      <c r="N19" s="154"/>
      <c r="O19" s="154"/>
      <c r="P19" s="154"/>
      <c r="Q19" s="154"/>
      <c r="R19" s="154"/>
      <c r="S19" s="154"/>
      <c r="T19" s="154"/>
      <c r="U19" s="154"/>
      <c r="V19" s="154"/>
      <c r="W19" s="155"/>
    </row>
    <row r="20" spans="1:23" ht="15.75">
      <c r="A20" s="185"/>
      <c r="B20" s="158" t="s">
        <v>241</v>
      </c>
      <c r="C20" s="173">
        <f>KeyAssumptions!L9</f>
        <v>0.17399999999999999</v>
      </c>
      <c r="D20" s="163"/>
      <c r="E20" s="163"/>
      <c r="F20" s="163"/>
      <c r="G20" s="163"/>
      <c r="H20" s="163"/>
      <c r="I20" s="163"/>
      <c r="J20" s="163"/>
      <c r="K20" s="163"/>
      <c r="L20" s="163"/>
      <c r="M20" s="164"/>
      <c r="N20" s="164"/>
      <c r="O20" s="164"/>
      <c r="P20" s="164"/>
      <c r="Q20" s="164"/>
      <c r="R20" s="164"/>
      <c r="S20" s="164"/>
      <c r="T20" s="164"/>
      <c r="U20" s="164"/>
      <c r="V20" s="164"/>
      <c r="W20" s="165"/>
    </row>
    <row r="21" spans="1:23" ht="15.75">
      <c r="A21" s="185"/>
      <c r="B21" s="158" t="s">
        <v>207</v>
      </c>
      <c r="C21" s="174">
        <f>KeyAssumptions!M9</f>
        <v>0.15</v>
      </c>
      <c r="D21" s="163"/>
      <c r="E21" s="163"/>
      <c r="F21" s="163"/>
      <c r="G21" s="163"/>
      <c r="H21" s="163"/>
      <c r="I21" s="163"/>
      <c r="J21" s="163"/>
      <c r="K21" s="163"/>
      <c r="L21" s="163"/>
      <c r="M21" s="164"/>
      <c r="N21" s="164"/>
      <c r="O21" s="164"/>
      <c r="P21" s="164"/>
      <c r="Q21" s="164"/>
      <c r="R21" s="164"/>
      <c r="S21" s="164"/>
      <c r="T21" s="164"/>
      <c r="U21" s="164"/>
      <c r="V21" s="164"/>
      <c r="W21" s="165"/>
    </row>
    <row r="22" spans="1:23" ht="15.75" customHeight="1">
      <c r="A22" s="185"/>
      <c r="B22" s="188" t="s">
        <v>343</v>
      </c>
      <c r="C22" s="174">
        <v>0.95</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7"/>
      <c r="C23" s="157"/>
      <c r="D23" s="163"/>
      <c r="E23" s="163"/>
      <c r="F23" s="163"/>
      <c r="G23" s="163"/>
      <c r="H23" s="163"/>
      <c r="I23" s="163"/>
      <c r="J23" s="163"/>
      <c r="K23" s="163"/>
      <c r="L23" s="163"/>
      <c r="M23" s="164"/>
      <c r="N23" s="164"/>
      <c r="O23" s="164"/>
      <c r="P23" s="164"/>
      <c r="Q23" s="164"/>
      <c r="R23" s="164"/>
      <c r="S23" s="164"/>
      <c r="T23" s="164"/>
      <c r="U23" s="164"/>
      <c r="V23" s="164"/>
      <c r="W23" s="165"/>
    </row>
    <row r="24" spans="1:23">
      <c r="A24" s="156"/>
      <c r="B24" s="158" t="s">
        <v>1</v>
      </c>
      <c r="C24" s="159">
        <v>2016</v>
      </c>
      <c r="D24" s="159">
        <v>2017</v>
      </c>
      <c r="E24" s="159">
        <v>2018</v>
      </c>
      <c r="F24" s="159">
        <v>2019</v>
      </c>
      <c r="G24" s="159">
        <v>2020</v>
      </c>
      <c r="H24" s="159">
        <v>2021</v>
      </c>
      <c r="I24" s="159">
        <v>2022</v>
      </c>
      <c r="J24" s="159">
        <v>2023</v>
      </c>
      <c r="K24" s="159">
        <v>2024</v>
      </c>
      <c r="L24" s="159">
        <v>2025</v>
      </c>
      <c r="M24" s="159">
        <v>2026</v>
      </c>
      <c r="N24" s="159">
        <v>2027</v>
      </c>
      <c r="O24" s="159">
        <v>2028</v>
      </c>
      <c r="P24" s="159">
        <v>2029</v>
      </c>
      <c r="Q24" s="159">
        <v>2030</v>
      </c>
      <c r="R24" s="159">
        <v>2031</v>
      </c>
      <c r="S24" s="159">
        <v>2032</v>
      </c>
      <c r="T24" s="159">
        <v>2033</v>
      </c>
      <c r="U24" s="159">
        <v>2034</v>
      </c>
      <c r="V24" s="159">
        <v>2035</v>
      </c>
      <c r="W24" s="160"/>
    </row>
    <row r="25" spans="1:23">
      <c r="A25" s="156"/>
      <c r="B25" s="158" t="s">
        <v>231</v>
      </c>
      <c r="C25" s="174">
        <v>0.05</v>
      </c>
      <c r="D25" s="174">
        <v>0.2</v>
      </c>
      <c r="E25" s="174">
        <v>0.2</v>
      </c>
      <c r="F25" s="174">
        <v>0.2</v>
      </c>
      <c r="G25" s="174">
        <v>0.2</v>
      </c>
      <c r="H25" s="174">
        <v>0.15</v>
      </c>
      <c r="I25" s="174">
        <v>0</v>
      </c>
      <c r="J25" s="174">
        <v>0</v>
      </c>
      <c r="K25" s="174">
        <v>0</v>
      </c>
      <c r="L25" s="174">
        <v>0</v>
      </c>
      <c r="M25" s="174">
        <v>0</v>
      </c>
      <c r="N25" s="174">
        <v>0</v>
      </c>
      <c r="O25" s="174">
        <v>0</v>
      </c>
      <c r="P25" s="174">
        <v>0</v>
      </c>
      <c r="Q25" s="174">
        <v>0</v>
      </c>
      <c r="R25" s="174">
        <v>0</v>
      </c>
      <c r="S25" s="174">
        <v>0</v>
      </c>
      <c r="T25" s="174">
        <v>0</v>
      </c>
      <c r="U25" s="174">
        <v>0</v>
      </c>
      <c r="V25" s="174">
        <v>0</v>
      </c>
      <c r="W25" s="216"/>
    </row>
    <row r="26" spans="1:23">
      <c r="A26" s="156"/>
      <c r="B26" s="158" t="s">
        <v>237</v>
      </c>
      <c r="C26" s="174">
        <f>C25</f>
        <v>0.05</v>
      </c>
      <c r="D26" s="174">
        <f>C26+D25</f>
        <v>0.25</v>
      </c>
      <c r="E26" s="174">
        <f t="shared" ref="E26:V26" si="3">D26+E25</f>
        <v>0.45</v>
      </c>
      <c r="F26" s="174">
        <f t="shared" si="3"/>
        <v>0.65</v>
      </c>
      <c r="G26" s="174">
        <f t="shared" si="3"/>
        <v>0.85000000000000009</v>
      </c>
      <c r="H26" s="174">
        <f t="shared" si="3"/>
        <v>1</v>
      </c>
      <c r="I26" s="174">
        <f t="shared" si="3"/>
        <v>1</v>
      </c>
      <c r="J26" s="174">
        <f t="shared" si="3"/>
        <v>1</v>
      </c>
      <c r="K26" s="174">
        <f t="shared" si="3"/>
        <v>1</v>
      </c>
      <c r="L26" s="174">
        <f t="shared" si="3"/>
        <v>1</v>
      </c>
      <c r="M26" s="174">
        <f t="shared" si="3"/>
        <v>1</v>
      </c>
      <c r="N26" s="174">
        <f t="shared" si="3"/>
        <v>1</v>
      </c>
      <c r="O26" s="174">
        <f t="shared" si="3"/>
        <v>1</v>
      </c>
      <c r="P26" s="174">
        <f t="shared" si="3"/>
        <v>1</v>
      </c>
      <c r="Q26" s="174">
        <f t="shared" si="3"/>
        <v>1</v>
      </c>
      <c r="R26" s="174">
        <f t="shared" si="3"/>
        <v>1</v>
      </c>
      <c r="S26" s="174">
        <f t="shared" si="3"/>
        <v>1</v>
      </c>
      <c r="T26" s="174">
        <f t="shared" si="3"/>
        <v>1</v>
      </c>
      <c r="U26" s="174">
        <f t="shared" si="3"/>
        <v>1</v>
      </c>
      <c r="V26" s="174">
        <f t="shared" si="3"/>
        <v>1</v>
      </c>
      <c r="W26" s="216"/>
    </row>
    <row r="27" spans="1:23">
      <c r="A27" s="156"/>
      <c r="B27" s="158" t="s">
        <v>232</v>
      </c>
      <c r="C27" s="174">
        <v>0.01</v>
      </c>
      <c r="D27" s="174">
        <v>0.01</v>
      </c>
      <c r="E27" s="174">
        <v>0.01</v>
      </c>
      <c r="F27" s="174">
        <v>0.01</v>
      </c>
      <c r="G27" s="174">
        <v>0.01</v>
      </c>
      <c r="H27" s="174">
        <v>0.01</v>
      </c>
      <c r="I27" s="174">
        <v>0.01</v>
      </c>
      <c r="J27" s="174">
        <v>0.01</v>
      </c>
      <c r="K27" s="174">
        <v>0.01</v>
      </c>
      <c r="L27" s="174">
        <v>0.01</v>
      </c>
      <c r="M27" s="174">
        <v>0.01</v>
      </c>
      <c r="N27" s="174">
        <v>0.01</v>
      </c>
      <c r="O27" s="174">
        <v>0.01</v>
      </c>
      <c r="P27" s="174">
        <v>0.01</v>
      </c>
      <c r="Q27" s="174">
        <v>0.01</v>
      </c>
      <c r="R27" s="174">
        <v>0.01</v>
      </c>
      <c r="S27" s="174">
        <v>0.01</v>
      </c>
      <c r="T27" s="174">
        <v>0.01</v>
      </c>
      <c r="U27" s="174">
        <v>0.01</v>
      </c>
      <c r="V27" s="174">
        <v>0.01</v>
      </c>
      <c r="W27" s="216"/>
    </row>
    <row r="28" spans="1:23" ht="13.5" thickBot="1">
      <c r="A28" s="161"/>
      <c r="B28" s="162" t="s">
        <v>243</v>
      </c>
      <c r="C28" s="217">
        <v>0.5</v>
      </c>
      <c r="D28" s="217">
        <f>C28-0.05</f>
        <v>0.45</v>
      </c>
      <c r="E28" s="217">
        <f>D28-0.05</f>
        <v>0.4</v>
      </c>
      <c r="F28" s="217">
        <f t="shared" ref="F28" si="4">E28-0.05</f>
        <v>0.35000000000000003</v>
      </c>
      <c r="G28" s="217">
        <f t="shared" ref="G28" si="5">F28-0.05</f>
        <v>0.30000000000000004</v>
      </c>
      <c r="H28" s="217">
        <v>0.3</v>
      </c>
      <c r="I28" s="217">
        <f>H28</f>
        <v>0.3</v>
      </c>
      <c r="J28" s="217">
        <f t="shared" ref="J28" si="6">I28</f>
        <v>0.3</v>
      </c>
      <c r="K28" s="217">
        <f t="shared" ref="K28" si="7">J28</f>
        <v>0.3</v>
      </c>
      <c r="L28" s="217">
        <f t="shared" ref="L28" si="8">K28</f>
        <v>0.3</v>
      </c>
      <c r="M28" s="217">
        <f t="shared" ref="M28" si="9">L28</f>
        <v>0.3</v>
      </c>
      <c r="N28" s="217">
        <f t="shared" ref="N28" si="10">M28</f>
        <v>0.3</v>
      </c>
      <c r="O28" s="217">
        <f t="shared" ref="O28" si="11">N28</f>
        <v>0.3</v>
      </c>
      <c r="P28" s="217">
        <f t="shared" ref="P28" si="12">O28</f>
        <v>0.3</v>
      </c>
      <c r="Q28" s="217">
        <f t="shared" ref="Q28" si="13">P28</f>
        <v>0.3</v>
      </c>
      <c r="R28" s="217">
        <f t="shared" ref="R28" si="14">Q28</f>
        <v>0.3</v>
      </c>
      <c r="S28" s="217">
        <f t="shared" ref="S28" si="15">R28</f>
        <v>0.3</v>
      </c>
      <c r="T28" s="217">
        <f t="shared" ref="T28" si="16">S28</f>
        <v>0.3</v>
      </c>
      <c r="U28" s="217">
        <f t="shared" ref="U28" si="17">T28</f>
        <v>0.3</v>
      </c>
      <c r="V28" s="217">
        <f t="shared" ref="V28" si="18">U28</f>
        <v>0.3</v>
      </c>
      <c r="W28" s="218"/>
    </row>
    <row r="29" spans="1:23" s="221" customFormat="1" ht="16.5" thickBot="1">
      <c r="A29" s="228"/>
      <c r="B29" s="228"/>
      <c r="C29" s="228"/>
      <c r="D29" s="229"/>
      <c r="E29" s="229"/>
      <c r="F29" s="229"/>
      <c r="G29" s="229"/>
      <c r="H29" s="229"/>
      <c r="I29" s="229"/>
      <c r="J29" s="229"/>
      <c r="K29" s="229"/>
      <c r="L29" s="229"/>
      <c r="M29" s="78"/>
      <c r="N29" s="78"/>
      <c r="O29" s="78"/>
      <c r="P29" s="78"/>
      <c r="Q29" s="78"/>
      <c r="R29" s="78"/>
      <c r="S29" s="78"/>
      <c r="T29" s="78"/>
      <c r="U29" s="78"/>
      <c r="V29" s="78"/>
      <c r="W29" s="78"/>
    </row>
    <row r="30" spans="1:23" ht="15.75" thickBot="1">
      <c r="A30" s="186" t="s">
        <v>240</v>
      </c>
      <c r="B30" s="187"/>
      <c r="C30" s="180"/>
      <c r="D30" s="180"/>
      <c r="E30" s="180"/>
      <c r="F30" s="180"/>
      <c r="G30" s="180"/>
      <c r="H30" s="180"/>
      <c r="I30" s="180"/>
      <c r="J30" s="180"/>
      <c r="K30" s="180"/>
      <c r="L30" s="180"/>
      <c r="M30" s="180"/>
      <c r="N30" s="180"/>
      <c r="O30" s="180"/>
      <c r="P30" s="180"/>
      <c r="Q30" s="180"/>
      <c r="R30" s="180"/>
      <c r="S30" s="180"/>
      <c r="T30" s="180"/>
      <c r="U30" s="180"/>
      <c r="V30" s="180"/>
      <c r="W30" s="181"/>
    </row>
    <row r="31" spans="1:23">
      <c r="A31" s="77" t="s">
        <v>212</v>
      </c>
      <c r="B31" s="77"/>
      <c r="F31" s="78"/>
      <c r="G31" s="78"/>
    </row>
    <row r="33" spans="1:23">
      <c r="A33" s="79"/>
      <c r="B33" s="207"/>
      <c r="C33" s="484" t="s">
        <v>213</v>
      </c>
      <c r="D33" s="485"/>
      <c r="E33" s="485"/>
      <c r="F33" s="485"/>
      <c r="G33" s="485"/>
      <c r="H33" s="485"/>
      <c r="I33" s="485"/>
      <c r="J33" s="485"/>
      <c r="K33" s="485"/>
      <c r="L33" s="485"/>
      <c r="M33" s="485"/>
      <c r="N33" s="485"/>
      <c r="O33" s="485"/>
      <c r="P33" s="485"/>
      <c r="Q33" s="485"/>
      <c r="R33" s="485"/>
      <c r="S33" s="485"/>
      <c r="T33" s="485"/>
      <c r="U33" s="485"/>
      <c r="V33" s="485"/>
      <c r="W33" s="486"/>
    </row>
    <row r="34" spans="1:23" ht="16.5" customHeight="1">
      <c r="A34" s="80" t="s">
        <v>214</v>
      </c>
      <c r="B34" s="81"/>
      <c r="C34" s="328">
        <v>2016</v>
      </c>
      <c r="D34" s="208">
        <v>2017</v>
      </c>
      <c r="E34" s="208">
        <v>2018</v>
      </c>
      <c r="F34" s="208">
        <v>2019</v>
      </c>
      <c r="G34" s="208">
        <v>2020</v>
      </c>
      <c r="H34" s="208">
        <v>2021</v>
      </c>
      <c r="I34" s="208">
        <v>2022</v>
      </c>
      <c r="J34" s="208">
        <v>2023</v>
      </c>
      <c r="K34" s="208">
        <v>2024</v>
      </c>
      <c r="L34" s="208">
        <v>2025</v>
      </c>
      <c r="M34" s="208">
        <v>2026</v>
      </c>
      <c r="N34" s="208">
        <v>2027</v>
      </c>
      <c r="O34" s="208">
        <v>2028</v>
      </c>
      <c r="P34" s="208">
        <v>2029</v>
      </c>
      <c r="Q34" s="208">
        <v>2030</v>
      </c>
      <c r="R34" s="208">
        <v>2031</v>
      </c>
      <c r="S34" s="208">
        <v>2032</v>
      </c>
      <c r="T34" s="208">
        <v>2033</v>
      </c>
      <c r="U34" s="208">
        <v>2034</v>
      </c>
      <c r="V34" s="208">
        <v>2035</v>
      </c>
      <c r="W34" s="208"/>
    </row>
    <row r="35" spans="1:23">
      <c r="A35" s="82"/>
      <c r="B35" s="83"/>
      <c r="C35" s="82"/>
      <c r="D35" s="82"/>
      <c r="E35" s="82"/>
      <c r="F35" s="82"/>
      <c r="G35" s="82"/>
      <c r="H35" s="84"/>
      <c r="I35" s="82"/>
      <c r="J35" s="82"/>
      <c r="K35" s="82"/>
      <c r="L35" s="82"/>
      <c r="M35" s="82"/>
      <c r="N35" s="82"/>
      <c r="O35" s="82"/>
      <c r="P35" s="82"/>
      <c r="Q35" s="82"/>
      <c r="R35" s="82"/>
      <c r="S35" s="82"/>
      <c r="T35" s="82"/>
      <c r="U35" s="82"/>
      <c r="V35" s="82"/>
      <c r="W35" s="82"/>
    </row>
    <row r="36" spans="1:23">
      <c r="A36" s="166" t="s">
        <v>305</v>
      </c>
      <c r="B36" s="83"/>
      <c r="C36" s="86">
        <f>C46</f>
        <v>509.25658266493059</v>
      </c>
      <c r="D36" s="86">
        <f>D46-C46</f>
        <v>1809.9221798452954</v>
      </c>
      <c r="E36" s="86">
        <f>E46-D46</f>
        <v>1440.8085194630744</v>
      </c>
      <c r="F36" s="86">
        <f t="shared" ref="F36:V36" si="19">F46-E46</f>
        <v>1053.9466349878689</v>
      </c>
      <c r="G36" s="86">
        <f t="shared" si="19"/>
        <v>654.54730990681128</v>
      </c>
      <c r="H36" s="86">
        <f t="shared" si="19"/>
        <v>1047.1413409281822</v>
      </c>
      <c r="I36" s="86">
        <f t="shared" si="19"/>
        <v>80.687107763703352</v>
      </c>
      <c r="J36" s="86">
        <f t="shared" si="19"/>
        <v>79.609082726790803</v>
      </c>
      <c r="K36" s="86">
        <f t="shared" si="19"/>
        <v>79.334262484283499</v>
      </c>
      <c r="L36" s="86">
        <f t="shared" si="19"/>
        <v>78.880394930534749</v>
      </c>
      <c r="M36" s="86">
        <f t="shared" si="19"/>
        <v>75.533086157410253</v>
      </c>
      <c r="N36" s="86">
        <f t="shared" si="19"/>
        <v>78.172589416686606</v>
      </c>
      <c r="O36" s="86">
        <f t="shared" si="19"/>
        <v>81.367814624166385</v>
      </c>
      <c r="P36" s="86">
        <f t="shared" si="19"/>
        <v>81.836058772807519</v>
      </c>
      <c r="Q36" s="86">
        <f t="shared" si="19"/>
        <v>79.982660980422224</v>
      </c>
      <c r="R36" s="86">
        <f t="shared" si="19"/>
        <v>80.877247418945444</v>
      </c>
      <c r="S36" s="86">
        <f t="shared" si="19"/>
        <v>81.781839587292779</v>
      </c>
      <c r="T36" s="86">
        <f t="shared" si="19"/>
        <v>82.696549397089257</v>
      </c>
      <c r="U36" s="86">
        <f t="shared" si="19"/>
        <v>83.621490011675633</v>
      </c>
      <c r="V36" s="86">
        <f t="shared" si="19"/>
        <v>84.556775860091875</v>
      </c>
      <c r="W36" s="86"/>
    </row>
    <row r="37" spans="1:23">
      <c r="A37" s="166" t="s">
        <v>306</v>
      </c>
      <c r="B37" s="83"/>
      <c r="C37" s="86">
        <f>C47</f>
        <v>254.6282913324653</v>
      </c>
      <c r="D37" s="86">
        <f>D47-C47</f>
        <v>904.96108992264772</v>
      </c>
      <c r="E37" s="86">
        <f>E47-D47</f>
        <v>720.40425973153719</v>
      </c>
      <c r="F37" s="86">
        <f t="shared" ref="F37:V37" si="20">F47-E47</f>
        <v>526.97331749393447</v>
      </c>
      <c r="G37" s="86">
        <f t="shared" si="20"/>
        <v>327.27365495340564</v>
      </c>
      <c r="H37" s="86">
        <f t="shared" si="20"/>
        <v>523.57067046409111</v>
      </c>
      <c r="I37" s="86">
        <f t="shared" si="20"/>
        <v>40.343553881851676</v>
      </c>
      <c r="J37" s="86">
        <f t="shared" si="20"/>
        <v>39.804541363395401</v>
      </c>
      <c r="K37" s="86">
        <f t="shared" si="20"/>
        <v>39.66713124214175</v>
      </c>
      <c r="L37" s="86">
        <f t="shared" si="20"/>
        <v>39.440197465267374</v>
      </c>
      <c r="M37" s="86">
        <f t="shared" si="20"/>
        <v>37.766543078705126</v>
      </c>
      <c r="N37" s="86">
        <f t="shared" si="20"/>
        <v>39.086294708343303</v>
      </c>
      <c r="O37" s="86">
        <f t="shared" si="20"/>
        <v>40.683907312083193</v>
      </c>
      <c r="P37" s="86">
        <f t="shared" si="20"/>
        <v>40.918029386403759</v>
      </c>
      <c r="Q37" s="86">
        <f t="shared" si="20"/>
        <v>39.991330490211112</v>
      </c>
      <c r="R37" s="86">
        <f t="shared" si="20"/>
        <v>40.438623709472722</v>
      </c>
      <c r="S37" s="86">
        <f t="shared" si="20"/>
        <v>40.89091979364639</v>
      </c>
      <c r="T37" s="86">
        <f t="shared" si="20"/>
        <v>41.348274698544628</v>
      </c>
      <c r="U37" s="86">
        <f t="shared" si="20"/>
        <v>41.810745005837816</v>
      </c>
      <c r="V37" s="86">
        <f t="shared" si="20"/>
        <v>42.278387930045938</v>
      </c>
      <c r="W37" s="86"/>
    </row>
    <row r="38" spans="1:23">
      <c r="A38" s="87"/>
      <c r="B38" s="88"/>
      <c r="C38" s="89"/>
      <c r="D38" s="90"/>
      <c r="E38" s="90"/>
      <c r="F38" s="90"/>
      <c r="G38" s="90"/>
      <c r="H38" s="90"/>
      <c r="I38" s="90"/>
      <c r="J38" s="90"/>
      <c r="K38" s="90"/>
      <c r="L38" s="90"/>
      <c r="M38" s="90"/>
      <c r="N38" s="90"/>
      <c r="O38" s="90"/>
      <c r="P38" s="90"/>
      <c r="Q38" s="90"/>
      <c r="R38" s="90"/>
      <c r="S38" s="90"/>
      <c r="T38" s="90"/>
      <c r="U38" s="90"/>
      <c r="V38" s="90"/>
      <c r="W38" s="90"/>
    </row>
    <row r="39" spans="1:23">
      <c r="A39" s="91" t="s">
        <v>216</v>
      </c>
      <c r="B39" s="92"/>
      <c r="C39" s="93">
        <f t="shared" ref="C39:V39" si="21">SUM(C36:C37)</f>
        <v>763.88487399739586</v>
      </c>
      <c r="D39" s="93">
        <f t="shared" si="21"/>
        <v>2714.8832697679431</v>
      </c>
      <c r="E39" s="93">
        <f t="shared" si="21"/>
        <v>2161.2127791946114</v>
      </c>
      <c r="F39" s="93">
        <f t="shared" si="21"/>
        <v>1580.9199524818034</v>
      </c>
      <c r="G39" s="93">
        <f t="shared" si="21"/>
        <v>981.82096486021692</v>
      </c>
      <c r="H39" s="93">
        <f t="shared" si="21"/>
        <v>1570.7120113922733</v>
      </c>
      <c r="I39" s="93">
        <f t="shared" si="21"/>
        <v>121.03066164555503</v>
      </c>
      <c r="J39" s="93">
        <f t="shared" si="21"/>
        <v>119.4136240901862</v>
      </c>
      <c r="K39" s="93">
        <f t="shared" si="21"/>
        <v>119.00139372642525</v>
      </c>
      <c r="L39" s="93">
        <f t="shared" si="21"/>
        <v>118.32059239580212</v>
      </c>
      <c r="M39" s="93">
        <f t="shared" si="21"/>
        <v>113.29962923611538</v>
      </c>
      <c r="N39" s="93">
        <f t="shared" si="21"/>
        <v>117.25888412502991</v>
      </c>
      <c r="O39" s="93">
        <f t="shared" si="21"/>
        <v>122.05172193624958</v>
      </c>
      <c r="P39" s="93">
        <f t="shared" si="21"/>
        <v>122.75408815921128</v>
      </c>
      <c r="Q39" s="93">
        <f t="shared" si="21"/>
        <v>119.97399147063334</v>
      </c>
      <c r="R39" s="93">
        <f t="shared" si="21"/>
        <v>121.31587112841817</v>
      </c>
      <c r="S39" s="93">
        <f t="shared" si="21"/>
        <v>122.67275938093917</v>
      </c>
      <c r="T39" s="93">
        <f t="shared" si="21"/>
        <v>124.04482409563389</v>
      </c>
      <c r="U39" s="93">
        <f t="shared" si="21"/>
        <v>125.43223501751345</v>
      </c>
      <c r="V39" s="93">
        <f t="shared" si="21"/>
        <v>126.83516379013781</v>
      </c>
      <c r="W39" s="93"/>
    </row>
    <row r="40" spans="1:23">
      <c r="A40" s="94"/>
      <c r="B40" s="94"/>
      <c r="C40" s="95"/>
      <c r="D40" s="95"/>
      <c r="E40" s="95"/>
      <c r="F40" s="95"/>
      <c r="G40" s="95"/>
      <c r="H40" s="95"/>
      <c r="I40" s="95"/>
      <c r="J40" s="94"/>
      <c r="K40" s="94"/>
      <c r="L40" s="94"/>
    </row>
    <row r="41" spans="1:23">
      <c r="A41" s="96" t="s">
        <v>217</v>
      </c>
      <c r="B41" s="96"/>
      <c r="C41" s="97"/>
      <c r="D41" s="97"/>
      <c r="E41" s="97"/>
      <c r="F41" s="97"/>
      <c r="G41" s="97"/>
      <c r="H41" s="97"/>
      <c r="I41" s="97"/>
      <c r="J41" s="98"/>
      <c r="K41" s="98"/>
      <c r="L41" s="98"/>
    </row>
    <row r="42" spans="1:23">
      <c r="A42" s="96"/>
      <c r="B42" s="96"/>
      <c r="C42" s="97"/>
      <c r="D42" s="97"/>
      <c r="E42" s="97"/>
      <c r="F42" s="97"/>
      <c r="G42" s="97"/>
      <c r="H42" s="97"/>
      <c r="I42" s="97"/>
      <c r="J42" s="98"/>
      <c r="K42" s="98"/>
      <c r="L42" s="98"/>
    </row>
    <row r="43" spans="1:23">
      <c r="A43" s="470" t="s">
        <v>214</v>
      </c>
      <c r="B43" s="472"/>
      <c r="C43" s="484" t="s">
        <v>218</v>
      </c>
      <c r="D43" s="485"/>
      <c r="E43" s="485"/>
      <c r="F43" s="485"/>
      <c r="G43" s="485"/>
      <c r="H43" s="485"/>
      <c r="I43" s="485"/>
      <c r="J43" s="485"/>
      <c r="K43" s="485"/>
      <c r="L43" s="485"/>
      <c r="M43" s="485"/>
      <c r="N43" s="485"/>
      <c r="O43" s="485"/>
      <c r="P43" s="485"/>
      <c r="Q43" s="485"/>
      <c r="R43" s="485"/>
      <c r="S43" s="485"/>
      <c r="T43" s="485"/>
      <c r="U43" s="485"/>
      <c r="V43" s="485"/>
      <c r="W43" s="486"/>
    </row>
    <row r="44" spans="1:23">
      <c r="A44" s="471"/>
      <c r="B44" s="473"/>
      <c r="C44" s="208">
        <v>2016</v>
      </c>
      <c r="D44" s="208">
        <v>2017</v>
      </c>
      <c r="E44" s="208">
        <v>2018</v>
      </c>
      <c r="F44" s="208">
        <v>2019</v>
      </c>
      <c r="G44" s="208">
        <v>2020</v>
      </c>
      <c r="H44" s="208">
        <v>2021</v>
      </c>
      <c r="I44" s="208">
        <v>2022</v>
      </c>
      <c r="J44" s="208">
        <v>2023</v>
      </c>
      <c r="K44" s="208">
        <v>2024</v>
      </c>
      <c r="L44" s="208">
        <v>2025</v>
      </c>
      <c r="M44" s="208">
        <v>2026</v>
      </c>
      <c r="N44" s="208">
        <v>2027</v>
      </c>
      <c r="O44" s="208">
        <v>2028</v>
      </c>
      <c r="P44" s="208">
        <v>2029</v>
      </c>
      <c r="Q44" s="208">
        <v>2030</v>
      </c>
      <c r="R44" s="208">
        <v>2031</v>
      </c>
      <c r="S44" s="208">
        <v>2032</v>
      </c>
      <c r="T44" s="208">
        <v>2033</v>
      </c>
      <c r="U44" s="208">
        <v>2034</v>
      </c>
      <c r="V44" s="208">
        <v>2035</v>
      </c>
      <c r="W44" s="208"/>
    </row>
    <row r="45" spans="1:23">
      <c r="A45" s="82"/>
      <c r="B45" s="85"/>
      <c r="C45" s="90"/>
      <c r="D45" s="90"/>
      <c r="E45" s="90"/>
      <c r="F45" s="90"/>
      <c r="G45" s="90"/>
      <c r="H45" s="90"/>
      <c r="I45" s="90"/>
      <c r="J45" s="90"/>
      <c r="K45" s="90"/>
      <c r="L45" s="90"/>
      <c r="M45" s="90"/>
      <c r="N45" s="90"/>
      <c r="O45" s="90"/>
      <c r="P45" s="90"/>
      <c r="Q45" s="90"/>
      <c r="R45" s="90"/>
      <c r="S45" s="90"/>
      <c r="T45" s="90"/>
      <c r="U45" s="90"/>
      <c r="V45" s="90"/>
      <c r="W45" s="90"/>
    </row>
    <row r="46" spans="1:23">
      <c r="A46" s="101" t="str">
        <f>+A36</f>
        <v>a. Space Cooling, Small - Switch</v>
      </c>
      <c r="B46" s="102"/>
      <c r="C46" s="90">
        <f t="shared" ref="C46:V46" si="22">C6*$C$9*$C$10*C17*C15*(1-C16)</f>
        <v>509.25658266493059</v>
      </c>
      <c r="D46" s="90">
        <f t="shared" si="22"/>
        <v>2319.1787625102261</v>
      </c>
      <c r="E46" s="90">
        <f t="shared" si="22"/>
        <v>3759.9872819733005</v>
      </c>
      <c r="F46" s="90">
        <f t="shared" si="22"/>
        <v>4813.9339169611694</v>
      </c>
      <c r="G46" s="90">
        <f t="shared" si="22"/>
        <v>5468.4812268679807</v>
      </c>
      <c r="H46" s="90">
        <f t="shared" si="22"/>
        <v>6515.6225677961629</v>
      </c>
      <c r="I46" s="90">
        <f t="shared" si="22"/>
        <v>6596.3096755598663</v>
      </c>
      <c r="J46" s="90">
        <f t="shared" si="22"/>
        <v>6675.9187582866571</v>
      </c>
      <c r="K46" s="90">
        <f t="shared" si="22"/>
        <v>6755.2530207709406</v>
      </c>
      <c r="L46" s="90">
        <f t="shared" si="22"/>
        <v>6834.1334157014753</v>
      </c>
      <c r="M46" s="90">
        <f t="shared" si="22"/>
        <v>6909.6665018588856</v>
      </c>
      <c r="N46" s="90">
        <f t="shared" si="22"/>
        <v>6987.8390912755722</v>
      </c>
      <c r="O46" s="90">
        <f t="shared" si="22"/>
        <v>7069.2069058997386</v>
      </c>
      <c r="P46" s="90">
        <f t="shared" si="22"/>
        <v>7151.0429646725461</v>
      </c>
      <c r="Q46" s="90">
        <f t="shared" si="22"/>
        <v>7231.0256256529683</v>
      </c>
      <c r="R46" s="90">
        <f t="shared" si="22"/>
        <v>7311.9028730719137</v>
      </c>
      <c r="S46" s="90">
        <f t="shared" si="22"/>
        <v>7393.6847126592065</v>
      </c>
      <c r="T46" s="90">
        <f t="shared" si="22"/>
        <v>7476.3812620562958</v>
      </c>
      <c r="U46" s="90">
        <f t="shared" si="22"/>
        <v>7560.0027520679714</v>
      </c>
      <c r="V46" s="90">
        <f t="shared" si="22"/>
        <v>7644.5595279280633</v>
      </c>
      <c r="W46" s="90"/>
    </row>
    <row r="47" spans="1:23">
      <c r="A47" s="101" t="str">
        <f>+A37</f>
        <v>b. Space Cooling, Medium - Switch</v>
      </c>
      <c r="B47" s="102"/>
      <c r="C47" s="90">
        <f>C6*$C$20*$C$21*C28*C26*(1-C27)</f>
        <v>254.6282913324653</v>
      </c>
      <c r="D47" s="90">
        <f t="shared" ref="D47:V47" si="23">D6*$C$20*$C$21*D28*D26*(1-D27)</f>
        <v>1159.589381255113</v>
      </c>
      <c r="E47" s="90">
        <f t="shared" si="23"/>
        <v>1879.9936409866502</v>
      </c>
      <c r="F47" s="90">
        <f t="shared" si="23"/>
        <v>2406.9669584805847</v>
      </c>
      <c r="G47" s="90">
        <f t="shared" si="23"/>
        <v>2734.2406134339903</v>
      </c>
      <c r="H47" s="90">
        <f t="shared" si="23"/>
        <v>3257.8112838980815</v>
      </c>
      <c r="I47" s="90">
        <f t="shared" si="23"/>
        <v>3298.1548377799331</v>
      </c>
      <c r="J47" s="90">
        <f t="shared" si="23"/>
        <v>3337.9593791433285</v>
      </c>
      <c r="K47" s="90">
        <f t="shared" si="23"/>
        <v>3377.6265103854703</v>
      </c>
      <c r="L47" s="90">
        <f t="shared" si="23"/>
        <v>3417.0667078507377</v>
      </c>
      <c r="M47" s="90">
        <f t="shared" si="23"/>
        <v>3454.8332509294428</v>
      </c>
      <c r="N47" s="90">
        <f t="shared" si="23"/>
        <v>3493.9195456377861</v>
      </c>
      <c r="O47" s="90">
        <f t="shared" si="23"/>
        <v>3534.6034529498693</v>
      </c>
      <c r="P47" s="90">
        <f t="shared" si="23"/>
        <v>3575.521482336273</v>
      </c>
      <c r="Q47" s="90">
        <f t="shared" si="23"/>
        <v>3615.5128128264842</v>
      </c>
      <c r="R47" s="90">
        <f t="shared" si="23"/>
        <v>3655.9514365359569</v>
      </c>
      <c r="S47" s="90">
        <f t="shared" si="23"/>
        <v>3696.8423563296033</v>
      </c>
      <c r="T47" s="90">
        <f t="shared" si="23"/>
        <v>3738.1906310281479</v>
      </c>
      <c r="U47" s="90">
        <f t="shared" si="23"/>
        <v>3780.0013760339857</v>
      </c>
      <c r="V47" s="90">
        <f t="shared" si="23"/>
        <v>3822.2797639640316</v>
      </c>
      <c r="W47" s="90"/>
    </row>
    <row r="48" spans="1:23">
      <c r="A48" s="85"/>
      <c r="B48" s="85"/>
      <c r="C48" s="103"/>
      <c r="D48" s="103"/>
      <c r="E48" s="103"/>
      <c r="F48" s="103"/>
      <c r="G48" s="103"/>
      <c r="H48" s="103"/>
      <c r="I48" s="103"/>
      <c r="J48" s="103"/>
      <c r="K48" s="103"/>
      <c r="L48" s="103"/>
      <c r="M48" s="103"/>
      <c r="N48" s="103"/>
      <c r="O48" s="103"/>
      <c r="P48" s="103"/>
      <c r="Q48" s="103"/>
      <c r="R48" s="103"/>
      <c r="S48" s="103"/>
      <c r="T48" s="103"/>
      <c r="U48" s="103"/>
      <c r="V48" s="103"/>
      <c r="W48" s="103"/>
    </row>
    <row r="49" spans="1:23">
      <c r="A49" s="91" t="s">
        <v>219</v>
      </c>
      <c r="B49" s="91"/>
      <c r="C49" s="93">
        <f t="shared" ref="C49:V49" si="24">SUM(C46:C47)</f>
        <v>763.88487399739586</v>
      </c>
      <c r="D49" s="93">
        <f t="shared" si="24"/>
        <v>3478.7681437653391</v>
      </c>
      <c r="E49" s="93">
        <f t="shared" si="24"/>
        <v>5639.9809229599505</v>
      </c>
      <c r="F49" s="93">
        <f t="shared" si="24"/>
        <v>7220.9008754417537</v>
      </c>
      <c r="G49" s="93">
        <f t="shared" si="24"/>
        <v>8202.7218403019706</v>
      </c>
      <c r="H49" s="93">
        <f t="shared" si="24"/>
        <v>9773.4338516942444</v>
      </c>
      <c r="I49" s="93">
        <f t="shared" si="24"/>
        <v>9894.4645133397989</v>
      </c>
      <c r="J49" s="93">
        <f t="shared" si="24"/>
        <v>10013.878137429985</v>
      </c>
      <c r="K49" s="93">
        <f t="shared" si="24"/>
        <v>10132.87953115641</v>
      </c>
      <c r="L49" s="93">
        <f t="shared" si="24"/>
        <v>10251.200123552213</v>
      </c>
      <c r="M49" s="93">
        <f t="shared" si="24"/>
        <v>10364.499752788328</v>
      </c>
      <c r="N49" s="93">
        <f t="shared" si="24"/>
        <v>10481.758636913359</v>
      </c>
      <c r="O49" s="93">
        <f t="shared" si="24"/>
        <v>10603.810358849609</v>
      </c>
      <c r="P49" s="93">
        <f t="shared" si="24"/>
        <v>10726.564447008819</v>
      </c>
      <c r="Q49" s="93">
        <f t="shared" si="24"/>
        <v>10846.538438479452</v>
      </c>
      <c r="R49" s="93">
        <f t="shared" si="24"/>
        <v>10967.85430960787</v>
      </c>
      <c r="S49" s="93">
        <f t="shared" si="24"/>
        <v>11090.527068988809</v>
      </c>
      <c r="T49" s="93">
        <f t="shared" si="24"/>
        <v>11214.571893084443</v>
      </c>
      <c r="U49" s="93">
        <f t="shared" si="24"/>
        <v>11340.004128101957</v>
      </c>
      <c r="V49" s="93">
        <f t="shared" si="24"/>
        <v>11466.839291892094</v>
      </c>
      <c r="W49" s="93"/>
    </row>
    <row r="51" spans="1:23">
      <c r="A51" s="77" t="s">
        <v>220</v>
      </c>
      <c r="B51" s="77"/>
      <c r="D51" s="214"/>
      <c r="E51" s="78"/>
      <c r="F51" s="78"/>
      <c r="G51" s="215"/>
    </row>
    <row r="52" spans="1:23">
      <c r="A52" s="77"/>
      <c r="B52" s="77"/>
      <c r="D52" s="214"/>
      <c r="E52" s="78"/>
      <c r="F52" s="78"/>
      <c r="G52" s="219"/>
    </row>
    <row r="53" spans="1:23" ht="12.75" customHeight="1">
      <c r="A53" s="104"/>
      <c r="B53" s="474" t="s">
        <v>242</v>
      </c>
      <c r="C53" s="476" t="s">
        <v>221</v>
      </c>
      <c r="D53" s="477"/>
      <c r="E53" s="477"/>
      <c r="F53" s="477"/>
      <c r="G53" s="477"/>
      <c r="H53" s="477"/>
      <c r="I53" s="477"/>
      <c r="J53" s="477"/>
      <c r="K53" s="477"/>
      <c r="L53" s="477"/>
      <c r="M53" s="477"/>
      <c r="N53" s="477"/>
      <c r="O53" s="477"/>
      <c r="P53" s="477"/>
      <c r="Q53" s="477"/>
      <c r="R53" s="477"/>
      <c r="S53" s="477"/>
      <c r="T53" s="477"/>
      <c r="U53" s="477"/>
      <c r="V53" s="477"/>
      <c r="W53" s="477"/>
    </row>
    <row r="54" spans="1:23">
      <c r="A54" s="209" t="s">
        <v>214</v>
      </c>
      <c r="B54" s="480"/>
      <c r="C54" s="208">
        <v>2016</v>
      </c>
      <c r="D54" s="208">
        <v>2017</v>
      </c>
      <c r="E54" s="208">
        <v>2018</v>
      </c>
      <c r="F54" s="208">
        <v>2019</v>
      </c>
      <c r="G54" s="208">
        <v>2020</v>
      </c>
      <c r="H54" s="208">
        <v>2021</v>
      </c>
      <c r="I54" s="208">
        <v>2022</v>
      </c>
      <c r="J54" s="208">
        <v>2023</v>
      </c>
      <c r="K54" s="208">
        <v>2024</v>
      </c>
      <c r="L54" s="208">
        <v>2025</v>
      </c>
      <c r="M54" s="208">
        <v>2026</v>
      </c>
      <c r="N54" s="208">
        <v>2027</v>
      </c>
      <c r="O54" s="208">
        <v>2028</v>
      </c>
      <c r="P54" s="208">
        <v>2029</v>
      </c>
      <c r="Q54" s="208">
        <v>2030</v>
      </c>
      <c r="R54" s="208">
        <v>2031</v>
      </c>
      <c r="S54" s="208">
        <v>2032</v>
      </c>
      <c r="T54" s="208">
        <v>2033</v>
      </c>
      <c r="U54" s="208">
        <v>2034</v>
      </c>
      <c r="V54" s="208">
        <v>2035</v>
      </c>
      <c r="W54" s="208"/>
    </row>
    <row r="55" spans="1:23">
      <c r="A55" s="82"/>
      <c r="B55" s="82"/>
      <c r="C55" s="82"/>
      <c r="D55" s="105"/>
      <c r="E55" s="82"/>
      <c r="F55" s="82"/>
      <c r="G55" s="82"/>
      <c r="H55" s="82"/>
      <c r="I55" s="82"/>
      <c r="J55" s="82"/>
      <c r="K55" s="82"/>
      <c r="L55" s="82"/>
      <c r="M55" s="82"/>
      <c r="N55" s="82"/>
      <c r="O55" s="82"/>
      <c r="P55" s="82"/>
      <c r="Q55" s="82"/>
      <c r="R55" s="82"/>
      <c r="S55" s="82"/>
      <c r="T55" s="82"/>
      <c r="U55" s="82"/>
      <c r="V55" s="82"/>
      <c r="W55" s="82"/>
    </row>
    <row r="56" spans="1:23">
      <c r="A56" s="101" t="str">
        <f>+A36</f>
        <v>a. Space Cooling, Small - Switch</v>
      </c>
      <c r="B56" s="232">
        <f>KeyAssumptions!$K$8</f>
        <v>2.8</v>
      </c>
      <c r="C56" s="189">
        <f>$B56/1000*C46*$C$11</f>
        <v>1.3546225098887152</v>
      </c>
      <c r="D56" s="189">
        <f t="shared" ref="D56:V56" si="25">$B56/1000*D46*$C$11</f>
        <v>6.1690155082772007</v>
      </c>
      <c r="E56" s="189">
        <f t="shared" si="25"/>
        <v>10.001566170048978</v>
      </c>
      <c r="F56" s="189">
        <f t="shared" si="25"/>
        <v>12.80506421911671</v>
      </c>
      <c r="G56" s="189">
        <f t="shared" si="25"/>
        <v>14.546160063468829</v>
      </c>
      <c r="H56" s="189">
        <f t="shared" si="25"/>
        <v>17.331556030337794</v>
      </c>
      <c r="I56" s="189">
        <f t="shared" si="25"/>
        <v>17.546183736989242</v>
      </c>
      <c r="J56" s="189">
        <f t="shared" si="25"/>
        <v>17.757943897042505</v>
      </c>
      <c r="K56" s="189">
        <f t="shared" si="25"/>
        <v>17.968973035250698</v>
      </c>
      <c r="L56" s="189">
        <f t="shared" si="25"/>
        <v>18.178794885765921</v>
      </c>
      <c r="M56" s="189">
        <f t="shared" si="25"/>
        <v>18.379712894944635</v>
      </c>
      <c r="N56" s="189">
        <f t="shared" si="25"/>
        <v>18.58765198279302</v>
      </c>
      <c r="O56" s="189">
        <f t="shared" si="25"/>
        <v>18.804090369693306</v>
      </c>
      <c r="P56" s="189">
        <f t="shared" si="25"/>
        <v>19.021774286028972</v>
      </c>
      <c r="Q56" s="189">
        <f t="shared" si="25"/>
        <v>19.234528164236895</v>
      </c>
      <c r="R56" s="189">
        <f t="shared" si="25"/>
        <v>19.449661642371289</v>
      </c>
      <c r="S56" s="189">
        <f t="shared" si="25"/>
        <v>19.667201335673489</v>
      </c>
      <c r="T56" s="189">
        <f t="shared" si="25"/>
        <v>19.887174157069744</v>
      </c>
      <c r="U56" s="189">
        <f t="shared" si="25"/>
        <v>20.109607320500803</v>
      </c>
      <c r="V56" s="189">
        <f t="shared" si="25"/>
        <v>20.334528344288646</v>
      </c>
      <c r="W56" s="189"/>
    </row>
    <row r="57" spans="1:23">
      <c r="A57" s="101" t="str">
        <f>+A37</f>
        <v>b. Space Cooling, Medium - Switch</v>
      </c>
      <c r="B57" s="232">
        <f>KeyAssumptions!$K$9</f>
        <v>15</v>
      </c>
      <c r="C57" s="189">
        <f>$B57/1000*C47*$C$22</f>
        <v>3.6284531514876304</v>
      </c>
      <c r="D57" s="189">
        <f t="shared" ref="D57:V57" si="26">$B57/1000*D47*$C$22</f>
        <v>16.524148682885361</v>
      </c>
      <c r="E57" s="189">
        <f t="shared" si="26"/>
        <v>26.789909384059765</v>
      </c>
      <c r="F57" s="189">
        <f t="shared" si="26"/>
        <v>34.299279158348327</v>
      </c>
      <c r="G57" s="189">
        <f t="shared" si="26"/>
        <v>38.962928741434354</v>
      </c>
      <c r="H57" s="189">
        <f t="shared" si="26"/>
        <v>46.423810795547659</v>
      </c>
      <c r="I57" s="189">
        <f t="shared" si="26"/>
        <v>46.998706438364039</v>
      </c>
      <c r="J57" s="189">
        <f t="shared" si="26"/>
        <v>47.565921152792427</v>
      </c>
      <c r="K57" s="189">
        <f t="shared" si="26"/>
        <v>48.131177772992949</v>
      </c>
      <c r="L57" s="189">
        <f t="shared" si="26"/>
        <v>48.693200586873004</v>
      </c>
      <c r="M57" s="189">
        <f t="shared" si="26"/>
        <v>49.231373825744555</v>
      </c>
      <c r="N57" s="189">
        <f t="shared" si="26"/>
        <v>49.788353525338451</v>
      </c>
      <c r="O57" s="189">
        <f t="shared" si="26"/>
        <v>50.368099204535632</v>
      </c>
      <c r="P57" s="189">
        <f t="shared" si="26"/>
        <v>50.951181123291889</v>
      </c>
      <c r="Q57" s="189">
        <f t="shared" si="26"/>
        <v>51.521057582777395</v>
      </c>
      <c r="R57" s="189">
        <f t="shared" si="26"/>
        <v>52.097307970637381</v>
      </c>
      <c r="S57" s="189">
        <f t="shared" si="26"/>
        <v>52.680003577696844</v>
      </c>
      <c r="T57" s="189">
        <f t="shared" si="26"/>
        <v>53.269216492151102</v>
      </c>
      <c r="U57" s="189">
        <f t="shared" si="26"/>
        <v>53.865019608484289</v>
      </c>
      <c r="V57" s="189">
        <f t="shared" si="26"/>
        <v>54.467486636487443</v>
      </c>
      <c r="W57" s="189"/>
    </row>
    <row r="58" spans="1:23">
      <c r="A58" s="85"/>
      <c r="B58" s="85"/>
      <c r="C58" s="106"/>
      <c r="D58" s="106"/>
      <c r="E58" s="106"/>
      <c r="F58" s="106"/>
      <c r="G58" s="106"/>
      <c r="H58" s="106"/>
      <c r="I58" s="106"/>
      <c r="J58" s="106"/>
      <c r="K58" s="106"/>
      <c r="L58" s="106"/>
      <c r="M58" s="106"/>
      <c r="N58" s="106"/>
      <c r="O58" s="106"/>
      <c r="P58" s="106"/>
      <c r="Q58" s="106"/>
      <c r="R58" s="106"/>
      <c r="S58" s="106"/>
      <c r="T58" s="106"/>
      <c r="U58" s="106"/>
      <c r="V58" s="106"/>
      <c r="W58" s="106"/>
    </row>
    <row r="59" spans="1:23">
      <c r="A59" s="107" t="s">
        <v>269</v>
      </c>
      <c r="B59" s="108"/>
      <c r="C59" s="109">
        <f>SUM(C56:C57)</f>
        <v>4.9830756613763452</v>
      </c>
      <c r="D59" s="109">
        <f t="shared" ref="D59:V59" si="27">SUM(D56:D57)</f>
        <v>22.693164191162563</v>
      </c>
      <c r="E59" s="109">
        <f t="shared" si="27"/>
        <v>36.791475554108743</v>
      </c>
      <c r="F59" s="109">
        <f t="shared" si="27"/>
        <v>47.104343377465035</v>
      </c>
      <c r="G59" s="109">
        <f t="shared" si="27"/>
        <v>53.509088804903186</v>
      </c>
      <c r="H59" s="109">
        <f t="shared" si="27"/>
        <v>63.755366825885453</v>
      </c>
      <c r="I59" s="109">
        <f t="shared" si="27"/>
        <v>64.544890175353288</v>
      </c>
      <c r="J59" s="109">
        <f t="shared" si="27"/>
        <v>65.323865049834936</v>
      </c>
      <c r="K59" s="109">
        <f t="shared" si="27"/>
        <v>66.100150808243654</v>
      </c>
      <c r="L59" s="109">
        <f t="shared" si="27"/>
        <v>66.871995472638929</v>
      </c>
      <c r="M59" s="109">
        <f t="shared" si="27"/>
        <v>67.611086720689187</v>
      </c>
      <c r="N59" s="109">
        <f t="shared" si="27"/>
        <v>68.37600550813147</v>
      </c>
      <c r="O59" s="109">
        <f t="shared" si="27"/>
        <v>69.172189574228938</v>
      </c>
      <c r="P59" s="109">
        <f t="shared" si="27"/>
        <v>69.972955409320861</v>
      </c>
      <c r="Q59" s="109">
        <f t="shared" si="27"/>
        <v>70.755585747014294</v>
      </c>
      <c r="R59" s="109">
        <f t="shared" si="27"/>
        <v>71.54696961300867</v>
      </c>
      <c r="S59" s="109">
        <f t="shared" si="27"/>
        <v>72.347204913370334</v>
      </c>
      <c r="T59" s="109">
        <f t="shared" si="27"/>
        <v>73.156390649220839</v>
      </c>
      <c r="U59" s="109">
        <f t="shared" si="27"/>
        <v>73.974626928985089</v>
      </c>
      <c r="V59" s="109">
        <f t="shared" si="27"/>
        <v>74.802014980776093</v>
      </c>
      <c r="W59" s="109"/>
    </row>
    <row r="60" spans="1:23">
      <c r="A60" s="110"/>
      <c r="B60" s="110"/>
      <c r="C60" s="111"/>
      <c r="D60" s="111"/>
      <c r="E60" s="112"/>
      <c r="F60" s="112"/>
      <c r="G60" s="112"/>
      <c r="H60" s="112"/>
      <c r="I60" s="112"/>
      <c r="J60" s="112"/>
      <c r="K60" s="112"/>
      <c r="L60" s="112"/>
      <c r="M60" s="112"/>
      <c r="N60" s="112"/>
      <c r="O60" s="112"/>
      <c r="P60" s="112"/>
      <c r="Q60" s="112"/>
      <c r="R60" s="112"/>
      <c r="S60" s="112"/>
      <c r="T60" s="112"/>
      <c r="U60" s="112"/>
      <c r="V60" s="112"/>
      <c r="W60" s="112"/>
    </row>
    <row r="61" spans="1:23">
      <c r="A61" s="77" t="s">
        <v>276</v>
      </c>
      <c r="B61" s="110"/>
      <c r="C61" s="98"/>
      <c r="D61" s="122"/>
      <c r="E61" s="121"/>
      <c r="F61" s="121"/>
      <c r="G61" s="121"/>
      <c r="H61" s="121"/>
      <c r="I61" s="121"/>
      <c r="J61" s="121"/>
      <c r="K61" s="121"/>
      <c r="L61" s="121"/>
      <c r="M61" s="121"/>
      <c r="N61" s="121"/>
      <c r="O61" s="121"/>
      <c r="P61" s="121"/>
      <c r="Q61" s="121"/>
      <c r="R61" s="121"/>
      <c r="S61" s="121"/>
      <c r="T61" s="121"/>
      <c r="U61" s="121"/>
      <c r="V61" s="121"/>
      <c r="W61" s="121"/>
    </row>
    <row r="62" spans="1:23">
      <c r="A62" s="113"/>
      <c r="B62" s="110"/>
      <c r="C62" s="98"/>
      <c r="D62" s="121"/>
      <c r="E62" s="121"/>
      <c r="F62" s="121"/>
      <c r="G62" s="121"/>
      <c r="H62" s="121"/>
      <c r="I62" s="121"/>
      <c r="J62" s="121"/>
      <c r="K62" s="121"/>
      <c r="L62" s="121"/>
      <c r="M62" s="121"/>
      <c r="N62" s="121"/>
      <c r="O62" s="121"/>
      <c r="P62" s="121"/>
      <c r="Q62" s="121"/>
      <c r="R62" s="121"/>
      <c r="S62" s="121"/>
      <c r="T62" s="121"/>
      <c r="U62" s="121"/>
      <c r="V62" s="121"/>
      <c r="W62" s="121"/>
    </row>
    <row r="63" spans="1:23">
      <c r="A63" s="478" t="s">
        <v>214</v>
      </c>
      <c r="B63" s="474" t="s">
        <v>304</v>
      </c>
      <c r="C63" s="469" t="s">
        <v>222</v>
      </c>
      <c r="D63" s="469"/>
      <c r="E63" s="469"/>
      <c r="F63" s="469"/>
      <c r="G63" s="469"/>
      <c r="H63" s="469"/>
      <c r="I63" s="469"/>
      <c r="J63" s="469"/>
      <c r="K63" s="469"/>
      <c r="L63" s="469"/>
      <c r="M63" s="469"/>
      <c r="N63" s="469"/>
      <c r="O63" s="469"/>
      <c r="P63" s="469"/>
      <c r="Q63" s="469"/>
      <c r="R63" s="469"/>
      <c r="S63" s="469"/>
      <c r="T63" s="469"/>
      <c r="U63" s="469"/>
      <c r="V63" s="469"/>
      <c r="W63" s="469"/>
    </row>
    <row r="64" spans="1:23">
      <c r="A64" s="479"/>
      <c r="B64" s="480"/>
      <c r="C64" s="100">
        <v>2016</v>
      </c>
      <c r="D64" s="100">
        <v>2017</v>
      </c>
      <c r="E64" s="100">
        <v>2018</v>
      </c>
      <c r="F64" s="100">
        <v>2019</v>
      </c>
      <c r="G64" s="100">
        <v>2020</v>
      </c>
      <c r="H64" s="100">
        <v>2021</v>
      </c>
      <c r="I64" s="100">
        <v>2022</v>
      </c>
      <c r="J64" s="100">
        <v>2023</v>
      </c>
      <c r="K64" s="100">
        <v>2024</v>
      </c>
      <c r="L64" s="100">
        <v>2025</v>
      </c>
      <c r="M64" s="100">
        <v>2026</v>
      </c>
      <c r="N64" s="100">
        <v>2027</v>
      </c>
      <c r="O64" s="100">
        <v>2028</v>
      </c>
      <c r="P64" s="100">
        <v>2029</v>
      </c>
      <c r="Q64" s="100">
        <v>2030</v>
      </c>
      <c r="R64" s="100">
        <v>2031</v>
      </c>
      <c r="S64" s="100">
        <v>2032</v>
      </c>
      <c r="T64" s="100">
        <v>2033</v>
      </c>
      <c r="U64" s="100">
        <v>2034</v>
      </c>
      <c r="V64" s="100">
        <v>2035</v>
      </c>
      <c r="W64" s="100"/>
    </row>
    <row r="65" spans="1:23">
      <c r="A65" s="123"/>
      <c r="B65" s="124"/>
      <c r="C65" s="78"/>
      <c r="D65" s="82"/>
      <c r="E65" s="82"/>
      <c r="F65" s="82"/>
      <c r="G65" s="82"/>
      <c r="H65" s="82"/>
      <c r="I65" s="82"/>
      <c r="J65" s="82"/>
      <c r="K65" s="82"/>
      <c r="L65" s="82"/>
      <c r="M65" s="82"/>
      <c r="N65" s="82"/>
      <c r="O65" s="82"/>
      <c r="P65" s="82"/>
      <c r="Q65" s="82"/>
      <c r="R65" s="82"/>
      <c r="S65" s="82"/>
      <c r="T65" s="82"/>
      <c r="U65" s="82"/>
      <c r="V65" s="82"/>
      <c r="W65" s="82"/>
    </row>
    <row r="66" spans="1:23">
      <c r="A66" s="85" t="str">
        <f>+A36</f>
        <v>a. Space Cooling, Small - Switch</v>
      </c>
      <c r="B66" s="223">
        <f>SUM(KeyAssumptions!F8:H8)</f>
        <v>268</v>
      </c>
      <c r="C66" s="116">
        <f t="shared" ref="C66:V66" si="28">MAX(0,($B$66*C36))</f>
        <v>136480.7641542014</v>
      </c>
      <c r="D66" s="116">
        <f t="shared" si="28"/>
        <v>485059.1441985392</v>
      </c>
      <c r="E66" s="116">
        <f t="shared" si="28"/>
        <v>386136.68321610393</v>
      </c>
      <c r="F66" s="116">
        <f t="shared" si="28"/>
        <v>282457.69817674888</v>
      </c>
      <c r="G66" s="116">
        <f t="shared" si="28"/>
        <v>175418.67905502542</v>
      </c>
      <c r="H66" s="116">
        <f t="shared" si="28"/>
        <v>280633.87936875282</v>
      </c>
      <c r="I66" s="116">
        <f t="shared" si="28"/>
        <v>21624.144880672498</v>
      </c>
      <c r="J66" s="116">
        <f t="shared" si="28"/>
        <v>21335.234170779935</v>
      </c>
      <c r="K66" s="116">
        <f t="shared" si="28"/>
        <v>21261.582345787978</v>
      </c>
      <c r="L66" s="116">
        <f t="shared" si="28"/>
        <v>21139.945841383313</v>
      </c>
      <c r="M66" s="116">
        <f t="shared" si="28"/>
        <v>20242.867090185948</v>
      </c>
      <c r="N66" s="116">
        <f t="shared" si="28"/>
        <v>20950.25396367201</v>
      </c>
      <c r="O66" s="116">
        <f t="shared" si="28"/>
        <v>21806.574319276591</v>
      </c>
      <c r="P66" s="116">
        <f t="shared" si="28"/>
        <v>21932.063751112415</v>
      </c>
      <c r="Q66" s="116">
        <f t="shared" si="28"/>
        <v>21435.353142753156</v>
      </c>
      <c r="R66" s="116">
        <f t="shared" si="28"/>
        <v>21675.102308277379</v>
      </c>
      <c r="S66" s="116">
        <f t="shared" si="28"/>
        <v>21917.533009394465</v>
      </c>
      <c r="T66" s="116">
        <f t="shared" si="28"/>
        <v>22162.675238419921</v>
      </c>
      <c r="U66" s="116">
        <f t="shared" si="28"/>
        <v>22410.55932312907</v>
      </c>
      <c r="V66" s="116">
        <f t="shared" si="28"/>
        <v>22661.215930504623</v>
      </c>
      <c r="W66" s="116"/>
    </row>
    <row r="67" spans="1:23">
      <c r="A67" s="85" t="str">
        <f>A37</f>
        <v>b. Space Cooling, Medium - Switch</v>
      </c>
      <c r="B67" s="223">
        <f>SUM(KeyAssumptions!F9:H9)</f>
        <v>1000</v>
      </c>
      <c r="C67" s="116">
        <f t="shared" ref="C67:V67" si="29">MAX(0,($B$67*C37))</f>
        <v>254628.29133246531</v>
      </c>
      <c r="D67" s="116">
        <f t="shared" si="29"/>
        <v>904961.08992264769</v>
      </c>
      <c r="E67" s="116">
        <f t="shared" si="29"/>
        <v>720404.2597315372</v>
      </c>
      <c r="F67" s="116">
        <f t="shared" si="29"/>
        <v>526973.31749393442</v>
      </c>
      <c r="G67" s="116">
        <f t="shared" si="29"/>
        <v>327273.65495340561</v>
      </c>
      <c r="H67" s="116">
        <f t="shared" si="29"/>
        <v>523570.67046409112</v>
      </c>
      <c r="I67" s="116">
        <f t="shared" si="29"/>
        <v>40343.55388185168</v>
      </c>
      <c r="J67" s="116">
        <f t="shared" si="29"/>
        <v>39804.541363395401</v>
      </c>
      <c r="K67" s="116">
        <f t="shared" si="29"/>
        <v>39667.131242141753</v>
      </c>
      <c r="L67" s="116">
        <f t="shared" si="29"/>
        <v>39440.197465267374</v>
      </c>
      <c r="M67" s="116">
        <f t="shared" si="29"/>
        <v>37766.54307870513</v>
      </c>
      <c r="N67" s="116">
        <f t="shared" si="29"/>
        <v>39086.294708343303</v>
      </c>
      <c r="O67" s="116">
        <f t="shared" si="29"/>
        <v>40683.907312083189</v>
      </c>
      <c r="P67" s="116">
        <f t="shared" si="29"/>
        <v>40918.029386403759</v>
      </c>
      <c r="Q67" s="116">
        <f t="shared" si="29"/>
        <v>39991.330490211112</v>
      </c>
      <c r="R67" s="116">
        <f t="shared" si="29"/>
        <v>40438.623709472726</v>
      </c>
      <c r="S67" s="116">
        <f t="shared" si="29"/>
        <v>40890.91979364639</v>
      </c>
      <c r="T67" s="116">
        <f t="shared" si="29"/>
        <v>41348.274698544628</v>
      </c>
      <c r="U67" s="116">
        <f t="shared" si="29"/>
        <v>41810.745005837816</v>
      </c>
      <c r="V67" s="116">
        <f t="shared" si="29"/>
        <v>42278.387930045938</v>
      </c>
      <c r="W67" s="116"/>
    </row>
    <row r="68" spans="1:23">
      <c r="A68" s="85"/>
      <c r="B68" s="125"/>
      <c r="C68" s="116"/>
      <c r="D68" s="116"/>
      <c r="E68" s="116"/>
      <c r="F68" s="116"/>
      <c r="G68" s="116"/>
      <c r="H68" s="116"/>
      <c r="I68" s="116"/>
      <c r="J68" s="116"/>
      <c r="K68" s="116"/>
      <c r="L68" s="116"/>
      <c r="M68" s="116"/>
      <c r="N68" s="116"/>
      <c r="O68" s="116"/>
      <c r="P68" s="116"/>
      <c r="Q68" s="116"/>
      <c r="R68" s="116"/>
      <c r="S68" s="116"/>
      <c r="T68" s="116"/>
      <c r="U68" s="116"/>
      <c r="V68" s="116"/>
      <c r="W68" s="116"/>
    </row>
    <row r="69" spans="1:23">
      <c r="A69" s="126" t="s">
        <v>278</v>
      </c>
      <c r="B69" s="107"/>
      <c r="C69" s="119">
        <f t="shared" ref="C69:V69" si="30">SUM(C66:C67)</f>
        <v>391109.05548666674</v>
      </c>
      <c r="D69" s="119">
        <f t="shared" si="30"/>
        <v>1390020.2341211869</v>
      </c>
      <c r="E69" s="119">
        <f t="shared" si="30"/>
        <v>1106540.942947641</v>
      </c>
      <c r="F69" s="119">
        <f t="shared" si="30"/>
        <v>809431.01567068323</v>
      </c>
      <c r="G69" s="119">
        <f t="shared" si="30"/>
        <v>502692.33400843106</v>
      </c>
      <c r="H69" s="119">
        <f t="shared" si="30"/>
        <v>804204.54983284394</v>
      </c>
      <c r="I69" s="119">
        <f t="shared" si="30"/>
        <v>61967.698762524175</v>
      </c>
      <c r="J69" s="119">
        <f t="shared" si="30"/>
        <v>61139.775534175336</v>
      </c>
      <c r="K69" s="119">
        <f t="shared" si="30"/>
        <v>60928.713587929728</v>
      </c>
      <c r="L69" s="119">
        <f t="shared" si="30"/>
        <v>60580.143306650687</v>
      </c>
      <c r="M69" s="119">
        <f t="shared" si="30"/>
        <v>58009.410168891074</v>
      </c>
      <c r="N69" s="119">
        <f t="shared" si="30"/>
        <v>60036.548672015313</v>
      </c>
      <c r="O69" s="119">
        <f t="shared" si="30"/>
        <v>62490.481631359784</v>
      </c>
      <c r="P69" s="119">
        <f t="shared" si="30"/>
        <v>62850.093137516174</v>
      </c>
      <c r="Q69" s="119">
        <f t="shared" si="30"/>
        <v>61426.683632964268</v>
      </c>
      <c r="R69" s="119">
        <f t="shared" si="30"/>
        <v>62113.726017750101</v>
      </c>
      <c r="S69" s="119">
        <f t="shared" si="30"/>
        <v>62808.452803040855</v>
      </c>
      <c r="T69" s="119">
        <f t="shared" si="30"/>
        <v>63510.949936964549</v>
      </c>
      <c r="U69" s="119">
        <f t="shared" si="30"/>
        <v>64221.304328966886</v>
      </c>
      <c r="V69" s="119">
        <f t="shared" si="30"/>
        <v>64939.60386055056</v>
      </c>
      <c r="W69" s="119"/>
    </row>
    <row r="70" spans="1:23">
      <c r="A70" s="110"/>
      <c r="B70" s="110"/>
      <c r="C70" s="121"/>
      <c r="D70" s="121"/>
      <c r="E70" s="121"/>
      <c r="F70" s="121"/>
      <c r="G70" s="121"/>
      <c r="H70" s="121"/>
      <c r="I70" s="121"/>
      <c r="J70" s="121"/>
      <c r="K70" s="121"/>
      <c r="L70" s="121"/>
      <c r="M70" s="121"/>
      <c r="N70" s="121"/>
      <c r="O70" s="121"/>
      <c r="P70" s="121"/>
      <c r="Q70" s="121"/>
      <c r="R70" s="121"/>
      <c r="S70" s="121"/>
      <c r="T70" s="121"/>
      <c r="U70" s="121"/>
      <c r="V70" s="121"/>
      <c r="W70" s="121"/>
    </row>
    <row r="71" spans="1:23">
      <c r="A71" s="96" t="s">
        <v>277</v>
      </c>
      <c r="B71" s="96"/>
      <c r="C71" s="111"/>
      <c r="D71" s="127"/>
      <c r="E71" s="128"/>
      <c r="F71" s="129"/>
      <c r="G71" s="120"/>
      <c r="H71" s="130"/>
      <c r="I71" s="120"/>
      <c r="J71" s="78"/>
      <c r="L71" s="78"/>
    </row>
    <row r="72" spans="1:23">
      <c r="A72" s="110"/>
      <c r="B72" s="110"/>
      <c r="C72" s="111"/>
      <c r="D72" s="127"/>
      <c r="E72" s="128"/>
      <c r="F72" s="129"/>
      <c r="G72" s="120"/>
      <c r="H72" s="130"/>
      <c r="I72" s="120"/>
      <c r="J72" s="78"/>
      <c r="L72" s="78"/>
    </row>
    <row r="73" spans="1:23">
      <c r="A73" s="492" t="s">
        <v>214</v>
      </c>
      <c r="B73" s="462" t="s">
        <v>344</v>
      </c>
      <c r="C73" s="487" t="s">
        <v>223</v>
      </c>
      <c r="D73" s="488"/>
      <c r="E73" s="488"/>
      <c r="F73" s="488"/>
      <c r="G73" s="488"/>
      <c r="H73" s="488"/>
      <c r="I73" s="488"/>
      <c r="J73" s="488"/>
      <c r="K73" s="488"/>
      <c r="L73" s="488"/>
      <c r="M73" s="488"/>
      <c r="N73" s="488"/>
      <c r="O73" s="488"/>
      <c r="P73" s="488"/>
      <c r="Q73" s="488"/>
      <c r="R73" s="488"/>
      <c r="S73" s="488"/>
      <c r="T73" s="488"/>
      <c r="U73" s="488"/>
      <c r="V73" s="488"/>
      <c r="W73" s="489"/>
    </row>
    <row r="74" spans="1:23">
      <c r="A74" s="493"/>
      <c r="B74" s="462"/>
      <c r="C74" s="100">
        <v>2016</v>
      </c>
      <c r="D74" s="100">
        <v>2017</v>
      </c>
      <c r="E74" s="100">
        <v>2018</v>
      </c>
      <c r="F74" s="100">
        <v>2019</v>
      </c>
      <c r="G74" s="100">
        <v>2020</v>
      </c>
      <c r="H74" s="100">
        <v>2021</v>
      </c>
      <c r="I74" s="100">
        <v>2022</v>
      </c>
      <c r="J74" s="100">
        <v>2023</v>
      </c>
      <c r="K74" s="100">
        <v>2024</v>
      </c>
      <c r="L74" s="100">
        <v>2025</v>
      </c>
      <c r="M74" s="100">
        <v>2026</v>
      </c>
      <c r="N74" s="100">
        <v>2027</v>
      </c>
      <c r="O74" s="100">
        <v>2028</v>
      </c>
      <c r="P74" s="100">
        <v>2029</v>
      </c>
      <c r="Q74" s="100">
        <v>2030</v>
      </c>
      <c r="R74" s="100">
        <v>2031</v>
      </c>
      <c r="S74" s="100">
        <v>2032</v>
      </c>
      <c r="T74" s="100">
        <v>2033</v>
      </c>
      <c r="U74" s="100">
        <v>2034</v>
      </c>
      <c r="V74" s="100">
        <v>2035</v>
      </c>
      <c r="W74" s="100"/>
    </row>
    <row r="75" spans="1:23">
      <c r="A75" s="131"/>
      <c r="B75" s="132"/>
      <c r="C75" s="132"/>
      <c r="D75" s="133"/>
      <c r="E75" s="133"/>
      <c r="F75" s="133"/>
      <c r="G75" s="133"/>
      <c r="H75" s="133"/>
      <c r="I75" s="133"/>
      <c r="J75" s="133"/>
      <c r="K75" s="133"/>
      <c r="L75" s="133"/>
      <c r="M75" s="133"/>
      <c r="N75" s="133"/>
      <c r="O75" s="133"/>
      <c r="P75" s="133"/>
      <c r="Q75" s="133"/>
      <c r="R75" s="133"/>
      <c r="S75" s="133"/>
      <c r="T75" s="133"/>
      <c r="U75" s="133"/>
      <c r="V75" s="133"/>
      <c r="W75" s="133"/>
    </row>
    <row r="76" spans="1:23">
      <c r="A76" s="135" t="str">
        <f>A36</f>
        <v>a. Space Cooling, Small - Switch</v>
      </c>
      <c r="B76" s="136">
        <f>KeyAssumptions!$J$8</f>
        <v>10</v>
      </c>
      <c r="C76" s="137">
        <f>($B76-IF('7thPlanAssumptions'!$D$14=1,'7thPlanAssumptions'!$B$14,0))*C56*1000</f>
        <v>-21673.960158219445</v>
      </c>
      <c r="D76" s="137">
        <f>($B76-IF('7thPlanAssumptions'!$D$14=1,'7thPlanAssumptions'!$B$14,0))*D56*1000</f>
        <v>-98704.248132435212</v>
      </c>
      <c r="E76" s="137">
        <f>($B76-IF('7thPlanAssumptions'!$D$14=1,'7thPlanAssumptions'!$B$14,0))*E56*1000</f>
        <v>-160025.05872078365</v>
      </c>
      <c r="F76" s="137">
        <f>($B76-IF('7thPlanAssumptions'!$D$14=1,'7thPlanAssumptions'!$B$14,0))*F56*1000</f>
        <v>-204881.02750586736</v>
      </c>
      <c r="G76" s="137">
        <f>($B76-IF('7thPlanAssumptions'!$D$14=1,'7thPlanAssumptions'!$B$14,0))*G56*1000</f>
        <v>-232738.56101550127</v>
      </c>
      <c r="H76" s="137">
        <f>($B76-IF('7thPlanAssumptions'!$D$14=1,'7thPlanAssumptions'!$B$14,0))*H56*1000</f>
        <v>-277304.89648540469</v>
      </c>
      <c r="I76" s="137">
        <f>($B76-IF('7thPlanAssumptions'!$D$14=1,'7thPlanAssumptions'!$B$14,0))*I56*1000</f>
        <v>-280738.93979182787</v>
      </c>
      <c r="J76" s="137">
        <f>($B76-IF('7thPlanAssumptions'!$D$14=1,'7thPlanAssumptions'!$B$14,0))*J56*1000</f>
        <v>-284127.10235268006</v>
      </c>
      <c r="K76" s="137">
        <f>($B76-IF('7thPlanAssumptions'!$D$14=1,'7thPlanAssumptions'!$B$14,0))*K56*1000</f>
        <v>-287503.56856401119</v>
      </c>
      <c r="L76" s="137">
        <f>($B76-IF('7thPlanAssumptions'!$D$14=1,'7thPlanAssumptions'!$B$14,0))*L56*1000</f>
        <v>-290860.71817225474</v>
      </c>
      <c r="M76" s="137">
        <f>($B76-IF('7thPlanAssumptions'!$D$14=1,'7thPlanAssumptions'!$B$14,0))*M56*1000</f>
        <v>-294075.40631911415</v>
      </c>
      <c r="N76" s="137">
        <f>($B76-IF('7thPlanAssumptions'!$D$14=1,'7thPlanAssumptions'!$B$14,0))*N56*1000</f>
        <v>-297402.43172468833</v>
      </c>
      <c r="O76" s="137">
        <f>($B76-IF('7thPlanAssumptions'!$D$14=1,'7thPlanAssumptions'!$B$14,0))*O56*1000</f>
        <v>-300865.44591509289</v>
      </c>
      <c r="P76" s="137">
        <f>($B76-IF('7thPlanAssumptions'!$D$14=1,'7thPlanAssumptions'!$B$14,0))*P56*1000</f>
        <v>-304348.38857646356</v>
      </c>
      <c r="Q76" s="137">
        <f>($B76-IF('7thPlanAssumptions'!$D$14=1,'7thPlanAssumptions'!$B$14,0))*Q56*1000</f>
        <v>-307752.4506277903</v>
      </c>
      <c r="R76" s="137">
        <f>($B76-IF('7thPlanAssumptions'!$D$14=1,'7thPlanAssumptions'!$B$14,0))*R56*1000</f>
        <v>-311194.5862779406</v>
      </c>
      <c r="S76" s="137">
        <f>($B76-IF('7thPlanAssumptions'!$D$14=1,'7thPlanAssumptions'!$B$14,0))*S56*1000</f>
        <v>-314675.22137077583</v>
      </c>
      <c r="T76" s="137">
        <f>($B76-IF('7thPlanAssumptions'!$D$14=1,'7thPlanAssumptions'!$B$14,0))*T56*1000</f>
        <v>-318194.78651311592</v>
      </c>
      <c r="U76" s="137">
        <f>($B76-IF('7thPlanAssumptions'!$D$14=1,'7thPlanAssumptions'!$B$14,0))*U56*1000</f>
        <v>-321753.71712801285</v>
      </c>
      <c r="V76" s="137">
        <f>($B76-IF('7thPlanAssumptions'!$D$14=1,'7thPlanAssumptions'!$B$14,0))*V56*1000</f>
        <v>-325352.45350861835</v>
      </c>
      <c r="W76" s="137"/>
    </row>
    <row r="77" spans="1:23">
      <c r="A77" s="135" t="str">
        <f>A37</f>
        <v>b. Space Cooling, Medium - Switch</v>
      </c>
      <c r="B77" s="136">
        <f>KeyAssumptions!$J$9</f>
        <v>10</v>
      </c>
      <c r="C77" s="137">
        <f>($B77-IF('7thPlanAssumptions'!$D$14=1,'7thPlanAssumptions'!$B$14,0))*C57*1000</f>
        <v>-58055.250423802085</v>
      </c>
      <c r="D77" s="137">
        <f>($B77-IF('7thPlanAssumptions'!$D$14=1,'7thPlanAssumptions'!$B$14,0))*D57*1000</f>
        <v>-264386.37892616575</v>
      </c>
      <c r="E77" s="137">
        <f>($B77-IF('7thPlanAssumptions'!$D$14=1,'7thPlanAssumptions'!$B$14,0))*E57*1000</f>
        <v>-428638.55014495621</v>
      </c>
      <c r="F77" s="137">
        <f>($B77-IF('7thPlanAssumptions'!$D$14=1,'7thPlanAssumptions'!$B$14,0))*F57*1000</f>
        <v>-548788.46653357323</v>
      </c>
      <c r="G77" s="137">
        <f>($B77-IF('7thPlanAssumptions'!$D$14=1,'7thPlanAssumptions'!$B$14,0))*G57*1000</f>
        <v>-623406.8598629497</v>
      </c>
      <c r="H77" s="137">
        <f>($B77-IF('7thPlanAssumptions'!$D$14=1,'7thPlanAssumptions'!$B$14,0))*H57*1000</f>
        <v>-742780.97272876254</v>
      </c>
      <c r="I77" s="137">
        <f>($B77-IF('7thPlanAssumptions'!$D$14=1,'7thPlanAssumptions'!$B$14,0))*I57*1000</f>
        <v>-751979.30301382462</v>
      </c>
      <c r="J77" s="137">
        <f>($B77-IF('7thPlanAssumptions'!$D$14=1,'7thPlanAssumptions'!$B$14,0))*J57*1000</f>
        <v>-761054.73844467883</v>
      </c>
      <c r="K77" s="137">
        <f>($B77-IF('7thPlanAssumptions'!$D$14=1,'7thPlanAssumptions'!$B$14,0))*K57*1000</f>
        <v>-770098.84436788713</v>
      </c>
      <c r="L77" s="137">
        <f>($B77-IF('7thPlanAssumptions'!$D$14=1,'7thPlanAssumptions'!$B$14,0))*L57*1000</f>
        <v>-779091.20938996808</v>
      </c>
      <c r="M77" s="137">
        <f>($B77-IF('7thPlanAssumptions'!$D$14=1,'7thPlanAssumptions'!$B$14,0))*M57*1000</f>
        <v>-787701.98121191293</v>
      </c>
      <c r="N77" s="137">
        <f>($B77-IF('7thPlanAssumptions'!$D$14=1,'7thPlanAssumptions'!$B$14,0))*N57*1000</f>
        <v>-796613.65640541527</v>
      </c>
      <c r="O77" s="137">
        <f>($B77-IF('7thPlanAssumptions'!$D$14=1,'7thPlanAssumptions'!$B$14,0))*O57*1000</f>
        <v>-805889.58727257012</v>
      </c>
      <c r="P77" s="137">
        <f>($B77-IF('7thPlanAssumptions'!$D$14=1,'7thPlanAssumptions'!$B$14,0))*P57*1000</f>
        <v>-815218.89797267027</v>
      </c>
      <c r="Q77" s="137">
        <f>($B77-IF('7thPlanAssumptions'!$D$14=1,'7thPlanAssumptions'!$B$14,0))*Q57*1000</f>
        <v>-824336.9213244383</v>
      </c>
      <c r="R77" s="137">
        <f>($B77-IF('7thPlanAssumptions'!$D$14=1,'7thPlanAssumptions'!$B$14,0))*R57*1000</f>
        <v>-833556.92753019813</v>
      </c>
      <c r="S77" s="137">
        <f>($B77-IF('7thPlanAssumptions'!$D$14=1,'7thPlanAssumptions'!$B$14,0))*S57*1000</f>
        <v>-842880.05724314949</v>
      </c>
      <c r="T77" s="137">
        <f>($B77-IF('7thPlanAssumptions'!$D$14=1,'7thPlanAssumptions'!$B$14,0))*T57*1000</f>
        <v>-852307.46387441759</v>
      </c>
      <c r="U77" s="137">
        <f>($B77-IF('7thPlanAssumptions'!$D$14=1,'7thPlanAssumptions'!$B$14,0))*U57*1000</f>
        <v>-861840.31373574864</v>
      </c>
      <c r="V77" s="137">
        <f>($B77-IF('7thPlanAssumptions'!$D$14=1,'7thPlanAssumptions'!$B$14,0))*V57*1000</f>
        <v>-871479.78618379903</v>
      </c>
      <c r="W77" s="137"/>
    </row>
    <row r="78" spans="1:23">
      <c r="A78" s="135"/>
      <c r="B78" s="138"/>
      <c r="C78" s="137"/>
      <c r="D78" s="137"/>
      <c r="E78" s="139"/>
      <c r="F78" s="140"/>
      <c r="G78" s="140"/>
      <c r="H78" s="140"/>
      <c r="I78" s="140"/>
      <c r="J78" s="140"/>
      <c r="K78" s="140"/>
      <c r="L78" s="140"/>
      <c r="M78" s="140"/>
      <c r="N78" s="140"/>
      <c r="O78" s="140"/>
      <c r="P78" s="140"/>
      <c r="Q78" s="140"/>
      <c r="R78" s="137"/>
      <c r="S78" s="137"/>
      <c r="T78" s="137"/>
      <c r="U78" s="137"/>
      <c r="V78" s="137"/>
      <c r="W78" s="137"/>
    </row>
    <row r="79" spans="1:23">
      <c r="A79" s="143" t="s">
        <v>224</v>
      </c>
      <c r="B79" s="144"/>
      <c r="C79" s="145">
        <f t="shared" ref="C79:V79" si="31">SUM(C76:C77)</f>
        <v>-79729.210582021537</v>
      </c>
      <c r="D79" s="145">
        <f t="shared" si="31"/>
        <v>-363090.62705860095</v>
      </c>
      <c r="E79" s="145">
        <f t="shared" si="31"/>
        <v>-588663.60886573989</v>
      </c>
      <c r="F79" s="145">
        <f t="shared" si="31"/>
        <v>-753669.49403944053</v>
      </c>
      <c r="G79" s="145">
        <f t="shared" si="31"/>
        <v>-856145.42087845097</v>
      </c>
      <c r="H79" s="145">
        <f t="shared" si="31"/>
        <v>-1020085.8692141672</v>
      </c>
      <c r="I79" s="145">
        <f t="shared" si="31"/>
        <v>-1032718.2428056526</v>
      </c>
      <c r="J79" s="145">
        <f t="shared" si="31"/>
        <v>-1045181.8407973589</v>
      </c>
      <c r="K79" s="145">
        <f t="shared" si="31"/>
        <v>-1057602.4129318984</v>
      </c>
      <c r="L79" s="145">
        <f t="shared" si="31"/>
        <v>-1069951.9275622228</v>
      </c>
      <c r="M79" s="145">
        <f t="shared" si="31"/>
        <v>-1081777.3875310272</v>
      </c>
      <c r="N79" s="145">
        <f t="shared" si="31"/>
        <v>-1094016.0881301037</v>
      </c>
      <c r="O79" s="145">
        <f t="shared" si="31"/>
        <v>-1106755.0331876629</v>
      </c>
      <c r="P79" s="145">
        <f t="shared" si="31"/>
        <v>-1119567.2865491337</v>
      </c>
      <c r="Q79" s="145">
        <f t="shared" si="31"/>
        <v>-1132089.3719522287</v>
      </c>
      <c r="R79" s="145">
        <f t="shared" si="31"/>
        <v>-1144751.5138081387</v>
      </c>
      <c r="S79" s="145">
        <f t="shared" si="31"/>
        <v>-1157555.2786139254</v>
      </c>
      <c r="T79" s="145">
        <f t="shared" si="31"/>
        <v>-1170502.2503875336</v>
      </c>
      <c r="U79" s="145">
        <f t="shared" si="31"/>
        <v>-1183594.0308637614</v>
      </c>
      <c r="V79" s="145">
        <f t="shared" si="31"/>
        <v>-1196832.2396924174</v>
      </c>
      <c r="W79" s="145"/>
    </row>
    <row r="80" spans="1:23">
      <c r="A80" s="120"/>
      <c r="B80" s="120"/>
      <c r="C80" s="146"/>
      <c r="D80" s="146"/>
      <c r="E80" s="146"/>
      <c r="F80" s="146"/>
      <c r="G80" s="146"/>
      <c r="H80" s="146"/>
      <c r="I80" s="146"/>
      <c r="J80" s="146"/>
      <c r="K80" s="146"/>
      <c r="L80" s="146"/>
      <c r="M80" s="146"/>
      <c r="N80" s="146"/>
      <c r="O80" s="146"/>
      <c r="P80" s="146"/>
      <c r="Q80" s="146"/>
      <c r="R80" s="146"/>
      <c r="S80" s="146"/>
      <c r="T80" s="146"/>
      <c r="U80" s="146"/>
      <c r="V80" s="146"/>
      <c r="W80" s="146"/>
    </row>
    <row r="81" spans="1:23">
      <c r="A81" s="96" t="s">
        <v>308</v>
      </c>
      <c r="B81" s="96"/>
      <c r="C81" s="111"/>
      <c r="D81" s="127"/>
      <c r="E81" s="128"/>
      <c r="F81" s="190"/>
      <c r="G81" s="120"/>
      <c r="H81" s="130"/>
      <c r="I81" s="120"/>
      <c r="J81" s="78"/>
      <c r="L81" s="78"/>
    </row>
    <row r="82" spans="1:23">
      <c r="A82" s="110"/>
      <c r="B82" s="110"/>
      <c r="C82" s="111"/>
      <c r="D82" s="127"/>
      <c r="E82" s="128"/>
      <c r="F82" s="129"/>
      <c r="G82" s="120"/>
      <c r="H82" s="130"/>
      <c r="I82" s="120"/>
      <c r="J82" s="78"/>
      <c r="L82" s="78"/>
    </row>
    <row r="83" spans="1:23">
      <c r="A83" s="490" t="s">
        <v>214</v>
      </c>
      <c r="B83" s="491"/>
      <c r="C83" s="206">
        <v>2016</v>
      </c>
      <c r="D83" s="206">
        <v>2017</v>
      </c>
      <c r="E83" s="206">
        <v>2018</v>
      </c>
      <c r="F83" s="206">
        <v>2019</v>
      </c>
      <c r="G83" s="206">
        <v>2020</v>
      </c>
      <c r="H83" s="206">
        <v>2021</v>
      </c>
      <c r="I83" s="206">
        <v>2022</v>
      </c>
      <c r="J83" s="206">
        <v>2023</v>
      </c>
      <c r="K83" s="206">
        <v>2024</v>
      </c>
      <c r="L83" s="206">
        <v>2025</v>
      </c>
      <c r="M83" s="206">
        <v>2026</v>
      </c>
      <c r="N83" s="206">
        <v>2027</v>
      </c>
      <c r="O83" s="206">
        <v>2028</v>
      </c>
      <c r="P83" s="206">
        <v>2029</v>
      </c>
      <c r="Q83" s="206">
        <v>2030</v>
      </c>
      <c r="R83" s="206">
        <v>2031</v>
      </c>
      <c r="S83" s="206">
        <v>2032</v>
      </c>
      <c r="T83" s="206">
        <v>2033</v>
      </c>
      <c r="U83" s="206">
        <v>2034</v>
      </c>
      <c r="V83" s="206">
        <v>2035</v>
      </c>
      <c r="W83" s="206"/>
    </row>
    <row r="84" spans="1:23">
      <c r="A84" s="143" t="s">
        <v>225</v>
      </c>
      <c r="B84" s="226"/>
      <c r="C84" s="148">
        <f t="shared" ref="C84:V84" si="32">C69</f>
        <v>391109.05548666674</v>
      </c>
      <c r="D84" s="148">
        <f t="shared" si="32"/>
        <v>1390020.2341211869</v>
      </c>
      <c r="E84" s="148">
        <f t="shared" si="32"/>
        <v>1106540.942947641</v>
      </c>
      <c r="F84" s="148">
        <f t="shared" si="32"/>
        <v>809431.01567068323</v>
      </c>
      <c r="G84" s="148">
        <f t="shared" si="32"/>
        <v>502692.33400843106</v>
      </c>
      <c r="H84" s="148">
        <f t="shared" si="32"/>
        <v>804204.54983284394</v>
      </c>
      <c r="I84" s="148">
        <f t="shared" si="32"/>
        <v>61967.698762524175</v>
      </c>
      <c r="J84" s="148">
        <f t="shared" si="32"/>
        <v>61139.775534175336</v>
      </c>
      <c r="K84" s="148">
        <f t="shared" si="32"/>
        <v>60928.713587929728</v>
      </c>
      <c r="L84" s="148">
        <f t="shared" si="32"/>
        <v>60580.143306650687</v>
      </c>
      <c r="M84" s="148">
        <f t="shared" si="32"/>
        <v>58009.410168891074</v>
      </c>
      <c r="N84" s="148">
        <f t="shared" si="32"/>
        <v>60036.548672015313</v>
      </c>
      <c r="O84" s="148">
        <f t="shared" si="32"/>
        <v>62490.481631359784</v>
      </c>
      <c r="P84" s="148">
        <f t="shared" si="32"/>
        <v>62850.093137516174</v>
      </c>
      <c r="Q84" s="148">
        <f t="shared" si="32"/>
        <v>61426.683632964268</v>
      </c>
      <c r="R84" s="148">
        <f t="shared" si="32"/>
        <v>62113.726017750101</v>
      </c>
      <c r="S84" s="148">
        <f t="shared" si="32"/>
        <v>62808.452803040855</v>
      </c>
      <c r="T84" s="148">
        <f t="shared" si="32"/>
        <v>63510.949936964549</v>
      </c>
      <c r="U84" s="148">
        <f t="shared" si="32"/>
        <v>64221.304328966886</v>
      </c>
      <c r="V84" s="148">
        <f t="shared" si="32"/>
        <v>64939.60386055056</v>
      </c>
      <c r="W84" s="148"/>
    </row>
    <row r="85" spans="1:23">
      <c r="A85" s="143" t="s">
        <v>224</v>
      </c>
      <c r="B85" s="226"/>
      <c r="C85" s="148">
        <f t="shared" ref="C85:V85" si="33">C79</f>
        <v>-79729.210582021537</v>
      </c>
      <c r="D85" s="148">
        <f t="shared" si="33"/>
        <v>-363090.62705860095</v>
      </c>
      <c r="E85" s="148">
        <f t="shared" si="33"/>
        <v>-588663.60886573989</v>
      </c>
      <c r="F85" s="148">
        <f t="shared" si="33"/>
        <v>-753669.49403944053</v>
      </c>
      <c r="G85" s="148">
        <f t="shared" si="33"/>
        <v>-856145.42087845097</v>
      </c>
      <c r="H85" s="148">
        <f t="shared" si="33"/>
        <v>-1020085.8692141672</v>
      </c>
      <c r="I85" s="148">
        <f t="shared" si="33"/>
        <v>-1032718.2428056526</v>
      </c>
      <c r="J85" s="148">
        <f t="shared" si="33"/>
        <v>-1045181.8407973589</v>
      </c>
      <c r="K85" s="148">
        <f t="shared" si="33"/>
        <v>-1057602.4129318984</v>
      </c>
      <c r="L85" s="148">
        <f t="shared" si="33"/>
        <v>-1069951.9275622228</v>
      </c>
      <c r="M85" s="148">
        <f t="shared" si="33"/>
        <v>-1081777.3875310272</v>
      </c>
      <c r="N85" s="148">
        <f t="shared" si="33"/>
        <v>-1094016.0881301037</v>
      </c>
      <c r="O85" s="148">
        <f t="shared" si="33"/>
        <v>-1106755.0331876629</v>
      </c>
      <c r="P85" s="148">
        <f t="shared" si="33"/>
        <v>-1119567.2865491337</v>
      </c>
      <c r="Q85" s="148">
        <f t="shared" si="33"/>
        <v>-1132089.3719522287</v>
      </c>
      <c r="R85" s="148">
        <f t="shared" si="33"/>
        <v>-1144751.5138081387</v>
      </c>
      <c r="S85" s="148">
        <f t="shared" si="33"/>
        <v>-1157555.2786139254</v>
      </c>
      <c r="T85" s="148">
        <f t="shared" si="33"/>
        <v>-1170502.2503875336</v>
      </c>
      <c r="U85" s="148">
        <f t="shared" si="33"/>
        <v>-1183594.0308637614</v>
      </c>
      <c r="V85" s="148">
        <f t="shared" si="33"/>
        <v>-1196832.2396924174</v>
      </c>
      <c r="W85" s="148"/>
    </row>
    <row r="86" spans="1:23">
      <c r="A86" s="149" t="s">
        <v>226</v>
      </c>
      <c r="B86" s="226"/>
      <c r="C86" s="150">
        <f t="shared" ref="C86:V86" si="34">SUM(C84:C85)</f>
        <v>311379.84490464523</v>
      </c>
      <c r="D86" s="150">
        <f t="shared" si="34"/>
        <v>1026929.6070625859</v>
      </c>
      <c r="E86" s="150">
        <f t="shared" si="34"/>
        <v>517877.33408190112</v>
      </c>
      <c r="F86" s="150">
        <f t="shared" si="34"/>
        <v>55761.521631242707</v>
      </c>
      <c r="G86" s="150">
        <f t="shared" si="34"/>
        <v>-353453.08687001991</v>
      </c>
      <c r="H86" s="150">
        <f t="shared" si="34"/>
        <v>-215881.31938132329</v>
      </c>
      <c r="I86" s="150">
        <f t="shared" si="34"/>
        <v>-970750.54404312838</v>
      </c>
      <c r="J86" s="150">
        <f t="shared" si="34"/>
        <v>-984042.06526318355</v>
      </c>
      <c r="K86" s="150">
        <f t="shared" si="34"/>
        <v>-996673.69934396865</v>
      </c>
      <c r="L86" s="150">
        <f t="shared" si="34"/>
        <v>-1009371.7842555721</v>
      </c>
      <c r="M86" s="150">
        <f t="shared" si="34"/>
        <v>-1023767.9773621361</v>
      </c>
      <c r="N86" s="150">
        <f t="shared" si="34"/>
        <v>-1033979.5394580883</v>
      </c>
      <c r="O86" s="150">
        <f t="shared" si="34"/>
        <v>-1044264.5515563032</v>
      </c>
      <c r="P86" s="150">
        <f t="shared" si="34"/>
        <v>-1056717.1934116175</v>
      </c>
      <c r="Q86" s="150">
        <f t="shared" si="34"/>
        <v>-1070662.6883192644</v>
      </c>
      <c r="R86" s="150">
        <f t="shared" si="34"/>
        <v>-1082637.7877903886</v>
      </c>
      <c r="S86" s="150">
        <f t="shared" si="34"/>
        <v>-1094746.8258108846</v>
      </c>
      <c r="T86" s="150">
        <f t="shared" si="34"/>
        <v>-1106991.300450569</v>
      </c>
      <c r="U86" s="150">
        <f t="shared" si="34"/>
        <v>-1119372.7265347946</v>
      </c>
      <c r="V86" s="150">
        <f t="shared" si="34"/>
        <v>-1131892.6358318669</v>
      </c>
      <c r="W86" s="150"/>
    </row>
  </sheetData>
  <mergeCells count="15">
    <mergeCell ref="A83:B83"/>
    <mergeCell ref="C43:W43"/>
    <mergeCell ref="B43:B44"/>
    <mergeCell ref="A43:A44"/>
    <mergeCell ref="B73:B74"/>
    <mergeCell ref="A73:A74"/>
    <mergeCell ref="A63:A64"/>
    <mergeCell ref="A1:W1"/>
    <mergeCell ref="C4:W4"/>
    <mergeCell ref="C33:W33"/>
    <mergeCell ref="C63:W63"/>
    <mergeCell ref="C73:W73"/>
    <mergeCell ref="B63:B64"/>
    <mergeCell ref="B53:B54"/>
    <mergeCell ref="C53:W53"/>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sheetPr>
    <tabColor theme="5" tint="0.39997558519241921"/>
  </sheetPr>
  <dimension ref="A1:W88"/>
  <sheetViews>
    <sheetView topLeftCell="A62" workbookViewId="0">
      <selection activeCell="A101" sqref="A101"/>
    </sheetView>
  </sheetViews>
  <sheetFormatPr defaultRowHeight="12.75"/>
  <cols>
    <col min="1" max="1" width="39.42578125" style="76" customWidth="1"/>
    <col min="2" max="2" width="32.140625" style="76" customWidth="1"/>
    <col min="3" max="3" width="19.85546875" style="76" bestFit="1" customWidth="1"/>
    <col min="4" max="4" width="15" style="76" customWidth="1"/>
    <col min="5" max="5" width="17" style="76" bestFit="1" customWidth="1"/>
    <col min="6" max="7" width="13.85546875" style="76" bestFit="1" customWidth="1"/>
    <col min="8" max="8" width="13.7109375" style="76" customWidth="1"/>
    <col min="9" max="23" width="14.42578125" style="76" customWidth="1"/>
    <col min="24"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315</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67" t="s">
        <v>230</v>
      </c>
      <c r="D4" s="467"/>
      <c r="E4" s="467"/>
      <c r="F4" s="467"/>
      <c r="G4" s="467"/>
      <c r="H4" s="467"/>
      <c r="I4" s="467"/>
      <c r="J4" s="467"/>
      <c r="K4" s="467"/>
      <c r="L4" s="467"/>
      <c r="M4" s="467"/>
      <c r="N4" s="467"/>
      <c r="O4" s="467"/>
      <c r="P4" s="467"/>
      <c r="Q4" s="467"/>
      <c r="R4" s="467"/>
      <c r="S4" s="467"/>
      <c r="T4" s="467"/>
      <c r="U4" s="467"/>
      <c r="V4" s="467"/>
      <c r="W4" s="468"/>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s="98" customFormat="1" ht="13.5" thickBot="1">
      <c r="A6" s="156"/>
      <c r="B6" s="158" t="s">
        <v>320</v>
      </c>
      <c r="C6" s="332">
        <f>HLOOKUP('Res-Capacity-Base'!C$5,'NW Customers'!$B$2:$AO$5,4)-C7</f>
        <v>31353.145008649793</v>
      </c>
      <c r="D6" s="332">
        <f>HLOOKUP('Res-Capacity-Base'!D$5,'NW Customers'!$B$2:$AO$5,4)-D7</f>
        <v>31729.715003368419</v>
      </c>
      <c r="E6" s="332">
        <f>HLOOKUP('Res-Capacity-Base'!E$5,'NW Customers'!$B$2:$AO$5,4)-E7</f>
        <v>32151.285295967089</v>
      </c>
      <c r="F6" s="332">
        <f>HLOOKUP('Res-Capacity-Base'!F$5,'NW Customers'!$B$2:$AO$5,4)-F7</f>
        <v>32568.907563842458</v>
      </c>
      <c r="G6" s="332">
        <f>HLOOKUP('Res-Capacity-Base'!G$5,'NW Customers'!$B$2:$AO$5,4)-G7</f>
        <v>33007.376988986252</v>
      </c>
      <c r="H6" s="332">
        <f>HLOOKUP('Res-Capacity-Base'!H$5,'NW Customers'!$B$2:$AO$5,4)-H7</f>
        <v>33428.672654676862</v>
      </c>
      <c r="I6" s="332">
        <f>HLOOKUP('Res-Capacity-Base'!I$5,'NW Customers'!$B$2:$AO$5,4)-I7</f>
        <v>33842.64121789857</v>
      </c>
      <c r="J6" s="332">
        <f>HLOOKUP('Res-Capacity-Base'!J$5,'NW Customers'!$B$2:$AO$5,4)-J7</f>
        <v>34251.07892881913</v>
      </c>
      <c r="K6" s="332">
        <f>HLOOKUP('Res-Capacity-Base'!K$5,'NW Customers'!$B$2:$AO$5,4)-K7</f>
        <v>34658.106663052095</v>
      </c>
      <c r="L6" s="332">
        <f>HLOOKUP('Res-Capacity-Base'!L$5,'NW Customers'!$B$2:$AO$5,4)-L7</f>
        <v>35062.805810918224</v>
      </c>
      <c r="M6" s="332">
        <f>HLOOKUP('Res-Capacity-Base'!M$5,'NW Customers'!$B$2:$AO$5,4)-M7</f>
        <v>35450.331451865175</v>
      </c>
      <c r="N6" s="332">
        <f>HLOOKUP('Res-Capacity-Base'!N$5,'NW Customers'!$B$2:$AO$5,4)-N7</f>
        <v>35851.399174095553</v>
      </c>
      <c r="O6" s="332">
        <f>HLOOKUP('Res-Capacity-Base'!O$5,'NW Customers'!$B$2:$AO$5,4)-O7</f>
        <v>36268.860132184433</v>
      </c>
      <c r="P6" s="332">
        <f>HLOOKUP('Res-Capacity-Base'!P$5,'NW Customers'!$B$2:$AO$5,4)-P7</f>
        <v>36688.723436358341</v>
      </c>
      <c r="Q6" s="332">
        <f>HLOOKUP('Res-Capacity-Base'!Q$5,'NW Customers'!$B$2:$AO$5,4)-Q7</f>
        <v>37099.077806051202</v>
      </c>
      <c r="R6" s="332">
        <f>HLOOKUP('Res-Capacity-Base'!R$5,'NW Customers'!$B$2:$AO$5,4)-R7</f>
        <v>37514.021888684547</v>
      </c>
      <c r="S6" s="332">
        <f>HLOOKUP('Res-Capacity-Base'!S$5,'NW Customers'!$B$2:$AO$5,4)-S7</f>
        <v>37933.607019071489</v>
      </c>
      <c r="T6" s="332">
        <f>HLOOKUP('Res-Capacity-Base'!T$5,'NW Customers'!$B$2:$AO$5,4)-T7</f>
        <v>38357.885106192436</v>
      </c>
      <c r="U6" s="332">
        <f>HLOOKUP('Res-Capacity-Base'!U$5,'NW Customers'!$B$2:$AO$5,4)-U7</f>
        <v>38786.908639616981</v>
      </c>
      <c r="V6" s="332">
        <f>HLOOKUP('Res-Capacity-Base'!V$5,'NW Customers'!$B$2:$AO$5,4)-V7</f>
        <v>39220.730695997692</v>
      </c>
      <c r="W6" s="243"/>
    </row>
    <row r="7" spans="1:23" ht="13.5" thickBot="1">
      <c r="A7" s="156"/>
      <c r="B7" s="242" t="s">
        <v>319</v>
      </c>
      <c r="C7" s="244">
        <f>C8*0.15</f>
        <v>5532.9079427029046</v>
      </c>
      <c r="D7" s="244">
        <f t="shared" ref="D7:V7" si="0">D8*0.15</f>
        <v>5599.3614711826622</v>
      </c>
      <c r="E7" s="244">
        <f t="shared" si="0"/>
        <v>5673.7562287000737</v>
      </c>
      <c r="F7" s="244">
        <f t="shared" si="0"/>
        <v>5747.454275972198</v>
      </c>
      <c r="G7" s="244">
        <f t="shared" si="0"/>
        <v>5824.8312333505155</v>
      </c>
      <c r="H7" s="244">
        <f t="shared" si="0"/>
        <v>5899.1775272959176</v>
      </c>
      <c r="I7" s="244">
        <f t="shared" si="0"/>
        <v>5972.2308031585708</v>
      </c>
      <c r="J7" s="244">
        <f t="shared" si="0"/>
        <v>6044.3080462621983</v>
      </c>
      <c r="K7" s="244">
        <f t="shared" si="0"/>
        <v>6116.1364699503692</v>
      </c>
      <c r="L7" s="244">
        <f t="shared" si="0"/>
        <v>6187.5539666326276</v>
      </c>
      <c r="M7" s="244">
        <f t="shared" si="0"/>
        <v>6255.9408444467945</v>
      </c>
      <c r="N7" s="244">
        <f t="shared" si="0"/>
        <v>6326.71750131098</v>
      </c>
      <c r="O7" s="244">
        <f t="shared" si="0"/>
        <v>6400.3870821501932</v>
      </c>
      <c r="P7" s="244">
        <f t="shared" si="0"/>
        <v>6474.4806064161785</v>
      </c>
      <c r="Q7" s="244">
        <f t="shared" si="0"/>
        <v>6546.8960834208001</v>
      </c>
      <c r="R7" s="244">
        <f t="shared" si="0"/>
        <v>6620.1215097678605</v>
      </c>
      <c r="S7" s="244">
        <f t="shared" si="0"/>
        <v>6694.1659445420273</v>
      </c>
      <c r="T7" s="244">
        <f t="shared" si="0"/>
        <v>6769.0385481516059</v>
      </c>
      <c r="U7" s="244">
        <f t="shared" si="0"/>
        <v>6844.7485834618201</v>
      </c>
      <c r="V7" s="244">
        <f t="shared" si="0"/>
        <v>6921.3054169407687</v>
      </c>
      <c r="W7" s="244"/>
    </row>
    <row r="8" spans="1:23" ht="13.5" thickBot="1">
      <c r="A8" s="245"/>
      <c r="B8" s="247" t="s">
        <v>318</v>
      </c>
      <c r="C8" s="332">
        <f>HLOOKUP('Res-Capacity-Base'!C$5,'NW Customers'!$B$2:$AO$5,4)</f>
        <v>36886.0529513527</v>
      </c>
      <c r="D8" s="332">
        <f>HLOOKUP('Res-Capacity-Base'!D$5,'NW Customers'!$B$2:$AO$5,4)</f>
        <v>37329.076474551082</v>
      </c>
      <c r="E8" s="332">
        <f>HLOOKUP('Res-Capacity-Base'!E$5,'NW Customers'!$B$2:$AO$5,4)</f>
        <v>37825.041524667162</v>
      </c>
      <c r="F8" s="332">
        <f>HLOOKUP('Res-Capacity-Base'!F$5,'NW Customers'!$B$2:$AO$5,4)</f>
        <v>38316.361839814657</v>
      </c>
      <c r="G8" s="332">
        <f>HLOOKUP('Res-Capacity-Base'!G$5,'NW Customers'!$B$2:$AO$5,4)</f>
        <v>38832.208222336769</v>
      </c>
      <c r="H8" s="332">
        <f>HLOOKUP('Res-Capacity-Base'!H$5,'NW Customers'!$B$2:$AO$5,4)</f>
        <v>39327.850181972783</v>
      </c>
      <c r="I8" s="332">
        <f>HLOOKUP('Res-Capacity-Base'!I$5,'NW Customers'!$B$2:$AO$5,4)</f>
        <v>39814.872021057141</v>
      </c>
      <c r="J8" s="332">
        <f>HLOOKUP('Res-Capacity-Base'!J$5,'NW Customers'!$B$2:$AO$5,4)</f>
        <v>40295.386975081325</v>
      </c>
      <c r="K8" s="332">
        <f>HLOOKUP('Res-Capacity-Base'!K$5,'NW Customers'!$B$2:$AO$5,4)</f>
        <v>40774.243133002463</v>
      </c>
      <c r="L8" s="332">
        <f>HLOOKUP('Res-Capacity-Base'!L$5,'NW Customers'!$B$2:$AO$5,4)</f>
        <v>41250.359777550853</v>
      </c>
      <c r="M8" s="332">
        <f>HLOOKUP('Res-Capacity-Base'!M$5,'NW Customers'!$B$2:$AO$5,4)</f>
        <v>41706.272296311967</v>
      </c>
      <c r="N8" s="332">
        <f>HLOOKUP('Res-Capacity-Base'!N$5,'NW Customers'!$B$2:$AO$5,4)</f>
        <v>42178.116675406534</v>
      </c>
      <c r="O8" s="332">
        <f>HLOOKUP('Res-Capacity-Base'!O$5,'NW Customers'!$B$2:$AO$5,4)</f>
        <v>42669.247214334624</v>
      </c>
      <c r="P8" s="332">
        <f>HLOOKUP('Res-Capacity-Base'!P$5,'NW Customers'!$B$2:$AO$5,4)</f>
        <v>43163.204042774523</v>
      </c>
      <c r="Q8" s="332">
        <f>HLOOKUP('Res-Capacity-Base'!Q$5,'NW Customers'!$B$2:$AO$5,4)</f>
        <v>43645.973889471999</v>
      </c>
      <c r="R8" s="332">
        <f>HLOOKUP('Res-Capacity-Base'!R$5,'NW Customers'!$B$2:$AO$5,4)</f>
        <v>44134.143398452405</v>
      </c>
      <c r="S8" s="332">
        <f>HLOOKUP('Res-Capacity-Base'!S$5,'NW Customers'!$B$2:$AO$5,4)</f>
        <v>44627.772963613519</v>
      </c>
      <c r="T8" s="332">
        <f>HLOOKUP('Res-Capacity-Base'!T$5,'NW Customers'!$B$2:$AO$5,4)</f>
        <v>45126.923654344042</v>
      </c>
      <c r="U8" s="332">
        <f>HLOOKUP('Res-Capacity-Base'!U$5,'NW Customers'!$B$2:$AO$5,4)</f>
        <v>45631.657223078801</v>
      </c>
      <c r="V8" s="332">
        <f>HLOOKUP('Res-Capacity-Base'!V$5,'NW Customers'!$B$2:$AO$5,4)</f>
        <v>46142.036112938462</v>
      </c>
      <c r="W8" s="246"/>
    </row>
    <row r="9" spans="1:23" s="221" customFormat="1" ht="16.5" thickBot="1">
      <c r="A9" s="230"/>
      <c r="B9" s="230"/>
      <c r="C9" s="230"/>
      <c r="D9" s="231"/>
      <c r="E9" s="231"/>
      <c r="F9" s="231"/>
      <c r="G9" s="231"/>
      <c r="H9" s="231"/>
      <c r="I9" s="231"/>
      <c r="J9" s="231"/>
      <c r="K9" s="231"/>
      <c r="L9" s="231"/>
    </row>
    <row r="10" spans="1:23" ht="15.75">
      <c r="A10" s="151" t="s">
        <v>309</v>
      </c>
      <c r="B10" s="152"/>
      <c r="C10" s="152"/>
      <c r="D10" s="153"/>
      <c r="E10" s="153"/>
      <c r="F10" s="153"/>
      <c r="G10" s="153"/>
      <c r="H10" s="153"/>
      <c r="I10" s="153"/>
      <c r="J10" s="153"/>
      <c r="K10" s="153"/>
      <c r="L10" s="153"/>
      <c r="M10" s="154"/>
      <c r="N10" s="154"/>
      <c r="O10" s="154"/>
      <c r="P10" s="154"/>
      <c r="Q10" s="154"/>
      <c r="R10" s="154"/>
      <c r="S10" s="154"/>
      <c r="T10" s="154"/>
      <c r="U10" s="154"/>
      <c r="V10" s="154"/>
      <c r="W10" s="155"/>
    </row>
    <row r="11" spans="1:23" ht="15.75">
      <c r="A11" s="185"/>
      <c r="B11" s="158" t="s">
        <v>241</v>
      </c>
      <c r="C11" s="174">
        <f>KeyAssumptions!L11</f>
        <v>0.7</v>
      </c>
      <c r="D11" s="163"/>
      <c r="E11" s="163"/>
      <c r="F11" s="163"/>
      <c r="G11" s="163"/>
      <c r="H11" s="163"/>
      <c r="I11" s="163"/>
      <c r="J11" s="163"/>
      <c r="K11" s="163"/>
      <c r="L11" s="163"/>
      <c r="M11" s="164"/>
      <c r="N11" s="164"/>
      <c r="O11" s="164"/>
      <c r="P11" s="164"/>
      <c r="Q11" s="164"/>
      <c r="R11" s="164"/>
      <c r="S11" s="164"/>
      <c r="T11" s="164"/>
      <c r="U11" s="164"/>
      <c r="V11" s="164"/>
      <c r="W11" s="165"/>
    </row>
    <row r="12" spans="1:23" ht="15.75">
      <c r="A12" s="185"/>
      <c r="B12" s="158" t="s">
        <v>207</v>
      </c>
      <c r="C12" s="174">
        <f>KeyAssumptions!M11</f>
        <v>0.2</v>
      </c>
      <c r="D12" s="163"/>
      <c r="E12" s="163"/>
      <c r="F12" s="163"/>
      <c r="G12" s="163"/>
      <c r="H12" s="163"/>
      <c r="I12" s="163"/>
      <c r="J12" s="163"/>
      <c r="K12" s="163"/>
      <c r="L12" s="163"/>
      <c r="M12" s="164"/>
      <c r="N12" s="164"/>
      <c r="O12" s="164"/>
      <c r="P12" s="164"/>
      <c r="Q12" s="164"/>
      <c r="R12" s="164"/>
      <c r="S12" s="164"/>
      <c r="T12" s="164"/>
      <c r="U12" s="164"/>
      <c r="V12" s="164"/>
      <c r="W12" s="165"/>
    </row>
    <row r="13" spans="1:23" ht="15.75" customHeight="1">
      <c r="A13" s="185"/>
      <c r="B13" s="188" t="s">
        <v>343</v>
      </c>
      <c r="C13" s="174">
        <v>0.95</v>
      </c>
      <c r="D13" s="163"/>
      <c r="E13" s="163"/>
      <c r="F13" s="163"/>
      <c r="G13" s="163"/>
      <c r="H13" s="163"/>
      <c r="I13" s="163"/>
      <c r="J13" s="163"/>
      <c r="K13" s="163"/>
      <c r="L13" s="163"/>
      <c r="M13" s="164"/>
      <c r="N13" s="164"/>
      <c r="O13" s="164"/>
      <c r="P13" s="164"/>
      <c r="Q13" s="164"/>
      <c r="R13" s="164"/>
      <c r="S13" s="164"/>
      <c r="T13" s="164"/>
      <c r="U13" s="164"/>
      <c r="V13" s="164"/>
      <c r="W13" s="165"/>
    </row>
    <row r="14" spans="1:23" ht="15.75">
      <c r="A14" s="185"/>
      <c r="B14" s="157"/>
      <c r="C14" s="157"/>
      <c r="D14" s="163"/>
      <c r="E14" s="163"/>
      <c r="F14" s="163"/>
      <c r="G14" s="163"/>
      <c r="H14" s="163"/>
      <c r="I14" s="163"/>
      <c r="J14" s="163"/>
      <c r="K14" s="163"/>
      <c r="L14" s="163"/>
      <c r="M14" s="164"/>
      <c r="N14" s="164"/>
      <c r="O14" s="164"/>
      <c r="P14" s="164"/>
      <c r="Q14" s="164"/>
      <c r="R14" s="164"/>
      <c r="S14" s="164"/>
      <c r="T14" s="164"/>
      <c r="U14" s="164"/>
      <c r="V14" s="164"/>
      <c r="W14" s="165"/>
    </row>
    <row r="15" spans="1:23">
      <c r="A15" s="156"/>
      <c r="B15" s="158" t="s">
        <v>1</v>
      </c>
      <c r="C15" s="159">
        <f>C5</f>
        <v>2016</v>
      </c>
      <c r="D15" s="159">
        <f t="shared" ref="D15:V15" si="1">D5</f>
        <v>2017</v>
      </c>
      <c r="E15" s="159">
        <f t="shared" si="1"/>
        <v>2018</v>
      </c>
      <c r="F15" s="159">
        <f t="shared" si="1"/>
        <v>2019</v>
      </c>
      <c r="G15" s="159">
        <f t="shared" si="1"/>
        <v>2020</v>
      </c>
      <c r="H15" s="159">
        <f t="shared" si="1"/>
        <v>2021</v>
      </c>
      <c r="I15" s="159">
        <f t="shared" si="1"/>
        <v>2022</v>
      </c>
      <c r="J15" s="159">
        <f t="shared" si="1"/>
        <v>2023</v>
      </c>
      <c r="K15" s="159">
        <f t="shared" si="1"/>
        <v>2024</v>
      </c>
      <c r="L15" s="159">
        <f t="shared" si="1"/>
        <v>2025</v>
      </c>
      <c r="M15" s="159">
        <f t="shared" si="1"/>
        <v>2026</v>
      </c>
      <c r="N15" s="159">
        <f t="shared" si="1"/>
        <v>2027</v>
      </c>
      <c r="O15" s="159">
        <f t="shared" si="1"/>
        <v>2028</v>
      </c>
      <c r="P15" s="159">
        <f t="shared" si="1"/>
        <v>2029</v>
      </c>
      <c r="Q15" s="159">
        <f t="shared" si="1"/>
        <v>2030</v>
      </c>
      <c r="R15" s="159">
        <f t="shared" si="1"/>
        <v>2031</v>
      </c>
      <c r="S15" s="159">
        <f t="shared" si="1"/>
        <v>2032</v>
      </c>
      <c r="T15" s="159">
        <f t="shared" si="1"/>
        <v>2033</v>
      </c>
      <c r="U15" s="159">
        <f t="shared" si="1"/>
        <v>2034</v>
      </c>
      <c r="V15" s="159">
        <f t="shared" si="1"/>
        <v>2035</v>
      </c>
      <c r="W15" s="160"/>
    </row>
    <row r="16" spans="1:23">
      <c r="A16" s="156"/>
      <c r="B16" s="158" t="s">
        <v>231</v>
      </c>
      <c r="C16" s="174">
        <v>0.05</v>
      </c>
      <c r="D16" s="174">
        <v>0.2</v>
      </c>
      <c r="E16" s="174">
        <v>0.2</v>
      </c>
      <c r="F16" s="174">
        <v>0.2</v>
      </c>
      <c r="G16" s="174">
        <v>0.2</v>
      </c>
      <c r="H16" s="174">
        <v>0.15</v>
      </c>
      <c r="I16" s="174">
        <v>0</v>
      </c>
      <c r="J16" s="174">
        <v>0</v>
      </c>
      <c r="K16" s="174">
        <v>0</v>
      </c>
      <c r="L16" s="174">
        <v>0</v>
      </c>
      <c r="M16" s="174">
        <v>0</v>
      </c>
      <c r="N16" s="174">
        <v>0</v>
      </c>
      <c r="O16" s="174">
        <v>0</v>
      </c>
      <c r="P16" s="174">
        <v>0</v>
      </c>
      <c r="Q16" s="174">
        <v>0</v>
      </c>
      <c r="R16" s="174">
        <v>0</v>
      </c>
      <c r="S16" s="174">
        <v>0</v>
      </c>
      <c r="T16" s="174">
        <v>0</v>
      </c>
      <c r="U16" s="174">
        <v>0</v>
      </c>
      <c r="V16" s="174">
        <v>0</v>
      </c>
      <c r="W16" s="216"/>
    </row>
    <row r="17" spans="1:23">
      <c r="A17" s="156"/>
      <c r="B17" s="158" t="s">
        <v>237</v>
      </c>
      <c r="C17" s="174">
        <f>C16</f>
        <v>0.05</v>
      </c>
      <c r="D17" s="174">
        <f>C17+D16</f>
        <v>0.25</v>
      </c>
      <c r="E17" s="174">
        <f t="shared" ref="E17:V17" si="2">D17+E16</f>
        <v>0.45</v>
      </c>
      <c r="F17" s="174">
        <f t="shared" si="2"/>
        <v>0.65</v>
      </c>
      <c r="G17" s="174">
        <f t="shared" si="2"/>
        <v>0.85000000000000009</v>
      </c>
      <c r="H17" s="174">
        <f t="shared" si="2"/>
        <v>1</v>
      </c>
      <c r="I17" s="174">
        <f t="shared" si="2"/>
        <v>1</v>
      </c>
      <c r="J17" s="174">
        <f t="shared" si="2"/>
        <v>1</v>
      </c>
      <c r="K17" s="174">
        <f t="shared" si="2"/>
        <v>1</v>
      </c>
      <c r="L17" s="174">
        <f t="shared" si="2"/>
        <v>1</v>
      </c>
      <c r="M17" s="174">
        <f t="shared" si="2"/>
        <v>1</v>
      </c>
      <c r="N17" s="174">
        <f t="shared" si="2"/>
        <v>1</v>
      </c>
      <c r="O17" s="174">
        <f t="shared" si="2"/>
        <v>1</v>
      </c>
      <c r="P17" s="174">
        <f t="shared" si="2"/>
        <v>1</v>
      </c>
      <c r="Q17" s="174">
        <f t="shared" si="2"/>
        <v>1</v>
      </c>
      <c r="R17" s="174">
        <f t="shared" si="2"/>
        <v>1</v>
      </c>
      <c r="S17" s="174">
        <f t="shared" si="2"/>
        <v>1</v>
      </c>
      <c r="T17" s="174">
        <f t="shared" si="2"/>
        <v>1</v>
      </c>
      <c r="U17" s="174">
        <f t="shared" si="2"/>
        <v>1</v>
      </c>
      <c r="V17" s="174">
        <f t="shared" si="2"/>
        <v>1</v>
      </c>
      <c r="W17" s="216"/>
    </row>
    <row r="18" spans="1:23">
      <c r="A18" s="156"/>
      <c r="B18" s="158" t="s">
        <v>232</v>
      </c>
      <c r="C18" s="174">
        <v>0.01</v>
      </c>
      <c r="D18" s="174">
        <v>0.01</v>
      </c>
      <c r="E18" s="174">
        <v>0.01</v>
      </c>
      <c r="F18" s="174">
        <v>0.01</v>
      </c>
      <c r="G18" s="174">
        <v>0.01</v>
      </c>
      <c r="H18" s="174">
        <v>0.01</v>
      </c>
      <c r="I18" s="174">
        <v>0.01</v>
      </c>
      <c r="J18" s="174">
        <v>0.01</v>
      </c>
      <c r="K18" s="174">
        <v>0.01</v>
      </c>
      <c r="L18" s="174">
        <v>0.01</v>
      </c>
      <c r="M18" s="174">
        <v>0.01</v>
      </c>
      <c r="N18" s="174">
        <v>0.01</v>
      </c>
      <c r="O18" s="174">
        <v>0.01</v>
      </c>
      <c r="P18" s="174">
        <v>0.01</v>
      </c>
      <c r="Q18" s="174">
        <v>0.01</v>
      </c>
      <c r="R18" s="174">
        <v>0.01</v>
      </c>
      <c r="S18" s="174">
        <v>0.01</v>
      </c>
      <c r="T18" s="174">
        <v>0.01</v>
      </c>
      <c r="U18" s="174">
        <v>0.01</v>
      </c>
      <c r="V18" s="174">
        <v>0.01</v>
      </c>
      <c r="W18" s="216"/>
    </row>
    <row r="19" spans="1:23" ht="13.5" thickBot="1">
      <c r="A19" s="161"/>
      <c r="B19" s="162" t="s">
        <v>247</v>
      </c>
      <c r="C19" s="217">
        <v>0.5</v>
      </c>
      <c r="D19" s="217">
        <v>0.5</v>
      </c>
      <c r="E19" s="217">
        <v>0.5</v>
      </c>
      <c r="F19" s="217">
        <v>0.5</v>
      </c>
      <c r="G19" s="217">
        <v>0.5</v>
      </c>
      <c r="H19" s="217">
        <v>0.5</v>
      </c>
      <c r="I19" s="217">
        <v>0.5</v>
      </c>
      <c r="J19" s="217">
        <v>0.5</v>
      </c>
      <c r="K19" s="217">
        <v>0.5</v>
      </c>
      <c r="L19" s="217">
        <v>0.5</v>
      </c>
      <c r="M19" s="217">
        <v>0.5</v>
      </c>
      <c r="N19" s="217">
        <v>0.5</v>
      </c>
      <c r="O19" s="217">
        <v>0.5</v>
      </c>
      <c r="P19" s="217">
        <v>0.5</v>
      </c>
      <c r="Q19" s="217">
        <v>0.5</v>
      </c>
      <c r="R19" s="217">
        <v>0.5</v>
      </c>
      <c r="S19" s="217">
        <v>0.5</v>
      </c>
      <c r="T19" s="217">
        <v>0.5</v>
      </c>
      <c r="U19" s="217">
        <v>0.5</v>
      </c>
      <c r="V19" s="217">
        <v>0.5</v>
      </c>
      <c r="W19" s="217"/>
    </row>
    <row r="20" spans="1:23" s="221" customFormat="1" ht="16.5" thickBot="1">
      <c r="A20" s="230"/>
      <c r="B20" s="230"/>
      <c r="C20" s="230"/>
      <c r="D20" s="231"/>
      <c r="E20" s="231"/>
      <c r="F20" s="231"/>
      <c r="G20" s="231"/>
      <c r="H20" s="231"/>
      <c r="I20" s="231"/>
      <c r="J20" s="231"/>
      <c r="K20" s="231"/>
      <c r="L20" s="231"/>
    </row>
    <row r="21" spans="1:23" ht="15.75">
      <c r="A21" s="151" t="s">
        <v>317</v>
      </c>
      <c r="B21" s="152"/>
      <c r="C21" s="152"/>
      <c r="D21" s="153"/>
      <c r="E21" s="153"/>
      <c r="F21" s="153"/>
      <c r="G21" s="153"/>
      <c r="H21" s="153"/>
      <c r="I21" s="153"/>
      <c r="J21" s="153"/>
      <c r="K21" s="153"/>
      <c r="L21" s="153"/>
      <c r="M21" s="154"/>
      <c r="N21" s="154"/>
      <c r="O21" s="154"/>
      <c r="P21" s="154"/>
      <c r="Q21" s="154"/>
      <c r="R21" s="154"/>
      <c r="S21" s="154"/>
      <c r="T21" s="154"/>
      <c r="U21" s="154"/>
      <c r="V21" s="154"/>
      <c r="W21" s="155"/>
    </row>
    <row r="22" spans="1:23" ht="15.75">
      <c r="A22" s="185"/>
      <c r="B22" s="158" t="s">
        <v>241</v>
      </c>
      <c r="C22" s="173">
        <f>KeyAssumptions!L12</f>
        <v>0.7</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8" t="s">
        <v>207</v>
      </c>
      <c r="C23" s="174">
        <f>KeyAssumptions!M12</f>
        <v>0.25</v>
      </c>
      <c r="D23" s="163"/>
      <c r="E23" s="163"/>
      <c r="F23" s="163"/>
      <c r="G23" s="163"/>
      <c r="H23" s="163"/>
      <c r="I23" s="163"/>
      <c r="J23" s="163"/>
      <c r="K23" s="163"/>
      <c r="L23" s="163"/>
      <c r="M23" s="164"/>
      <c r="N23" s="164"/>
      <c r="O23" s="164"/>
      <c r="P23" s="164"/>
      <c r="Q23" s="164"/>
      <c r="R23" s="164"/>
      <c r="S23" s="164"/>
      <c r="T23" s="164"/>
      <c r="U23" s="164"/>
      <c r="V23" s="164"/>
      <c r="W23" s="165"/>
    </row>
    <row r="24" spans="1:23" ht="15.75" customHeight="1">
      <c r="A24" s="185"/>
      <c r="B24" s="188" t="s">
        <v>343</v>
      </c>
      <c r="C24" s="174">
        <v>0.95</v>
      </c>
      <c r="D24" s="163"/>
      <c r="E24" s="163"/>
      <c r="F24" s="163"/>
      <c r="G24" s="163"/>
      <c r="H24" s="163"/>
      <c r="I24" s="163"/>
      <c r="J24" s="163"/>
      <c r="K24" s="163"/>
      <c r="L24" s="163"/>
      <c r="M24" s="164"/>
      <c r="N24" s="164"/>
      <c r="O24" s="164"/>
      <c r="P24" s="164"/>
      <c r="Q24" s="164"/>
      <c r="R24" s="164"/>
      <c r="S24" s="164"/>
      <c r="T24" s="164"/>
      <c r="U24" s="164"/>
      <c r="V24" s="164"/>
      <c r="W24" s="165"/>
    </row>
    <row r="25" spans="1:23" ht="15.75">
      <c r="A25" s="185"/>
      <c r="B25" s="157"/>
      <c r="C25" s="157"/>
      <c r="D25" s="163"/>
      <c r="E25" s="163"/>
      <c r="F25" s="163"/>
      <c r="G25" s="163"/>
      <c r="H25" s="163"/>
      <c r="I25" s="163"/>
      <c r="J25" s="163"/>
      <c r="K25" s="163"/>
      <c r="L25" s="163"/>
      <c r="M25" s="164"/>
      <c r="N25" s="164"/>
      <c r="O25" s="164"/>
      <c r="P25" s="164"/>
      <c r="Q25" s="164"/>
      <c r="R25" s="164"/>
      <c r="S25" s="164"/>
      <c r="T25" s="164"/>
      <c r="U25" s="164"/>
      <c r="V25" s="164"/>
      <c r="W25" s="165"/>
    </row>
    <row r="26" spans="1:23">
      <c r="A26" s="156"/>
      <c r="B26" s="158" t="s">
        <v>1</v>
      </c>
      <c r="C26" s="159">
        <f>C5</f>
        <v>2016</v>
      </c>
      <c r="D26" s="159">
        <f t="shared" ref="D26:V26" si="3">D5</f>
        <v>2017</v>
      </c>
      <c r="E26" s="159">
        <f t="shared" si="3"/>
        <v>2018</v>
      </c>
      <c r="F26" s="159">
        <f t="shared" si="3"/>
        <v>2019</v>
      </c>
      <c r="G26" s="159">
        <f t="shared" si="3"/>
        <v>2020</v>
      </c>
      <c r="H26" s="159">
        <f t="shared" si="3"/>
        <v>2021</v>
      </c>
      <c r="I26" s="159">
        <f t="shared" si="3"/>
        <v>2022</v>
      </c>
      <c r="J26" s="159">
        <f t="shared" si="3"/>
        <v>2023</v>
      </c>
      <c r="K26" s="159">
        <f t="shared" si="3"/>
        <v>2024</v>
      </c>
      <c r="L26" s="159">
        <f t="shared" si="3"/>
        <v>2025</v>
      </c>
      <c r="M26" s="159">
        <f t="shared" si="3"/>
        <v>2026</v>
      </c>
      <c r="N26" s="159">
        <f t="shared" si="3"/>
        <v>2027</v>
      </c>
      <c r="O26" s="159">
        <f t="shared" si="3"/>
        <v>2028</v>
      </c>
      <c r="P26" s="159">
        <f t="shared" si="3"/>
        <v>2029</v>
      </c>
      <c r="Q26" s="159">
        <f t="shared" si="3"/>
        <v>2030</v>
      </c>
      <c r="R26" s="159">
        <f t="shared" si="3"/>
        <v>2031</v>
      </c>
      <c r="S26" s="159">
        <f t="shared" si="3"/>
        <v>2032</v>
      </c>
      <c r="T26" s="159">
        <f t="shared" si="3"/>
        <v>2033</v>
      </c>
      <c r="U26" s="159">
        <f t="shared" si="3"/>
        <v>2034</v>
      </c>
      <c r="V26" s="159">
        <f t="shared" si="3"/>
        <v>2035</v>
      </c>
      <c r="W26" s="159"/>
    </row>
    <row r="27" spans="1:23">
      <c r="A27" s="156"/>
      <c r="B27" s="158" t="s">
        <v>231</v>
      </c>
      <c r="C27" s="174">
        <v>0.05</v>
      </c>
      <c r="D27" s="174">
        <v>0.2</v>
      </c>
      <c r="E27" s="174">
        <v>0.2</v>
      </c>
      <c r="F27" s="174">
        <v>0.2</v>
      </c>
      <c r="G27" s="174">
        <v>0.2</v>
      </c>
      <c r="H27" s="174">
        <v>0.15</v>
      </c>
      <c r="I27" s="174">
        <v>0</v>
      </c>
      <c r="J27" s="174">
        <v>0</v>
      </c>
      <c r="K27" s="174">
        <v>0</v>
      </c>
      <c r="L27" s="174">
        <v>0</v>
      </c>
      <c r="M27" s="174">
        <v>0</v>
      </c>
      <c r="N27" s="174">
        <v>0</v>
      </c>
      <c r="O27" s="174">
        <v>0</v>
      </c>
      <c r="P27" s="174">
        <v>0</v>
      </c>
      <c r="Q27" s="174">
        <v>0</v>
      </c>
      <c r="R27" s="174">
        <v>0</v>
      </c>
      <c r="S27" s="174">
        <v>0</v>
      </c>
      <c r="T27" s="174">
        <v>0</v>
      </c>
      <c r="U27" s="174">
        <v>0</v>
      </c>
      <c r="V27" s="174">
        <v>0</v>
      </c>
      <c r="W27" s="216"/>
    </row>
    <row r="28" spans="1:23">
      <c r="A28" s="156"/>
      <c r="B28" s="158" t="s">
        <v>237</v>
      </c>
      <c r="C28" s="174">
        <f>C27</f>
        <v>0.05</v>
      </c>
      <c r="D28" s="174">
        <f t="shared" ref="D28:V28" si="4">C28+D27</f>
        <v>0.25</v>
      </c>
      <c r="E28" s="174">
        <f t="shared" si="4"/>
        <v>0.45</v>
      </c>
      <c r="F28" s="174">
        <f t="shared" si="4"/>
        <v>0.65</v>
      </c>
      <c r="G28" s="174">
        <f t="shared" si="4"/>
        <v>0.85000000000000009</v>
      </c>
      <c r="H28" s="174">
        <f t="shared" si="4"/>
        <v>1</v>
      </c>
      <c r="I28" s="174">
        <f t="shared" si="4"/>
        <v>1</v>
      </c>
      <c r="J28" s="174">
        <f t="shared" si="4"/>
        <v>1</v>
      </c>
      <c r="K28" s="174">
        <f t="shared" si="4"/>
        <v>1</v>
      </c>
      <c r="L28" s="174">
        <f t="shared" si="4"/>
        <v>1</v>
      </c>
      <c r="M28" s="174">
        <f t="shared" si="4"/>
        <v>1</v>
      </c>
      <c r="N28" s="174">
        <f t="shared" si="4"/>
        <v>1</v>
      </c>
      <c r="O28" s="174">
        <f t="shared" si="4"/>
        <v>1</v>
      </c>
      <c r="P28" s="174">
        <f t="shared" si="4"/>
        <v>1</v>
      </c>
      <c r="Q28" s="174">
        <f t="shared" si="4"/>
        <v>1</v>
      </c>
      <c r="R28" s="174">
        <f t="shared" si="4"/>
        <v>1</v>
      </c>
      <c r="S28" s="174">
        <f t="shared" si="4"/>
        <v>1</v>
      </c>
      <c r="T28" s="174">
        <f t="shared" si="4"/>
        <v>1</v>
      </c>
      <c r="U28" s="174">
        <f t="shared" si="4"/>
        <v>1</v>
      </c>
      <c r="V28" s="174">
        <f t="shared" si="4"/>
        <v>1</v>
      </c>
      <c r="W28" s="216"/>
    </row>
    <row r="29" spans="1:23">
      <c r="A29" s="156"/>
      <c r="B29" s="158" t="s">
        <v>232</v>
      </c>
      <c r="C29" s="174">
        <v>0.01</v>
      </c>
      <c r="D29" s="174">
        <v>0.01</v>
      </c>
      <c r="E29" s="174">
        <v>0.01</v>
      </c>
      <c r="F29" s="174">
        <v>0.01</v>
      </c>
      <c r="G29" s="174">
        <v>0.01</v>
      </c>
      <c r="H29" s="174">
        <v>0.01</v>
      </c>
      <c r="I29" s="174">
        <v>0.01</v>
      </c>
      <c r="J29" s="174">
        <v>0.01</v>
      </c>
      <c r="K29" s="174">
        <v>0.01</v>
      </c>
      <c r="L29" s="174">
        <v>0.01</v>
      </c>
      <c r="M29" s="174">
        <v>0.01</v>
      </c>
      <c r="N29" s="174">
        <v>0.01</v>
      </c>
      <c r="O29" s="174">
        <v>0.01</v>
      </c>
      <c r="P29" s="174">
        <v>0.01</v>
      </c>
      <c r="Q29" s="174">
        <v>0.01</v>
      </c>
      <c r="R29" s="174">
        <v>0.01</v>
      </c>
      <c r="S29" s="174">
        <v>0.01</v>
      </c>
      <c r="T29" s="174">
        <v>0.01</v>
      </c>
      <c r="U29" s="174">
        <v>0.01</v>
      </c>
      <c r="V29" s="174">
        <v>0.01</v>
      </c>
      <c r="W29" s="216"/>
    </row>
    <row r="30" spans="1:23" ht="13.5" thickBot="1">
      <c r="A30" s="161"/>
      <c r="B30" s="162" t="s">
        <v>298</v>
      </c>
      <c r="C30" s="217">
        <v>0.2</v>
      </c>
      <c r="D30" s="217">
        <v>0.2</v>
      </c>
      <c r="E30" s="217">
        <v>0.2</v>
      </c>
      <c r="F30" s="217">
        <v>0.2</v>
      </c>
      <c r="G30" s="217">
        <v>0.2</v>
      </c>
      <c r="H30" s="217">
        <v>0.2</v>
      </c>
      <c r="I30" s="217">
        <v>0.2</v>
      </c>
      <c r="J30" s="217">
        <v>0.2</v>
      </c>
      <c r="K30" s="217">
        <v>0.2</v>
      </c>
      <c r="L30" s="217">
        <v>0.2</v>
      </c>
      <c r="M30" s="217">
        <v>0.2</v>
      </c>
      <c r="N30" s="217">
        <v>0.2</v>
      </c>
      <c r="O30" s="217">
        <v>0.2</v>
      </c>
      <c r="P30" s="217">
        <v>0.2</v>
      </c>
      <c r="Q30" s="217">
        <v>0.2</v>
      </c>
      <c r="R30" s="217">
        <v>0.2</v>
      </c>
      <c r="S30" s="217">
        <v>0.2</v>
      </c>
      <c r="T30" s="217">
        <v>0.2</v>
      </c>
      <c r="U30" s="217">
        <v>0.2</v>
      </c>
      <c r="V30" s="217">
        <v>0.2</v>
      </c>
      <c r="W30" s="218"/>
    </row>
    <row r="31" spans="1:23" s="221" customFormat="1" ht="13.5" thickBot="1">
      <c r="A31" s="227"/>
      <c r="B31" s="227"/>
    </row>
    <row r="32" spans="1:23" ht="15.75" thickBot="1">
      <c r="A32" s="186" t="s">
        <v>240</v>
      </c>
      <c r="B32" s="187"/>
      <c r="C32" s="180"/>
      <c r="D32" s="180"/>
      <c r="E32" s="180"/>
      <c r="F32" s="180"/>
      <c r="G32" s="180"/>
      <c r="H32" s="180"/>
      <c r="I32" s="180"/>
      <c r="J32" s="180"/>
      <c r="K32" s="180"/>
      <c r="L32" s="180"/>
      <c r="M32" s="180"/>
      <c r="N32" s="180"/>
      <c r="O32" s="180"/>
      <c r="P32" s="180"/>
      <c r="Q32" s="180"/>
      <c r="R32" s="180"/>
      <c r="S32" s="180"/>
      <c r="T32" s="180"/>
      <c r="U32" s="180"/>
      <c r="V32" s="180"/>
      <c r="W32" s="181"/>
    </row>
    <row r="33" spans="1:23">
      <c r="A33" s="77" t="s">
        <v>212</v>
      </c>
      <c r="B33" s="77"/>
      <c r="F33" s="78"/>
      <c r="G33" s="78"/>
    </row>
    <row r="35" spans="1:23">
      <c r="A35" s="79"/>
      <c r="B35" s="99"/>
      <c r="C35" s="469" t="s">
        <v>213</v>
      </c>
      <c r="D35" s="469"/>
      <c r="E35" s="469"/>
      <c r="F35" s="469"/>
      <c r="G35" s="469"/>
      <c r="H35" s="469"/>
      <c r="I35" s="469"/>
      <c r="J35" s="469"/>
      <c r="K35" s="469"/>
      <c r="L35" s="469"/>
      <c r="M35" s="469"/>
      <c r="N35" s="469"/>
      <c r="O35" s="469"/>
      <c r="P35" s="469"/>
      <c r="Q35" s="469"/>
      <c r="R35" s="469"/>
      <c r="S35" s="469"/>
      <c r="T35" s="469"/>
      <c r="U35" s="469"/>
      <c r="V35" s="469"/>
      <c r="W35" s="469"/>
    </row>
    <row r="36" spans="1:23" ht="16.5" customHeight="1">
      <c r="A36" s="80" t="s">
        <v>214</v>
      </c>
      <c r="B36" s="81"/>
      <c r="C36" s="100">
        <f>C5</f>
        <v>2016</v>
      </c>
      <c r="D36" s="328">
        <f t="shared" ref="D36:V36" si="5">D5</f>
        <v>2017</v>
      </c>
      <c r="E36" s="328">
        <f t="shared" si="5"/>
        <v>2018</v>
      </c>
      <c r="F36" s="328">
        <f t="shared" si="5"/>
        <v>2019</v>
      </c>
      <c r="G36" s="328">
        <f t="shared" si="5"/>
        <v>2020</v>
      </c>
      <c r="H36" s="328">
        <f t="shared" si="5"/>
        <v>2021</v>
      </c>
      <c r="I36" s="328">
        <f t="shared" si="5"/>
        <v>2022</v>
      </c>
      <c r="J36" s="328">
        <f t="shared" si="5"/>
        <v>2023</v>
      </c>
      <c r="K36" s="328">
        <f t="shared" si="5"/>
        <v>2024</v>
      </c>
      <c r="L36" s="328">
        <f t="shared" si="5"/>
        <v>2025</v>
      </c>
      <c r="M36" s="328">
        <f t="shared" si="5"/>
        <v>2026</v>
      </c>
      <c r="N36" s="328">
        <f t="shared" si="5"/>
        <v>2027</v>
      </c>
      <c r="O36" s="328">
        <f t="shared" si="5"/>
        <v>2028</v>
      </c>
      <c r="P36" s="328">
        <f t="shared" si="5"/>
        <v>2029</v>
      </c>
      <c r="Q36" s="328">
        <f t="shared" si="5"/>
        <v>2030</v>
      </c>
      <c r="R36" s="328">
        <f t="shared" si="5"/>
        <v>2031</v>
      </c>
      <c r="S36" s="328">
        <f t="shared" si="5"/>
        <v>2032</v>
      </c>
      <c r="T36" s="328">
        <f t="shared" si="5"/>
        <v>2033</v>
      </c>
      <c r="U36" s="328">
        <f t="shared" si="5"/>
        <v>2034</v>
      </c>
      <c r="V36" s="328">
        <f t="shared" si="5"/>
        <v>2035</v>
      </c>
      <c r="W36" s="328"/>
    </row>
    <row r="37" spans="1:23">
      <c r="A37" s="82"/>
      <c r="B37" s="83"/>
      <c r="C37" s="82"/>
      <c r="D37" s="82"/>
      <c r="E37" s="82"/>
      <c r="F37" s="82"/>
      <c r="G37" s="82"/>
      <c r="H37" s="84"/>
      <c r="I37" s="82"/>
      <c r="J37" s="82"/>
      <c r="K37" s="82"/>
      <c r="L37" s="82"/>
      <c r="M37" s="82"/>
      <c r="N37" s="82"/>
      <c r="O37" s="82"/>
      <c r="P37" s="82"/>
      <c r="Q37" s="82"/>
      <c r="R37" s="82"/>
      <c r="S37" s="82"/>
      <c r="T37" s="82"/>
      <c r="U37" s="82"/>
      <c r="V37" s="82"/>
      <c r="W37" s="82"/>
    </row>
    <row r="38" spans="1:23">
      <c r="A38" s="166" t="s">
        <v>323</v>
      </c>
      <c r="B38" s="83"/>
      <c r="C38" s="86">
        <f>C48</f>
        <v>19.171526021465564</v>
      </c>
      <c r="D38" s="86">
        <f t="shared" ref="D38:V38" si="6">D48</f>
        <v>97.008937488239624</v>
      </c>
      <c r="E38" s="86">
        <f t="shared" si="6"/>
        <v>176.93608799201181</v>
      </c>
      <c r="F38" s="86">
        <f t="shared" si="6"/>
        <v>258.89407786116766</v>
      </c>
      <c r="G38" s="86">
        <f t="shared" si="6"/>
        <v>343.11168380051214</v>
      </c>
      <c r="H38" s="86">
        <f t="shared" si="6"/>
        <v>408.81300264160711</v>
      </c>
      <c r="I38" s="86">
        <f t="shared" si="6"/>
        <v>413.87559465888893</v>
      </c>
      <c r="J38" s="86">
        <f t="shared" si="6"/>
        <v>418.87054760597039</v>
      </c>
      <c r="K38" s="86">
        <f t="shared" si="6"/>
        <v>423.84825736756062</v>
      </c>
      <c r="L38" s="86">
        <f t="shared" si="6"/>
        <v>428.79748988764106</v>
      </c>
      <c r="M38" s="86">
        <f t="shared" si="6"/>
        <v>433.53670052016287</v>
      </c>
      <c r="N38" s="86">
        <f t="shared" si="6"/>
        <v>438.44152284085089</v>
      </c>
      <c r="O38" s="86">
        <f t="shared" si="6"/>
        <v>443.5468247930084</v>
      </c>
      <c r="P38" s="86">
        <f t="shared" si="6"/>
        <v>448.68150602464118</v>
      </c>
      <c r="Q38" s="86">
        <f t="shared" si="6"/>
        <v>453.69989858106146</v>
      </c>
      <c r="R38" s="86">
        <f t="shared" si="6"/>
        <v>458.77442062691267</v>
      </c>
      <c r="S38" s="86">
        <f t="shared" si="6"/>
        <v>463.90569995676248</v>
      </c>
      <c r="T38" s="86">
        <f t="shared" si="6"/>
        <v>469.09437138690623</v>
      </c>
      <c r="U38" s="86">
        <f t="shared" si="6"/>
        <v>474.34107683390414</v>
      </c>
      <c r="V38" s="86">
        <f t="shared" si="6"/>
        <v>479.64646539399524</v>
      </c>
      <c r="W38" s="86"/>
    </row>
    <row r="39" spans="1:23">
      <c r="A39" s="166" t="s">
        <v>316</v>
      </c>
      <c r="B39" s="83"/>
      <c r="C39" s="86">
        <f>C49</f>
        <v>54.319323727485774</v>
      </c>
      <c r="D39" s="86">
        <f t="shared" ref="D39:V39" si="7">D49-C49</f>
        <v>220.53933248919316</v>
      </c>
      <c r="E39" s="86">
        <f t="shared" si="7"/>
        <v>226.4602597606879</v>
      </c>
      <c r="F39" s="86">
        <f t="shared" si="7"/>
        <v>232.21430462927492</v>
      </c>
      <c r="G39" s="86">
        <f t="shared" si="7"/>
        <v>238.61655016147608</v>
      </c>
      <c r="H39" s="86">
        <f t="shared" si="7"/>
        <v>186.15373671643533</v>
      </c>
      <c r="I39" s="86">
        <f t="shared" si="7"/>
        <v>14.344010715632294</v>
      </c>
      <c r="J39" s="86">
        <f t="shared" si="7"/>
        <v>14.152366683397304</v>
      </c>
      <c r="K39" s="86">
        <f t="shared" si="7"/>
        <v>14.10351099117247</v>
      </c>
      <c r="L39" s="86">
        <f t="shared" si="7"/>
        <v>14.02282547356117</v>
      </c>
      <c r="M39" s="86">
        <f t="shared" si="7"/>
        <v>13.427763458811796</v>
      </c>
      <c r="N39" s="86">
        <f t="shared" si="7"/>
        <v>13.896996575282628</v>
      </c>
      <c r="O39" s="86">
        <f t="shared" si="7"/>
        <v>14.465022197779717</v>
      </c>
      <c r="P39" s="86">
        <f t="shared" si="7"/>
        <v>14.548263489626152</v>
      </c>
      <c r="Q39" s="86">
        <f t="shared" si="7"/>
        <v>14.218778909857292</v>
      </c>
      <c r="R39" s="86">
        <f t="shared" si="7"/>
        <v>14.377812463245618</v>
      </c>
      <c r="S39" s="86">
        <f t="shared" si="7"/>
        <v>14.53862476790755</v>
      </c>
      <c r="T39" s="86">
        <f t="shared" si="7"/>
        <v>14.701235718740691</v>
      </c>
      <c r="U39" s="86">
        <f t="shared" si="7"/>
        <v>14.86566543316053</v>
      </c>
      <c r="V39" s="86">
        <f t="shared" si="7"/>
        <v>15.031934253591544</v>
      </c>
      <c r="W39" s="86"/>
    </row>
    <row r="40" spans="1:23">
      <c r="A40" s="87"/>
      <c r="B40" s="88"/>
      <c r="C40" s="89"/>
      <c r="D40" s="90"/>
      <c r="E40" s="90"/>
      <c r="F40" s="90"/>
      <c r="G40" s="90"/>
      <c r="H40" s="90"/>
      <c r="I40" s="90"/>
      <c r="J40" s="90"/>
      <c r="K40" s="90"/>
      <c r="L40" s="90"/>
      <c r="M40" s="90"/>
      <c r="N40" s="90"/>
      <c r="O40" s="90"/>
      <c r="P40" s="90"/>
      <c r="Q40" s="90"/>
      <c r="R40" s="90"/>
      <c r="S40" s="90"/>
      <c r="T40" s="90"/>
      <c r="U40" s="90"/>
      <c r="V40" s="90"/>
      <c r="W40" s="90"/>
    </row>
    <row r="41" spans="1:23">
      <c r="A41" s="91" t="s">
        <v>216</v>
      </c>
      <c r="B41" s="92"/>
      <c r="C41" s="93">
        <f>SUM(C38:C39)</f>
        <v>73.490849748951334</v>
      </c>
      <c r="D41" s="93">
        <f t="shared" ref="D41:V41" si="8">SUM(D38:D39)</f>
        <v>317.54826997743277</v>
      </c>
      <c r="E41" s="93">
        <f t="shared" si="8"/>
        <v>403.39634775269974</v>
      </c>
      <c r="F41" s="93">
        <f t="shared" si="8"/>
        <v>491.10838249044258</v>
      </c>
      <c r="G41" s="93">
        <f t="shared" si="8"/>
        <v>581.72823396198828</v>
      </c>
      <c r="H41" s="93">
        <f t="shared" si="8"/>
        <v>594.96673935804245</v>
      </c>
      <c r="I41" s="93">
        <f t="shared" si="8"/>
        <v>428.21960537452122</v>
      </c>
      <c r="J41" s="93">
        <f t="shared" si="8"/>
        <v>433.02291428936769</v>
      </c>
      <c r="K41" s="93">
        <f t="shared" si="8"/>
        <v>437.95176835873309</v>
      </c>
      <c r="L41" s="93">
        <f t="shared" si="8"/>
        <v>442.82031536120223</v>
      </c>
      <c r="M41" s="93">
        <f t="shared" si="8"/>
        <v>446.96446397897466</v>
      </c>
      <c r="N41" s="93">
        <f t="shared" si="8"/>
        <v>452.33851941613352</v>
      </c>
      <c r="O41" s="93">
        <f t="shared" si="8"/>
        <v>458.01184699078811</v>
      </c>
      <c r="P41" s="93">
        <f t="shared" si="8"/>
        <v>463.22976951426733</v>
      </c>
      <c r="Q41" s="93">
        <f t="shared" si="8"/>
        <v>467.91867749091875</v>
      </c>
      <c r="R41" s="93">
        <f t="shared" si="8"/>
        <v>473.15223309015829</v>
      </c>
      <c r="S41" s="93">
        <f t="shared" si="8"/>
        <v>478.44432472467003</v>
      </c>
      <c r="T41" s="93">
        <f t="shared" si="8"/>
        <v>483.79560710564692</v>
      </c>
      <c r="U41" s="93">
        <f t="shared" si="8"/>
        <v>489.20674226706467</v>
      </c>
      <c r="V41" s="93">
        <f t="shared" si="8"/>
        <v>494.67839964758679</v>
      </c>
      <c r="W41" s="93"/>
    </row>
    <row r="42" spans="1:23">
      <c r="A42" s="94"/>
      <c r="B42" s="94"/>
      <c r="C42" s="95"/>
      <c r="D42" s="95"/>
      <c r="E42" s="95"/>
      <c r="F42" s="95"/>
      <c r="G42" s="95"/>
      <c r="H42" s="95"/>
      <c r="I42" s="95"/>
      <c r="J42" s="94"/>
      <c r="K42" s="94"/>
      <c r="L42" s="94"/>
    </row>
    <row r="43" spans="1:23">
      <c r="A43" s="96" t="s">
        <v>217</v>
      </c>
      <c r="B43" s="96"/>
      <c r="C43" s="97"/>
      <c r="D43" s="97"/>
      <c r="E43" s="97"/>
      <c r="F43" s="97"/>
      <c r="G43" s="97"/>
      <c r="H43" s="97"/>
      <c r="I43" s="97"/>
      <c r="J43" s="98"/>
      <c r="K43" s="98"/>
      <c r="L43" s="98"/>
    </row>
    <row r="44" spans="1:23">
      <c r="A44" s="96"/>
      <c r="B44" s="96"/>
      <c r="C44" s="97"/>
      <c r="D44" s="97"/>
      <c r="E44" s="97"/>
      <c r="F44" s="97"/>
      <c r="G44" s="97"/>
      <c r="H44" s="97"/>
      <c r="I44" s="97"/>
      <c r="J44" s="98"/>
      <c r="K44" s="98"/>
      <c r="L44" s="98"/>
    </row>
    <row r="45" spans="1:23">
      <c r="A45" s="470" t="s">
        <v>214</v>
      </c>
      <c r="B45" s="472"/>
      <c r="C45" s="469" t="s">
        <v>218</v>
      </c>
      <c r="D45" s="469"/>
      <c r="E45" s="469"/>
      <c r="F45" s="469"/>
      <c r="G45" s="469"/>
      <c r="H45" s="469"/>
      <c r="I45" s="469"/>
      <c r="J45" s="469"/>
      <c r="K45" s="469"/>
      <c r="L45" s="469"/>
      <c r="M45" s="469"/>
      <c r="N45" s="469"/>
      <c r="O45" s="469"/>
      <c r="P45" s="469"/>
      <c r="Q45" s="469"/>
      <c r="R45" s="469"/>
      <c r="S45" s="469"/>
      <c r="T45" s="469"/>
      <c r="U45" s="469"/>
      <c r="V45" s="469"/>
      <c r="W45" s="469"/>
    </row>
    <row r="46" spans="1:23">
      <c r="A46" s="471"/>
      <c r="B46" s="473"/>
      <c r="C46" s="100">
        <f>C5</f>
        <v>2016</v>
      </c>
      <c r="D46" s="328">
        <f t="shared" ref="D46:V46" si="9">D5</f>
        <v>2017</v>
      </c>
      <c r="E46" s="328">
        <f t="shared" si="9"/>
        <v>2018</v>
      </c>
      <c r="F46" s="328">
        <f t="shared" si="9"/>
        <v>2019</v>
      </c>
      <c r="G46" s="328">
        <f t="shared" si="9"/>
        <v>2020</v>
      </c>
      <c r="H46" s="328">
        <f t="shared" si="9"/>
        <v>2021</v>
      </c>
      <c r="I46" s="328">
        <f t="shared" si="9"/>
        <v>2022</v>
      </c>
      <c r="J46" s="328">
        <f t="shared" si="9"/>
        <v>2023</v>
      </c>
      <c r="K46" s="328">
        <f t="shared" si="9"/>
        <v>2024</v>
      </c>
      <c r="L46" s="328">
        <f t="shared" si="9"/>
        <v>2025</v>
      </c>
      <c r="M46" s="328">
        <f t="shared" si="9"/>
        <v>2026</v>
      </c>
      <c r="N46" s="328">
        <f t="shared" si="9"/>
        <v>2027</v>
      </c>
      <c r="O46" s="328">
        <f t="shared" si="9"/>
        <v>2028</v>
      </c>
      <c r="P46" s="328">
        <f t="shared" si="9"/>
        <v>2029</v>
      </c>
      <c r="Q46" s="328">
        <f t="shared" si="9"/>
        <v>2030</v>
      </c>
      <c r="R46" s="328">
        <f t="shared" si="9"/>
        <v>2031</v>
      </c>
      <c r="S46" s="328">
        <f t="shared" si="9"/>
        <v>2032</v>
      </c>
      <c r="T46" s="328">
        <f t="shared" si="9"/>
        <v>2033</v>
      </c>
      <c r="U46" s="328">
        <f t="shared" si="9"/>
        <v>2034</v>
      </c>
      <c r="V46" s="328">
        <f t="shared" si="9"/>
        <v>2035</v>
      </c>
      <c r="W46" s="328"/>
    </row>
    <row r="47" spans="1:23">
      <c r="A47" s="82"/>
      <c r="B47" s="85"/>
      <c r="C47" s="90"/>
      <c r="D47" s="90"/>
      <c r="E47" s="90"/>
      <c r="F47" s="90"/>
      <c r="G47" s="90"/>
      <c r="H47" s="90"/>
      <c r="I47" s="90"/>
      <c r="J47" s="90"/>
      <c r="K47" s="90"/>
      <c r="L47" s="90"/>
      <c r="M47" s="90"/>
      <c r="N47" s="90"/>
      <c r="O47" s="90"/>
      <c r="P47" s="90"/>
      <c r="Q47" s="90"/>
      <c r="R47" s="90"/>
      <c r="S47" s="90"/>
      <c r="T47" s="90"/>
      <c r="U47" s="90"/>
      <c r="V47" s="90"/>
      <c r="W47" s="90"/>
    </row>
    <row r="48" spans="1:23">
      <c r="A48" s="101" t="str">
        <f>A38</f>
        <v>a. Irrigation Pumping - Switch</v>
      </c>
      <c r="B48" s="85"/>
      <c r="C48" s="90">
        <f>C7*$C$11*$C$12*C19*C17*(1-C18)</f>
        <v>19.171526021465564</v>
      </c>
      <c r="D48" s="90">
        <f t="shared" ref="D48:V48" si="10">D7*$C$11*$C$12*D19*D17*(1-D18)</f>
        <v>97.008937488239624</v>
      </c>
      <c r="E48" s="90">
        <f t="shared" si="10"/>
        <v>176.93608799201181</v>
      </c>
      <c r="F48" s="90">
        <f t="shared" si="10"/>
        <v>258.89407786116766</v>
      </c>
      <c r="G48" s="90">
        <f t="shared" si="10"/>
        <v>343.11168380051214</v>
      </c>
      <c r="H48" s="90">
        <f t="shared" si="10"/>
        <v>408.81300264160711</v>
      </c>
      <c r="I48" s="90">
        <f t="shared" si="10"/>
        <v>413.87559465888893</v>
      </c>
      <c r="J48" s="90">
        <f t="shared" si="10"/>
        <v>418.87054760597039</v>
      </c>
      <c r="K48" s="90">
        <f t="shared" si="10"/>
        <v>423.84825736756062</v>
      </c>
      <c r="L48" s="90">
        <f t="shared" si="10"/>
        <v>428.79748988764106</v>
      </c>
      <c r="M48" s="90">
        <f t="shared" si="10"/>
        <v>433.53670052016287</v>
      </c>
      <c r="N48" s="90">
        <f t="shared" si="10"/>
        <v>438.44152284085089</v>
      </c>
      <c r="O48" s="90">
        <f t="shared" si="10"/>
        <v>443.5468247930084</v>
      </c>
      <c r="P48" s="90">
        <f t="shared" si="10"/>
        <v>448.68150602464118</v>
      </c>
      <c r="Q48" s="90">
        <f t="shared" si="10"/>
        <v>453.69989858106146</v>
      </c>
      <c r="R48" s="90">
        <f t="shared" si="10"/>
        <v>458.77442062691267</v>
      </c>
      <c r="S48" s="90">
        <f t="shared" si="10"/>
        <v>463.90569995676248</v>
      </c>
      <c r="T48" s="90">
        <f t="shared" si="10"/>
        <v>469.09437138690623</v>
      </c>
      <c r="U48" s="90">
        <f t="shared" si="10"/>
        <v>474.34107683390414</v>
      </c>
      <c r="V48" s="90">
        <f t="shared" si="10"/>
        <v>479.64646539399524</v>
      </c>
      <c r="W48" s="90"/>
    </row>
    <row r="49" spans="1:23">
      <c r="A49" s="101" t="str">
        <f>+A39</f>
        <v>b. Curtailable/Interruptible Tariff</v>
      </c>
      <c r="B49" s="102"/>
      <c r="C49" s="90">
        <f t="shared" ref="C49:V49" si="11">C6*$C$22*$C$23*C30*C28*(1-C29)</f>
        <v>54.319323727485774</v>
      </c>
      <c r="D49" s="90">
        <f t="shared" si="11"/>
        <v>274.85865621667892</v>
      </c>
      <c r="E49" s="90">
        <f t="shared" si="11"/>
        <v>501.31891597736683</v>
      </c>
      <c r="F49" s="90">
        <f t="shared" si="11"/>
        <v>733.53322060664175</v>
      </c>
      <c r="G49" s="90">
        <f t="shared" si="11"/>
        <v>972.14977076811783</v>
      </c>
      <c r="H49" s="90">
        <f t="shared" si="11"/>
        <v>1158.3035074845532</v>
      </c>
      <c r="I49" s="90">
        <f t="shared" si="11"/>
        <v>1172.6475182001855</v>
      </c>
      <c r="J49" s="90">
        <f t="shared" si="11"/>
        <v>1186.7998848835828</v>
      </c>
      <c r="K49" s="90">
        <f t="shared" si="11"/>
        <v>1200.9033958747552</v>
      </c>
      <c r="L49" s="90">
        <f t="shared" si="11"/>
        <v>1214.9262213483164</v>
      </c>
      <c r="M49" s="90">
        <f t="shared" si="11"/>
        <v>1228.3539848071282</v>
      </c>
      <c r="N49" s="90">
        <f t="shared" si="11"/>
        <v>1242.2509813824108</v>
      </c>
      <c r="O49" s="90">
        <f t="shared" si="11"/>
        <v>1256.7160035801905</v>
      </c>
      <c r="P49" s="90">
        <f t="shared" si="11"/>
        <v>1271.2642670698167</v>
      </c>
      <c r="Q49" s="90">
        <f t="shared" si="11"/>
        <v>1285.483045979674</v>
      </c>
      <c r="R49" s="90">
        <f t="shared" si="11"/>
        <v>1299.8608584429196</v>
      </c>
      <c r="S49" s="90">
        <f t="shared" si="11"/>
        <v>1314.3994832108272</v>
      </c>
      <c r="T49" s="90">
        <f t="shared" si="11"/>
        <v>1329.1007189295678</v>
      </c>
      <c r="U49" s="90">
        <f t="shared" si="11"/>
        <v>1343.9663843627284</v>
      </c>
      <c r="V49" s="90">
        <f t="shared" si="11"/>
        <v>1358.9983186163199</v>
      </c>
      <c r="W49" s="90"/>
    </row>
    <row r="50" spans="1:23">
      <c r="A50" s="85"/>
      <c r="B50" s="85"/>
      <c r="C50" s="103"/>
      <c r="D50" s="103"/>
      <c r="E50" s="103"/>
      <c r="F50" s="103"/>
      <c r="G50" s="103"/>
      <c r="H50" s="103"/>
      <c r="I50" s="103"/>
      <c r="J50" s="103"/>
      <c r="K50" s="103"/>
      <c r="L50" s="103"/>
      <c r="M50" s="103"/>
      <c r="N50" s="103"/>
      <c r="O50" s="103"/>
      <c r="P50" s="103"/>
      <c r="Q50" s="103"/>
      <c r="R50" s="103"/>
      <c r="S50" s="103"/>
      <c r="T50" s="103"/>
      <c r="U50" s="103"/>
      <c r="V50" s="103"/>
      <c r="W50" s="103"/>
    </row>
    <row r="51" spans="1:23">
      <c r="A51" s="91" t="s">
        <v>219</v>
      </c>
      <c r="B51" s="91"/>
      <c r="C51" s="93">
        <f>SUM(C48:C49)</f>
        <v>73.490849748951334</v>
      </c>
      <c r="D51" s="93">
        <f t="shared" ref="D51:V51" si="12">SUM(D48:D49)</f>
        <v>371.86759370491853</v>
      </c>
      <c r="E51" s="93">
        <f t="shared" si="12"/>
        <v>678.25500396937866</v>
      </c>
      <c r="F51" s="93">
        <f t="shared" si="12"/>
        <v>992.42729846780935</v>
      </c>
      <c r="G51" s="93">
        <f t="shared" si="12"/>
        <v>1315.2614545686299</v>
      </c>
      <c r="H51" s="93">
        <f t="shared" si="12"/>
        <v>1567.1165101261604</v>
      </c>
      <c r="I51" s="93">
        <f t="shared" si="12"/>
        <v>1586.5231128590744</v>
      </c>
      <c r="J51" s="93">
        <f t="shared" si="12"/>
        <v>1605.6704324895531</v>
      </c>
      <c r="K51" s="93">
        <f t="shared" si="12"/>
        <v>1624.7516532423158</v>
      </c>
      <c r="L51" s="93">
        <f t="shared" si="12"/>
        <v>1643.7237112359576</v>
      </c>
      <c r="M51" s="93">
        <f t="shared" si="12"/>
        <v>1661.8906853272911</v>
      </c>
      <c r="N51" s="93">
        <f t="shared" si="12"/>
        <v>1680.6925042232617</v>
      </c>
      <c r="O51" s="93">
        <f t="shared" si="12"/>
        <v>1700.262828373199</v>
      </c>
      <c r="P51" s="93">
        <f t="shared" si="12"/>
        <v>1719.9457730944578</v>
      </c>
      <c r="Q51" s="93">
        <f t="shared" si="12"/>
        <v>1739.1829445607355</v>
      </c>
      <c r="R51" s="93">
        <f t="shared" si="12"/>
        <v>1758.6352790698322</v>
      </c>
      <c r="S51" s="93">
        <f t="shared" si="12"/>
        <v>1778.3051831675896</v>
      </c>
      <c r="T51" s="93">
        <f t="shared" si="12"/>
        <v>1798.1950903164741</v>
      </c>
      <c r="U51" s="93">
        <f t="shared" si="12"/>
        <v>1818.3074611966326</v>
      </c>
      <c r="V51" s="93">
        <f t="shared" si="12"/>
        <v>1838.6447840103151</v>
      </c>
      <c r="W51" s="93"/>
    </row>
    <row r="53" spans="1:23">
      <c r="A53" s="77" t="s">
        <v>220</v>
      </c>
      <c r="B53" s="77"/>
      <c r="D53" s="214"/>
      <c r="E53" s="78"/>
      <c r="F53" s="78"/>
      <c r="G53" s="215"/>
    </row>
    <row r="55" spans="1:23">
      <c r="A55" s="104"/>
      <c r="B55" s="474" t="s">
        <v>242</v>
      </c>
      <c r="C55" s="476" t="s">
        <v>221</v>
      </c>
      <c r="D55" s="477"/>
      <c r="E55" s="477"/>
      <c r="F55" s="477"/>
      <c r="G55" s="477"/>
      <c r="H55" s="477"/>
      <c r="I55" s="477"/>
      <c r="J55" s="477"/>
      <c r="K55" s="477"/>
      <c r="L55" s="477"/>
      <c r="M55" s="477"/>
      <c r="N55" s="477"/>
      <c r="O55" s="477"/>
      <c r="P55" s="477"/>
      <c r="Q55" s="477"/>
      <c r="R55" s="477"/>
      <c r="S55" s="477"/>
      <c r="T55" s="477"/>
      <c r="U55" s="477"/>
      <c r="V55" s="477"/>
      <c r="W55" s="477"/>
    </row>
    <row r="56" spans="1:23">
      <c r="A56" s="114" t="s">
        <v>214</v>
      </c>
      <c r="B56" s="475"/>
      <c r="C56" s="100">
        <f>C5</f>
        <v>2016</v>
      </c>
      <c r="D56" s="328">
        <f t="shared" ref="D56:V56" si="13">D5</f>
        <v>2017</v>
      </c>
      <c r="E56" s="328">
        <f t="shared" si="13"/>
        <v>2018</v>
      </c>
      <c r="F56" s="328">
        <f t="shared" si="13"/>
        <v>2019</v>
      </c>
      <c r="G56" s="328">
        <f t="shared" si="13"/>
        <v>2020</v>
      </c>
      <c r="H56" s="328">
        <f t="shared" si="13"/>
        <v>2021</v>
      </c>
      <c r="I56" s="328">
        <f t="shared" si="13"/>
        <v>2022</v>
      </c>
      <c r="J56" s="328">
        <f t="shared" si="13"/>
        <v>2023</v>
      </c>
      <c r="K56" s="328">
        <f t="shared" si="13"/>
        <v>2024</v>
      </c>
      <c r="L56" s="328">
        <f t="shared" si="13"/>
        <v>2025</v>
      </c>
      <c r="M56" s="328">
        <f t="shared" si="13"/>
        <v>2026</v>
      </c>
      <c r="N56" s="328">
        <f t="shared" si="13"/>
        <v>2027</v>
      </c>
      <c r="O56" s="328">
        <f t="shared" si="13"/>
        <v>2028</v>
      </c>
      <c r="P56" s="328">
        <f t="shared" si="13"/>
        <v>2029</v>
      </c>
      <c r="Q56" s="328">
        <f t="shared" si="13"/>
        <v>2030</v>
      </c>
      <c r="R56" s="328">
        <f t="shared" si="13"/>
        <v>2031</v>
      </c>
      <c r="S56" s="328">
        <f t="shared" si="13"/>
        <v>2032</v>
      </c>
      <c r="T56" s="328">
        <f t="shared" si="13"/>
        <v>2033</v>
      </c>
      <c r="U56" s="328">
        <f t="shared" si="13"/>
        <v>2034</v>
      </c>
      <c r="V56" s="328">
        <f t="shared" si="13"/>
        <v>2035</v>
      </c>
      <c r="W56" s="328"/>
    </row>
    <row r="57" spans="1:23">
      <c r="A57" s="82"/>
      <c r="B57" s="82"/>
      <c r="C57" s="82"/>
      <c r="D57" s="105"/>
      <c r="E57" s="82"/>
      <c r="F57" s="82"/>
      <c r="G57" s="82"/>
      <c r="H57" s="82"/>
      <c r="I57" s="82"/>
      <c r="J57" s="82"/>
      <c r="K57" s="82"/>
      <c r="L57" s="82"/>
      <c r="M57" s="82"/>
      <c r="N57" s="82"/>
      <c r="O57" s="82"/>
      <c r="P57" s="82"/>
      <c r="Q57" s="82"/>
      <c r="R57" s="82"/>
      <c r="S57" s="82"/>
      <c r="T57" s="82"/>
      <c r="U57" s="82"/>
      <c r="V57" s="82"/>
      <c r="W57" s="82"/>
    </row>
    <row r="58" spans="1:23">
      <c r="A58" s="101" t="str">
        <f>A38</f>
        <v>a. Irrigation Pumping - Switch</v>
      </c>
      <c r="B58" s="222">
        <f>KeyAssumptions!K11</f>
        <v>25</v>
      </c>
      <c r="C58" s="189">
        <f>$B58/1000*C48*$C$13</f>
        <v>0.4553237430098071</v>
      </c>
      <c r="D58" s="189">
        <f t="shared" ref="D58:V58" si="14">$B58/1000*D48*$C$13</f>
        <v>2.303962265345691</v>
      </c>
      <c r="E58" s="189">
        <f t="shared" si="14"/>
        <v>4.2022320898102805</v>
      </c>
      <c r="F58" s="189">
        <f t="shared" si="14"/>
        <v>6.1487343492027318</v>
      </c>
      <c r="G58" s="189">
        <f t="shared" si="14"/>
        <v>8.148902490262163</v>
      </c>
      <c r="H58" s="189">
        <f t="shared" si="14"/>
        <v>9.7093088127381684</v>
      </c>
      <c r="I58" s="189">
        <f t="shared" si="14"/>
        <v>9.8295453731486138</v>
      </c>
      <c r="J58" s="189">
        <f t="shared" si="14"/>
        <v>9.948175505641796</v>
      </c>
      <c r="K58" s="189">
        <f t="shared" si="14"/>
        <v>10.066396112479564</v>
      </c>
      <c r="L58" s="189">
        <f t="shared" si="14"/>
        <v>10.183940384831475</v>
      </c>
      <c r="M58" s="189">
        <f t="shared" si="14"/>
        <v>10.296496637353869</v>
      </c>
      <c r="N58" s="189">
        <f t="shared" si="14"/>
        <v>10.412986167470208</v>
      </c>
      <c r="O58" s="189">
        <f t="shared" si="14"/>
        <v>10.534237088833949</v>
      </c>
      <c r="P58" s="189">
        <f t="shared" si="14"/>
        <v>10.656185768085228</v>
      </c>
      <c r="Q58" s="189">
        <f t="shared" si="14"/>
        <v>10.775372591300211</v>
      </c>
      <c r="R58" s="189">
        <f t="shared" si="14"/>
        <v>10.895892489889176</v>
      </c>
      <c r="S58" s="189">
        <f t="shared" si="14"/>
        <v>11.017760373973109</v>
      </c>
      <c r="T58" s="189">
        <f t="shared" si="14"/>
        <v>11.140991320439024</v>
      </c>
      <c r="U58" s="189">
        <f t="shared" si="14"/>
        <v>11.265600574805223</v>
      </c>
      <c r="V58" s="189">
        <f t="shared" si="14"/>
        <v>11.391603553107387</v>
      </c>
      <c r="W58" s="189"/>
    </row>
    <row r="59" spans="1:23">
      <c r="A59" s="101" t="str">
        <f>+A39</f>
        <v>b. Curtailable/Interruptible Tariff</v>
      </c>
      <c r="B59" s="222">
        <f>KeyAssumptions!K12</f>
        <v>500</v>
      </c>
      <c r="C59" s="189">
        <f t="shared" ref="C59:V59" si="15">$B59/1000*C49*$C$24</f>
        <v>25.801678770555743</v>
      </c>
      <c r="D59" s="189">
        <f t="shared" si="15"/>
        <v>130.55786170292248</v>
      </c>
      <c r="E59" s="189">
        <f t="shared" si="15"/>
        <v>238.12648508924923</v>
      </c>
      <c r="F59" s="189">
        <f t="shared" si="15"/>
        <v>348.42827978815484</v>
      </c>
      <c r="G59" s="189">
        <f t="shared" si="15"/>
        <v>461.77114111485594</v>
      </c>
      <c r="H59" s="189">
        <f t="shared" si="15"/>
        <v>550.19416605516278</v>
      </c>
      <c r="I59" s="189">
        <f t="shared" si="15"/>
        <v>557.00757114508804</v>
      </c>
      <c r="J59" s="189">
        <f t="shared" si="15"/>
        <v>563.72994531970176</v>
      </c>
      <c r="K59" s="189">
        <f t="shared" si="15"/>
        <v>570.4291130405087</v>
      </c>
      <c r="L59" s="189">
        <f t="shared" si="15"/>
        <v>577.08995514045023</v>
      </c>
      <c r="M59" s="189">
        <f t="shared" si="15"/>
        <v>583.46814278338582</v>
      </c>
      <c r="N59" s="189">
        <f t="shared" si="15"/>
        <v>590.0692161566451</v>
      </c>
      <c r="O59" s="189">
        <f t="shared" si="15"/>
        <v>596.9401017005905</v>
      </c>
      <c r="P59" s="189">
        <f t="shared" si="15"/>
        <v>603.85052685816288</v>
      </c>
      <c r="Q59" s="189">
        <f t="shared" si="15"/>
        <v>610.60444684034508</v>
      </c>
      <c r="R59" s="189">
        <f t="shared" si="15"/>
        <v>617.43390776038677</v>
      </c>
      <c r="S59" s="189">
        <f t="shared" si="15"/>
        <v>624.33975452514289</v>
      </c>
      <c r="T59" s="189">
        <f t="shared" si="15"/>
        <v>631.32284149154475</v>
      </c>
      <c r="U59" s="189">
        <f t="shared" si="15"/>
        <v>638.38403257229595</v>
      </c>
      <c r="V59" s="189">
        <f t="shared" si="15"/>
        <v>645.52420134275189</v>
      </c>
      <c r="W59" s="189"/>
    </row>
    <row r="60" spans="1:23">
      <c r="A60" s="85"/>
      <c r="B60" s="85"/>
      <c r="C60" s="106"/>
      <c r="D60" s="106"/>
      <c r="E60" s="106"/>
      <c r="F60" s="106"/>
      <c r="G60" s="106"/>
      <c r="H60" s="106"/>
      <c r="I60" s="106"/>
      <c r="J60" s="106"/>
      <c r="K60" s="106"/>
      <c r="L60" s="106"/>
      <c r="M60" s="106"/>
      <c r="N60" s="106"/>
      <c r="O60" s="106"/>
      <c r="P60" s="106"/>
      <c r="Q60" s="106"/>
      <c r="R60" s="106"/>
      <c r="S60" s="106"/>
      <c r="T60" s="106"/>
      <c r="U60" s="106"/>
      <c r="V60" s="106"/>
      <c r="W60" s="106"/>
    </row>
    <row r="61" spans="1:23">
      <c r="A61" s="107" t="s">
        <v>269</v>
      </c>
      <c r="B61" s="108"/>
      <c r="C61" s="220">
        <f>SUM(C58:C59)</f>
        <v>26.257002513565549</v>
      </c>
      <c r="D61" s="220">
        <f t="shared" ref="D61:V61" si="16">SUM(D58:D59)</f>
        <v>132.86182396826817</v>
      </c>
      <c r="E61" s="220">
        <f t="shared" si="16"/>
        <v>242.32871717905951</v>
      </c>
      <c r="F61" s="220">
        <f t="shared" si="16"/>
        <v>354.57701413735759</v>
      </c>
      <c r="G61" s="220">
        <f t="shared" si="16"/>
        <v>469.92004360511811</v>
      </c>
      <c r="H61" s="220">
        <f t="shared" si="16"/>
        <v>559.90347486790097</v>
      </c>
      <c r="I61" s="220">
        <f t="shared" si="16"/>
        <v>566.8371165182366</v>
      </c>
      <c r="J61" s="220">
        <f t="shared" si="16"/>
        <v>573.67812082534351</v>
      </c>
      <c r="K61" s="220">
        <f t="shared" si="16"/>
        <v>580.49550915298823</v>
      </c>
      <c r="L61" s="220">
        <f t="shared" si="16"/>
        <v>587.27389552528166</v>
      </c>
      <c r="M61" s="220">
        <f t="shared" si="16"/>
        <v>593.76463942073974</v>
      </c>
      <c r="N61" s="220">
        <f t="shared" si="16"/>
        <v>600.48220232411529</v>
      </c>
      <c r="O61" s="220">
        <f t="shared" si="16"/>
        <v>607.47433878942445</v>
      </c>
      <c r="P61" s="220">
        <f t="shared" si="16"/>
        <v>614.50671262624815</v>
      </c>
      <c r="Q61" s="220">
        <f t="shared" si="16"/>
        <v>621.37981943164527</v>
      </c>
      <c r="R61" s="220">
        <f t="shared" si="16"/>
        <v>628.32980025027598</v>
      </c>
      <c r="S61" s="220">
        <f t="shared" si="16"/>
        <v>635.35751489911604</v>
      </c>
      <c r="T61" s="220">
        <f t="shared" si="16"/>
        <v>642.46383281198382</v>
      </c>
      <c r="U61" s="220">
        <f t="shared" si="16"/>
        <v>649.64963314710121</v>
      </c>
      <c r="V61" s="220">
        <f t="shared" si="16"/>
        <v>656.91580489585931</v>
      </c>
      <c r="W61" s="220"/>
    </row>
    <row r="62" spans="1:23">
      <c r="A62" s="120"/>
      <c r="B62" s="110"/>
      <c r="C62" s="121"/>
      <c r="D62" s="121"/>
      <c r="E62" s="121"/>
      <c r="F62" s="121"/>
      <c r="G62" s="121"/>
      <c r="H62" s="121"/>
      <c r="I62" s="121"/>
      <c r="J62" s="121"/>
      <c r="K62" s="121"/>
      <c r="L62" s="121"/>
      <c r="M62" s="121"/>
      <c r="N62" s="121"/>
      <c r="O62" s="121"/>
      <c r="P62" s="121"/>
      <c r="Q62" s="121"/>
      <c r="R62" s="121"/>
      <c r="S62" s="121"/>
      <c r="T62" s="121"/>
      <c r="U62" s="121"/>
      <c r="V62" s="121"/>
      <c r="W62" s="121"/>
    </row>
    <row r="63" spans="1:23">
      <c r="A63" s="77" t="s">
        <v>276</v>
      </c>
      <c r="B63" s="110"/>
      <c r="C63" s="98"/>
      <c r="D63" s="122"/>
      <c r="E63" s="121"/>
      <c r="F63" s="121"/>
      <c r="G63" s="121"/>
      <c r="H63" s="121"/>
      <c r="I63" s="121"/>
      <c r="J63" s="121"/>
      <c r="K63" s="121"/>
      <c r="L63" s="121"/>
      <c r="M63" s="121"/>
      <c r="N63" s="121"/>
      <c r="O63" s="121"/>
      <c r="P63" s="121"/>
      <c r="Q63" s="121"/>
      <c r="R63" s="121"/>
      <c r="S63" s="121"/>
      <c r="T63" s="121"/>
      <c r="U63" s="121"/>
      <c r="V63" s="121"/>
      <c r="W63" s="121"/>
    </row>
    <row r="64" spans="1:23">
      <c r="A64" s="113"/>
      <c r="B64" s="110"/>
      <c r="C64" s="98"/>
      <c r="D64" s="121"/>
      <c r="E64" s="121"/>
      <c r="F64" s="121"/>
      <c r="G64" s="121"/>
      <c r="H64" s="121"/>
      <c r="I64" s="121"/>
      <c r="J64" s="121"/>
      <c r="K64" s="121"/>
      <c r="L64" s="121"/>
      <c r="M64" s="121"/>
      <c r="N64" s="121"/>
      <c r="O64" s="121"/>
      <c r="P64" s="121"/>
      <c r="Q64" s="121"/>
      <c r="R64" s="121"/>
      <c r="S64" s="121"/>
      <c r="T64" s="121"/>
      <c r="U64" s="121"/>
      <c r="V64" s="121"/>
      <c r="W64" s="121"/>
    </row>
    <row r="65" spans="1:23" ht="12.75" customHeight="1">
      <c r="A65" s="478" t="s">
        <v>214</v>
      </c>
      <c r="B65" s="474" t="s">
        <v>304</v>
      </c>
      <c r="C65" s="469" t="s">
        <v>222</v>
      </c>
      <c r="D65" s="469"/>
      <c r="E65" s="469"/>
      <c r="F65" s="469"/>
      <c r="G65" s="469"/>
      <c r="H65" s="469"/>
      <c r="I65" s="469"/>
      <c r="J65" s="469"/>
      <c r="K65" s="469"/>
      <c r="L65" s="469"/>
      <c r="M65" s="469"/>
      <c r="N65" s="469"/>
      <c r="O65" s="469"/>
      <c r="P65" s="469"/>
      <c r="Q65" s="469"/>
      <c r="R65" s="469"/>
      <c r="S65" s="469"/>
      <c r="T65" s="469"/>
      <c r="U65" s="469"/>
      <c r="V65" s="469"/>
      <c r="W65" s="469"/>
    </row>
    <row r="66" spans="1:23">
      <c r="A66" s="479"/>
      <c r="B66" s="480"/>
      <c r="C66" s="100">
        <f>C5</f>
        <v>2016</v>
      </c>
      <c r="D66" s="328">
        <f t="shared" ref="D66:V66" si="17">D5</f>
        <v>2017</v>
      </c>
      <c r="E66" s="328">
        <f t="shared" si="17"/>
        <v>2018</v>
      </c>
      <c r="F66" s="328">
        <f t="shared" si="17"/>
        <v>2019</v>
      </c>
      <c r="G66" s="328">
        <f t="shared" si="17"/>
        <v>2020</v>
      </c>
      <c r="H66" s="328">
        <f t="shared" si="17"/>
        <v>2021</v>
      </c>
      <c r="I66" s="328">
        <f t="shared" si="17"/>
        <v>2022</v>
      </c>
      <c r="J66" s="328">
        <f t="shared" si="17"/>
        <v>2023</v>
      </c>
      <c r="K66" s="328">
        <f t="shared" si="17"/>
        <v>2024</v>
      </c>
      <c r="L66" s="328">
        <f t="shared" si="17"/>
        <v>2025</v>
      </c>
      <c r="M66" s="328">
        <f t="shared" si="17"/>
        <v>2026</v>
      </c>
      <c r="N66" s="328">
        <f t="shared" si="17"/>
        <v>2027</v>
      </c>
      <c r="O66" s="328">
        <f t="shared" si="17"/>
        <v>2028</v>
      </c>
      <c r="P66" s="328">
        <f t="shared" si="17"/>
        <v>2029</v>
      </c>
      <c r="Q66" s="328">
        <f t="shared" si="17"/>
        <v>2030</v>
      </c>
      <c r="R66" s="328">
        <f t="shared" si="17"/>
        <v>2031</v>
      </c>
      <c r="S66" s="328">
        <f t="shared" si="17"/>
        <v>2032</v>
      </c>
      <c r="T66" s="328">
        <f t="shared" si="17"/>
        <v>2033</v>
      </c>
      <c r="U66" s="328">
        <f t="shared" si="17"/>
        <v>2034</v>
      </c>
      <c r="V66" s="328">
        <f t="shared" si="17"/>
        <v>2035</v>
      </c>
      <c r="W66" s="328"/>
    </row>
    <row r="67" spans="1:23">
      <c r="A67" s="123"/>
      <c r="B67" s="124"/>
      <c r="C67" s="78"/>
      <c r="D67" s="82"/>
      <c r="E67" s="82"/>
      <c r="F67" s="82"/>
      <c r="G67" s="82"/>
      <c r="H67" s="82"/>
      <c r="I67" s="82"/>
      <c r="J67" s="82"/>
      <c r="K67" s="82"/>
      <c r="L67" s="82"/>
      <c r="M67" s="82"/>
      <c r="N67" s="82"/>
      <c r="O67" s="82"/>
      <c r="P67" s="82"/>
      <c r="Q67" s="82"/>
      <c r="R67" s="82"/>
      <c r="S67" s="82"/>
      <c r="T67" s="82"/>
      <c r="U67" s="82"/>
      <c r="V67" s="82"/>
      <c r="W67" s="82"/>
    </row>
    <row r="68" spans="1:23">
      <c r="A68" s="166" t="str">
        <f>A38</f>
        <v>a. Irrigation Pumping - Switch</v>
      </c>
      <c r="B68" s="223">
        <f>SUM(KeyAssumptions!F11:H11)</f>
        <v>1100</v>
      </c>
      <c r="C68" s="116">
        <f>MAX(0,($B$68*C38))</f>
        <v>21088.678623612119</v>
      </c>
      <c r="D68" s="116">
        <f t="shared" ref="D68:V68" si="18">MAX(0,($B$68*D38))</f>
        <v>106709.83123706358</v>
      </c>
      <c r="E68" s="116">
        <f t="shared" si="18"/>
        <v>194629.69679121298</v>
      </c>
      <c r="F68" s="116">
        <f t="shared" si="18"/>
        <v>284783.48564728443</v>
      </c>
      <c r="G68" s="116">
        <f t="shared" si="18"/>
        <v>377422.85218056338</v>
      </c>
      <c r="H68" s="116">
        <f t="shared" si="18"/>
        <v>449694.30290576781</v>
      </c>
      <c r="I68" s="116">
        <f t="shared" si="18"/>
        <v>455263.15412477782</v>
      </c>
      <c r="J68" s="116">
        <f t="shared" si="18"/>
        <v>460757.60236656741</v>
      </c>
      <c r="K68" s="116">
        <f t="shared" si="18"/>
        <v>466233.08310431667</v>
      </c>
      <c r="L68" s="116">
        <f t="shared" si="18"/>
        <v>471677.23887640517</v>
      </c>
      <c r="M68" s="116">
        <f t="shared" si="18"/>
        <v>476890.37057217915</v>
      </c>
      <c r="N68" s="116">
        <f t="shared" si="18"/>
        <v>482285.67512493598</v>
      </c>
      <c r="O68" s="116">
        <f t="shared" si="18"/>
        <v>487901.50727230922</v>
      </c>
      <c r="P68" s="116">
        <f t="shared" si="18"/>
        <v>493549.65662710532</v>
      </c>
      <c r="Q68" s="116">
        <f t="shared" si="18"/>
        <v>499069.88843916758</v>
      </c>
      <c r="R68" s="116">
        <f t="shared" si="18"/>
        <v>504651.86268960393</v>
      </c>
      <c r="S68" s="116">
        <f t="shared" si="18"/>
        <v>510296.26995243871</v>
      </c>
      <c r="T68" s="116">
        <f t="shared" si="18"/>
        <v>516003.80852559686</v>
      </c>
      <c r="U68" s="116">
        <f t="shared" si="18"/>
        <v>521775.18451729458</v>
      </c>
      <c r="V68" s="116">
        <f t="shared" si="18"/>
        <v>527611.1119333948</v>
      </c>
      <c r="W68" s="116"/>
    </row>
    <row r="69" spans="1:23">
      <c r="A69" s="85" t="str">
        <f>+A39</f>
        <v>b. Curtailable/Interruptible Tariff</v>
      </c>
      <c r="B69" s="223">
        <f>SUM(KeyAssumptions!F12:H12)</f>
        <v>0</v>
      </c>
      <c r="C69" s="116">
        <f t="shared" ref="C69:V69" si="19">MAX(0,($B$69*C39))</f>
        <v>0</v>
      </c>
      <c r="D69" s="116">
        <f t="shared" si="19"/>
        <v>0</v>
      </c>
      <c r="E69" s="116">
        <f t="shared" si="19"/>
        <v>0</v>
      </c>
      <c r="F69" s="116">
        <f t="shared" si="19"/>
        <v>0</v>
      </c>
      <c r="G69" s="116">
        <f t="shared" si="19"/>
        <v>0</v>
      </c>
      <c r="H69" s="116">
        <f t="shared" si="19"/>
        <v>0</v>
      </c>
      <c r="I69" s="116">
        <f t="shared" si="19"/>
        <v>0</v>
      </c>
      <c r="J69" s="116">
        <f t="shared" si="19"/>
        <v>0</v>
      </c>
      <c r="K69" s="116">
        <f t="shared" si="19"/>
        <v>0</v>
      </c>
      <c r="L69" s="116">
        <f t="shared" si="19"/>
        <v>0</v>
      </c>
      <c r="M69" s="116">
        <f t="shared" si="19"/>
        <v>0</v>
      </c>
      <c r="N69" s="116">
        <f t="shared" si="19"/>
        <v>0</v>
      </c>
      <c r="O69" s="116">
        <f t="shared" si="19"/>
        <v>0</v>
      </c>
      <c r="P69" s="116">
        <f t="shared" si="19"/>
        <v>0</v>
      </c>
      <c r="Q69" s="116">
        <f t="shared" si="19"/>
        <v>0</v>
      </c>
      <c r="R69" s="116">
        <f t="shared" si="19"/>
        <v>0</v>
      </c>
      <c r="S69" s="116">
        <f t="shared" si="19"/>
        <v>0</v>
      </c>
      <c r="T69" s="116">
        <f t="shared" si="19"/>
        <v>0</v>
      </c>
      <c r="U69" s="116">
        <f t="shared" si="19"/>
        <v>0</v>
      </c>
      <c r="V69" s="116">
        <f t="shared" si="19"/>
        <v>0</v>
      </c>
      <c r="W69" s="116"/>
    </row>
    <row r="70" spans="1:23">
      <c r="A70" s="85"/>
      <c r="B70" s="110"/>
      <c r="C70" s="117"/>
      <c r="D70" s="117"/>
      <c r="E70" s="117"/>
      <c r="F70" s="117"/>
      <c r="G70" s="117"/>
      <c r="H70" s="117"/>
      <c r="I70" s="117"/>
      <c r="J70" s="117"/>
      <c r="K70" s="117"/>
      <c r="L70" s="117"/>
      <c r="M70" s="117"/>
      <c r="N70" s="117"/>
      <c r="O70" s="117"/>
      <c r="P70" s="117"/>
      <c r="Q70" s="117"/>
      <c r="R70" s="117"/>
      <c r="S70" s="117"/>
      <c r="T70" s="117"/>
      <c r="U70" s="117"/>
      <c r="V70" s="117"/>
      <c r="W70" s="117"/>
    </row>
    <row r="71" spans="1:23">
      <c r="A71" s="126" t="s">
        <v>294</v>
      </c>
      <c r="B71" s="107"/>
      <c r="C71" s="119">
        <f>SUM(C68:C69)</f>
        <v>21088.678623612119</v>
      </c>
      <c r="D71" s="119">
        <f t="shared" ref="D71:V71" si="20">SUM(D68:D69)</f>
        <v>106709.83123706358</v>
      </c>
      <c r="E71" s="119">
        <f t="shared" si="20"/>
        <v>194629.69679121298</v>
      </c>
      <c r="F71" s="119">
        <f t="shared" si="20"/>
        <v>284783.48564728443</v>
      </c>
      <c r="G71" s="119">
        <f t="shared" si="20"/>
        <v>377422.85218056338</v>
      </c>
      <c r="H71" s="119">
        <f t="shared" si="20"/>
        <v>449694.30290576781</v>
      </c>
      <c r="I71" s="119">
        <f t="shared" si="20"/>
        <v>455263.15412477782</v>
      </c>
      <c r="J71" s="119">
        <f t="shared" si="20"/>
        <v>460757.60236656741</v>
      </c>
      <c r="K71" s="119">
        <f t="shared" si="20"/>
        <v>466233.08310431667</v>
      </c>
      <c r="L71" s="119">
        <f t="shared" si="20"/>
        <v>471677.23887640517</v>
      </c>
      <c r="M71" s="119">
        <f t="shared" si="20"/>
        <v>476890.37057217915</v>
      </c>
      <c r="N71" s="119">
        <f t="shared" si="20"/>
        <v>482285.67512493598</v>
      </c>
      <c r="O71" s="119">
        <f t="shared" si="20"/>
        <v>487901.50727230922</v>
      </c>
      <c r="P71" s="119">
        <f t="shared" si="20"/>
        <v>493549.65662710532</v>
      </c>
      <c r="Q71" s="119">
        <f t="shared" si="20"/>
        <v>499069.88843916758</v>
      </c>
      <c r="R71" s="119">
        <f t="shared" si="20"/>
        <v>504651.86268960393</v>
      </c>
      <c r="S71" s="119">
        <f t="shared" si="20"/>
        <v>510296.26995243871</v>
      </c>
      <c r="T71" s="119">
        <f t="shared" si="20"/>
        <v>516003.80852559686</v>
      </c>
      <c r="U71" s="119">
        <f t="shared" si="20"/>
        <v>521775.18451729458</v>
      </c>
      <c r="V71" s="119">
        <f t="shared" si="20"/>
        <v>527611.1119333948</v>
      </c>
      <c r="W71" s="119"/>
    </row>
    <row r="72" spans="1:23">
      <c r="A72" s="110"/>
      <c r="B72" s="110"/>
      <c r="C72" s="121"/>
      <c r="D72" s="121"/>
      <c r="E72" s="121"/>
      <c r="F72" s="121"/>
      <c r="G72" s="121"/>
      <c r="H72" s="121"/>
      <c r="I72" s="121"/>
      <c r="J72" s="121"/>
      <c r="K72" s="121"/>
      <c r="L72" s="121"/>
      <c r="M72" s="121"/>
      <c r="N72" s="121"/>
      <c r="O72" s="121"/>
      <c r="P72" s="121"/>
      <c r="Q72" s="121"/>
      <c r="R72" s="121"/>
      <c r="S72" s="121"/>
      <c r="T72" s="121"/>
      <c r="U72" s="121"/>
      <c r="V72" s="121"/>
      <c r="W72" s="121"/>
    </row>
    <row r="73" spans="1:23">
      <c r="A73" s="96" t="s">
        <v>277</v>
      </c>
      <c r="B73" s="96"/>
      <c r="C73" s="111"/>
      <c r="D73" s="127"/>
      <c r="E73" s="128"/>
      <c r="F73" s="129"/>
      <c r="G73" s="120"/>
      <c r="H73" s="130"/>
      <c r="I73" s="120"/>
      <c r="J73" s="78"/>
      <c r="L73" s="78"/>
    </row>
    <row r="74" spans="1:23">
      <c r="A74" s="110"/>
      <c r="B74" s="110"/>
      <c r="C74" s="111"/>
      <c r="D74" s="127"/>
      <c r="E74" s="128"/>
      <c r="F74" s="129"/>
      <c r="G74" s="120"/>
      <c r="H74" s="130"/>
      <c r="I74" s="120"/>
      <c r="J74" s="78"/>
      <c r="L74" s="78"/>
    </row>
    <row r="75" spans="1:23">
      <c r="A75" s="492" t="s">
        <v>214</v>
      </c>
      <c r="B75" s="462" t="s">
        <v>344</v>
      </c>
      <c r="C75" s="463" t="s">
        <v>223</v>
      </c>
      <c r="D75" s="463"/>
      <c r="E75" s="463"/>
      <c r="F75" s="463"/>
      <c r="G75" s="463"/>
      <c r="H75" s="463"/>
      <c r="I75" s="463"/>
      <c r="J75" s="463"/>
      <c r="K75" s="463"/>
      <c r="L75" s="463"/>
      <c r="M75" s="463"/>
      <c r="N75" s="463"/>
      <c r="O75" s="463"/>
      <c r="P75" s="463"/>
      <c r="Q75" s="463"/>
      <c r="R75" s="463"/>
      <c r="S75" s="463"/>
      <c r="T75" s="463"/>
      <c r="U75" s="463"/>
      <c r="V75" s="463"/>
      <c r="W75" s="463"/>
    </row>
    <row r="76" spans="1:23">
      <c r="A76" s="493"/>
      <c r="B76" s="462"/>
      <c r="C76" s="100">
        <f>C5</f>
        <v>2016</v>
      </c>
      <c r="D76" s="328">
        <f t="shared" ref="D76:V76" si="21">D5</f>
        <v>2017</v>
      </c>
      <c r="E76" s="328">
        <f t="shared" si="21"/>
        <v>2018</v>
      </c>
      <c r="F76" s="328">
        <f t="shared" si="21"/>
        <v>2019</v>
      </c>
      <c r="G76" s="328">
        <f t="shared" si="21"/>
        <v>2020</v>
      </c>
      <c r="H76" s="328">
        <f t="shared" si="21"/>
        <v>2021</v>
      </c>
      <c r="I76" s="328">
        <f t="shared" si="21"/>
        <v>2022</v>
      </c>
      <c r="J76" s="328">
        <f t="shared" si="21"/>
        <v>2023</v>
      </c>
      <c r="K76" s="328">
        <f t="shared" si="21"/>
        <v>2024</v>
      </c>
      <c r="L76" s="328">
        <f t="shared" si="21"/>
        <v>2025</v>
      </c>
      <c r="M76" s="328">
        <f t="shared" si="21"/>
        <v>2026</v>
      </c>
      <c r="N76" s="328">
        <f t="shared" si="21"/>
        <v>2027</v>
      </c>
      <c r="O76" s="328">
        <f t="shared" si="21"/>
        <v>2028</v>
      </c>
      <c r="P76" s="328">
        <f t="shared" si="21"/>
        <v>2029</v>
      </c>
      <c r="Q76" s="328">
        <f t="shared" si="21"/>
        <v>2030</v>
      </c>
      <c r="R76" s="328">
        <f t="shared" si="21"/>
        <v>2031</v>
      </c>
      <c r="S76" s="328">
        <f t="shared" si="21"/>
        <v>2032</v>
      </c>
      <c r="T76" s="328">
        <f t="shared" si="21"/>
        <v>2033</v>
      </c>
      <c r="U76" s="328">
        <f t="shared" si="21"/>
        <v>2034</v>
      </c>
      <c r="V76" s="328">
        <f t="shared" si="21"/>
        <v>2035</v>
      </c>
      <c r="W76" s="328"/>
    </row>
    <row r="77" spans="1:23">
      <c r="A77" s="131"/>
      <c r="B77" s="132"/>
      <c r="C77" s="132"/>
      <c r="D77" s="133"/>
      <c r="E77" s="133"/>
      <c r="F77" s="133"/>
      <c r="G77" s="133"/>
      <c r="H77" s="133"/>
      <c r="I77" s="133"/>
      <c r="J77" s="133"/>
      <c r="K77" s="133"/>
      <c r="L77" s="133"/>
      <c r="M77" s="133"/>
      <c r="N77" s="133"/>
      <c r="O77" s="133"/>
      <c r="P77" s="133"/>
      <c r="Q77" s="133"/>
      <c r="R77" s="133"/>
      <c r="S77" s="133"/>
      <c r="T77" s="133"/>
      <c r="U77" s="133"/>
      <c r="V77" s="133"/>
      <c r="W77" s="133"/>
    </row>
    <row r="78" spans="1:23">
      <c r="A78" s="241" t="str">
        <f>A38</f>
        <v>a. Irrigation Pumping - Switch</v>
      </c>
      <c r="B78" s="136">
        <f>KeyAssumptions!J11</f>
        <v>10</v>
      </c>
      <c r="C78" s="199">
        <f>($B78-IF('7thPlanAssumptions'!$D$14=1,'7thPlanAssumptions'!$B$14,0))*C58*1000</f>
        <v>-7285.1798881569139</v>
      </c>
      <c r="D78" s="199">
        <f>($B78-IF('7thPlanAssumptions'!$D$14=1,'7thPlanAssumptions'!$B$14,0))*D58*1000</f>
        <v>-36863.396245531054</v>
      </c>
      <c r="E78" s="199">
        <f>($B78-IF('7thPlanAssumptions'!$D$14=1,'7thPlanAssumptions'!$B$14,0))*E58*1000</f>
        <v>-67235.713436964492</v>
      </c>
      <c r="F78" s="199">
        <f>($B78-IF('7thPlanAssumptions'!$D$14=1,'7thPlanAssumptions'!$B$14,0))*F58*1000</f>
        <v>-98379.749587243714</v>
      </c>
      <c r="G78" s="199">
        <f>($B78-IF('7thPlanAssumptions'!$D$14=1,'7thPlanAssumptions'!$B$14,0))*G58*1000</f>
        <v>-130382.43984419461</v>
      </c>
      <c r="H78" s="199">
        <f>($B78-IF('7thPlanAssumptions'!$D$14=1,'7thPlanAssumptions'!$B$14,0))*H58*1000</f>
        <v>-155348.9410038107</v>
      </c>
      <c r="I78" s="199">
        <f>($B78-IF('7thPlanAssumptions'!$D$14=1,'7thPlanAssumptions'!$B$14,0))*I58*1000</f>
        <v>-157272.72597037783</v>
      </c>
      <c r="J78" s="199">
        <f>($B78-IF('7thPlanAssumptions'!$D$14=1,'7thPlanAssumptions'!$B$14,0))*J58*1000</f>
        <v>-159170.80809026872</v>
      </c>
      <c r="K78" s="199">
        <f>($B78-IF('7thPlanAssumptions'!$D$14=1,'7thPlanAssumptions'!$B$14,0))*K58*1000</f>
        <v>-161062.33779967303</v>
      </c>
      <c r="L78" s="199">
        <f>($B78-IF('7thPlanAssumptions'!$D$14=1,'7thPlanAssumptions'!$B$14,0))*L58*1000</f>
        <v>-162943.04615730359</v>
      </c>
      <c r="M78" s="199">
        <f>($B78-IF('7thPlanAssumptions'!$D$14=1,'7thPlanAssumptions'!$B$14,0))*M58*1000</f>
        <v>-164743.94619766189</v>
      </c>
      <c r="N78" s="199">
        <f>($B78-IF('7thPlanAssumptions'!$D$14=1,'7thPlanAssumptions'!$B$14,0))*N58*1000</f>
        <v>-166607.77867952333</v>
      </c>
      <c r="O78" s="199">
        <f>($B78-IF('7thPlanAssumptions'!$D$14=1,'7thPlanAssumptions'!$B$14,0))*O58*1000</f>
        <v>-168547.79342134317</v>
      </c>
      <c r="P78" s="199">
        <f>($B78-IF('7thPlanAssumptions'!$D$14=1,'7thPlanAssumptions'!$B$14,0))*P58*1000</f>
        <v>-170498.97228936365</v>
      </c>
      <c r="Q78" s="199">
        <f>($B78-IF('7thPlanAssumptions'!$D$14=1,'7thPlanAssumptions'!$B$14,0))*Q58*1000</f>
        <v>-172405.96146080337</v>
      </c>
      <c r="R78" s="199">
        <f>($B78-IF('7thPlanAssumptions'!$D$14=1,'7thPlanAssumptions'!$B$14,0))*R58*1000</f>
        <v>-174334.27983822682</v>
      </c>
      <c r="S78" s="199">
        <f>($B78-IF('7thPlanAssumptions'!$D$14=1,'7thPlanAssumptions'!$B$14,0))*S58*1000</f>
        <v>-176284.16598356975</v>
      </c>
      <c r="T78" s="199">
        <f>($B78-IF('7thPlanAssumptions'!$D$14=1,'7thPlanAssumptions'!$B$14,0))*T58*1000</f>
        <v>-178255.8611270244</v>
      </c>
      <c r="U78" s="199">
        <f>($B78-IF('7thPlanAssumptions'!$D$14=1,'7thPlanAssumptions'!$B$14,0))*U58*1000</f>
        <v>-180249.60919688357</v>
      </c>
      <c r="V78" s="199">
        <f>($B78-IF('7thPlanAssumptions'!$D$14=1,'7thPlanAssumptions'!$B$14,0))*V58*1000</f>
        <v>-182265.65684971819</v>
      </c>
      <c r="W78" s="199"/>
    </row>
    <row r="79" spans="1:23">
      <c r="A79" s="135" t="str">
        <f>A39</f>
        <v>b. Curtailable/Interruptible Tariff</v>
      </c>
      <c r="B79" s="136">
        <f>KeyAssumptions!J12</f>
        <v>10</v>
      </c>
      <c r="C79" s="199">
        <f>($B79-IF('7thPlanAssumptions'!$D$14=1,'7thPlanAssumptions'!$B$14,0))*C59*1000</f>
        <v>-412826.8603288919</v>
      </c>
      <c r="D79" s="199">
        <f>($B79-IF('7thPlanAssumptions'!$D$14=1,'7thPlanAssumptions'!$B$14,0))*D59*1000</f>
        <v>-2088925.7872467597</v>
      </c>
      <c r="E79" s="199">
        <f>($B79-IF('7thPlanAssumptions'!$D$14=1,'7thPlanAssumptions'!$B$14,0))*E59*1000</f>
        <v>-3810023.7614279878</v>
      </c>
      <c r="F79" s="199">
        <f>($B79-IF('7thPlanAssumptions'!$D$14=1,'7thPlanAssumptions'!$B$14,0))*F59*1000</f>
        <v>-5574852.4766104771</v>
      </c>
      <c r="G79" s="199">
        <f>($B79-IF('7thPlanAssumptions'!$D$14=1,'7thPlanAssumptions'!$B$14,0))*G59*1000</f>
        <v>-7388338.2578376951</v>
      </c>
      <c r="H79" s="199">
        <f>($B79-IF('7thPlanAssumptions'!$D$14=1,'7thPlanAssumptions'!$B$14,0))*H59*1000</f>
        <v>-8803106.6568826046</v>
      </c>
      <c r="I79" s="199">
        <f>($B79-IF('7thPlanAssumptions'!$D$14=1,'7thPlanAssumptions'!$B$14,0))*I59*1000</f>
        <v>-8912121.138321409</v>
      </c>
      <c r="J79" s="199">
        <f>($B79-IF('7thPlanAssumptions'!$D$14=1,'7thPlanAssumptions'!$B$14,0))*J59*1000</f>
        <v>-9019679.1251152288</v>
      </c>
      <c r="K79" s="199">
        <f>($B79-IF('7thPlanAssumptions'!$D$14=1,'7thPlanAssumptions'!$B$14,0))*K59*1000</f>
        <v>-9126865.8086481392</v>
      </c>
      <c r="L79" s="199">
        <f>($B79-IF('7thPlanAssumptions'!$D$14=1,'7thPlanAssumptions'!$B$14,0))*L59*1000</f>
        <v>-9233439.2822472043</v>
      </c>
      <c r="M79" s="199">
        <f>($B79-IF('7thPlanAssumptions'!$D$14=1,'7thPlanAssumptions'!$B$14,0))*M59*1000</f>
        <v>-9335490.2845341731</v>
      </c>
      <c r="N79" s="199">
        <f>($B79-IF('7thPlanAssumptions'!$D$14=1,'7thPlanAssumptions'!$B$14,0))*N59*1000</f>
        <v>-9441107.4585063215</v>
      </c>
      <c r="O79" s="199">
        <f>($B79-IF('7thPlanAssumptions'!$D$14=1,'7thPlanAssumptions'!$B$14,0))*O59*1000</f>
        <v>-9551041.6272094473</v>
      </c>
      <c r="P79" s="199">
        <f>($B79-IF('7thPlanAssumptions'!$D$14=1,'7thPlanAssumptions'!$B$14,0))*P59*1000</f>
        <v>-9661608.4297306053</v>
      </c>
      <c r="Q79" s="199">
        <f>($B79-IF('7thPlanAssumptions'!$D$14=1,'7thPlanAssumptions'!$B$14,0))*Q59*1000</f>
        <v>-9769671.1494455207</v>
      </c>
      <c r="R79" s="199">
        <f>($B79-IF('7thPlanAssumptions'!$D$14=1,'7thPlanAssumptions'!$B$14,0))*R59*1000</f>
        <v>-9878942.5241661891</v>
      </c>
      <c r="S79" s="199">
        <f>($B79-IF('7thPlanAssumptions'!$D$14=1,'7thPlanAssumptions'!$B$14,0))*S59*1000</f>
        <v>-9989436.0724022854</v>
      </c>
      <c r="T79" s="199">
        <f>($B79-IF('7thPlanAssumptions'!$D$14=1,'7thPlanAssumptions'!$B$14,0))*T59*1000</f>
        <v>-10101165.463864716</v>
      </c>
      <c r="U79" s="199">
        <f>($B79-IF('7thPlanAssumptions'!$D$14=1,'7thPlanAssumptions'!$B$14,0))*U59*1000</f>
        <v>-10214144.521156736</v>
      </c>
      <c r="V79" s="199">
        <f>($B79-IF('7thPlanAssumptions'!$D$14=1,'7thPlanAssumptions'!$B$14,0))*V59*1000</f>
        <v>-10328387.22148403</v>
      </c>
      <c r="W79" s="199"/>
    </row>
    <row r="80" spans="1:23">
      <c r="A80" s="141"/>
      <c r="B80" s="142"/>
      <c r="C80" s="134"/>
      <c r="D80" s="134"/>
      <c r="E80" s="134"/>
      <c r="F80" s="134"/>
      <c r="G80" s="134"/>
      <c r="H80" s="134"/>
      <c r="I80" s="134"/>
      <c r="J80" s="134"/>
      <c r="K80" s="134"/>
      <c r="L80" s="134"/>
      <c r="M80" s="134"/>
      <c r="N80" s="134"/>
      <c r="O80" s="134"/>
      <c r="P80" s="134"/>
      <c r="Q80" s="134"/>
      <c r="R80" s="134"/>
      <c r="S80" s="134"/>
      <c r="T80" s="134"/>
      <c r="U80" s="134"/>
      <c r="V80" s="134"/>
      <c r="W80" s="134"/>
    </row>
    <row r="81" spans="1:23">
      <c r="A81" s="143" t="s">
        <v>224</v>
      </c>
      <c r="B81" s="144"/>
      <c r="C81" s="145">
        <f>SUM(C78:C79)</f>
        <v>-420112.04021704884</v>
      </c>
      <c r="D81" s="145">
        <f t="shared" ref="D81:V81" si="22">SUM(D78:D79)</f>
        <v>-2125789.1834922908</v>
      </c>
      <c r="E81" s="145">
        <f t="shared" si="22"/>
        <v>-3877259.4748649523</v>
      </c>
      <c r="F81" s="145">
        <f t="shared" si="22"/>
        <v>-5673232.2261977205</v>
      </c>
      <c r="G81" s="145">
        <f t="shared" si="22"/>
        <v>-7518720.6976818899</v>
      </c>
      <c r="H81" s="145">
        <f t="shared" si="22"/>
        <v>-8958455.5978864152</v>
      </c>
      <c r="I81" s="145">
        <f t="shared" si="22"/>
        <v>-9069393.8642917871</v>
      </c>
      <c r="J81" s="145">
        <f t="shared" si="22"/>
        <v>-9178849.9332054984</v>
      </c>
      <c r="K81" s="145">
        <f t="shared" si="22"/>
        <v>-9287928.1464478131</v>
      </c>
      <c r="L81" s="145">
        <f t="shared" si="22"/>
        <v>-9396382.3284045085</v>
      </c>
      <c r="M81" s="145">
        <f t="shared" si="22"/>
        <v>-9500234.2307318356</v>
      </c>
      <c r="N81" s="145">
        <f t="shared" si="22"/>
        <v>-9607715.2371858452</v>
      </c>
      <c r="O81" s="145">
        <f t="shared" si="22"/>
        <v>-9719589.4206307903</v>
      </c>
      <c r="P81" s="145">
        <f t="shared" si="22"/>
        <v>-9832107.4020199683</v>
      </c>
      <c r="Q81" s="145">
        <f t="shared" si="22"/>
        <v>-9942077.1109063234</v>
      </c>
      <c r="R81" s="145">
        <f t="shared" si="22"/>
        <v>-10053276.804004416</v>
      </c>
      <c r="S81" s="145">
        <f t="shared" si="22"/>
        <v>-10165720.238385854</v>
      </c>
      <c r="T81" s="145">
        <f t="shared" si="22"/>
        <v>-10279421.32499174</v>
      </c>
      <c r="U81" s="145">
        <f t="shared" si="22"/>
        <v>-10394394.130353618</v>
      </c>
      <c r="V81" s="145">
        <f t="shared" si="22"/>
        <v>-10510652.878333747</v>
      </c>
      <c r="W81" s="145"/>
    </row>
    <row r="82" spans="1:23">
      <c r="A82" s="120"/>
      <c r="B82" s="120"/>
      <c r="C82" s="146"/>
      <c r="D82" s="146"/>
      <c r="E82" s="146"/>
      <c r="F82" s="146"/>
      <c r="G82" s="146"/>
      <c r="H82" s="146"/>
      <c r="I82" s="146"/>
      <c r="J82" s="146"/>
      <c r="K82" s="146"/>
      <c r="L82" s="146"/>
      <c r="M82" s="146"/>
      <c r="N82" s="146"/>
      <c r="O82" s="146"/>
      <c r="P82" s="146"/>
      <c r="Q82" s="146"/>
      <c r="R82" s="146"/>
      <c r="S82" s="146"/>
      <c r="T82" s="146"/>
      <c r="U82" s="146"/>
      <c r="V82" s="146"/>
      <c r="W82" s="146"/>
    </row>
    <row r="83" spans="1:23">
      <c r="A83" s="96" t="s">
        <v>308</v>
      </c>
      <c r="B83" s="96"/>
      <c r="C83" s="111"/>
      <c r="D83" s="127"/>
      <c r="E83" s="128"/>
      <c r="F83" s="190"/>
      <c r="G83" s="120"/>
      <c r="H83" s="130"/>
      <c r="I83" s="120"/>
      <c r="J83" s="78"/>
      <c r="L83" s="78"/>
    </row>
    <row r="84" spans="1:23">
      <c r="A84" s="110"/>
      <c r="B84" s="110"/>
      <c r="C84" s="111"/>
      <c r="D84" s="127"/>
      <c r="E84" s="128"/>
      <c r="F84" s="129"/>
      <c r="G84" s="120"/>
      <c r="H84" s="130"/>
      <c r="I84" s="120"/>
      <c r="J84" s="78"/>
      <c r="L84" s="78"/>
    </row>
    <row r="85" spans="1:23">
      <c r="A85" s="490" t="s">
        <v>214</v>
      </c>
      <c r="B85" s="491"/>
      <c r="C85" s="206">
        <f>C5</f>
        <v>2016</v>
      </c>
      <c r="D85" s="327">
        <f t="shared" ref="D85:V85" si="23">D5</f>
        <v>2017</v>
      </c>
      <c r="E85" s="327">
        <f t="shared" si="23"/>
        <v>2018</v>
      </c>
      <c r="F85" s="327">
        <f t="shared" si="23"/>
        <v>2019</v>
      </c>
      <c r="G85" s="327">
        <f t="shared" si="23"/>
        <v>2020</v>
      </c>
      <c r="H85" s="327">
        <f t="shared" si="23"/>
        <v>2021</v>
      </c>
      <c r="I85" s="327">
        <f t="shared" si="23"/>
        <v>2022</v>
      </c>
      <c r="J85" s="327">
        <f t="shared" si="23"/>
        <v>2023</v>
      </c>
      <c r="K85" s="327">
        <f t="shared" si="23"/>
        <v>2024</v>
      </c>
      <c r="L85" s="327">
        <f t="shared" si="23"/>
        <v>2025</v>
      </c>
      <c r="M85" s="327">
        <f t="shared" si="23"/>
        <v>2026</v>
      </c>
      <c r="N85" s="327">
        <f t="shared" si="23"/>
        <v>2027</v>
      </c>
      <c r="O85" s="327">
        <f t="shared" si="23"/>
        <v>2028</v>
      </c>
      <c r="P85" s="327">
        <f t="shared" si="23"/>
        <v>2029</v>
      </c>
      <c r="Q85" s="327">
        <f t="shared" si="23"/>
        <v>2030</v>
      </c>
      <c r="R85" s="327">
        <f t="shared" si="23"/>
        <v>2031</v>
      </c>
      <c r="S85" s="327">
        <f t="shared" si="23"/>
        <v>2032</v>
      </c>
      <c r="T85" s="327">
        <f t="shared" si="23"/>
        <v>2033</v>
      </c>
      <c r="U85" s="327">
        <f t="shared" si="23"/>
        <v>2034</v>
      </c>
      <c r="V85" s="327">
        <f t="shared" si="23"/>
        <v>2035</v>
      </c>
      <c r="W85" s="327"/>
    </row>
    <row r="86" spans="1:23">
      <c r="A86" s="143" t="str">
        <f>A71</f>
        <v>TOTAL ENABLEMENT COSTS</v>
      </c>
      <c r="B86" s="147"/>
      <c r="C86" s="148">
        <f t="shared" ref="C86:V86" si="24">C71</f>
        <v>21088.678623612119</v>
      </c>
      <c r="D86" s="148">
        <f t="shared" si="24"/>
        <v>106709.83123706358</v>
      </c>
      <c r="E86" s="148">
        <f t="shared" si="24"/>
        <v>194629.69679121298</v>
      </c>
      <c r="F86" s="148">
        <f t="shared" si="24"/>
        <v>284783.48564728443</v>
      </c>
      <c r="G86" s="148">
        <f t="shared" si="24"/>
        <v>377422.85218056338</v>
      </c>
      <c r="H86" s="148">
        <f t="shared" si="24"/>
        <v>449694.30290576781</v>
      </c>
      <c r="I86" s="148">
        <f t="shared" si="24"/>
        <v>455263.15412477782</v>
      </c>
      <c r="J86" s="148">
        <f t="shared" si="24"/>
        <v>460757.60236656741</v>
      </c>
      <c r="K86" s="148">
        <f t="shared" si="24"/>
        <v>466233.08310431667</v>
      </c>
      <c r="L86" s="148">
        <f t="shared" si="24"/>
        <v>471677.23887640517</v>
      </c>
      <c r="M86" s="148">
        <f t="shared" si="24"/>
        <v>476890.37057217915</v>
      </c>
      <c r="N86" s="148">
        <f t="shared" si="24"/>
        <v>482285.67512493598</v>
      </c>
      <c r="O86" s="148">
        <f t="shared" si="24"/>
        <v>487901.50727230922</v>
      </c>
      <c r="P86" s="148">
        <f t="shared" si="24"/>
        <v>493549.65662710532</v>
      </c>
      <c r="Q86" s="148">
        <f t="shared" si="24"/>
        <v>499069.88843916758</v>
      </c>
      <c r="R86" s="148">
        <f t="shared" si="24"/>
        <v>504651.86268960393</v>
      </c>
      <c r="S86" s="148">
        <f t="shared" si="24"/>
        <v>510296.26995243871</v>
      </c>
      <c r="T86" s="148">
        <f t="shared" si="24"/>
        <v>516003.80852559686</v>
      </c>
      <c r="U86" s="148">
        <f t="shared" si="24"/>
        <v>521775.18451729458</v>
      </c>
      <c r="V86" s="148">
        <f t="shared" si="24"/>
        <v>527611.1119333948</v>
      </c>
      <c r="W86" s="148"/>
    </row>
    <row r="87" spans="1:23">
      <c r="A87" s="143" t="str">
        <f>A81</f>
        <v>TOTAL IMPLEMENTATION COST</v>
      </c>
      <c r="B87" s="147"/>
      <c r="C87" s="148">
        <f t="shared" ref="C87:V87" si="25">C81</f>
        <v>-420112.04021704884</v>
      </c>
      <c r="D87" s="148">
        <f t="shared" si="25"/>
        <v>-2125789.1834922908</v>
      </c>
      <c r="E87" s="148">
        <f t="shared" si="25"/>
        <v>-3877259.4748649523</v>
      </c>
      <c r="F87" s="148">
        <f t="shared" si="25"/>
        <v>-5673232.2261977205</v>
      </c>
      <c r="G87" s="148">
        <f t="shared" si="25"/>
        <v>-7518720.6976818899</v>
      </c>
      <c r="H87" s="148">
        <f t="shared" si="25"/>
        <v>-8958455.5978864152</v>
      </c>
      <c r="I87" s="148">
        <f t="shared" si="25"/>
        <v>-9069393.8642917871</v>
      </c>
      <c r="J87" s="148">
        <f t="shared" si="25"/>
        <v>-9178849.9332054984</v>
      </c>
      <c r="K87" s="148">
        <f t="shared" si="25"/>
        <v>-9287928.1464478131</v>
      </c>
      <c r="L87" s="148">
        <f t="shared" si="25"/>
        <v>-9396382.3284045085</v>
      </c>
      <c r="M87" s="148">
        <f t="shared" si="25"/>
        <v>-9500234.2307318356</v>
      </c>
      <c r="N87" s="148">
        <f t="shared" si="25"/>
        <v>-9607715.2371858452</v>
      </c>
      <c r="O87" s="148">
        <f t="shared" si="25"/>
        <v>-9719589.4206307903</v>
      </c>
      <c r="P87" s="148">
        <f t="shared" si="25"/>
        <v>-9832107.4020199683</v>
      </c>
      <c r="Q87" s="148">
        <f t="shared" si="25"/>
        <v>-9942077.1109063234</v>
      </c>
      <c r="R87" s="148">
        <f t="shared" si="25"/>
        <v>-10053276.804004416</v>
      </c>
      <c r="S87" s="148">
        <f t="shared" si="25"/>
        <v>-10165720.238385854</v>
      </c>
      <c r="T87" s="148">
        <f t="shared" si="25"/>
        <v>-10279421.32499174</v>
      </c>
      <c r="U87" s="148">
        <f t="shared" si="25"/>
        <v>-10394394.130353618</v>
      </c>
      <c r="V87" s="148">
        <f t="shared" si="25"/>
        <v>-10510652.878333747</v>
      </c>
      <c r="W87" s="148"/>
    </row>
    <row r="88" spans="1:23">
      <c r="A88" s="149" t="s">
        <v>226</v>
      </c>
      <c r="B88" s="147"/>
      <c r="C88" s="150">
        <f t="shared" ref="C88:V88" si="26">SUM(C86:C87)</f>
        <v>-399023.36159343674</v>
      </c>
      <c r="D88" s="150">
        <f t="shared" si="26"/>
        <v>-2019079.3522552273</v>
      </c>
      <c r="E88" s="150">
        <f t="shared" si="26"/>
        <v>-3682629.7780737393</v>
      </c>
      <c r="F88" s="150">
        <f t="shared" si="26"/>
        <v>-5388448.7405504361</v>
      </c>
      <c r="G88" s="150">
        <f t="shared" si="26"/>
        <v>-7141297.845501326</v>
      </c>
      <c r="H88" s="150">
        <f t="shared" si="26"/>
        <v>-8508761.294980647</v>
      </c>
      <c r="I88" s="150">
        <f t="shared" si="26"/>
        <v>-8614130.7101670094</v>
      </c>
      <c r="J88" s="150">
        <f t="shared" si="26"/>
        <v>-8718092.3308389317</v>
      </c>
      <c r="K88" s="150">
        <f t="shared" si="26"/>
        <v>-8821695.063343497</v>
      </c>
      <c r="L88" s="150">
        <f t="shared" si="26"/>
        <v>-8924705.0895281024</v>
      </c>
      <c r="M88" s="150">
        <f t="shared" si="26"/>
        <v>-9023343.860159656</v>
      </c>
      <c r="N88" s="150">
        <f t="shared" si="26"/>
        <v>-9125429.5620609093</v>
      </c>
      <c r="O88" s="150">
        <f t="shared" si="26"/>
        <v>-9231687.9133584816</v>
      </c>
      <c r="P88" s="150">
        <f t="shared" si="26"/>
        <v>-9338557.7453928627</v>
      </c>
      <c r="Q88" s="150">
        <f t="shared" si="26"/>
        <v>-9443007.2224671561</v>
      </c>
      <c r="R88" s="150">
        <f t="shared" si="26"/>
        <v>-9548624.9413148127</v>
      </c>
      <c r="S88" s="150">
        <f t="shared" si="26"/>
        <v>-9655423.9684334155</v>
      </c>
      <c r="T88" s="150">
        <f t="shared" si="26"/>
        <v>-9763417.5164661426</v>
      </c>
      <c r="U88" s="150">
        <f t="shared" si="26"/>
        <v>-9872618.9458363242</v>
      </c>
      <c r="V88" s="150">
        <f t="shared" si="26"/>
        <v>-9983041.7664003521</v>
      </c>
      <c r="W88" s="150"/>
    </row>
  </sheetData>
  <mergeCells count="15">
    <mergeCell ref="A85:B85"/>
    <mergeCell ref="B75:B76"/>
    <mergeCell ref="A75:A76"/>
    <mergeCell ref="A1:W1"/>
    <mergeCell ref="C4:W4"/>
    <mergeCell ref="C35:W35"/>
    <mergeCell ref="A45:A46"/>
    <mergeCell ref="B45:B46"/>
    <mergeCell ref="C45:W45"/>
    <mergeCell ref="A65:A66"/>
    <mergeCell ref="B65:B66"/>
    <mergeCell ref="C65:W65"/>
    <mergeCell ref="C75:W75"/>
    <mergeCell ref="B55:B56"/>
    <mergeCell ref="C55:W55"/>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sheetPr>
    <tabColor theme="4" tint="0.39997558519241921"/>
  </sheetPr>
  <dimension ref="A1:X118"/>
  <sheetViews>
    <sheetView topLeftCell="A95" workbookViewId="0">
      <selection activeCell="I132" sqref="I132"/>
    </sheetView>
  </sheetViews>
  <sheetFormatPr defaultRowHeight="12.75"/>
  <cols>
    <col min="1" max="1" width="33.85546875" style="76" customWidth="1"/>
    <col min="2" max="2" width="30.5703125" style="76" customWidth="1"/>
    <col min="3" max="4" width="15" style="76" customWidth="1"/>
    <col min="5" max="5" width="17" style="76" bestFit="1" customWidth="1"/>
    <col min="6" max="7" width="12.85546875" style="76" customWidth="1"/>
    <col min="8" max="8" width="13.7109375" style="76" customWidth="1"/>
    <col min="9" max="23" width="12.85546875" style="76" customWidth="1"/>
    <col min="24"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301</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67" t="s">
        <v>230</v>
      </c>
      <c r="D4" s="467"/>
      <c r="E4" s="467"/>
      <c r="F4" s="467"/>
      <c r="G4" s="467"/>
      <c r="H4" s="467"/>
      <c r="I4" s="467"/>
      <c r="J4" s="467"/>
      <c r="K4" s="467"/>
      <c r="L4" s="467"/>
      <c r="M4" s="467"/>
      <c r="N4" s="467"/>
      <c r="O4" s="467"/>
      <c r="P4" s="467"/>
      <c r="Q4" s="467"/>
      <c r="R4" s="467"/>
      <c r="S4" s="467"/>
      <c r="T4" s="467"/>
      <c r="U4" s="467"/>
      <c r="V4" s="467"/>
      <c r="W4" s="468"/>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ht="13.5" thickBot="1">
      <c r="A6" s="161"/>
      <c r="B6" s="162" t="s">
        <v>234</v>
      </c>
      <c r="C6" s="332">
        <f>HLOOKUP('Res-Capacity-Base'!C$5,'NW Customers'!$B$2:$AO$5,2)</f>
        <v>6345977</v>
      </c>
      <c r="D6" s="332">
        <f>HLOOKUP('Res-Capacity-Base'!D$5,'NW Customers'!$B$2:$AO$5,2)</f>
        <v>6441457</v>
      </c>
      <c r="E6" s="332">
        <f>HLOOKUP('Res-Capacity-Base'!E$5,'NW Customers'!$B$2:$AO$5,2)</f>
        <v>6536223</v>
      </c>
      <c r="F6" s="332">
        <f>HLOOKUP('Res-Capacity-Base'!F$5,'NW Customers'!$B$2:$AO$5,2)</f>
        <v>6630423</v>
      </c>
      <c r="G6" s="332">
        <f>HLOOKUP('Res-Capacity-Base'!G$5,'NW Customers'!$B$2:$AO$5,2)</f>
        <v>6724196</v>
      </c>
      <c r="H6" s="332">
        <f>HLOOKUP('Res-Capacity-Base'!H$5,'NW Customers'!$B$2:$AO$5,2)</f>
        <v>6816156</v>
      </c>
      <c r="I6" s="332">
        <f>HLOOKUP('Res-Capacity-Base'!I$5,'NW Customers'!$B$2:$AO$5,2)</f>
        <v>6907512</v>
      </c>
      <c r="J6" s="332">
        <f>HLOOKUP('Res-Capacity-Base'!J$5,'NW Customers'!$B$2:$AO$5,2)</f>
        <v>6998378</v>
      </c>
      <c r="K6" s="332">
        <f>HLOOKUP('Res-Capacity-Base'!K$5,'NW Customers'!$B$2:$AO$5,2)</f>
        <v>7088375</v>
      </c>
      <c r="L6" s="332">
        <f>HLOOKUP('Res-Capacity-Base'!L$5,'NW Customers'!$B$2:$AO$5,2)</f>
        <v>7177924</v>
      </c>
      <c r="M6" s="332">
        <f>HLOOKUP('Res-Capacity-Base'!M$5,'NW Customers'!$B$2:$AO$5,2)</f>
        <v>7266466</v>
      </c>
      <c r="N6" s="332">
        <f>HLOOKUP('Res-Capacity-Base'!N$5,'NW Customers'!$B$2:$AO$5,2)</f>
        <v>7353492</v>
      </c>
      <c r="O6" s="332">
        <f>HLOOKUP('Res-Capacity-Base'!O$5,'NW Customers'!$B$2:$AO$5,2)</f>
        <v>7438640</v>
      </c>
      <c r="P6" s="332">
        <f>HLOOKUP('Res-Capacity-Base'!P$5,'NW Customers'!$B$2:$AO$5,2)</f>
        <v>7522347</v>
      </c>
      <c r="Q6" s="332">
        <f>HLOOKUP('Res-Capacity-Base'!Q$5,'NW Customers'!$B$2:$AO$5,2)</f>
        <v>7605304</v>
      </c>
      <c r="R6" s="332">
        <f>HLOOKUP('Res-Capacity-Base'!R$5,'NW Customers'!$B$2:$AO$5,2)</f>
        <v>7689175.8559417697</v>
      </c>
      <c r="S6" s="332">
        <f>HLOOKUP('Res-Capacity-Base'!S$5,'NW Customers'!$B$2:$AO$5,2)</f>
        <v>7773972.6569244107</v>
      </c>
      <c r="T6" s="332">
        <f>HLOOKUP('Res-Capacity-Base'!T$5,'NW Customers'!$B$2:$AO$5,2)</f>
        <v>7859704.6033103568</v>
      </c>
      <c r="U6" s="332">
        <f>HLOOKUP('Res-Capacity-Base'!U$5,'NW Customers'!$B$2:$AO$5,2)</f>
        <v>7946382.0079523949</v>
      </c>
      <c r="V6" s="332">
        <f>HLOOKUP('Res-Capacity-Base'!V$5,'NW Customers'!$B$2:$AO$5,2)</f>
        <v>8034015.2974342164</v>
      </c>
      <c r="W6" s="169"/>
    </row>
    <row r="7" spans="1:23" ht="16.5" thickBot="1">
      <c r="A7" s="170"/>
      <c r="B7" s="170"/>
      <c r="C7" s="170"/>
      <c r="D7" s="171"/>
      <c r="E7" s="171"/>
      <c r="F7" s="171"/>
      <c r="G7" s="171"/>
      <c r="H7" s="171"/>
      <c r="I7" s="171"/>
      <c r="J7" s="171"/>
      <c r="K7" s="171"/>
      <c r="L7" s="171"/>
      <c r="M7" s="172"/>
      <c r="N7" s="172"/>
      <c r="O7" s="172"/>
      <c r="P7" s="172"/>
      <c r="Q7" s="172"/>
      <c r="R7" s="172"/>
      <c r="S7" s="172"/>
      <c r="T7" s="172"/>
      <c r="U7" s="172"/>
      <c r="V7" s="172"/>
      <c r="W7" s="172"/>
    </row>
    <row r="8" spans="1:23" ht="15.75">
      <c r="A8" s="151" t="s">
        <v>245</v>
      </c>
      <c r="B8" s="152"/>
      <c r="C8" s="152"/>
      <c r="D8" s="153"/>
      <c r="E8" s="153"/>
      <c r="F8" s="153"/>
      <c r="G8" s="153"/>
      <c r="H8" s="153"/>
      <c r="I8" s="153"/>
      <c r="J8" s="153"/>
      <c r="K8" s="153"/>
      <c r="L8" s="153"/>
      <c r="M8" s="154"/>
      <c r="N8" s="154"/>
      <c r="O8" s="154"/>
      <c r="P8" s="154"/>
      <c r="Q8" s="154"/>
      <c r="R8" s="154"/>
      <c r="S8" s="154"/>
      <c r="T8" s="154"/>
      <c r="U8" s="154"/>
      <c r="V8" s="154"/>
      <c r="W8" s="155"/>
    </row>
    <row r="9" spans="1:23" ht="15.75">
      <c r="A9" s="185"/>
      <c r="B9" s="158" t="s">
        <v>241</v>
      </c>
      <c r="C9" s="174">
        <f>KeyAssumptions!W4</f>
        <v>0.33</v>
      </c>
      <c r="D9" s="163"/>
      <c r="E9" s="163"/>
      <c r="F9" s="163"/>
      <c r="G9" s="163"/>
      <c r="H9" s="163"/>
      <c r="I9" s="163"/>
      <c r="J9" s="163"/>
      <c r="K9" s="163"/>
      <c r="L9" s="163"/>
      <c r="M9" s="164"/>
      <c r="N9" s="164"/>
      <c r="O9" s="164"/>
      <c r="P9" s="164"/>
      <c r="Q9" s="164"/>
      <c r="R9" s="164"/>
      <c r="S9" s="164"/>
      <c r="T9" s="164"/>
      <c r="U9" s="164"/>
      <c r="V9" s="164"/>
      <c r="W9" s="165"/>
    </row>
    <row r="10" spans="1:23" ht="15.75">
      <c r="A10" s="185"/>
      <c r="B10" s="158" t="s">
        <v>207</v>
      </c>
      <c r="C10" s="174">
        <f>KeyAssumptions!X4</f>
        <v>0.25</v>
      </c>
      <c r="D10" s="163"/>
      <c r="E10" s="163"/>
      <c r="F10" s="163"/>
      <c r="G10" s="163"/>
      <c r="H10" s="163"/>
      <c r="I10" s="163"/>
      <c r="J10" s="163"/>
      <c r="K10" s="163"/>
      <c r="L10" s="163"/>
      <c r="M10" s="164"/>
      <c r="N10" s="164"/>
      <c r="O10" s="164"/>
      <c r="P10" s="164"/>
      <c r="Q10" s="164"/>
      <c r="R10" s="164"/>
      <c r="S10" s="164"/>
      <c r="T10" s="164"/>
      <c r="U10" s="164"/>
      <c r="V10" s="164"/>
      <c r="W10" s="165"/>
    </row>
    <row r="11" spans="1:23" ht="15.75" customHeight="1">
      <c r="A11" s="185"/>
      <c r="B11" s="188" t="s">
        <v>343</v>
      </c>
      <c r="C11" s="174">
        <v>0.95</v>
      </c>
      <c r="D11" s="163"/>
      <c r="E11" s="163"/>
      <c r="F11" s="163"/>
      <c r="G11" s="163"/>
      <c r="H11" s="163"/>
      <c r="I11" s="163"/>
      <c r="J11" s="163"/>
      <c r="K11" s="163"/>
      <c r="L11" s="163"/>
      <c r="M11" s="164"/>
      <c r="N11" s="164"/>
      <c r="O11" s="164"/>
      <c r="P11" s="164"/>
      <c r="Q11" s="164"/>
      <c r="R11" s="164"/>
      <c r="S11" s="164"/>
      <c r="T11" s="164"/>
      <c r="U11" s="164"/>
      <c r="V11" s="164"/>
      <c r="W11" s="165"/>
    </row>
    <row r="12" spans="1:23" ht="15.75">
      <c r="A12" s="185"/>
      <c r="B12" s="157"/>
      <c r="C12" s="157"/>
      <c r="D12" s="163"/>
      <c r="E12" s="163"/>
      <c r="F12" s="163"/>
      <c r="G12" s="163"/>
      <c r="H12" s="163"/>
      <c r="I12" s="163"/>
      <c r="J12" s="163"/>
      <c r="K12" s="163"/>
      <c r="L12" s="163"/>
      <c r="M12" s="164"/>
      <c r="N12" s="164"/>
      <c r="O12" s="164"/>
      <c r="P12" s="164"/>
      <c r="Q12" s="164"/>
      <c r="R12" s="164"/>
      <c r="S12" s="164"/>
      <c r="T12" s="164"/>
      <c r="U12" s="164"/>
      <c r="V12" s="164"/>
      <c r="W12" s="165"/>
    </row>
    <row r="13" spans="1:23">
      <c r="A13" s="156"/>
      <c r="B13" s="158" t="s">
        <v>1</v>
      </c>
      <c r="C13" s="159">
        <f>C5</f>
        <v>2016</v>
      </c>
      <c r="D13" s="159">
        <f t="shared" ref="D13:V13" si="0">D5</f>
        <v>2017</v>
      </c>
      <c r="E13" s="159">
        <f t="shared" si="0"/>
        <v>2018</v>
      </c>
      <c r="F13" s="159">
        <f t="shared" si="0"/>
        <v>2019</v>
      </c>
      <c r="G13" s="159">
        <f t="shared" si="0"/>
        <v>2020</v>
      </c>
      <c r="H13" s="159">
        <f t="shared" si="0"/>
        <v>2021</v>
      </c>
      <c r="I13" s="159">
        <f t="shared" si="0"/>
        <v>2022</v>
      </c>
      <c r="J13" s="159">
        <f t="shared" si="0"/>
        <v>2023</v>
      </c>
      <c r="K13" s="159">
        <f t="shared" si="0"/>
        <v>2024</v>
      </c>
      <c r="L13" s="159">
        <f t="shared" si="0"/>
        <v>2025</v>
      </c>
      <c r="M13" s="159">
        <f t="shared" si="0"/>
        <v>2026</v>
      </c>
      <c r="N13" s="159">
        <f t="shared" si="0"/>
        <v>2027</v>
      </c>
      <c r="O13" s="159">
        <f t="shared" si="0"/>
        <v>2028</v>
      </c>
      <c r="P13" s="159">
        <f t="shared" si="0"/>
        <v>2029</v>
      </c>
      <c r="Q13" s="159">
        <f t="shared" si="0"/>
        <v>2030</v>
      </c>
      <c r="R13" s="159">
        <f t="shared" si="0"/>
        <v>2031</v>
      </c>
      <c r="S13" s="159">
        <f t="shared" si="0"/>
        <v>2032</v>
      </c>
      <c r="T13" s="159">
        <f t="shared" si="0"/>
        <v>2033</v>
      </c>
      <c r="U13" s="159">
        <f t="shared" si="0"/>
        <v>2034</v>
      </c>
      <c r="V13" s="159">
        <f t="shared" si="0"/>
        <v>2035</v>
      </c>
      <c r="W13" s="159"/>
    </row>
    <row r="14" spans="1:23">
      <c r="A14" s="156"/>
      <c r="B14" s="158" t="s">
        <v>231</v>
      </c>
      <c r="C14" s="174">
        <v>0.05</v>
      </c>
      <c r="D14" s="174">
        <v>0.2</v>
      </c>
      <c r="E14" s="174">
        <v>0.2</v>
      </c>
      <c r="F14" s="174">
        <v>0.2</v>
      </c>
      <c r="G14" s="174">
        <v>0.2</v>
      </c>
      <c r="H14" s="174">
        <v>0.15</v>
      </c>
      <c r="I14" s="174">
        <v>0</v>
      </c>
      <c r="J14" s="174">
        <v>0</v>
      </c>
      <c r="K14" s="174">
        <v>0</v>
      </c>
      <c r="L14" s="174">
        <v>0</v>
      </c>
      <c r="M14" s="174">
        <v>0</v>
      </c>
      <c r="N14" s="174">
        <v>0</v>
      </c>
      <c r="O14" s="174">
        <v>0</v>
      </c>
      <c r="P14" s="174">
        <v>0</v>
      </c>
      <c r="Q14" s="174">
        <v>0</v>
      </c>
      <c r="R14" s="174">
        <v>0</v>
      </c>
      <c r="S14" s="174">
        <v>0</v>
      </c>
      <c r="T14" s="174">
        <v>0</v>
      </c>
      <c r="U14" s="174">
        <v>0</v>
      </c>
      <c r="V14" s="174">
        <v>0</v>
      </c>
      <c r="W14" s="216"/>
    </row>
    <row r="15" spans="1:23">
      <c r="A15" s="156"/>
      <c r="B15" s="158" t="s">
        <v>237</v>
      </c>
      <c r="C15" s="174">
        <f>C14</f>
        <v>0.05</v>
      </c>
      <c r="D15" s="174">
        <f>C15+D14</f>
        <v>0.25</v>
      </c>
      <c r="E15" s="174">
        <f t="shared" ref="E15:V15" si="1">D15+E14</f>
        <v>0.45</v>
      </c>
      <c r="F15" s="174">
        <f t="shared" si="1"/>
        <v>0.65</v>
      </c>
      <c r="G15" s="174">
        <f t="shared" si="1"/>
        <v>0.85000000000000009</v>
      </c>
      <c r="H15" s="174">
        <f t="shared" si="1"/>
        <v>1</v>
      </c>
      <c r="I15" s="174">
        <f t="shared" si="1"/>
        <v>1</v>
      </c>
      <c r="J15" s="174">
        <f t="shared" si="1"/>
        <v>1</v>
      </c>
      <c r="K15" s="174">
        <f t="shared" si="1"/>
        <v>1</v>
      </c>
      <c r="L15" s="174">
        <f t="shared" si="1"/>
        <v>1</v>
      </c>
      <c r="M15" s="174">
        <f t="shared" si="1"/>
        <v>1</v>
      </c>
      <c r="N15" s="174">
        <f t="shared" si="1"/>
        <v>1</v>
      </c>
      <c r="O15" s="174">
        <f t="shared" si="1"/>
        <v>1</v>
      </c>
      <c r="P15" s="174">
        <f t="shared" si="1"/>
        <v>1</v>
      </c>
      <c r="Q15" s="174">
        <f t="shared" si="1"/>
        <v>1</v>
      </c>
      <c r="R15" s="174">
        <f t="shared" si="1"/>
        <v>1</v>
      </c>
      <c r="S15" s="174">
        <f t="shared" si="1"/>
        <v>1</v>
      </c>
      <c r="T15" s="174">
        <f t="shared" si="1"/>
        <v>1</v>
      </c>
      <c r="U15" s="174">
        <f t="shared" si="1"/>
        <v>1</v>
      </c>
      <c r="V15" s="174">
        <f t="shared" si="1"/>
        <v>1</v>
      </c>
      <c r="W15" s="216"/>
    </row>
    <row r="16" spans="1:23">
      <c r="A16" s="156"/>
      <c r="B16" s="158" t="s">
        <v>232</v>
      </c>
      <c r="C16" s="174">
        <v>0.01</v>
      </c>
      <c r="D16" s="174">
        <v>0.01</v>
      </c>
      <c r="E16" s="174">
        <v>0.01</v>
      </c>
      <c r="F16" s="174">
        <v>0.01</v>
      </c>
      <c r="G16" s="174">
        <v>0.01</v>
      </c>
      <c r="H16" s="174">
        <v>0.01</v>
      </c>
      <c r="I16" s="174">
        <v>0.01</v>
      </c>
      <c r="J16" s="174">
        <v>0.01</v>
      </c>
      <c r="K16" s="174">
        <v>0.01</v>
      </c>
      <c r="L16" s="174">
        <v>0.01</v>
      </c>
      <c r="M16" s="174">
        <v>0.01</v>
      </c>
      <c r="N16" s="174">
        <v>0.01</v>
      </c>
      <c r="O16" s="174">
        <v>0.01</v>
      </c>
      <c r="P16" s="174">
        <v>0.01</v>
      </c>
      <c r="Q16" s="174">
        <v>0.01</v>
      </c>
      <c r="R16" s="174">
        <v>0.01</v>
      </c>
      <c r="S16" s="174">
        <v>0.01</v>
      </c>
      <c r="T16" s="174">
        <v>0.01</v>
      </c>
      <c r="U16" s="174">
        <v>0.01</v>
      </c>
      <c r="V16" s="174">
        <v>0.01</v>
      </c>
      <c r="W16" s="216"/>
    </row>
    <row r="17" spans="1:23" ht="15" customHeight="1" thickBot="1">
      <c r="A17" s="161"/>
      <c r="B17" s="162" t="s">
        <v>238</v>
      </c>
      <c r="C17" s="217">
        <f>1-'Res-Capacity-Base'!C$17</f>
        <v>0.5</v>
      </c>
      <c r="D17" s="217">
        <f>1-'Res-Capacity-Base'!D$17</f>
        <v>0.55000000000000004</v>
      </c>
      <c r="E17" s="217">
        <f>1-'Res-Capacity-Base'!E$17</f>
        <v>0.6</v>
      </c>
      <c r="F17" s="217">
        <f>1-'Res-Capacity-Base'!F$17</f>
        <v>0.64999999999999991</v>
      </c>
      <c r="G17" s="217">
        <f>1-'Res-Capacity-Base'!G$17</f>
        <v>0.7</v>
      </c>
      <c r="H17" s="217">
        <f>1-'Res-Capacity-Base'!H$17</f>
        <v>0.7</v>
      </c>
      <c r="I17" s="217">
        <f>1-'Res-Capacity-Base'!I$17</f>
        <v>0.7</v>
      </c>
      <c r="J17" s="217">
        <f>1-'Res-Capacity-Base'!J$17</f>
        <v>0.7</v>
      </c>
      <c r="K17" s="217">
        <f>1-'Res-Capacity-Base'!K$17</f>
        <v>0.7</v>
      </c>
      <c r="L17" s="217">
        <f>1-'Res-Capacity-Base'!L$17</f>
        <v>0.7</v>
      </c>
      <c r="M17" s="217">
        <f>1-'Res-Capacity-Base'!M$17</f>
        <v>0.7</v>
      </c>
      <c r="N17" s="217">
        <f>1-'Res-Capacity-Base'!N$17</f>
        <v>0.7</v>
      </c>
      <c r="O17" s="217">
        <f>1-'Res-Capacity-Base'!O$17</f>
        <v>0.7</v>
      </c>
      <c r="P17" s="217">
        <f>1-'Res-Capacity-Base'!P$17</f>
        <v>0.7</v>
      </c>
      <c r="Q17" s="217">
        <f>1-'Res-Capacity-Base'!Q$17</f>
        <v>0.7</v>
      </c>
      <c r="R17" s="217">
        <f>1-'Res-Capacity-Base'!R$17</f>
        <v>0.7</v>
      </c>
      <c r="S17" s="217">
        <f>1-'Res-Capacity-Base'!S$17</f>
        <v>0.7</v>
      </c>
      <c r="T17" s="217">
        <f>1-'Res-Capacity-Base'!T$17</f>
        <v>0.7</v>
      </c>
      <c r="U17" s="217">
        <f>1-'Res-Capacity-Base'!U$17</f>
        <v>0.7</v>
      </c>
      <c r="V17" s="217">
        <f>1-'Res-Capacity-Base'!V$17</f>
        <v>0.7</v>
      </c>
      <c r="W17" s="217"/>
    </row>
    <row r="18" spans="1:23" ht="16.5" thickBot="1">
      <c r="A18" s="167"/>
      <c r="B18" s="167"/>
      <c r="C18" s="167"/>
      <c r="D18" s="175"/>
      <c r="E18" s="175"/>
      <c r="F18" s="175"/>
      <c r="G18" s="175"/>
      <c r="H18" s="175"/>
      <c r="I18" s="175"/>
      <c r="J18" s="175"/>
      <c r="K18" s="175"/>
      <c r="L18" s="175"/>
      <c r="M18" s="176"/>
      <c r="N18" s="176"/>
      <c r="O18" s="176"/>
      <c r="P18" s="176"/>
      <c r="Q18" s="176"/>
      <c r="R18" s="176"/>
      <c r="S18" s="176"/>
      <c r="T18" s="176"/>
      <c r="U18" s="176"/>
      <c r="V18" s="176"/>
      <c r="W18" s="176"/>
    </row>
    <row r="19" spans="1:23" ht="15.75">
      <c r="A19" s="151" t="s">
        <v>279</v>
      </c>
      <c r="B19" s="152"/>
      <c r="C19" s="152"/>
      <c r="D19" s="153"/>
      <c r="E19" s="153"/>
      <c r="F19" s="153"/>
      <c r="G19" s="153"/>
      <c r="H19" s="153"/>
      <c r="I19" s="153"/>
      <c r="J19" s="153"/>
      <c r="K19" s="153"/>
      <c r="L19" s="153"/>
      <c r="M19" s="154"/>
      <c r="N19" s="154"/>
      <c r="O19" s="154"/>
      <c r="P19" s="154"/>
      <c r="Q19" s="154"/>
      <c r="R19" s="154"/>
      <c r="S19" s="154"/>
      <c r="T19" s="154"/>
      <c r="U19" s="154"/>
      <c r="V19" s="154"/>
      <c r="W19" s="155"/>
    </row>
    <row r="20" spans="1:23" ht="15.75">
      <c r="A20" s="185"/>
      <c r="B20" s="158" t="s">
        <v>241</v>
      </c>
      <c r="C20" s="173">
        <f>KeyAssumptions!W6</f>
        <v>0.35</v>
      </c>
      <c r="D20" s="163"/>
      <c r="E20" s="163"/>
      <c r="F20" s="163"/>
      <c r="G20" s="163"/>
      <c r="H20" s="163"/>
      <c r="I20" s="163"/>
      <c r="J20" s="163"/>
      <c r="K20" s="163"/>
      <c r="L20" s="163"/>
      <c r="M20" s="164"/>
      <c r="N20" s="164"/>
      <c r="O20" s="164"/>
      <c r="P20" s="164"/>
      <c r="Q20" s="164"/>
      <c r="R20" s="164"/>
      <c r="S20" s="164"/>
      <c r="T20" s="164"/>
      <c r="U20" s="164"/>
      <c r="V20" s="164"/>
      <c r="W20" s="165"/>
    </row>
    <row r="21" spans="1:23" ht="15.75">
      <c r="A21" s="185"/>
      <c r="B21" s="158" t="s">
        <v>207</v>
      </c>
      <c r="C21" s="174">
        <f>KeyAssumptions!X6</f>
        <v>0.25</v>
      </c>
      <c r="D21" s="163"/>
      <c r="E21" s="163"/>
      <c r="F21" s="163"/>
      <c r="G21" s="163"/>
      <c r="H21" s="163"/>
      <c r="I21" s="163"/>
      <c r="J21" s="163"/>
      <c r="K21" s="163"/>
      <c r="L21" s="163"/>
      <c r="M21" s="164"/>
      <c r="N21" s="164"/>
      <c r="O21" s="164"/>
      <c r="P21" s="164"/>
      <c r="Q21" s="164"/>
      <c r="R21" s="164"/>
      <c r="S21" s="164"/>
      <c r="T21" s="164"/>
      <c r="U21" s="164"/>
      <c r="V21" s="164"/>
      <c r="W21" s="165"/>
    </row>
    <row r="22" spans="1:23" ht="15.75" customHeight="1">
      <c r="A22" s="185"/>
      <c r="B22" s="188" t="s">
        <v>343</v>
      </c>
      <c r="C22" s="174">
        <v>0.95</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7"/>
      <c r="C23" s="157"/>
      <c r="D23" s="163"/>
      <c r="E23" s="163"/>
      <c r="F23" s="163"/>
      <c r="G23" s="163"/>
      <c r="H23" s="163"/>
      <c r="I23" s="163"/>
      <c r="J23" s="163"/>
      <c r="K23" s="163"/>
      <c r="L23" s="163"/>
      <c r="M23" s="164"/>
      <c r="N23" s="164"/>
      <c r="O23" s="164"/>
      <c r="P23" s="164"/>
      <c r="Q23" s="164"/>
      <c r="R23" s="164"/>
      <c r="S23" s="164"/>
      <c r="T23" s="164"/>
      <c r="U23" s="164"/>
      <c r="V23" s="164"/>
      <c r="W23" s="165"/>
    </row>
    <row r="24" spans="1:23">
      <c r="A24" s="156"/>
      <c r="B24" s="158" t="s">
        <v>1</v>
      </c>
      <c r="C24" s="159">
        <f>C5</f>
        <v>2016</v>
      </c>
      <c r="D24" s="159">
        <f t="shared" ref="D24:V24" si="2">D5</f>
        <v>2017</v>
      </c>
      <c r="E24" s="159">
        <f t="shared" si="2"/>
        <v>2018</v>
      </c>
      <c r="F24" s="159">
        <f t="shared" si="2"/>
        <v>2019</v>
      </c>
      <c r="G24" s="159">
        <f t="shared" si="2"/>
        <v>2020</v>
      </c>
      <c r="H24" s="159">
        <f t="shared" si="2"/>
        <v>2021</v>
      </c>
      <c r="I24" s="159">
        <f t="shared" si="2"/>
        <v>2022</v>
      </c>
      <c r="J24" s="159">
        <f t="shared" si="2"/>
        <v>2023</v>
      </c>
      <c r="K24" s="159">
        <f t="shared" si="2"/>
        <v>2024</v>
      </c>
      <c r="L24" s="159">
        <f t="shared" si="2"/>
        <v>2025</v>
      </c>
      <c r="M24" s="159">
        <f t="shared" si="2"/>
        <v>2026</v>
      </c>
      <c r="N24" s="159">
        <f t="shared" si="2"/>
        <v>2027</v>
      </c>
      <c r="O24" s="159">
        <f t="shared" si="2"/>
        <v>2028</v>
      </c>
      <c r="P24" s="159">
        <f t="shared" si="2"/>
        <v>2029</v>
      </c>
      <c r="Q24" s="159">
        <f t="shared" si="2"/>
        <v>2030</v>
      </c>
      <c r="R24" s="159">
        <f t="shared" si="2"/>
        <v>2031</v>
      </c>
      <c r="S24" s="159">
        <f t="shared" si="2"/>
        <v>2032</v>
      </c>
      <c r="T24" s="159">
        <f t="shared" si="2"/>
        <v>2033</v>
      </c>
      <c r="U24" s="159">
        <f t="shared" si="2"/>
        <v>2034</v>
      </c>
      <c r="V24" s="159">
        <f t="shared" si="2"/>
        <v>2035</v>
      </c>
      <c r="W24" s="159"/>
    </row>
    <row r="25" spans="1:23">
      <c r="A25" s="156"/>
      <c r="B25" s="158" t="s">
        <v>231</v>
      </c>
      <c r="C25" s="174">
        <v>0.05</v>
      </c>
      <c r="D25" s="174">
        <v>0.2</v>
      </c>
      <c r="E25" s="174">
        <v>0.2</v>
      </c>
      <c r="F25" s="174">
        <v>0.2</v>
      </c>
      <c r="G25" s="174">
        <v>0.2</v>
      </c>
      <c r="H25" s="174">
        <v>0.15</v>
      </c>
      <c r="I25" s="174">
        <v>0</v>
      </c>
      <c r="J25" s="174">
        <v>0</v>
      </c>
      <c r="K25" s="174">
        <v>0</v>
      </c>
      <c r="L25" s="174">
        <v>0</v>
      </c>
      <c r="M25" s="174">
        <v>0</v>
      </c>
      <c r="N25" s="174">
        <v>0</v>
      </c>
      <c r="O25" s="174">
        <v>0</v>
      </c>
      <c r="P25" s="174">
        <v>0</v>
      </c>
      <c r="Q25" s="174">
        <v>0</v>
      </c>
      <c r="R25" s="174">
        <v>0</v>
      </c>
      <c r="S25" s="174">
        <v>0</v>
      </c>
      <c r="T25" s="174">
        <v>0</v>
      </c>
      <c r="U25" s="174">
        <v>0</v>
      </c>
      <c r="V25" s="174">
        <v>0</v>
      </c>
      <c r="W25" s="216"/>
    </row>
    <row r="26" spans="1:23">
      <c r="A26" s="156"/>
      <c r="B26" s="158" t="s">
        <v>237</v>
      </c>
      <c r="C26" s="174">
        <f>C25</f>
        <v>0.05</v>
      </c>
      <c r="D26" s="174">
        <f>C26+D25</f>
        <v>0.25</v>
      </c>
      <c r="E26" s="174">
        <f t="shared" ref="E26:V26" si="3">D26+E25</f>
        <v>0.45</v>
      </c>
      <c r="F26" s="174">
        <f t="shared" si="3"/>
        <v>0.65</v>
      </c>
      <c r="G26" s="174">
        <f t="shared" si="3"/>
        <v>0.85000000000000009</v>
      </c>
      <c r="H26" s="174">
        <f t="shared" si="3"/>
        <v>1</v>
      </c>
      <c r="I26" s="174">
        <f t="shared" si="3"/>
        <v>1</v>
      </c>
      <c r="J26" s="174">
        <f t="shared" si="3"/>
        <v>1</v>
      </c>
      <c r="K26" s="174">
        <f t="shared" si="3"/>
        <v>1</v>
      </c>
      <c r="L26" s="174">
        <f t="shared" si="3"/>
        <v>1</v>
      </c>
      <c r="M26" s="174">
        <f t="shared" si="3"/>
        <v>1</v>
      </c>
      <c r="N26" s="174">
        <f t="shared" si="3"/>
        <v>1</v>
      </c>
      <c r="O26" s="174">
        <f t="shared" si="3"/>
        <v>1</v>
      </c>
      <c r="P26" s="174">
        <f t="shared" si="3"/>
        <v>1</v>
      </c>
      <c r="Q26" s="174">
        <f t="shared" si="3"/>
        <v>1</v>
      </c>
      <c r="R26" s="174">
        <f t="shared" si="3"/>
        <v>1</v>
      </c>
      <c r="S26" s="174">
        <f t="shared" si="3"/>
        <v>1</v>
      </c>
      <c r="T26" s="174">
        <f t="shared" si="3"/>
        <v>1</v>
      </c>
      <c r="U26" s="174">
        <f t="shared" si="3"/>
        <v>1</v>
      </c>
      <c r="V26" s="174">
        <f t="shared" si="3"/>
        <v>1</v>
      </c>
      <c r="W26" s="216"/>
    </row>
    <row r="27" spans="1:23">
      <c r="A27" s="156"/>
      <c r="B27" s="158" t="s">
        <v>232</v>
      </c>
      <c r="C27" s="174">
        <v>0.01</v>
      </c>
      <c r="D27" s="174">
        <v>0.01</v>
      </c>
      <c r="E27" s="174">
        <v>0.01</v>
      </c>
      <c r="F27" s="174">
        <v>0.01</v>
      </c>
      <c r="G27" s="174">
        <v>0.01</v>
      </c>
      <c r="H27" s="174">
        <v>0.01</v>
      </c>
      <c r="I27" s="174">
        <v>0.01</v>
      </c>
      <c r="J27" s="174">
        <v>0.01</v>
      </c>
      <c r="K27" s="174">
        <v>0.01</v>
      </c>
      <c r="L27" s="174">
        <v>0.01</v>
      </c>
      <c r="M27" s="174">
        <v>0.01</v>
      </c>
      <c r="N27" s="174">
        <v>0.01</v>
      </c>
      <c r="O27" s="174">
        <v>0.01</v>
      </c>
      <c r="P27" s="174">
        <v>0.01</v>
      </c>
      <c r="Q27" s="174">
        <v>0.01</v>
      </c>
      <c r="R27" s="174">
        <v>0.01</v>
      </c>
      <c r="S27" s="174">
        <v>0.01</v>
      </c>
      <c r="T27" s="174">
        <v>0.01</v>
      </c>
      <c r="U27" s="174">
        <v>0.01</v>
      </c>
      <c r="V27" s="174">
        <v>0.01</v>
      </c>
      <c r="W27" s="216"/>
    </row>
    <row r="28" spans="1:23" ht="13.5" thickBot="1">
      <c r="A28" s="161"/>
      <c r="B28" s="162" t="s">
        <v>238</v>
      </c>
      <c r="C28" s="217">
        <f>1-'Res-Capacity-Base'!C$28</f>
        <v>0.5</v>
      </c>
      <c r="D28" s="217">
        <f>1-'Res-Capacity-Base'!D$28</f>
        <v>0.55000000000000004</v>
      </c>
      <c r="E28" s="217">
        <f>1-'Res-Capacity-Base'!E$28</f>
        <v>0.6</v>
      </c>
      <c r="F28" s="217">
        <f>1-'Res-Capacity-Base'!F$28</f>
        <v>0.64999999999999991</v>
      </c>
      <c r="G28" s="217">
        <f>1-'Res-Capacity-Base'!G$28</f>
        <v>0.7</v>
      </c>
      <c r="H28" s="217">
        <f>1-'Res-Capacity-Base'!H$28</f>
        <v>0.7</v>
      </c>
      <c r="I28" s="217">
        <f>1-'Res-Capacity-Base'!I$28</f>
        <v>0.7</v>
      </c>
      <c r="J28" s="217">
        <f>1-'Res-Capacity-Base'!J$28</f>
        <v>0.7</v>
      </c>
      <c r="K28" s="217">
        <f>1-'Res-Capacity-Base'!K$28</f>
        <v>0.7</v>
      </c>
      <c r="L28" s="217">
        <f>1-'Res-Capacity-Base'!L$28</f>
        <v>0.7</v>
      </c>
      <c r="M28" s="217">
        <f>1-'Res-Capacity-Base'!M$28</f>
        <v>0.7</v>
      </c>
      <c r="N28" s="217">
        <f>1-'Res-Capacity-Base'!N$28</f>
        <v>0.7</v>
      </c>
      <c r="O28" s="217">
        <f>1-'Res-Capacity-Base'!O$28</f>
        <v>0.7</v>
      </c>
      <c r="P28" s="217">
        <f>1-'Res-Capacity-Base'!P$28</f>
        <v>0.7</v>
      </c>
      <c r="Q28" s="217">
        <f>1-'Res-Capacity-Base'!Q$28</f>
        <v>0.7</v>
      </c>
      <c r="R28" s="217">
        <f>1-'Res-Capacity-Base'!R$28</f>
        <v>0.7</v>
      </c>
      <c r="S28" s="217">
        <f>1-'Res-Capacity-Base'!S$28</f>
        <v>0.7</v>
      </c>
      <c r="T28" s="217">
        <f>1-'Res-Capacity-Base'!T$28</f>
        <v>0.7</v>
      </c>
      <c r="U28" s="217">
        <f>1-'Res-Capacity-Base'!U$28</f>
        <v>0.7</v>
      </c>
      <c r="V28" s="217">
        <f>1-'Res-Capacity-Base'!V$28</f>
        <v>0.7</v>
      </c>
      <c r="W28" s="217"/>
    </row>
    <row r="29" spans="1:23" ht="16.5" thickBot="1">
      <c r="A29" s="167"/>
      <c r="B29" s="167"/>
      <c r="C29" s="167"/>
      <c r="D29" s="175"/>
      <c r="E29" s="175"/>
      <c r="F29" s="175"/>
      <c r="G29" s="175"/>
      <c r="H29" s="175"/>
      <c r="I29" s="175"/>
      <c r="J29" s="175"/>
      <c r="K29" s="175"/>
      <c r="L29" s="175"/>
      <c r="M29" s="176"/>
      <c r="N29" s="176"/>
      <c r="O29" s="176"/>
      <c r="P29" s="176"/>
      <c r="Q29" s="176"/>
      <c r="R29" s="176"/>
      <c r="S29" s="176"/>
      <c r="T29" s="176"/>
      <c r="U29" s="176"/>
      <c r="V29" s="176"/>
      <c r="W29" s="176"/>
    </row>
    <row r="30" spans="1:23" ht="15.75">
      <c r="A30" s="151" t="s">
        <v>280</v>
      </c>
      <c r="B30" s="152"/>
      <c r="C30" s="152"/>
      <c r="D30" s="153"/>
      <c r="E30" s="153"/>
      <c r="F30" s="153"/>
      <c r="G30" s="153"/>
      <c r="H30" s="153"/>
      <c r="I30" s="153"/>
      <c r="J30" s="153"/>
      <c r="K30" s="153"/>
      <c r="L30" s="153"/>
      <c r="M30" s="154"/>
      <c r="N30" s="154"/>
      <c r="O30" s="154"/>
      <c r="P30" s="154"/>
      <c r="Q30" s="154"/>
      <c r="R30" s="154"/>
      <c r="S30" s="154"/>
      <c r="T30" s="154"/>
      <c r="U30" s="154"/>
      <c r="V30" s="154"/>
      <c r="W30" s="155"/>
    </row>
    <row r="31" spans="1:23" ht="15.75">
      <c r="A31" s="185"/>
      <c r="B31" s="158" t="s">
        <v>241</v>
      </c>
      <c r="C31" s="173">
        <f>KeyAssumptions!W7</f>
        <v>0.17499999999999999</v>
      </c>
      <c r="D31" s="163"/>
      <c r="E31" s="163"/>
      <c r="F31" s="163"/>
      <c r="G31" s="163"/>
      <c r="H31" s="163"/>
      <c r="I31" s="163"/>
      <c r="J31" s="163"/>
      <c r="K31" s="163"/>
      <c r="L31" s="163"/>
      <c r="M31" s="164"/>
      <c r="N31" s="164"/>
      <c r="O31" s="164"/>
      <c r="P31" s="164"/>
      <c r="Q31" s="164"/>
      <c r="R31" s="164"/>
      <c r="S31" s="164"/>
      <c r="T31" s="164"/>
      <c r="U31" s="164"/>
      <c r="V31" s="164"/>
      <c r="W31" s="165"/>
    </row>
    <row r="32" spans="1:23" ht="15.75">
      <c r="A32" s="185"/>
      <c r="B32" s="158" t="s">
        <v>207</v>
      </c>
      <c r="C32" s="174">
        <f>KeyAssumptions!X7</f>
        <v>0.25</v>
      </c>
      <c r="D32" s="163"/>
      <c r="E32" s="163"/>
      <c r="F32" s="163"/>
      <c r="G32" s="163"/>
      <c r="H32" s="163"/>
      <c r="I32" s="163"/>
      <c r="J32" s="163"/>
      <c r="K32" s="163"/>
      <c r="L32" s="163"/>
      <c r="M32" s="164"/>
      <c r="N32" s="164"/>
      <c r="O32" s="164"/>
      <c r="P32" s="164"/>
      <c r="Q32" s="164"/>
      <c r="R32" s="164"/>
      <c r="S32" s="164"/>
      <c r="T32" s="164"/>
      <c r="U32" s="164"/>
      <c r="V32" s="164"/>
      <c r="W32" s="165"/>
    </row>
    <row r="33" spans="1:23" ht="15.75" customHeight="1">
      <c r="A33" s="185"/>
      <c r="B33" s="188" t="s">
        <v>343</v>
      </c>
      <c r="C33" s="174">
        <v>0.95</v>
      </c>
      <c r="D33" s="163"/>
      <c r="E33" s="163"/>
      <c r="F33" s="163"/>
      <c r="G33" s="163"/>
      <c r="H33" s="163"/>
      <c r="I33" s="163"/>
      <c r="J33" s="163"/>
      <c r="K33" s="163"/>
      <c r="L33" s="163"/>
      <c r="M33" s="164"/>
      <c r="N33" s="164"/>
      <c r="O33" s="164"/>
      <c r="P33" s="164"/>
      <c r="Q33" s="164"/>
      <c r="R33" s="164"/>
      <c r="S33" s="164"/>
      <c r="T33" s="164"/>
      <c r="U33" s="164"/>
      <c r="V33" s="164"/>
      <c r="W33" s="165"/>
    </row>
    <row r="34" spans="1:23" ht="15.75">
      <c r="A34" s="185"/>
      <c r="B34" s="157"/>
      <c r="C34" s="157"/>
      <c r="D34" s="163"/>
      <c r="E34" s="163"/>
      <c r="F34" s="163"/>
      <c r="G34" s="163"/>
      <c r="H34" s="163"/>
      <c r="I34" s="163"/>
      <c r="J34" s="163"/>
      <c r="K34" s="163"/>
      <c r="L34" s="163"/>
      <c r="M34" s="164"/>
      <c r="N34" s="164"/>
      <c r="O34" s="164"/>
      <c r="P34" s="164"/>
      <c r="Q34" s="164"/>
      <c r="R34" s="164"/>
      <c r="S34" s="164"/>
      <c r="T34" s="164"/>
      <c r="U34" s="164"/>
      <c r="V34" s="164"/>
      <c r="W34" s="165"/>
    </row>
    <row r="35" spans="1:23">
      <c r="A35" s="156"/>
      <c r="B35" s="158" t="s">
        <v>1</v>
      </c>
      <c r="C35" s="159">
        <f>C5</f>
        <v>2016</v>
      </c>
      <c r="D35" s="159">
        <f t="shared" ref="D35:V35" si="4">D5</f>
        <v>2017</v>
      </c>
      <c r="E35" s="159">
        <f t="shared" si="4"/>
        <v>2018</v>
      </c>
      <c r="F35" s="159">
        <f t="shared" si="4"/>
        <v>2019</v>
      </c>
      <c r="G35" s="159">
        <f t="shared" si="4"/>
        <v>2020</v>
      </c>
      <c r="H35" s="159">
        <f t="shared" si="4"/>
        <v>2021</v>
      </c>
      <c r="I35" s="159">
        <f t="shared" si="4"/>
        <v>2022</v>
      </c>
      <c r="J35" s="159">
        <f t="shared" si="4"/>
        <v>2023</v>
      </c>
      <c r="K35" s="159">
        <f t="shared" si="4"/>
        <v>2024</v>
      </c>
      <c r="L35" s="159">
        <f t="shared" si="4"/>
        <v>2025</v>
      </c>
      <c r="M35" s="159">
        <f t="shared" si="4"/>
        <v>2026</v>
      </c>
      <c r="N35" s="159">
        <f t="shared" si="4"/>
        <v>2027</v>
      </c>
      <c r="O35" s="159">
        <f t="shared" si="4"/>
        <v>2028</v>
      </c>
      <c r="P35" s="159">
        <f t="shared" si="4"/>
        <v>2029</v>
      </c>
      <c r="Q35" s="159">
        <f t="shared" si="4"/>
        <v>2030</v>
      </c>
      <c r="R35" s="159">
        <f t="shared" si="4"/>
        <v>2031</v>
      </c>
      <c r="S35" s="159">
        <f t="shared" si="4"/>
        <v>2032</v>
      </c>
      <c r="T35" s="159">
        <f t="shared" si="4"/>
        <v>2033</v>
      </c>
      <c r="U35" s="159">
        <f t="shared" si="4"/>
        <v>2034</v>
      </c>
      <c r="V35" s="159">
        <f t="shared" si="4"/>
        <v>2035</v>
      </c>
      <c r="W35" s="159"/>
    </row>
    <row r="36" spans="1:23">
      <c r="A36" s="156"/>
      <c r="B36" s="158" t="s">
        <v>231</v>
      </c>
      <c r="C36" s="174">
        <v>0.05</v>
      </c>
      <c r="D36" s="174">
        <v>0.2</v>
      </c>
      <c r="E36" s="174">
        <v>0.2</v>
      </c>
      <c r="F36" s="174">
        <v>0.2</v>
      </c>
      <c r="G36" s="174">
        <v>0.2</v>
      </c>
      <c r="H36" s="174">
        <v>0.15</v>
      </c>
      <c r="I36" s="174">
        <v>0</v>
      </c>
      <c r="J36" s="174">
        <v>0</v>
      </c>
      <c r="K36" s="174">
        <v>0</v>
      </c>
      <c r="L36" s="174">
        <v>0</v>
      </c>
      <c r="M36" s="174">
        <v>0</v>
      </c>
      <c r="N36" s="174">
        <v>0</v>
      </c>
      <c r="O36" s="174">
        <v>0</v>
      </c>
      <c r="P36" s="174">
        <v>0</v>
      </c>
      <c r="Q36" s="174">
        <v>0</v>
      </c>
      <c r="R36" s="174">
        <v>0</v>
      </c>
      <c r="S36" s="174">
        <v>0</v>
      </c>
      <c r="T36" s="174">
        <v>0</v>
      </c>
      <c r="U36" s="174">
        <v>0</v>
      </c>
      <c r="V36" s="174">
        <v>0</v>
      </c>
      <c r="W36" s="216"/>
    </row>
    <row r="37" spans="1:23">
      <c r="A37" s="156"/>
      <c r="B37" s="158" t="s">
        <v>237</v>
      </c>
      <c r="C37" s="174">
        <f>C36</f>
        <v>0.05</v>
      </c>
      <c r="D37" s="174">
        <f>C37+D36</f>
        <v>0.25</v>
      </c>
      <c r="E37" s="174">
        <f t="shared" ref="E37" si="5">D37+E36</f>
        <v>0.45</v>
      </c>
      <c r="F37" s="174">
        <f t="shared" ref="F37" si="6">E37+F36</f>
        <v>0.65</v>
      </c>
      <c r="G37" s="174">
        <f t="shared" ref="G37" si="7">F37+G36</f>
        <v>0.85000000000000009</v>
      </c>
      <c r="H37" s="174">
        <f t="shared" ref="H37" si="8">G37+H36</f>
        <v>1</v>
      </c>
      <c r="I37" s="174">
        <f t="shared" ref="I37" si="9">H37+I36</f>
        <v>1</v>
      </c>
      <c r="J37" s="174">
        <f t="shared" ref="J37" si="10">I37+J36</f>
        <v>1</v>
      </c>
      <c r="K37" s="174">
        <f t="shared" ref="K37" si="11">J37+K36</f>
        <v>1</v>
      </c>
      <c r="L37" s="174">
        <f t="shared" ref="L37" si="12">K37+L36</f>
        <v>1</v>
      </c>
      <c r="M37" s="174">
        <f t="shared" ref="M37" si="13">L37+M36</f>
        <v>1</v>
      </c>
      <c r="N37" s="174">
        <f t="shared" ref="N37" si="14">M37+N36</f>
        <v>1</v>
      </c>
      <c r="O37" s="174">
        <f t="shared" ref="O37" si="15">N37+O36</f>
        <v>1</v>
      </c>
      <c r="P37" s="174">
        <f t="shared" ref="P37" si="16">O37+P36</f>
        <v>1</v>
      </c>
      <c r="Q37" s="174">
        <f t="shared" ref="Q37" si="17">P37+Q36</f>
        <v>1</v>
      </c>
      <c r="R37" s="174">
        <f t="shared" ref="R37" si="18">Q37+R36</f>
        <v>1</v>
      </c>
      <c r="S37" s="174">
        <f t="shared" ref="S37" si="19">R37+S36</f>
        <v>1</v>
      </c>
      <c r="T37" s="174">
        <f t="shared" ref="T37" si="20">S37+T36</f>
        <v>1</v>
      </c>
      <c r="U37" s="174">
        <f t="shared" ref="U37" si="21">T37+U36</f>
        <v>1</v>
      </c>
      <c r="V37" s="174">
        <f t="shared" ref="V37" si="22">U37+V36</f>
        <v>1</v>
      </c>
      <c r="W37" s="216"/>
    </row>
    <row r="38" spans="1:23">
      <c r="A38" s="156"/>
      <c r="B38" s="158" t="s">
        <v>232</v>
      </c>
      <c r="C38" s="174">
        <v>0.01</v>
      </c>
      <c r="D38" s="174">
        <v>0.01</v>
      </c>
      <c r="E38" s="174">
        <v>0.01</v>
      </c>
      <c r="F38" s="174">
        <v>0.01</v>
      </c>
      <c r="G38" s="174">
        <v>0.01</v>
      </c>
      <c r="H38" s="174">
        <v>0.01</v>
      </c>
      <c r="I38" s="174">
        <v>0.01</v>
      </c>
      <c r="J38" s="174">
        <v>0.01</v>
      </c>
      <c r="K38" s="174">
        <v>0.01</v>
      </c>
      <c r="L38" s="174">
        <v>0.01</v>
      </c>
      <c r="M38" s="174">
        <v>0.01</v>
      </c>
      <c r="N38" s="174">
        <v>0.01</v>
      </c>
      <c r="O38" s="174">
        <v>0.01</v>
      </c>
      <c r="P38" s="174">
        <v>0.01</v>
      </c>
      <c r="Q38" s="174">
        <v>0.01</v>
      </c>
      <c r="R38" s="174">
        <v>0.01</v>
      </c>
      <c r="S38" s="174">
        <v>0.01</v>
      </c>
      <c r="T38" s="174">
        <v>0.01</v>
      </c>
      <c r="U38" s="174">
        <v>0.01</v>
      </c>
      <c r="V38" s="174">
        <v>0.01</v>
      </c>
      <c r="W38" s="216"/>
    </row>
    <row r="39" spans="1:23" ht="13.5" thickBot="1">
      <c r="A39" s="161"/>
      <c r="B39" s="162" t="s">
        <v>238</v>
      </c>
      <c r="C39" s="217">
        <f>1-'Res-Capacity-Base'!C$39</f>
        <v>0.9</v>
      </c>
      <c r="D39" s="217">
        <f>1-'Res-Capacity-Base'!D$39</f>
        <v>0.91</v>
      </c>
      <c r="E39" s="217">
        <f>1-'Res-Capacity-Base'!E$39</f>
        <v>0.91999999999999993</v>
      </c>
      <c r="F39" s="217">
        <f>1-'Res-Capacity-Base'!F$39</f>
        <v>0.92999999999999994</v>
      </c>
      <c r="G39" s="217">
        <f>1-'Res-Capacity-Base'!G$39</f>
        <v>0.94</v>
      </c>
      <c r="H39" s="217">
        <f>1-'Res-Capacity-Base'!H$39</f>
        <v>0.94</v>
      </c>
      <c r="I39" s="217">
        <f>1-'Res-Capacity-Base'!I$39</f>
        <v>0.94</v>
      </c>
      <c r="J39" s="217">
        <f>1-'Res-Capacity-Base'!J$39</f>
        <v>0.94</v>
      </c>
      <c r="K39" s="217">
        <f>1-'Res-Capacity-Base'!K$39</f>
        <v>0.94</v>
      </c>
      <c r="L39" s="217">
        <f>1-'Res-Capacity-Base'!L$39</f>
        <v>0.94</v>
      </c>
      <c r="M39" s="217">
        <f>1-'Res-Capacity-Base'!M$39</f>
        <v>0.94</v>
      </c>
      <c r="N39" s="217">
        <f>1-'Res-Capacity-Base'!N$39</f>
        <v>0.94</v>
      </c>
      <c r="O39" s="217">
        <f>1-'Res-Capacity-Base'!O$39</f>
        <v>0.94</v>
      </c>
      <c r="P39" s="217">
        <f>1-'Res-Capacity-Base'!P$39</f>
        <v>0.94</v>
      </c>
      <c r="Q39" s="217">
        <f>1-'Res-Capacity-Base'!Q$39</f>
        <v>0.94</v>
      </c>
      <c r="R39" s="217">
        <f>1-'Res-Capacity-Base'!R$39</f>
        <v>0.94</v>
      </c>
      <c r="S39" s="217">
        <f>1-'Res-Capacity-Base'!S$39</f>
        <v>0.94</v>
      </c>
      <c r="T39" s="217">
        <f>1-'Res-Capacity-Base'!T$39</f>
        <v>0.94</v>
      </c>
      <c r="U39" s="217">
        <f>1-'Res-Capacity-Base'!U$39</f>
        <v>0.94</v>
      </c>
      <c r="V39" s="217">
        <f>1-'Res-Capacity-Base'!V$39</f>
        <v>0.94</v>
      </c>
      <c r="W39" s="217"/>
    </row>
    <row r="40" spans="1:23" ht="16.5" thickBot="1">
      <c r="A40" s="167"/>
      <c r="B40" s="167"/>
      <c r="C40" s="167"/>
      <c r="D40" s="175"/>
      <c r="E40" s="175"/>
      <c r="F40" s="175"/>
      <c r="G40" s="175"/>
      <c r="H40" s="175"/>
      <c r="I40" s="175"/>
      <c r="J40" s="175"/>
      <c r="K40" s="175"/>
      <c r="L40" s="175"/>
      <c r="M40" s="176"/>
      <c r="N40" s="176"/>
      <c r="O40" s="176"/>
      <c r="P40" s="176"/>
      <c r="Q40" s="176"/>
      <c r="R40" s="176"/>
      <c r="S40" s="176"/>
      <c r="T40" s="176"/>
      <c r="U40" s="176"/>
      <c r="V40" s="176"/>
      <c r="W40" s="176"/>
    </row>
    <row r="41" spans="1:23" ht="15.75">
      <c r="A41" s="151" t="s">
        <v>246</v>
      </c>
      <c r="B41" s="152"/>
      <c r="C41" s="152"/>
      <c r="D41" s="153"/>
      <c r="E41" s="153"/>
      <c r="F41" s="153"/>
      <c r="G41" s="153"/>
      <c r="H41" s="153"/>
      <c r="I41" s="153"/>
      <c r="J41" s="153"/>
      <c r="K41" s="153"/>
      <c r="L41" s="153"/>
      <c r="M41" s="154"/>
      <c r="N41" s="154"/>
      <c r="O41" s="154"/>
      <c r="P41" s="154"/>
      <c r="Q41" s="154"/>
      <c r="R41" s="154"/>
      <c r="S41" s="154"/>
      <c r="T41" s="154"/>
      <c r="U41" s="154"/>
      <c r="V41" s="154"/>
      <c r="W41" s="155"/>
    </row>
    <row r="42" spans="1:23" ht="15.75">
      <c r="A42" s="185"/>
      <c r="B42" s="158" t="s">
        <v>241</v>
      </c>
      <c r="C42" s="173">
        <f>KeyAssumptions!W5</f>
        <v>0.56999999999999995</v>
      </c>
      <c r="D42" s="163"/>
      <c r="E42" s="163"/>
      <c r="F42" s="163"/>
      <c r="G42" s="163"/>
      <c r="H42" s="163"/>
      <c r="I42" s="163"/>
      <c r="J42" s="163"/>
      <c r="K42" s="163"/>
      <c r="L42" s="163"/>
      <c r="M42" s="164"/>
      <c r="N42" s="164"/>
      <c r="O42" s="164"/>
      <c r="P42" s="164"/>
      <c r="Q42" s="164"/>
      <c r="R42" s="164"/>
      <c r="S42" s="164"/>
      <c r="T42" s="164"/>
      <c r="U42" s="164"/>
      <c r="V42" s="164"/>
      <c r="W42" s="165"/>
    </row>
    <row r="43" spans="1:23" ht="15.75">
      <c r="A43" s="185"/>
      <c r="B43" s="158" t="s">
        <v>207</v>
      </c>
      <c r="C43" s="174">
        <f>KeyAssumptions!X5</f>
        <v>0.25</v>
      </c>
      <c r="D43" s="163"/>
      <c r="E43" s="163"/>
      <c r="F43" s="163"/>
      <c r="G43" s="163"/>
      <c r="H43" s="163"/>
      <c r="I43" s="163"/>
      <c r="J43" s="163"/>
      <c r="K43" s="163"/>
      <c r="L43" s="163"/>
      <c r="M43" s="164"/>
      <c r="N43" s="164"/>
      <c r="O43" s="164"/>
      <c r="P43" s="164"/>
      <c r="Q43" s="164"/>
      <c r="R43" s="164"/>
      <c r="S43" s="164"/>
      <c r="T43" s="164"/>
      <c r="U43" s="164"/>
      <c r="V43" s="164"/>
      <c r="W43" s="165"/>
    </row>
    <row r="44" spans="1:23" ht="15.75" customHeight="1">
      <c r="A44" s="185"/>
      <c r="B44" s="188" t="s">
        <v>343</v>
      </c>
      <c r="C44" s="174">
        <v>0.95</v>
      </c>
      <c r="D44" s="163"/>
      <c r="E44" s="163"/>
      <c r="F44" s="163"/>
      <c r="G44" s="163"/>
      <c r="H44" s="163"/>
      <c r="I44" s="163"/>
      <c r="J44" s="163"/>
      <c r="K44" s="163"/>
      <c r="L44" s="163"/>
      <c r="M44" s="164"/>
      <c r="N44" s="164"/>
      <c r="O44" s="164"/>
      <c r="P44" s="164"/>
      <c r="Q44" s="164"/>
      <c r="R44" s="164"/>
      <c r="S44" s="164"/>
      <c r="T44" s="164"/>
      <c r="U44" s="164"/>
      <c r="V44" s="164"/>
      <c r="W44" s="165"/>
    </row>
    <row r="45" spans="1:23" ht="15.75">
      <c r="A45" s="185"/>
      <c r="B45" s="157"/>
      <c r="C45" s="157"/>
      <c r="D45" s="163"/>
      <c r="E45" s="163"/>
      <c r="F45" s="163"/>
      <c r="G45" s="163"/>
      <c r="H45" s="163"/>
      <c r="I45" s="163"/>
      <c r="J45" s="163"/>
      <c r="K45" s="163"/>
      <c r="L45" s="163"/>
      <c r="M45" s="164"/>
      <c r="N45" s="164"/>
      <c r="O45" s="164"/>
      <c r="P45" s="164"/>
      <c r="Q45" s="164"/>
      <c r="R45" s="164"/>
      <c r="S45" s="164"/>
      <c r="T45" s="164"/>
      <c r="U45" s="164"/>
      <c r="V45" s="164"/>
      <c r="W45" s="165"/>
    </row>
    <row r="46" spans="1:23">
      <c r="A46" s="156"/>
      <c r="B46" s="158" t="s">
        <v>1</v>
      </c>
      <c r="C46" s="159">
        <f>C5</f>
        <v>2016</v>
      </c>
      <c r="D46" s="159">
        <f t="shared" ref="D46:V46" si="23">D5</f>
        <v>2017</v>
      </c>
      <c r="E46" s="159">
        <f t="shared" si="23"/>
        <v>2018</v>
      </c>
      <c r="F46" s="159">
        <f t="shared" si="23"/>
        <v>2019</v>
      </c>
      <c r="G46" s="159">
        <f t="shared" si="23"/>
        <v>2020</v>
      </c>
      <c r="H46" s="159">
        <f t="shared" si="23"/>
        <v>2021</v>
      </c>
      <c r="I46" s="159">
        <f t="shared" si="23"/>
        <v>2022</v>
      </c>
      <c r="J46" s="159">
        <f t="shared" si="23"/>
        <v>2023</v>
      </c>
      <c r="K46" s="159">
        <f t="shared" si="23"/>
        <v>2024</v>
      </c>
      <c r="L46" s="159">
        <f t="shared" si="23"/>
        <v>2025</v>
      </c>
      <c r="M46" s="159">
        <f t="shared" si="23"/>
        <v>2026</v>
      </c>
      <c r="N46" s="159">
        <f t="shared" si="23"/>
        <v>2027</v>
      </c>
      <c r="O46" s="159">
        <f t="shared" si="23"/>
        <v>2028</v>
      </c>
      <c r="P46" s="159">
        <f t="shared" si="23"/>
        <v>2029</v>
      </c>
      <c r="Q46" s="159">
        <f t="shared" si="23"/>
        <v>2030</v>
      </c>
      <c r="R46" s="159">
        <f t="shared" si="23"/>
        <v>2031</v>
      </c>
      <c r="S46" s="159">
        <f t="shared" si="23"/>
        <v>2032</v>
      </c>
      <c r="T46" s="159">
        <f t="shared" si="23"/>
        <v>2033</v>
      </c>
      <c r="U46" s="159">
        <f t="shared" si="23"/>
        <v>2034</v>
      </c>
      <c r="V46" s="159">
        <f t="shared" si="23"/>
        <v>2035</v>
      </c>
      <c r="W46" s="159"/>
    </row>
    <row r="47" spans="1:23">
      <c r="A47" s="156"/>
      <c r="B47" s="158" t="s">
        <v>231</v>
      </c>
      <c r="C47" s="174">
        <v>0.05</v>
      </c>
      <c r="D47" s="174">
        <v>0.2</v>
      </c>
      <c r="E47" s="174">
        <v>0.2</v>
      </c>
      <c r="F47" s="174">
        <v>0.2</v>
      </c>
      <c r="G47" s="174">
        <v>0.2</v>
      </c>
      <c r="H47" s="174">
        <v>0.15</v>
      </c>
      <c r="I47" s="174">
        <v>0</v>
      </c>
      <c r="J47" s="174">
        <v>0</v>
      </c>
      <c r="K47" s="174">
        <v>0</v>
      </c>
      <c r="L47" s="174">
        <v>0</v>
      </c>
      <c r="M47" s="174">
        <v>0</v>
      </c>
      <c r="N47" s="174">
        <v>0</v>
      </c>
      <c r="O47" s="174">
        <v>0</v>
      </c>
      <c r="P47" s="174">
        <v>0</v>
      </c>
      <c r="Q47" s="174">
        <v>0</v>
      </c>
      <c r="R47" s="174">
        <v>0</v>
      </c>
      <c r="S47" s="174">
        <v>0</v>
      </c>
      <c r="T47" s="174">
        <v>0</v>
      </c>
      <c r="U47" s="174">
        <v>0</v>
      </c>
      <c r="V47" s="174">
        <v>0</v>
      </c>
      <c r="W47" s="216"/>
    </row>
    <row r="48" spans="1:23">
      <c r="A48" s="156"/>
      <c r="B48" s="158" t="s">
        <v>237</v>
      </c>
      <c r="C48" s="174">
        <f>C47</f>
        <v>0.05</v>
      </c>
      <c r="D48" s="174">
        <f>C48+D47</f>
        <v>0.25</v>
      </c>
      <c r="E48" s="174">
        <f t="shared" ref="E48:V48" si="24">D48+E47</f>
        <v>0.45</v>
      </c>
      <c r="F48" s="174">
        <f t="shared" si="24"/>
        <v>0.65</v>
      </c>
      <c r="G48" s="174">
        <f t="shared" si="24"/>
        <v>0.85000000000000009</v>
      </c>
      <c r="H48" s="174">
        <f t="shared" si="24"/>
        <v>1</v>
      </c>
      <c r="I48" s="174">
        <f t="shared" si="24"/>
        <v>1</v>
      </c>
      <c r="J48" s="174">
        <f t="shared" si="24"/>
        <v>1</v>
      </c>
      <c r="K48" s="174">
        <f t="shared" si="24"/>
        <v>1</v>
      </c>
      <c r="L48" s="174">
        <f t="shared" si="24"/>
        <v>1</v>
      </c>
      <c r="M48" s="174">
        <f t="shared" si="24"/>
        <v>1</v>
      </c>
      <c r="N48" s="174">
        <f t="shared" si="24"/>
        <v>1</v>
      </c>
      <c r="O48" s="174">
        <f t="shared" si="24"/>
        <v>1</v>
      </c>
      <c r="P48" s="174">
        <f t="shared" si="24"/>
        <v>1</v>
      </c>
      <c r="Q48" s="174">
        <f t="shared" si="24"/>
        <v>1</v>
      </c>
      <c r="R48" s="174">
        <f t="shared" si="24"/>
        <v>1</v>
      </c>
      <c r="S48" s="174">
        <f t="shared" si="24"/>
        <v>1</v>
      </c>
      <c r="T48" s="174">
        <f t="shared" si="24"/>
        <v>1</v>
      </c>
      <c r="U48" s="174">
        <f t="shared" si="24"/>
        <v>1</v>
      </c>
      <c r="V48" s="174">
        <f t="shared" si="24"/>
        <v>1</v>
      </c>
      <c r="W48" s="216"/>
    </row>
    <row r="49" spans="1:24">
      <c r="A49" s="156"/>
      <c r="B49" s="158" t="s">
        <v>232</v>
      </c>
      <c r="C49" s="174">
        <v>0.01</v>
      </c>
      <c r="D49" s="174">
        <v>0.01</v>
      </c>
      <c r="E49" s="174">
        <v>0.01</v>
      </c>
      <c r="F49" s="174">
        <v>0.01</v>
      </c>
      <c r="G49" s="174">
        <v>0.01</v>
      </c>
      <c r="H49" s="174">
        <v>0.01</v>
      </c>
      <c r="I49" s="174">
        <v>0.01</v>
      </c>
      <c r="J49" s="174">
        <v>0.01</v>
      </c>
      <c r="K49" s="174">
        <v>0.01</v>
      </c>
      <c r="L49" s="174">
        <v>0.01</v>
      </c>
      <c r="M49" s="174">
        <v>0.01</v>
      </c>
      <c r="N49" s="174">
        <v>0.01</v>
      </c>
      <c r="O49" s="174">
        <v>0.01</v>
      </c>
      <c r="P49" s="174">
        <v>0.01</v>
      </c>
      <c r="Q49" s="174">
        <v>0.01</v>
      </c>
      <c r="R49" s="174">
        <v>0.01</v>
      </c>
      <c r="S49" s="174">
        <v>0.01</v>
      </c>
      <c r="T49" s="174">
        <v>0.01</v>
      </c>
      <c r="U49" s="174">
        <v>0.01</v>
      </c>
      <c r="V49" s="174">
        <v>0.01</v>
      </c>
      <c r="W49" s="216"/>
    </row>
    <row r="50" spans="1:24" ht="13.5" thickBot="1">
      <c r="A50" s="161"/>
      <c r="B50" s="162" t="s">
        <v>329</v>
      </c>
      <c r="C50" s="217">
        <f>1-'Res-Capacity-Base'!C$50</f>
        <v>9.9999999999999978E-2</v>
      </c>
      <c r="D50" s="217">
        <f>1-'Res-Capacity-Base'!D$50</f>
        <v>9.9999999999999978E-2</v>
      </c>
      <c r="E50" s="217">
        <f>1-'Res-Capacity-Base'!E$50</f>
        <v>9.9999999999999978E-2</v>
      </c>
      <c r="F50" s="217">
        <f>1-'Res-Capacity-Base'!F$50</f>
        <v>9.9999999999999978E-2</v>
      </c>
      <c r="G50" s="217">
        <f>1-'Res-Capacity-Base'!G$50</f>
        <v>9.9999999999999978E-2</v>
      </c>
      <c r="H50" s="217">
        <f>1-'Res-Capacity-Base'!H$50</f>
        <v>9.9999999999999978E-2</v>
      </c>
      <c r="I50" s="217">
        <f>1-'Res-Capacity-Base'!I$50</f>
        <v>9.9999999999999978E-2</v>
      </c>
      <c r="J50" s="217">
        <f>1-'Res-Capacity-Base'!J$50</f>
        <v>9.9999999999999978E-2</v>
      </c>
      <c r="K50" s="217">
        <f>1-'Res-Capacity-Base'!K$50</f>
        <v>9.9999999999999978E-2</v>
      </c>
      <c r="L50" s="217">
        <f>1-'Res-Capacity-Base'!L$50</f>
        <v>9.9999999999999978E-2</v>
      </c>
      <c r="M50" s="217">
        <f>1-'Res-Capacity-Base'!M$50</f>
        <v>9.9999999999999978E-2</v>
      </c>
      <c r="N50" s="217">
        <f>1-'Res-Capacity-Base'!N$50</f>
        <v>9.9999999999999978E-2</v>
      </c>
      <c r="O50" s="217">
        <f>1-'Res-Capacity-Base'!O$50</f>
        <v>9.9999999999999978E-2</v>
      </c>
      <c r="P50" s="217">
        <f>1-'Res-Capacity-Base'!P$50</f>
        <v>9.9999999999999978E-2</v>
      </c>
      <c r="Q50" s="217">
        <f>1-'Res-Capacity-Base'!Q$50</f>
        <v>9.9999999999999978E-2</v>
      </c>
      <c r="R50" s="217">
        <f>1-'Res-Capacity-Base'!R$50</f>
        <v>9.9999999999999978E-2</v>
      </c>
      <c r="S50" s="217">
        <f>1-'Res-Capacity-Base'!S$50</f>
        <v>9.9999999999999978E-2</v>
      </c>
      <c r="T50" s="217">
        <f>1-'Res-Capacity-Base'!T$50</f>
        <v>9.9999999999999978E-2</v>
      </c>
      <c r="U50" s="217">
        <f>1-'Res-Capacity-Base'!U$50</f>
        <v>9.9999999999999978E-2</v>
      </c>
      <c r="V50" s="217">
        <f>1-'Res-Capacity-Base'!V$50</f>
        <v>9.9999999999999978E-2</v>
      </c>
      <c r="W50" s="217"/>
    </row>
    <row r="51" spans="1:24" ht="13.5" thickBot="1">
      <c r="A51" s="177"/>
      <c r="B51" s="177"/>
      <c r="C51" s="172"/>
      <c r="D51" s="172"/>
      <c r="E51" s="172"/>
      <c r="F51" s="172"/>
      <c r="G51" s="172"/>
      <c r="H51" s="172"/>
      <c r="I51" s="172"/>
      <c r="J51" s="172"/>
      <c r="K51" s="172"/>
      <c r="L51" s="172"/>
      <c r="M51" s="172"/>
      <c r="N51" s="172"/>
      <c r="O51" s="172"/>
      <c r="P51" s="172"/>
      <c r="Q51" s="172"/>
      <c r="R51" s="172"/>
      <c r="S51" s="172"/>
      <c r="T51" s="172"/>
      <c r="U51" s="172"/>
      <c r="V51" s="172"/>
      <c r="W51" s="172"/>
    </row>
    <row r="52" spans="1:24" ht="15.75" thickBot="1">
      <c r="A52" s="186" t="s">
        <v>240</v>
      </c>
      <c r="B52" s="187"/>
      <c r="C52" s="180"/>
      <c r="D52" s="180"/>
      <c r="E52" s="180"/>
      <c r="F52" s="180"/>
      <c r="G52" s="180"/>
      <c r="H52" s="180"/>
      <c r="I52" s="180"/>
      <c r="J52" s="180"/>
      <c r="K52" s="180"/>
      <c r="L52" s="180"/>
      <c r="M52" s="180"/>
      <c r="N52" s="180"/>
      <c r="O52" s="180"/>
      <c r="P52" s="180"/>
      <c r="Q52" s="180"/>
      <c r="R52" s="180"/>
      <c r="S52" s="180"/>
      <c r="T52" s="180"/>
      <c r="U52" s="180"/>
      <c r="V52" s="180"/>
      <c r="W52" s="181"/>
    </row>
    <row r="53" spans="1:24">
      <c r="A53" s="77" t="s">
        <v>212</v>
      </c>
      <c r="B53" s="77"/>
      <c r="F53" s="78"/>
      <c r="G53" s="78"/>
    </row>
    <row r="55" spans="1:24">
      <c r="A55" s="79"/>
      <c r="B55" s="183"/>
      <c r="C55" s="469" t="s">
        <v>213</v>
      </c>
      <c r="D55" s="469"/>
      <c r="E55" s="469"/>
      <c r="F55" s="469"/>
      <c r="G55" s="469"/>
      <c r="H55" s="469"/>
      <c r="I55" s="469"/>
      <c r="J55" s="469"/>
      <c r="K55" s="469"/>
      <c r="L55" s="469"/>
      <c r="M55" s="469"/>
      <c r="N55" s="469"/>
      <c r="O55" s="469"/>
      <c r="P55" s="469"/>
      <c r="Q55" s="469"/>
      <c r="R55" s="469"/>
      <c r="S55" s="469"/>
      <c r="T55" s="469"/>
      <c r="U55" s="469"/>
      <c r="V55" s="469"/>
      <c r="W55" s="469"/>
    </row>
    <row r="56" spans="1:24" ht="16.5" customHeight="1">
      <c r="A56" s="80" t="s">
        <v>214</v>
      </c>
      <c r="B56" s="81"/>
      <c r="C56" s="184">
        <f>C5</f>
        <v>2016</v>
      </c>
      <c r="D56" s="328">
        <f t="shared" ref="D56:V56" si="25">D5</f>
        <v>2017</v>
      </c>
      <c r="E56" s="328">
        <f t="shared" si="25"/>
        <v>2018</v>
      </c>
      <c r="F56" s="328">
        <f t="shared" si="25"/>
        <v>2019</v>
      </c>
      <c r="G56" s="328">
        <f t="shared" si="25"/>
        <v>2020</v>
      </c>
      <c r="H56" s="328">
        <f t="shared" si="25"/>
        <v>2021</v>
      </c>
      <c r="I56" s="328">
        <f t="shared" si="25"/>
        <v>2022</v>
      </c>
      <c r="J56" s="328">
        <f t="shared" si="25"/>
        <v>2023</v>
      </c>
      <c r="K56" s="328">
        <f t="shared" si="25"/>
        <v>2024</v>
      </c>
      <c r="L56" s="328">
        <f t="shared" si="25"/>
        <v>2025</v>
      </c>
      <c r="M56" s="328">
        <f t="shared" si="25"/>
        <v>2026</v>
      </c>
      <c r="N56" s="328">
        <f t="shared" si="25"/>
        <v>2027</v>
      </c>
      <c r="O56" s="328">
        <f t="shared" si="25"/>
        <v>2028</v>
      </c>
      <c r="P56" s="328">
        <f t="shared" si="25"/>
        <v>2029</v>
      </c>
      <c r="Q56" s="328">
        <f t="shared" si="25"/>
        <v>2030</v>
      </c>
      <c r="R56" s="328">
        <f t="shared" si="25"/>
        <v>2031</v>
      </c>
      <c r="S56" s="328">
        <f t="shared" si="25"/>
        <v>2032</v>
      </c>
      <c r="T56" s="328">
        <f t="shared" si="25"/>
        <v>2033</v>
      </c>
      <c r="U56" s="328">
        <f t="shared" si="25"/>
        <v>2034</v>
      </c>
      <c r="V56" s="328">
        <f t="shared" si="25"/>
        <v>2035</v>
      </c>
      <c r="W56" s="328"/>
    </row>
    <row r="57" spans="1:24">
      <c r="A57" s="82"/>
      <c r="B57" s="83"/>
      <c r="C57" s="82"/>
      <c r="D57" s="82"/>
      <c r="E57" s="82"/>
      <c r="F57" s="82"/>
      <c r="G57" s="82"/>
      <c r="H57" s="84"/>
      <c r="I57" s="82"/>
      <c r="J57" s="82"/>
      <c r="K57" s="82"/>
      <c r="L57" s="82"/>
      <c r="M57" s="82"/>
      <c r="N57" s="82"/>
      <c r="O57" s="82"/>
      <c r="P57" s="82"/>
      <c r="Q57" s="82"/>
      <c r="R57" s="82"/>
      <c r="S57" s="82"/>
      <c r="T57" s="82"/>
      <c r="U57" s="82"/>
      <c r="V57" s="82"/>
      <c r="W57" s="82"/>
    </row>
    <row r="58" spans="1:24">
      <c r="A58" s="166" t="s">
        <v>282</v>
      </c>
      <c r="B58" s="83"/>
      <c r="C58" s="86">
        <f>C70</f>
        <v>13743.006440624999</v>
      </c>
      <c r="D58" s="290">
        <f>D70-C70</f>
        <v>62980.785295312497</v>
      </c>
      <c r="E58" s="290">
        <f t="shared" ref="E58:V58" si="26">E70-D70</f>
        <v>76150.293955312489</v>
      </c>
      <c r="F58" s="290">
        <f t="shared" si="26"/>
        <v>89793.180087187473</v>
      </c>
      <c r="G58" s="290">
        <f t="shared" si="26"/>
        <v>103910.40392906251</v>
      </c>
      <c r="H58" s="290">
        <f t="shared" si="26"/>
        <v>66736.989742499951</v>
      </c>
      <c r="I58" s="290">
        <f t="shared" si="26"/>
        <v>5539.5994499999797</v>
      </c>
      <c r="J58" s="290">
        <f t="shared" si="26"/>
        <v>5509.8870750000933</v>
      </c>
      <c r="K58" s="290">
        <f t="shared" si="26"/>
        <v>5457.1930874999962</v>
      </c>
      <c r="L58" s="290">
        <f t="shared" si="26"/>
        <v>5430.0274874999886</v>
      </c>
      <c r="M58" s="290">
        <f t="shared" si="26"/>
        <v>5368.9655249999487</v>
      </c>
      <c r="N58" s="290">
        <f t="shared" si="26"/>
        <v>5277.039075000037</v>
      </c>
      <c r="O58" s="290">
        <f t="shared" si="26"/>
        <v>5163.1618499999749</v>
      </c>
      <c r="P58" s="290">
        <f t="shared" si="26"/>
        <v>5075.7832124999841</v>
      </c>
      <c r="Q58" s="290">
        <f t="shared" si="26"/>
        <v>5030.305087500019</v>
      </c>
      <c r="R58" s="290">
        <f t="shared" si="26"/>
        <v>5085.7796646690695</v>
      </c>
      <c r="S58" s="290">
        <f t="shared" si="26"/>
        <v>5141.8660195848788</v>
      </c>
      <c r="T58" s="290">
        <f t="shared" si="26"/>
        <v>5198.5708989778068</v>
      </c>
      <c r="U58" s="290">
        <f t="shared" si="26"/>
        <v>5255.9011239816318</v>
      </c>
      <c r="V58" s="290">
        <f t="shared" si="26"/>
        <v>5313.8635909538716</v>
      </c>
      <c r="W58" s="290"/>
      <c r="X58" s="76" t="s">
        <v>383</v>
      </c>
    </row>
    <row r="59" spans="1:24">
      <c r="A59" s="166" t="s">
        <v>283</v>
      </c>
      <c r="B59" s="83"/>
      <c r="C59" s="86">
        <f>C71</f>
        <v>13743.006440624999</v>
      </c>
      <c r="D59" s="86">
        <f>D71-C71</f>
        <v>62980.785295312497</v>
      </c>
      <c r="E59" s="86">
        <f t="shared" ref="E59:V61" si="27">E71-D71</f>
        <v>76150.293955312489</v>
      </c>
      <c r="F59" s="86">
        <f t="shared" si="27"/>
        <v>89793.180087187473</v>
      </c>
      <c r="G59" s="86">
        <f t="shared" si="27"/>
        <v>103910.40392906251</v>
      </c>
      <c r="H59" s="86">
        <f t="shared" si="27"/>
        <v>66736.989742499951</v>
      </c>
      <c r="I59" s="86">
        <f t="shared" si="27"/>
        <v>5539.5994499999797</v>
      </c>
      <c r="J59" s="86">
        <f t="shared" si="27"/>
        <v>5509.8870750000933</v>
      </c>
      <c r="K59" s="86">
        <f t="shared" si="27"/>
        <v>5457.1930874999962</v>
      </c>
      <c r="L59" s="86">
        <f t="shared" si="27"/>
        <v>5430.0274874999886</v>
      </c>
      <c r="M59" s="86">
        <f t="shared" si="27"/>
        <v>5368.9655249999487</v>
      </c>
      <c r="N59" s="86">
        <f t="shared" si="27"/>
        <v>5277.039075000037</v>
      </c>
      <c r="O59" s="86">
        <f t="shared" si="27"/>
        <v>5163.1618499999749</v>
      </c>
      <c r="P59" s="86">
        <f t="shared" si="27"/>
        <v>5075.7832124999841</v>
      </c>
      <c r="Q59" s="86">
        <f t="shared" si="27"/>
        <v>5030.305087500019</v>
      </c>
      <c r="R59" s="86">
        <f t="shared" si="27"/>
        <v>5085.7796646690695</v>
      </c>
      <c r="S59" s="86">
        <f t="shared" si="27"/>
        <v>5141.8660195848788</v>
      </c>
      <c r="T59" s="86">
        <f t="shared" si="27"/>
        <v>5198.5708989778068</v>
      </c>
      <c r="U59" s="86">
        <f t="shared" si="27"/>
        <v>5255.9011239816318</v>
      </c>
      <c r="V59" s="86">
        <f t="shared" si="27"/>
        <v>5313.8635909538716</v>
      </c>
      <c r="W59" s="86"/>
    </row>
    <row r="60" spans="1:24">
      <c r="A60" s="166" t="s">
        <v>284</v>
      </c>
      <c r="B60" s="83"/>
      <c r="C60" s="86">
        <f>C72</f>
        <v>12957.691786875002</v>
      </c>
      <c r="D60" s="86">
        <f t="shared" ref="D60:S61" si="28">D72-C72</f>
        <v>59381.883278437512</v>
      </c>
      <c r="E60" s="86">
        <f t="shared" si="28"/>
        <v>71798.848586437511</v>
      </c>
      <c r="F60" s="86">
        <f t="shared" si="28"/>
        <v>84662.141225062485</v>
      </c>
      <c r="G60" s="86">
        <f t="shared" si="28"/>
        <v>97972.66656168754</v>
      </c>
      <c r="H60" s="86">
        <f t="shared" si="28"/>
        <v>62923.447471499909</v>
      </c>
      <c r="I60" s="86">
        <f t="shared" si="28"/>
        <v>5223.0509099999908</v>
      </c>
      <c r="J60" s="86">
        <f t="shared" si="28"/>
        <v>5195.0363850000431</v>
      </c>
      <c r="K60" s="86">
        <f t="shared" si="28"/>
        <v>5145.3534825000097</v>
      </c>
      <c r="L60" s="86">
        <f t="shared" si="28"/>
        <v>5119.740202499961</v>
      </c>
      <c r="M60" s="86">
        <f t="shared" si="28"/>
        <v>5062.1674950000597</v>
      </c>
      <c r="N60" s="86">
        <f t="shared" si="28"/>
        <v>4975.4939850000083</v>
      </c>
      <c r="O60" s="86">
        <f t="shared" si="28"/>
        <v>4868.1240300000063</v>
      </c>
      <c r="P60" s="86">
        <f t="shared" si="28"/>
        <v>4785.7384575000033</v>
      </c>
      <c r="Q60" s="86">
        <f t="shared" si="28"/>
        <v>4742.8590824999847</v>
      </c>
      <c r="R60" s="86">
        <f t="shared" si="28"/>
        <v>4795.1636838307604</v>
      </c>
      <c r="S60" s="86">
        <f t="shared" si="28"/>
        <v>4848.0451041801134</v>
      </c>
      <c r="T60" s="86">
        <f t="shared" si="27"/>
        <v>4901.5097047504969</v>
      </c>
      <c r="U60" s="86">
        <f t="shared" si="27"/>
        <v>4955.5639168969356</v>
      </c>
      <c r="V60" s="86">
        <f t="shared" si="27"/>
        <v>5010.214242899383</v>
      </c>
      <c r="W60" s="86"/>
    </row>
    <row r="61" spans="1:24">
      <c r="A61" s="85" t="s">
        <v>328</v>
      </c>
      <c r="B61" s="83"/>
      <c r="C61" s="86">
        <f>C73</f>
        <v>4476.2935263749987</v>
      </c>
      <c r="D61" s="86">
        <f t="shared" si="28"/>
        <v>18241.920130499995</v>
      </c>
      <c r="E61" s="86">
        <f t="shared" si="28"/>
        <v>18776.181030749998</v>
      </c>
      <c r="F61" s="86">
        <f t="shared" si="28"/>
        <v>19305.755419499998</v>
      </c>
      <c r="G61" s="86">
        <f t="shared" si="28"/>
        <v>19832.205702374988</v>
      </c>
      <c r="H61" s="86">
        <f t="shared" si="28"/>
        <v>15526.564960499993</v>
      </c>
      <c r="I61" s="86">
        <f t="shared" si="28"/>
        <v>1288.8047700000025</v>
      </c>
      <c r="J61" s="86">
        <f t="shared" si="28"/>
        <v>1281.8920949999883</v>
      </c>
      <c r="K61" s="86">
        <f t="shared" si="28"/>
        <v>1269.6326775000052</v>
      </c>
      <c r="L61" s="86">
        <f t="shared" si="28"/>
        <v>1263.3125175000023</v>
      </c>
      <c r="M61" s="86">
        <f t="shared" si="28"/>
        <v>1249.1062649999949</v>
      </c>
      <c r="N61" s="86">
        <f t="shared" si="28"/>
        <v>1227.7192950000026</v>
      </c>
      <c r="O61" s="86">
        <f t="shared" si="28"/>
        <v>1201.2254099999991</v>
      </c>
      <c r="P61" s="86">
        <f t="shared" si="28"/>
        <v>1180.8965025000216</v>
      </c>
      <c r="Q61" s="86">
        <f t="shared" si="28"/>
        <v>1170.3158774999756</v>
      </c>
      <c r="R61" s="86">
        <f t="shared" si="28"/>
        <v>1183.2222076985054</v>
      </c>
      <c r="S61" s="86">
        <f t="shared" si="28"/>
        <v>1196.2708698626229</v>
      </c>
      <c r="T61" s="86">
        <f t="shared" si="27"/>
        <v>1209.4634336397285</v>
      </c>
      <c r="U61" s="86">
        <f t="shared" si="27"/>
        <v>1222.8014859875548</v>
      </c>
      <c r="V61" s="86">
        <f t="shared" si="27"/>
        <v>1236.2866313647974</v>
      </c>
      <c r="W61" s="86"/>
    </row>
    <row r="62" spans="1:24">
      <c r="A62" s="87"/>
      <c r="B62" s="88"/>
      <c r="C62" s="89"/>
      <c r="D62" s="90"/>
      <c r="E62" s="90"/>
      <c r="F62" s="90"/>
      <c r="G62" s="90"/>
      <c r="H62" s="90"/>
      <c r="I62" s="90"/>
      <c r="J62" s="90"/>
      <c r="K62" s="90"/>
      <c r="L62" s="90"/>
      <c r="M62" s="90"/>
      <c r="N62" s="90"/>
      <c r="O62" s="90"/>
      <c r="P62" s="90"/>
      <c r="Q62" s="90"/>
      <c r="R62" s="90"/>
      <c r="S62" s="90"/>
      <c r="T62" s="90"/>
      <c r="U62" s="90"/>
      <c r="V62" s="90"/>
      <c r="W62" s="90"/>
    </row>
    <row r="63" spans="1:24">
      <c r="A63" s="91" t="s">
        <v>216</v>
      </c>
      <c r="B63" s="92"/>
      <c r="C63" s="93">
        <f>SUM(C58:C61)</f>
        <v>44919.998194499996</v>
      </c>
      <c r="D63" s="93">
        <f>SUM(D58:D61)</f>
        <v>203585.37399956249</v>
      </c>
      <c r="E63" s="93">
        <f t="shared" ref="E63:V63" si="29">SUM(E58:E61)</f>
        <v>242875.61752781249</v>
      </c>
      <c r="F63" s="93">
        <f t="shared" si="29"/>
        <v>283554.25681893743</v>
      </c>
      <c r="G63" s="93">
        <f t="shared" si="29"/>
        <v>325625.68012218754</v>
      </c>
      <c r="H63" s="93">
        <f t="shared" si="29"/>
        <v>211923.9919169998</v>
      </c>
      <c r="I63" s="93">
        <f t="shared" si="29"/>
        <v>17591.054579999953</v>
      </c>
      <c r="J63" s="93">
        <f t="shared" si="29"/>
        <v>17496.702630000218</v>
      </c>
      <c r="K63" s="93">
        <f t="shared" si="29"/>
        <v>17329.372335000007</v>
      </c>
      <c r="L63" s="93">
        <f t="shared" si="29"/>
        <v>17243.107694999941</v>
      </c>
      <c r="M63" s="93">
        <f t="shared" si="29"/>
        <v>17049.204809999952</v>
      </c>
      <c r="N63" s="93">
        <f t="shared" si="29"/>
        <v>16757.291430000085</v>
      </c>
      <c r="O63" s="93">
        <f t="shared" si="29"/>
        <v>16395.673139999955</v>
      </c>
      <c r="P63" s="93">
        <f t="shared" si="29"/>
        <v>16118.201384999993</v>
      </c>
      <c r="Q63" s="93">
        <f t="shared" si="29"/>
        <v>15973.785134999998</v>
      </c>
      <c r="R63" s="93">
        <f t="shared" si="29"/>
        <v>16149.945220867405</v>
      </c>
      <c r="S63" s="93">
        <f t="shared" si="29"/>
        <v>16328.048013212494</v>
      </c>
      <c r="T63" s="93">
        <f t="shared" si="29"/>
        <v>16508.114936345839</v>
      </c>
      <c r="U63" s="93">
        <f t="shared" si="29"/>
        <v>16690.167650847754</v>
      </c>
      <c r="V63" s="93">
        <f t="shared" si="29"/>
        <v>16874.228056171924</v>
      </c>
      <c r="W63" s="93"/>
    </row>
    <row r="64" spans="1:24">
      <c r="A64" s="94"/>
      <c r="B64" s="94"/>
      <c r="C64" s="95"/>
      <c r="D64" s="95"/>
      <c r="E64" s="95"/>
      <c r="F64" s="95"/>
      <c r="G64" s="95"/>
      <c r="H64" s="95"/>
      <c r="I64" s="95"/>
      <c r="J64" s="94"/>
      <c r="K64" s="94"/>
      <c r="L64" s="94"/>
    </row>
    <row r="65" spans="1:23">
      <c r="A65" s="96" t="s">
        <v>217</v>
      </c>
      <c r="B65" s="96"/>
      <c r="C65" s="97"/>
      <c r="D65" s="97"/>
      <c r="E65" s="97"/>
      <c r="F65" s="97"/>
      <c r="G65" s="97"/>
      <c r="H65" s="97"/>
      <c r="I65" s="97"/>
      <c r="J65" s="98"/>
      <c r="K65" s="98"/>
      <c r="L65" s="98"/>
    </row>
    <row r="66" spans="1:23">
      <c r="A66" s="96"/>
      <c r="B66" s="96"/>
      <c r="C66" s="97"/>
      <c r="D66" s="97"/>
      <c r="E66" s="97"/>
      <c r="F66" s="97"/>
      <c r="G66" s="97"/>
      <c r="H66" s="97"/>
      <c r="I66" s="97"/>
      <c r="J66" s="98"/>
      <c r="K66" s="98"/>
      <c r="L66" s="98"/>
    </row>
    <row r="67" spans="1:23">
      <c r="A67" s="470" t="s">
        <v>214</v>
      </c>
      <c r="B67" s="472"/>
      <c r="C67" s="469" t="s">
        <v>218</v>
      </c>
      <c r="D67" s="469"/>
      <c r="E67" s="469"/>
      <c r="F67" s="469"/>
      <c r="G67" s="469"/>
      <c r="H67" s="469"/>
      <c r="I67" s="469"/>
      <c r="J67" s="469"/>
      <c r="K67" s="469"/>
      <c r="L67" s="469"/>
      <c r="M67" s="469"/>
      <c r="N67" s="469"/>
      <c r="O67" s="469"/>
      <c r="P67" s="469"/>
      <c r="Q67" s="469"/>
      <c r="R67" s="469"/>
      <c r="S67" s="469"/>
      <c r="T67" s="469"/>
      <c r="U67" s="469"/>
      <c r="V67" s="469"/>
      <c r="W67" s="469"/>
    </row>
    <row r="68" spans="1:23">
      <c r="A68" s="471"/>
      <c r="B68" s="473"/>
      <c r="C68" s="184">
        <f>C5</f>
        <v>2016</v>
      </c>
      <c r="D68" s="328">
        <f t="shared" ref="D68:V68" si="30">D5</f>
        <v>2017</v>
      </c>
      <c r="E68" s="328">
        <f t="shared" si="30"/>
        <v>2018</v>
      </c>
      <c r="F68" s="328">
        <f t="shared" si="30"/>
        <v>2019</v>
      </c>
      <c r="G68" s="328">
        <f t="shared" si="30"/>
        <v>2020</v>
      </c>
      <c r="H68" s="328">
        <f t="shared" si="30"/>
        <v>2021</v>
      </c>
      <c r="I68" s="328">
        <f t="shared" si="30"/>
        <v>2022</v>
      </c>
      <c r="J68" s="328">
        <f t="shared" si="30"/>
        <v>2023</v>
      </c>
      <c r="K68" s="328">
        <f t="shared" si="30"/>
        <v>2024</v>
      </c>
      <c r="L68" s="328">
        <f t="shared" si="30"/>
        <v>2025</v>
      </c>
      <c r="M68" s="328">
        <f t="shared" si="30"/>
        <v>2026</v>
      </c>
      <c r="N68" s="328">
        <f t="shared" si="30"/>
        <v>2027</v>
      </c>
      <c r="O68" s="328">
        <f t="shared" si="30"/>
        <v>2028</v>
      </c>
      <c r="P68" s="328">
        <f t="shared" si="30"/>
        <v>2029</v>
      </c>
      <c r="Q68" s="328">
        <f t="shared" si="30"/>
        <v>2030</v>
      </c>
      <c r="R68" s="328">
        <f t="shared" si="30"/>
        <v>2031</v>
      </c>
      <c r="S68" s="328">
        <f t="shared" si="30"/>
        <v>2032</v>
      </c>
      <c r="T68" s="328">
        <f t="shared" si="30"/>
        <v>2033</v>
      </c>
      <c r="U68" s="328">
        <f t="shared" si="30"/>
        <v>2034</v>
      </c>
      <c r="V68" s="328">
        <f t="shared" si="30"/>
        <v>2035</v>
      </c>
      <c r="W68" s="184"/>
    </row>
    <row r="69" spans="1:23">
      <c r="A69" s="82"/>
      <c r="B69" s="85"/>
      <c r="C69" s="90"/>
      <c r="D69" s="90"/>
      <c r="E69" s="90"/>
      <c r="F69" s="90"/>
      <c r="G69" s="90"/>
      <c r="H69" s="90"/>
      <c r="I69" s="90"/>
      <c r="J69" s="90"/>
      <c r="K69" s="90"/>
      <c r="L69" s="90"/>
      <c r="M69" s="90"/>
      <c r="N69" s="90"/>
      <c r="O69" s="90"/>
      <c r="P69" s="90"/>
      <c r="Q69" s="90"/>
      <c r="R69" s="90"/>
      <c r="S69" s="90"/>
      <c r="T69" s="90"/>
      <c r="U69" s="90"/>
      <c r="V69" s="90"/>
      <c r="W69" s="90"/>
    </row>
    <row r="70" spans="1:23">
      <c r="A70" s="101" t="str">
        <f>+A58</f>
        <v>a. Space Cooling - CAC PCT</v>
      </c>
      <c r="B70" s="102"/>
      <c r="C70" s="90">
        <f t="shared" ref="C70:V70" si="31">C6*$C$20*$C$21*C28*C26*(1-C27)</f>
        <v>13743.006440624999</v>
      </c>
      <c r="D70" s="90">
        <f t="shared" si="31"/>
        <v>76723.791735937499</v>
      </c>
      <c r="E70" s="90">
        <f t="shared" si="31"/>
        <v>152874.08569124999</v>
      </c>
      <c r="F70" s="90">
        <f t="shared" si="31"/>
        <v>242667.26577843746</v>
      </c>
      <c r="G70" s="90">
        <f t="shared" si="31"/>
        <v>346577.66970749997</v>
      </c>
      <c r="H70" s="90">
        <f t="shared" si="31"/>
        <v>413314.65944999992</v>
      </c>
      <c r="I70" s="90">
        <f t="shared" si="31"/>
        <v>418854.2588999999</v>
      </c>
      <c r="J70" s="90">
        <f t="shared" si="31"/>
        <v>424364.14597499999</v>
      </c>
      <c r="K70" s="90">
        <f t="shared" si="31"/>
        <v>429821.33906249999</v>
      </c>
      <c r="L70" s="90">
        <f t="shared" si="31"/>
        <v>435251.36654999998</v>
      </c>
      <c r="M70" s="90">
        <f t="shared" si="31"/>
        <v>440620.33207499993</v>
      </c>
      <c r="N70" s="90">
        <f t="shared" si="31"/>
        <v>445897.37114999996</v>
      </c>
      <c r="O70" s="90">
        <f t="shared" si="31"/>
        <v>451060.53299999994</v>
      </c>
      <c r="P70" s="90">
        <f t="shared" si="31"/>
        <v>456136.31621249992</v>
      </c>
      <c r="Q70" s="90">
        <f t="shared" si="31"/>
        <v>461166.62129999994</v>
      </c>
      <c r="R70" s="90">
        <f t="shared" si="31"/>
        <v>466252.40096466901</v>
      </c>
      <c r="S70" s="90">
        <f t="shared" si="31"/>
        <v>471394.26698425389</v>
      </c>
      <c r="T70" s="90">
        <f t="shared" si="31"/>
        <v>476592.8378832317</v>
      </c>
      <c r="U70" s="90">
        <f t="shared" si="31"/>
        <v>481848.73900721333</v>
      </c>
      <c r="V70" s="90">
        <f t="shared" si="31"/>
        <v>487162.6025981672</v>
      </c>
      <c r="W70" s="90"/>
    </row>
    <row r="71" spans="1:23">
      <c r="A71" s="101" t="str">
        <f>+A59</f>
        <v>b. Space Cooling - RAC PCT</v>
      </c>
      <c r="B71" s="102"/>
      <c r="C71" s="90">
        <f t="shared" ref="C71:V71" si="32">C6*$C$20*$C$21*C28*C26*(1-C27)</f>
        <v>13743.006440624999</v>
      </c>
      <c r="D71" s="90">
        <f t="shared" si="32"/>
        <v>76723.791735937499</v>
      </c>
      <c r="E71" s="90">
        <f t="shared" si="32"/>
        <v>152874.08569124999</v>
      </c>
      <c r="F71" s="90">
        <f t="shared" si="32"/>
        <v>242667.26577843746</v>
      </c>
      <c r="G71" s="90">
        <f t="shared" si="32"/>
        <v>346577.66970749997</v>
      </c>
      <c r="H71" s="90">
        <f t="shared" si="32"/>
        <v>413314.65944999992</v>
      </c>
      <c r="I71" s="90">
        <f t="shared" si="32"/>
        <v>418854.2588999999</v>
      </c>
      <c r="J71" s="90">
        <f t="shared" si="32"/>
        <v>424364.14597499999</v>
      </c>
      <c r="K71" s="90">
        <f t="shared" si="32"/>
        <v>429821.33906249999</v>
      </c>
      <c r="L71" s="90">
        <f t="shared" si="32"/>
        <v>435251.36654999998</v>
      </c>
      <c r="M71" s="90">
        <f t="shared" si="32"/>
        <v>440620.33207499993</v>
      </c>
      <c r="N71" s="90">
        <f t="shared" si="32"/>
        <v>445897.37114999996</v>
      </c>
      <c r="O71" s="90">
        <f t="shared" si="32"/>
        <v>451060.53299999994</v>
      </c>
      <c r="P71" s="90">
        <f t="shared" si="32"/>
        <v>456136.31621249992</v>
      </c>
      <c r="Q71" s="90">
        <f t="shared" si="32"/>
        <v>461166.62129999994</v>
      </c>
      <c r="R71" s="90">
        <f t="shared" si="32"/>
        <v>466252.40096466901</v>
      </c>
      <c r="S71" s="90">
        <f t="shared" si="32"/>
        <v>471394.26698425389</v>
      </c>
      <c r="T71" s="90">
        <f t="shared" si="32"/>
        <v>476592.8378832317</v>
      </c>
      <c r="U71" s="90">
        <f t="shared" si="32"/>
        <v>481848.73900721333</v>
      </c>
      <c r="V71" s="90">
        <f t="shared" si="32"/>
        <v>487162.6025981672</v>
      </c>
      <c r="W71" s="90"/>
    </row>
    <row r="72" spans="1:23">
      <c r="A72" s="101" t="str">
        <f>+A60</f>
        <v>c. Space Heating - PCT</v>
      </c>
      <c r="B72" s="102"/>
      <c r="C72" s="90">
        <f t="shared" ref="C72:V72" si="33">C6*$C$9*$C$10*C17*C15*(1-C16)</f>
        <v>12957.691786875002</v>
      </c>
      <c r="D72" s="90">
        <f t="shared" si="33"/>
        <v>72339.575065312514</v>
      </c>
      <c r="E72" s="90">
        <f t="shared" si="33"/>
        <v>144138.42365175002</v>
      </c>
      <c r="F72" s="90">
        <f t="shared" si="33"/>
        <v>228800.56487681251</v>
      </c>
      <c r="G72" s="90">
        <f t="shared" si="33"/>
        <v>326773.23143850005</v>
      </c>
      <c r="H72" s="90">
        <f t="shared" si="33"/>
        <v>389696.67890999996</v>
      </c>
      <c r="I72" s="90">
        <f t="shared" si="33"/>
        <v>394919.72981999995</v>
      </c>
      <c r="J72" s="90">
        <f t="shared" si="33"/>
        <v>400114.76620499999</v>
      </c>
      <c r="K72" s="90">
        <f t="shared" si="33"/>
        <v>405260.1196875</v>
      </c>
      <c r="L72" s="90">
        <f t="shared" si="33"/>
        <v>410379.85988999996</v>
      </c>
      <c r="M72" s="90">
        <f t="shared" si="33"/>
        <v>415442.02738500002</v>
      </c>
      <c r="N72" s="90">
        <f t="shared" si="33"/>
        <v>420417.52137000003</v>
      </c>
      <c r="O72" s="90">
        <f t="shared" si="33"/>
        <v>425285.64540000004</v>
      </c>
      <c r="P72" s="90">
        <f t="shared" si="33"/>
        <v>430071.38385750004</v>
      </c>
      <c r="Q72" s="90">
        <f t="shared" si="33"/>
        <v>434814.24294000003</v>
      </c>
      <c r="R72" s="90">
        <f t="shared" si="33"/>
        <v>439609.40662383079</v>
      </c>
      <c r="S72" s="90">
        <f t="shared" si="33"/>
        <v>444457.4517280109</v>
      </c>
      <c r="T72" s="90">
        <f t="shared" si="33"/>
        <v>449358.9614327614</v>
      </c>
      <c r="U72" s="90">
        <f t="shared" si="33"/>
        <v>454314.52534965833</v>
      </c>
      <c r="V72" s="90">
        <f t="shared" si="33"/>
        <v>459324.73959255771</v>
      </c>
      <c r="W72" s="90"/>
    </row>
    <row r="73" spans="1:23">
      <c r="A73" s="101" t="str">
        <f>+A61</f>
        <v>d. Water Heating - WH Controls</v>
      </c>
      <c r="B73" s="102"/>
      <c r="C73" s="90">
        <f t="shared" ref="C73:V73" si="34">C6*$C$42*$C$43*C50*C48*(1-C49)</f>
        <v>4476.2935263749987</v>
      </c>
      <c r="D73" s="90">
        <f t="shared" si="34"/>
        <v>22718.213656874992</v>
      </c>
      <c r="E73" s="90">
        <f t="shared" si="34"/>
        <v>41494.39468762499</v>
      </c>
      <c r="F73" s="90">
        <f t="shared" si="34"/>
        <v>60800.150107124988</v>
      </c>
      <c r="G73" s="90">
        <f t="shared" si="34"/>
        <v>80632.355809499975</v>
      </c>
      <c r="H73" s="90">
        <f t="shared" si="34"/>
        <v>96158.920769999968</v>
      </c>
      <c r="I73" s="90">
        <f t="shared" si="34"/>
        <v>97447.72553999997</v>
      </c>
      <c r="J73" s="90">
        <f t="shared" si="34"/>
        <v>98729.617634999959</v>
      </c>
      <c r="K73" s="90">
        <f t="shared" si="34"/>
        <v>99999.250312499964</v>
      </c>
      <c r="L73" s="90">
        <f t="shared" si="34"/>
        <v>101262.56282999997</v>
      </c>
      <c r="M73" s="90">
        <f t="shared" si="34"/>
        <v>102511.66909499996</v>
      </c>
      <c r="N73" s="90">
        <f t="shared" si="34"/>
        <v>103739.38838999996</v>
      </c>
      <c r="O73" s="90">
        <f t="shared" si="34"/>
        <v>104940.61379999996</v>
      </c>
      <c r="P73" s="90">
        <f t="shared" si="34"/>
        <v>106121.51030249998</v>
      </c>
      <c r="Q73" s="90">
        <f t="shared" si="34"/>
        <v>107291.82617999996</v>
      </c>
      <c r="R73" s="90">
        <f t="shared" si="34"/>
        <v>108475.04838769847</v>
      </c>
      <c r="S73" s="90">
        <f t="shared" si="34"/>
        <v>109671.31925756109</v>
      </c>
      <c r="T73" s="90">
        <f t="shared" si="34"/>
        <v>110880.78269120082</v>
      </c>
      <c r="U73" s="90">
        <f t="shared" si="34"/>
        <v>112103.58417718837</v>
      </c>
      <c r="V73" s="90">
        <f t="shared" si="34"/>
        <v>113339.87080855317</v>
      </c>
      <c r="W73" s="90"/>
    </row>
    <row r="74" spans="1:23">
      <c r="A74" s="85"/>
      <c r="B74" s="85"/>
      <c r="C74" s="103"/>
      <c r="D74" s="103"/>
      <c r="E74" s="103"/>
      <c r="F74" s="103"/>
      <c r="G74" s="103"/>
      <c r="H74" s="103"/>
      <c r="I74" s="103"/>
      <c r="J74" s="103"/>
      <c r="K74" s="103"/>
      <c r="L74" s="103"/>
      <c r="M74" s="103"/>
      <c r="N74" s="103"/>
      <c r="O74" s="103"/>
      <c r="P74" s="103"/>
      <c r="Q74" s="103"/>
      <c r="R74" s="103"/>
      <c r="S74" s="103"/>
      <c r="T74" s="103"/>
      <c r="U74" s="103"/>
      <c r="V74" s="103"/>
      <c r="W74" s="103"/>
    </row>
    <row r="75" spans="1:23">
      <c r="A75" s="91" t="s">
        <v>219</v>
      </c>
      <c r="B75" s="91"/>
      <c r="C75" s="93">
        <f>SUM(C70:C73)</f>
        <v>44919.998194499996</v>
      </c>
      <c r="D75" s="93">
        <f t="shared" ref="D75:V75" si="35">SUM(D70:D73)</f>
        <v>248505.37219406248</v>
      </c>
      <c r="E75" s="93">
        <f t="shared" si="35"/>
        <v>491380.989721875</v>
      </c>
      <c r="F75" s="93">
        <f t="shared" si="35"/>
        <v>774935.24654081243</v>
      </c>
      <c r="G75" s="93">
        <f t="shared" si="35"/>
        <v>1100560.9266629999</v>
      </c>
      <c r="H75" s="93">
        <f t="shared" si="35"/>
        <v>1312484.9185799998</v>
      </c>
      <c r="I75" s="93">
        <f t="shared" si="35"/>
        <v>1330075.9731599998</v>
      </c>
      <c r="J75" s="93">
        <f t="shared" si="35"/>
        <v>1347572.67579</v>
      </c>
      <c r="K75" s="93">
        <f t="shared" si="35"/>
        <v>1364902.048125</v>
      </c>
      <c r="L75" s="93">
        <f t="shared" si="35"/>
        <v>1382145.1558199998</v>
      </c>
      <c r="M75" s="93">
        <f t="shared" si="35"/>
        <v>1399194.3606299998</v>
      </c>
      <c r="N75" s="93">
        <f t="shared" si="35"/>
        <v>1415951.65206</v>
      </c>
      <c r="O75" s="93">
        <f t="shared" si="35"/>
        <v>1432347.3251999998</v>
      </c>
      <c r="P75" s="93">
        <f t="shared" si="35"/>
        <v>1448465.5265849996</v>
      </c>
      <c r="Q75" s="93">
        <f t="shared" si="35"/>
        <v>1464439.3117199996</v>
      </c>
      <c r="R75" s="93">
        <f t="shared" si="35"/>
        <v>1480589.2569408673</v>
      </c>
      <c r="S75" s="93">
        <f t="shared" si="35"/>
        <v>1496917.3049540799</v>
      </c>
      <c r="T75" s="93">
        <f t="shared" si="35"/>
        <v>1513425.4198904256</v>
      </c>
      <c r="U75" s="93">
        <f t="shared" si="35"/>
        <v>1530115.5875412733</v>
      </c>
      <c r="V75" s="93">
        <f t="shared" si="35"/>
        <v>1546989.8155974452</v>
      </c>
      <c r="W75" s="93"/>
    </row>
    <row r="77" spans="1:23">
      <c r="A77" s="77" t="s">
        <v>220</v>
      </c>
      <c r="B77" s="77"/>
      <c r="D77" s="214"/>
      <c r="E77" s="78"/>
      <c r="F77" s="78"/>
      <c r="G77" s="215"/>
    </row>
    <row r="78" spans="1:23">
      <c r="A78" s="77"/>
      <c r="B78" s="77"/>
      <c r="D78" s="214"/>
      <c r="E78" s="78"/>
      <c r="F78" s="78"/>
      <c r="G78" s="219"/>
    </row>
    <row r="79" spans="1:23">
      <c r="A79" s="104"/>
      <c r="B79" s="474" t="s">
        <v>242</v>
      </c>
      <c r="C79" s="476" t="s">
        <v>221</v>
      </c>
      <c r="D79" s="477"/>
      <c r="E79" s="477"/>
      <c r="F79" s="477"/>
      <c r="G79" s="477"/>
      <c r="H79" s="477"/>
      <c r="I79" s="477"/>
      <c r="J79" s="477"/>
      <c r="K79" s="477"/>
      <c r="L79" s="477"/>
      <c r="M79" s="477"/>
      <c r="N79" s="477"/>
      <c r="O79" s="477"/>
      <c r="P79" s="477"/>
      <c r="Q79" s="477"/>
      <c r="R79" s="477"/>
      <c r="S79" s="477"/>
      <c r="T79" s="477"/>
      <c r="U79" s="477"/>
      <c r="V79" s="477"/>
      <c r="W79" s="477"/>
    </row>
    <row r="80" spans="1:23">
      <c r="A80" s="182" t="s">
        <v>214</v>
      </c>
      <c r="B80" s="475"/>
      <c r="C80" s="184">
        <f>C5</f>
        <v>2016</v>
      </c>
      <c r="D80" s="328">
        <f t="shared" ref="D80:V80" si="36">D5</f>
        <v>2017</v>
      </c>
      <c r="E80" s="328">
        <f t="shared" si="36"/>
        <v>2018</v>
      </c>
      <c r="F80" s="328">
        <f t="shared" si="36"/>
        <v>2019</v>
      </c>
      <c r="G80" s="328">
        <f t="shared" si="36"/>
        <v>2020</v>
      </c>
      <c r="H80" s="328">
        <f t="shared" si="36"/>
        <v>2021</v>
      </c>
      <c r="I80" s="328">
        <f t="shared" si="36"/>
        <v>2022</v>
      </c>
      <c r="J80" s="328">
        <f t="shared" si="36"/>
        <v>2023</v>
      </c>
      <c r="K80" s="328">
        <f t="shared" si="36"/>
        <v>2024</v>
      </c>
      <c r="L80" s="328">
        <f t="shared" si="36"/>
        <v>2025</v>
      </c>
      <c r="M80" s="328">
        <f t="shared" si="36"/>
        <v>2026</v>
      </c>
      <c r="N80" s="328">
        <f t="shared" si="36"/>
        <v>2027</v>
      </c>
      <c r="O80" s="328">
        <f t="shared" si="36"/>
        <v>2028</v>
      </c>
      <c r="P80" s="328">
        <f t="shared" si="36"/>
        <v>2029</v>
      </c>
      <c r="Q80" s="328">
        <f t="shared" si="36"/>
        <v>2030</v>
      </c>
      <c r="R80" s="328">
        <f t="shared" si="36"/>
        <v>2031</v>
      </c>
      <c r="S80" s="328">
        <f t="shared" si="36"/>
        <v>2032</v>
      </c>
      <c r="T80" s="328">
        <f t="shared" si="36"/>
        <v>2033</v>
      </c>
      <c r="U80" s="328">
        <f t="shared" si="36"/>
        <v>2034</v>
      </c>
      <c r="V80" s="328">
        <f t="shared" si="36"/>
        <v>2035</v>
      </c>
      <c r="W80" s="184"/>
    </row>
    <row r="81" spans="1:23">
      <c r="A81" s="82"/>
      <c r="B81" s="82"/>
      <c r="C81" s="82"/>
      <c r="D81" s="105"/>
      <c r="E81" s="82"/>
      <c r="F81" s="82"/>
      <c r="G81" s="82"/>
      <c r="H81" s="82"/>
      <c r="I81" s="82"/>
      <c r="J81" s="82"/>
      <c r="K81" s="82"/>
      <c r="L81" s="82"/>
      <c r="M81" s="82"/>
      <c r="N81" s="82"/>
      <c r="O81" s="82"/>
      <c r="P81" s="82"/>
      <c r="Q81" s="82"/>
      <c r="R81" s="82"/>
      <c r="S81" s="82"/>
      <c r="T81" s="82"/>
      <c r="U81" s="82"/>
      <c r="V81" s="82"/>
      <c r="W81" s="82"/>
    </row>
    <row r="82" spans="1:23">
      <c r="A82" s="101" t="str">
        <f>+A58</f>
        <v>a. Space Cooling - CAC PCT</v>
      </c>
      <c r="B82" s="248">
        <f>KeyAssumptions!V6</f>
        <v>0.6</v>
      </c>
      <c r="C82" s="189">
        <f>$B82/1000*C70*$C$11</f>
        <v>7.8335136711562487</v>
      </c>
      <c r="D82" s="189">
        <f t="shared" ref="D82:V82" si="37">$B82/1000*D70*$C$11</f>
        <v>43.732561289484366</v>
      </c>
      <c r="E82" s="189">
        <f t="shared" si="37"/>
        <v>87.138228844012474</v>
      </c>
      <c r="F82" s="189">
        <f t="shared" si="37"/>
        <v>138.32034149370935</v>
      </c>
      <c r="G82" s="189">
        <f t="shared" si="37"/>
        <v>197.54927173327496</v>
      </c>
      <c r="H82" s="189">
        <f t="shared" si="37"/>
        <v>235.5893558864999</v>
      </c>
      <c r="I82" s="189">
        <f t="shared" si="37"/>
        <v>238.74692757299991</v>
      </c>
      <c r="J82" s="189">
        <f t="shared" si="37"/>
        <v>241.88756320574996</v>
      </c>
      <c r="K82" s="189">
        <f t="shared" si="37"/>
        <v>244.99816326562498</v>
      </c>
      <c r="L82" s="189">
        <f t="shared" si="37"/>
        <v>248.09327893349993</v>
      </c>
      <c r="M82" s="189">
        <f t="shared" si="37"/>
        <v>251.15358928274992</v>
      </c>
      <c r="N82" s="189">
        <f t="shared" si="37"/>
        <v>254.16150155549994</v>
      </c>
      <c r="O82" s="189">
        <f t="shared" si="37"/>
        <v>257.10450380999998</v>
      </c>
      <c r="P82" s="189">
        <f t="shared" si="37"/>
        <v>259.9977002411249</v>
      </c>
      <c r="Q82" s="189">
        <f t="shared" si="37"/>
        <v>262.86497414099995</v>
      </c>
      <c r="R82" s="189">
        <f t="shared" si="37"/>
        <v>265.76386854986134</v>
      </c>
      <c r="S82" s="189">
        <f t="shared" si="37"/>
        <v>268.69473218102468</v>
      </c>
      <c r="T82" s="189">
        <f t="shared" si="37"/>
        <v>271.65791759344205</v>
      </c>
      <c r="U82" s="189">
        <f t="shared" si="37"/>
        <v>274.65378123411153</v>
      </c>
      <c r="V82" s="189">
        <f t="shared" si="37"/>
        <v>277.68268348095523</v>
      </c>
      <c r="W82" s="189"/>
    </row>
    <row r="83" spans="1:23">
      <c r="A83" s="101" t="str">
        <f>+A59</f>
        <v>b. Space Cooling - RAC PCT</v>
      </c>
      <c r="B83" s="248">
        <f>KeyAssumptions!V7</f>
        <v>0.27</v>
      </c>
      <c r="C83" s="189">
        <f t="shared" ref="C83:V83" si="38">$B83/1000*C71*$C$22</f>
        <v>3.525081152020312</v>
      </c>
      <c r="D83" s="189">
        <f t="shared" si="38"/>
        <v>19.67965258026797</v>
      </c>
      <c r="E83" s="189">
        <f t="shared" si="38"/>
        <v>39.212202979805625</v>
      </c>
      <c r="F83" s="189">
        <f t="shared" si="38"/>
        <v>62.244153672169205</v>
      </c>
      <c r="G83" s="189">
        <f t="shared" si="38"/>
        <v>88.897172279973745</v>
      </c>
      <c r="H83" s="189">
        <f t="shared" si="38"/>
        <v>106.01521014892498</v>
      </c>
      <c r="I83" s="189">
        <f t="shared" si="38"/>
        <v>107.43611740784996</v>
      </c>
      <c r="J83" s="189">
        <f t="shared" si="38"/>
        <v>108.8494034425875</v>
      </c>
      <c r="K83" s="189">
        <f t="shared" si="38"/>
        <v>110.24917346953124</v>
      </c>
      <c r="L83" s="189">
        <f t="shared" si="38"/>
        <v>111.64197552007499</v>
      </c>
      <c r="M83" s="189">
        <f t="shared" si="38"/>
        <v>113.01911517723748</v>
      </c>
      <c r="N83" s="189">
        <f t="shared" si="38"/>
        <v>114.37267569997499</v>
      </c>
      <c r="O83" s="189">
        <f t="shared" si="38"/>
        <v>115.69702671449998</v>
      </c>
      <c r="P83" s="189">
        <f t="shared" si="38"/>
        <v>116.99896510850623</v>
      </c>
      <c r="Q83" s="189">
        <f t="shared" si="38"/>
        <v>118.28923836344998</v>
      </c>
      <c r="R83" s="189">
        <f t="shared" si="38"/>
        <v>119.5937408474376</v>
      </c>
      <c r="S83" s="189">
        <f t="shared" si="38"/>
        <v>120.91262948146111</v>
      </c>
      <c r="T83" s="189">
        <f t="shared" si="38"/>
        <v>122.24606291704892</v>
      </c>
      <c r="U83" s="189">
        <f t="shared" si="38"/>
        <v>123.59420155535022</v>
      </c>
      <c r="V83" s="189">
        <f t="shared" si="38"/>
        <v>124.95720756642989</v>
      </c>
      <c r="W83" s="189"/>
    </row>
    <row r="84" spans="1:23">
      <c r="A84" s="101" t="str">
        <f>+A60</f>
        <v>c. Space Heating - PCT</v>
      </c>
      <c r="B84" s="248">
        <f>KeyAssumptions!V4</f>
        <v>1.74</v>
      </c>
      <c r="C84" s="189">
        <f>$B84/1000*C72*$C$33</f>
        <v>21.419064523704378</v>
      </c>
      <c r="D84" s="189">
        <f t="shared" ref="D84:V84" si="39">$B84/1000*D72*$C$33</f>
        <v>119.57731758296158</v>
      </c>
      <c r="E84" s="189">
        <f t="shared" si="39"/>
        <v>238.26081429634277</v>
      </c>
      <c r="F84" s="189">
        <f t="shared" si="39"/>
        <v>378.20733374137103</v>
      </c>
      <c r="G84" s="189">
        <f t="shared" si="39"/>
        <v>540.15615156784054</v>
      </c>
      <c r="H84" s="189">
        <f t="shared" si="39"/>
        <v>644.16861023822992</v>
      </c>
      <c r="I84" s="189">
        <f t="shared" si="39"/>
        <v>652.80231339245984</v>
      </c>
      <c r="J84" s="189">
        <f t="shared" si="39"/>
        <v>661.38970853686499</v>
      </c>
      <c r="K84" s="189">
        <f t="shared" si="39"/>
        <v>669.89497784343746</v>
      </c>
      <c r="L84" s="189">
        <f t="shared" si="39"/>
        <v>678.35790839816991</v>
      </c>
      <c r="M84" s="189">
        <f t="shared" si="39"/>
        <v>686.725671267405</v>
      </c>
      <c r="N84" s="189">
        <f t="shared" si="39"/>
        <v>694.95016282461006</v>
      </c>
      <c r="O84" s="189">
        <f t="shared" si="39"/>
        <v>702.99717184619999</v>
      </c>
      <c r="P84" s="189">
        <f t="shared" si="39"/>
        <v>710.90799751644749</v>
      </c>
      <c r="Q84" s="189">
        <f t="shared" si="39"/>
        <v>718.74794357982</v>
      </c>
      <c r="R84" s="189">
        <f t="shared" si="39"/>
        <v>726.67434914919227</v>
      </c>
      <c r="S84" s="189">
        <f t="shared" si="39"/>
        <v>734.68816770640194</v>
      </c>
      <c r="T84" s="189">
        <f t="shared" si="39"/>
        <v>742.79036324835465</v>
      </c>
      <c r="U84" s="189">
        <f t="shared" si="39"/>
        <v>750.98191040298514</v>
      </c>
      <c r="V84" s="189">
        <f t="shared" si="39"/>
        <v>759.26379454649782</v>
      </c>
      <c r="W84" s="189"/>
    </row>
    <row r="85" spans="1:23">
      <c r="A85" s="101" t="str">
        <f>+A61</f>
        <v>d. Water Heating - WH Controls</v>
      </c>
      <c r="B85" s="248">
        <f>KeyAssumptions!V5</f>
        <v>0.57999999999999996</v>
      </c>
      <c r="C85" s="189">
        <f>$B85/1000*C73*$C$44</f>
        <v>2.4664377330326239</v>
      </c>
      <c r="D85" s="189">
        <f t="shared" ref="D85:V85" si="40">$B85/1000*D73*$C$44</f>
        <v>12.51773572493812</v>
      </c>
      <c r="E85" s="189">
        <f t="shared" si="40"/>
        <v>22.863411472881367</v>
      </c>
      <c r="F85" s="189">
        <f t="shared" si="40"/>
        <v>33.500882709025873</v>
      </c>
      <c r="G85" s="189">
        <f t="shared" si="40"/>
        <v>44.428428051034487</v>
      </c>
      <c r="H85" s="189">
        <f t="shared" si="40"/>
        <v>52.983565344269977</v>
      </c>
      <c r="I85" s="189">
        <f t="shared" si="40"/>
        <v>53.69369677253998</v>
      </c>
      <c r="J85" s="189">
        <f t="shared" si="40"/>
        <v>54.400019316884979</v>
      </c>
      <c r="K85" s="189">
        <f t="shared" si="40"/>
        <v>55.099586922187477</v>
      </c>
      <c r="L85" s="189">
        <f t="shared" si="40"/>
        <v>55.795672119329978</v>
      </c>
      <c r="M85" s="189">
        <f t="shared" si="40"/>
        <v>56.483929671344981</v>
      </c>
      <c r="N85" s="189">
        <f t="shared" si="40"/>
        <v>57.160403002889979</v>
      </c>
      <c r="O85" s="189">
        <f t="shared" si="40"/>
        <v>57.822278203799975</v>
      </c>
      <c r="P85" s="189">
        <f t="shared" si="40"/>
        <v>58.472952176677488</v>
      </c>
      <c r="Q85" s="189">
        <f t="shared" si="40"/>
        <v>59.11779622517998</v>
      </c>
      <c r="R85" s="189">
        <f t="shared" si="40"/>
        <v>59.769751661621846</v>
      </c>
      <c r="S85" s="189">
        <f t="shared" si="40"/>
        <v>60.428896910916158</v>
      </c>
      <c r="T85" s="189">
        <f t="shared" si="40"/>
        <v>61.095311262851652</v>
      </c>
      <c r="U85" s="189">
        <f t="shared" si="40"/>
        <v>61.769074881630786</v>
      </c>
      <c r="V85" s="189">
        <f t="shared" si="40"/>
        <v>62.450268815512793</v>
      </c>
      <c r="W85" s="189"/>
    </row>
    <row r="86" spans="1:23">
      <c r="A86" s="85"/>
      <c r="B86" s="85"/>
      <c r="C86" s="106"/>
      <c r="D86" s="106"/>
      <c r="E86" s="106"/>
      <c r="F86" s="106"/>
      <c r="G86" s="106"/>
      <c r="H86" s="106"/>
      <c r="I86" s="106"/>
      <c r="J86" s="106"/>
      <c r="K86" s="106"/>
      <c r="L86" s="106"/>
      <c r="M86" s="106"/>
      <c r="N86" s="106"/>
      <c r="O86" s="106"/>
      <c r="P86" s="106"/>
      <c r="Q86" s="106"/>
      <c r="R86" s="106"/>
      <c r="S86" s="106"/>
      <c r="T86" s="106"/>
      <c r="U86" s="106"/>
      <c r="V86" s="106"/>
      <c r="W86" s="106"/>
    </row>
    <row r="87" spans="1:23">
      <c r="A87" s="107" t="s">
        <v>269</v>
      </c>
      <c r="B87" s="108"/>
      <c r="C87" s="109">
        <f>SUM(C82:C85)</f>
        <v>35.244097079913558</v>
      </c>
      <c r="D87" s="109">
        <f t="shared" ref="D87:V87" si="41">SUM(D82:D85)</f>
        <v>195.50726717765204</v>
      </c>
      <c r="E87" s="109">
        <f t="shared" si="41"/>
        <v>387.47465759304225</v>
      </c>
      <c r="F87" s="109">
        <f t="shared" si="41"/>
        <v>612.27271161627539</v>
      </c>
      <c r="G87" s="109">
        <f t="shared" si="41"/>
        <v>871.03102363212372</v>
      </c>
      <c r="H87" s="109">
        <f t="shared" si="41"/>
        <v>1038.7567416179247</v>
      </c>
      <c r="I87" s="109">
        <f t="shared" si="41"/>
        <v>1052.6790551458498</v>
      </c>
      <c r="J87" s="109">
        <f t="shared" si="41"/>
        <v>1066.5266945020874</v>
      </c>
      <c r="K87" s="109">
        <f t="shared" si="41"/>
        <v>1080.2419015007811</v>
      </c>
      <c r="L87" s="109">
        <f t="shared" si="41"/>
        <v>1093.8888349710749</v>
      </c>
      <c r="M87" s="109">
        <f t="shared" si="41"/>
        <v>1107.3823053987376</v>
      </c>
      <c r="N87" s="109">
        <f t="shared" si="41"/>
        <v>1120.6447430829751</v>
      </c>
      <c r="O87" s="109">
        <f t="shared" si="41"/>
        <v>1133.6209805745</v>
      </c>
      <c r="P87" s="109">
        <f t="shared" si="41"/>
        <v>1146.3776150427559</v>
      </c>
      <c r="Q87" s="109">
        <f t="shared" si="41"/>
        <v>1159.0199523094498</v>
      </c>
      <c r="R87" s="109">
        <f t="shared" si="41"/>
        <v>1171.801710208113</v>
      </c>
      <c r="S87" s="109">
        <f t="shared" si="41"/>
        <v>1184.724426279804</v>
      </c>
      <c r="T87" s="109">
        <f t="shared" si="41"/>
        <v>1197.7896550216974</v>
      </c>
      <c r="U87" s="109">
        <f t="shared" si="41"/>
        <v>1210.9989680740778</v>
      </c>
      <c r="V87" s="109">
        <f t="shared" si="41"/>
        <v>1224.3539544093958</v>
      </c>
      <c r="W87" s="109"/>
    </row>
    <row r="88" spans="1:23">
      <c r="A88" s="110"/>
      <c r="B88" s="110"/>
      <c r="C88" s="111"/>
      <c r="D88" s="111"/>
      <c r="E88" s="112"/>
      <c r="F88" s="112"/>
      <c r="G88" s="112"/>
      <c r="H88" s="112"/>
      <c r="I88" s="112"/>
      <c r="J88" s="112"/>
      <c r="K88" s="112"/>
      <c r="L88" s="112"/>
      <c r="M88" s="112"/>
      <c r="N88" s="112"/>
      <c r="O88" s="112"/>
      <c r="P88" s="112"/>
      <c r="Q88" s="112"/>
      <c r="R88" s="112"/>
      <c r="S88" s="112"/>
      <c r="T88" s="112"/>
      <c r="U88" s="112"/>
      <c r="V88" s="112"/>
      <c r="W88" s="112"/>
    </row>
    <row r="89" spans="1:23">
      <c r="A89" s="77" t="s">
        <v>276</v>
      </c>
      <c r="B89" s="110"/>
      <c r="C89" s="98"/>
      <c r="D89" s="122"/>
      <c r="E89" s="121"/>
      <c r="F89" s="121"/>
      <c r="G89" s="121"/>
      <c r="H89" s="121"/>
      <c r="I89" s="121"/>
      <c r="J89" s="121"/>
      <c r="K89" s="121"/>
      <c r="L89" s="121"/>
      <c r="M89" s="121"/>
      <c r="N89" s="121"/>
      <c r="O89" s="121"/>
      <c r="P89" s="121"/>
      <c r="Q89" s="121"/>
      <c r="R89" s="121"/>
      <c r="S89" s="121"/>
      <c r="T89" s="121"/>
      <c r="U89" s="121"/>
      <c r="V89" s="121"/>
      <c r="W89" s="121"/>
    </row>
    <row r="90" spans="1:23">
      <c r="A90" s="113"/>
      <c r="B90" s="110"/>
      <c r="C90" s="98"/>
      <c r="D90" s="121"/>
      <c r="E90" s="121"/>
      <c r="F90" s="121"/>
      <c r="G90" s="121"/>
      <c r="H90" s="121"/>
      <c r="I90" s="121"/>
      <c r="J90" s="121"/>
      <c r="K90" s="121"/>
      <c r="L90" s="121"/>
      <c r="M90" s="121"/>
      <c r="N90" s="121"/>
      <c r="O90" s="121"/>
      <c r="P90" s="121"/>
      <c r="Q90" s="121"/>
      <c r="R90" s="121"/>
      <c r="S90" s="121"/>
      <c r="T90" s="121"/>
      <c r="U90" s="121"/>
      <c r="V90" s="121"/>
      <c r="W90" s="121"/>
    </row>
    <row r="91" spans="1:23" ht="17.100000000000001" customHeight="1">
      <c r="A91" s="478" t="s">
        <v>214</v>
      </c>
      <c r="B91" s="474" t="s">
        <v>304</v>
      </c>
      <c r="C91" s="469" t="s">
        <v>222</v>
      </c>
      <c r="D91" s="469"/>
      <c r="E91" s="469"/>
      <c r="F91" s="469"/>
      <c r="G91" s="469"/>
      <c r="H91" s="469"/>
      <c r="I91" s="469"/>
      <c r="J91" s="469"/>
      <c r="K91" s="469"/>
      <c r="L91" s="469"/>
      <c r="M91" s="469"/>
      <c r="N91" s="469"/>
      <c r="O91" s="469"/>
      <c r="P91" s="469"/>
      <c r="Q91" s="469"/>
      <c r="R91" s="469"/>
      <c r="S91" s="469"/>
      <c r="T91" s="469"/>
      <c r="U91" s="469"/>
      <c r="V91" s="469"/>
      <c r="W91" s="469"/>
    </row>
    <row r="92" spans="1:23" ht="17.45" customHeight="1">
      <c r="A92" s="479"/>
      <c r="B92" s="480"/>
      <c r="C92" s="184">
        <f>C5</f>
        <v>2016</v>
      </c>
      <c r="D92" s="328">
        <f t="shared" ref="D92:V92" si="42">D5</f>
        <v>2017</v>
      </c>
      <c r="E92" s="328">
        <f t="shared" si="42"/>
        <v>2018</v>
      </c>
      <c r="F92" s="328">
        <f t="shared" si="42"/>
        <v>2019</v>
      </c>
      <c r="G92" s="328">
        <f t="shared" si="42"/>
        <v>2020</v>
      </c>
      <c r="H92" s="328">
        <f t="shared" si="42"/>
        <v>2021</v>
      </c>
      <c r="I92" s="328">
        <f t="shared" si="42"/>
        <v>2022</v>
      </c>
      <c r="J92" s="328">
        <f t="shared" si="42"/>
        <v>2023</v>
      </c>
      <c r="K92" s="328">
        <f t="shared" si="42"/>
        <v>2024</v>
      </c>
      <c r="L92" s="328">
        <f t="shared" si="42"/>
        <v>2025</v>
      </c>
      <c r="M92" s="328">
        <f t="shared" si="42"/>
        <v>2026</v>
      </c>
      <c r="N92" s="328">
        <f t="shared" si="42"/>
        <v>2027</v>
      </c>
      <c r="O92" s="328">
        <f t="shared" si="42"/>
        <v>2028</v>
      </c>
      <c r="P92" s="328">
        <f t="shared" si="42"/>
        <v>2029</v>
      </c>
      <c r="Q92" s="328">
        <f t="shared" si="42"/>
        <v>2030</v>
      </c>
      <c r="R92" s="328">
        <f t="shared" si="42"/>
        <v>2031</v>
      </c>
      <c r="S92" s="328">
        <f t="shared" si="42"/>
        <v>2032</v>
      </c>
      <c r="T92" s="328">
        <f t="shared" si="42"/>
        <v>2033</v>
      </c>
      <c r="U92" s="328">
        <f t="shared" si="42"/>
        <v>2034</v>
      </c>
      <c r="V92" s="328">
        <f t="shared" si="42"/>
        <v>2035</v>
      </c>
      <c r="W92" s="184"/>
    </row>
    <row r="93" spans="1:23" ht="17.45" customHeight="1">
      <c r="A93" s="123"/>
      <c r="B93" s="124"/>
      <c r="C93" s="78"/>
      <c r="D93" s="82"/>
      <c r="E93" s="82"/>
      <c r="F93" s="82"/>
      <c r="G93" s="82"/>
      <c r="H93" s="82"/>
      <c r="I93" s="82"/>
      <c r="J93" s="82"/>
      <c r="K93" s="82"/>
      <c r="L93" s="82"/>
      <c r="M93" s="82"/>
      <c r="N93" s="82"/>
      <c r="O93" s="82"/>
      <c r="P93" s="82"/>
      <c r="Q93" s="82"/>
      <c r="R93" s="82"/>
      <c r="S93" s="82"/>
      <c r="T93" s="82"/>
      <c r="U93" s="82"/>
      <c r="V93" s="82"/>
      <c r="W93" s="82"/>
    </row>
    <row r="94" spans="1:23" ht="17.45" customHeight="1">
      <c r="A94" s="85" t="str">
        <f>+A58</f>
        <v>a. Space Cooling - CAC PCT</v>
      </c>
      <c r="B94" s="136">
        <f>SUM(KeyAssumptions!Q6:S6)</f>
        <v>308.94</v>
      </c>
      <c r="C94" s="116">
        <f t="shared" ref="C94:V94" si="43">MAX(0,($B$94*C58))</f>
        <v>4245764.4097666871</v>
      </c>
      <c r="D94" s="116">
        <f t="shared" si="43"/>
        <v>19457283.809133843</v>
      </c>
      <c r="E94" s="116">
        <f t="shared" si="43"/>
        <v>23525871.814554241</v>
      </c>
      <c r="F94" s="116">
        <f t="shared" si="43"/>
        <v>27740705.056135699</v>
      </c>
      <c r="G94" s="116">
        <f t="shared" si="43"/>
        <v>32102080.189844571</v>
      </c>
      <c r="H94" s="116">
        <f t="shared" si="43"/>
        <v>20617725.611047935</v>
      </c>
      <c r="I94" s="116">
        <f t="shared" si="43"/>
        <v>1711403.8540829937</v>
      </c>
      <c r="J94" s="116">
        <f t="shared" si="43"/>
        <v>1702224.5129505289</v>
      </c>
      <c r="K94" s="116">
        <f t="shared" si="43"/>
        <v>1685945.2324522489</v>
      </c>
      <c r="L94" s="116">
        <f t="shared" si="43"/>
        <v>1677552.6919882465</v>
      </c>
      <c r="M94" s="116">
        <f t="shared" si="43"/>
        <v>1658688.2092934842</v>
      </c>
      <c r="N94" s="116">
        <f t="shared" si="43"/>
        <v>1630288.4518305114</v>
      </c>
      <c r="O94" s="116">
        <f t="shared" si="43"/>
        <v>1595107.2219389922</v>
      </c>
      <c r="P94" s="116">
        <f t="shared" si="43"/>
        <v>1568112.4656697451</v>
      </c>
      <c r="Q94" s="116">
        <f t="shared" si="43"/>
        <v>1554062.4537322558</v>
      </c>
      <c r="R94" s="116">
        <f t="shared" si="43"/>
        <v>1571200.7696028624</v>
      </c>
      <c r="S94" s="116">
        <f t="shared" si="43"/>
        <v>1588528.0880905525</v>
      </c>
      <c r="T94" s="116">
        <f t="shared" si="43"/>
        <v>1606046.4935302036</v>
      </c>
      <c r="U94" s="116">
        <f t="shared" si="43"/>
        <v>1623758.0932428853</v>
      </c>
      <c r="V94" s="116">
        <f t="shared" si="43"/>
        <v>1641665.0177892891</v>
      </c>
      <c r="W94" s="116"/>
    </row>
    <row r="95" spans="1:23">
      <c r="A95" s="85" t="str">
        <f>+A59</f>
        <v>b. Space Cooling - RAC PCT</v>
      </c>
      <c r="B95" s="136">
        <f>SUM(KeyAssumptions!Q7:S7)</f>
        <v>139.023</v>
      </c>
      <c r="C95" s="116">
        <f t="shared" ref="C95:V95" si="44">MAX(0,($B$95*C59))</f>
        <v>1910593.984395009</v>
      </c>
      <c r="D95" s="116">
        <f t="shared" si="44"/>
        <v>8755777.7141102292</v>
      </c>
      <c r="E95" s="116">
        <f t="shared" si="44"/>
        <v>10586642.316549407</v>
      </c>
      <c r="F95" s="116">
        <f t="shared" si="44"/>
        <v>12483317.275261063</v>
      </c>
      <c r="G95" s="116">
        <f t="shared" si="44"/>
        <v>14445936.085430056</v>
      </c>
      <c r="H95" s="116">
        <f t="shared" si="44"/>
        <v>9277976.5249715708</v>
      </c>
      <c r="I95" s="116">
        <f t="shared" si="44"/>
        <v>770131.73433734721</v>
      </c>
      <c r="J95" s="116">
        <f t="shared" si="44"/>
        <v>766001.030827738</v>
      </c>
      <c r="K95" s="116">
        <f t="shared" si="44"/>
        <v>758675.35460351198</v>
      </c>
      <c r="L95" s="116">
        <f t="shared" si="44"/>
        <v>754898.71139471093</v>
      </c>
      <c r="M95" s="116">
        <f t="shared" si="44"/>
        <v>746409.69418206788</v>
      </c>
      <c r="N95" s="116">
        <f t="shared" si="44"/>
        <v>733629.80332373013</v>
      </c>
      <c r="O95" s="116">
        <f t="shared" si="44"/>
        <v>717798.24987254653</v>
      </c>
      <c r="P95" s="116">
        <f t="shared" si="44"/>
        <v>705650.60955138528</v>
      </c>
      <c r="Q95" s="116">
        <f t="shared" si="44"/>
        <v>699328.10417951515</v>
      </c>
      <c r="R95" s="116">
        <f t="shared" si="44"/>
        <v>707040.34632128803</v>
      </c>
      <c r="S95" s="116">
        <f t="shared" si="44"/>
        <v>714837.63964074862</v>
      </c>
      <c r="T95" s="116">
        <f t="shared" si="44"/>
        <v>722720.92208859161</v>
      </c>
      <c r="U95" s="116">
        <f t="shared" si="44"/>
        <v>730691.1419592984</v>
      </c>
      <c r="V95" s="116">
        <f t="shared" si="44"/>
        <v>738749.25800518005</v>
      </c>
      <c r="W95" s="116"/>
    </row>
    <row r="96" spans="1:23">
      <c r="A96" s="166" t="str">
        <f>A60</f>
        <v>c. Space Heating - PCT</v>
      </c>
      <c r="B96" s="136">
        <f>SUM(KeyAssumptions!Q4:S4)</f>
        <v>895.92600000000004</v>
      </c>
      <c r="C96" s="116">
        <f t="shared" ref="C96:V96" si="45">MAX(0,($B$96*C60))</f>
        <v>11609132.971847774</v>
      </c>
      <c r="D96" s="116">
        <f t="shared" si="45"/>
        <v>53201773.158117406</v>
      </c>
      <c r="E96" s="116">
        <f t="shared" si="45"/>
        <v>64326455.218652613</v>
      </c>
      <c r="F96" s="116">
        <f t="shared" si="45"/>
        <v>75851013.539205343</v>
      </c>
      <c r="G96" s="116">
        <f t="shared" si="45"/>
        <v>87776259.26194647</v>
      </c>
      <c r="H96" s="116">
        <f t="shared" si="45"/>
        <v>56374752.599351034</v>
      </c>
      <c r="I96" s="116">
        <f t="shared" si="45"/>
        <v>4679467.1095926519</v>
      </c>
      <c r="J96" s="116">
        <f t="shared" si="45"/>
        <v>4654368.168267549</v>
      </c>
      <c r="K96" s="116">
        <f t="shared" si="45"/>
        <v>4609855.9641623041</v>
      </c>
      <c r="L96" s="116">
        <f t="shared" si="45"/>
        <v>4586908.3606649805</v>
      </c>
      <c r="M96" s="116">
        <f t="shared" si="45"/>
        <v>4535327.4751254236</v>
      </c>
      <c r="N96" s="116">
        <f t="shared" si="45"/>
        <v>4457674.4240051173</v>
      </c>
      <c r="O96" s="116">
        <f t="shared" si="45"/>
        <v>4361478.8897017855</v>
      </c>
      <c r="P96" s="116">
        <f t="shared" si="45"/>
        <v>4287667.5132741481</v>
      </c>
      <c r="Q96" s="116">
        <f t="shared" si="45"/>
        <v>4249250.7663478814</v>
      </c>
      <c r="R96" s="116">
        <f t="shared" si="45"/>
        <v>4296111.8185997577</v>
      </c>
      <c r="S96" s="116">
        <f t="shared" si="45"/>
        <v>4343489.6580076721</v>
      </c>
      <c r="T96" s="116">
        <f t="shared" si="45"/>
        <v>4391389.9837382939</v>
      </c>
      <c r="U96" s="116">
        <f t="shared" si="45"/>
        <v>4439818.5578098046</v>
      </c>
      <c r="V96" s="116">
        <f t="shared" si="45"/>
        <v>4488781.2057838729</v>
      </c>
      <c r="W96" s="116"/>
    </row>
    <row r="97" spans="1:23">
      <c r="A97" s="85" t="str">
        <f>+A61</f>
        <v>d. Water Heating - WH Controls</v>
      </c>
      <c r="B97" s="136">
        <f>SUM(KeyAssumptions!Q5:S5)</f>
        <v>298.64199999999994</v>
      </c>
      <c r="C97" s="116">
        <f t="shared" ref="C97:V97" si="46">MAX(0,($B$97*C61))</f>
        <v>1336809.2513036821</v>
      </c>
      <c r="D97" s="116">
        <f t="shared" si="46"/>
        <v>5447803.5116127785</v>
      </c>
      <c r="E97" s="116">
        <f t="shared" si="46"/>
        <v>5607356.2553852396</v>
      </c>
      <c r="F97" s="116">
        <f t="shared" si="46"/>
        <v>5765509.4099903172</v>
      </c>
      <c r="G97" s="116">
        <f t="shared" si="46"/>
        <v>5922729.5753686698</v>
      </c>
      <c r="H97" s="116">
        <f t="shared" si="46"/>
        <v>4636884.4129336374</v>
      </c>
      <c r="I97" s="116">
        <f t="shared" si="46"/>
        <v>384891.23412234068</v>
      </c>
      <c r="J97" s="116">
        <f t="shared" si="46"/>
        <v>382826.81903498643</v>
      </c>
      <c r="K97" s="116">
        <f t="shared" si="46"/>
        <v>379165.64207395649</v>
      </c>
      <c r="L97" s="116">
        <f t="shared" si="46"/>
        <v>377278.17685123562</v>
      </c>
      <c r="M97" s="116">
        <f t="shared" si="46"/>
        <v>373035.59319212841</v>
      </c>
      <c r="N97" s="116">
        <f t="shared" si="46"/>
        <v>366648.54569739068</v>
      </c>
      <c r="O97" s="116">
        <f t="shared" si="46"/>
        <v>358736.35889321967</v>
      </c>
      <c r="P97" s="116">
        <f t="shared" si="46"/>
        <v>352665.29329961137</v>
      </c>
      <c r="Q97" s="116">
        <f t="shared" si="46"/>
        <v>349505.47428834764</v>
      </c>
      <c r="R97" s="116">
        <f t="shared" si="46"/>
        <v>353359.84655149694</v>
      </c>
      <c r="S97" s="116">
        <f t="shared" si="46"/>
        <v>357256.72511751339</v>
      </c>
      <c r="T97" s="116">
        <f t="shared" si="46"/>
        <v>361196.57874903572</v>
      </c>
      <c r="U97" s="116">
        <f t="shared" si="46"/>
        <v>365179.88137829525</v>
      </c>
      <c r="V97" s="116">
        <f t="shared" si="46"/>
        <v>369207.11216404574</v>
      </c>
      <c r="W97" s="116"/>
    </row>
    <row r="98" spans="1:23">
      <c r="A98" s="85"/>
      <c r="B98" s="110"/>
      <c r="C98" s="117"/>
      <c r="D98" s="117"/>
      <c r="E98" s="117"/>
      <c r="F98" s="117"/>
      <c r="G98" s="117"/>
      <c r="H98" s="117"/>
      <c r="I98" s="117"/>
      <c r="J98" s="117"/>
      <c r="K98" s="117"/>
      <c r="L98" s="117"/>
      <c r="M98" s="117"/>
      <c r="N98" s="117"/>
      <c r="O98" s="117"/>
      <c r="P98" s="117"/>
      <c r="Q98" s="117"/>
      <c r="R98" s="117"/>
      <c r="S98" s="117"/>
      <c r="T98" s="117"/>
      <c r="U98" s="117"/>
      <c r="V98" s="117"/>
      <c r="W98" s="117"/>
    </row>
    <row r="99" spans="1:23">
      <c r="A99" s="126" t="s">
        <v>278</v>
      </c>
      <c r="B99" s="107"/>
      <c r="C99" s="119">
        <f t="shared" ref="C99:V99" si="47">SUM(C94:C97)</f>
        <v>19102300.617313154</v>
      </c>
      <c r="D99" s="119">
        <f t="shared" si="47"/>
        <v>86862638.192974254</v>
      </c>
      <c r="E99" s="119">
        <f t="shared" si="47"/>
        <v>104046325.60514151</v>
      </c>
      <c r="F99" s="119">
        <f t="shared" si="47"/>
        <v>121840545.28059241</v>
      </c>
      <c r="G99" s="119">
        <f t="shared" si="47"/>
        <v>140247005.11258978</v>
      </c>
      <c r="H99" s="119">
        <f t="shared" si="47"/>
        <v>90907339.148304179</v>
      </c>
      <c r="I99" s="119">
        <f t="shared" si="47"/>
        <v>7545893.9321353333</v>
      </c>
      <c r="J99" s="119">
        <f t="shared" si="47"/>
        <v>7505420.531080802</v>
      </c>
      <c r="K99" s="119">
        <f t="shared" si="47"/>
        <v>7433642.1932920208</v>
      </c>
      <c r="L99" s="119">
        <f t="shared" si="47"/>
        <v>7396637.9408991728</v>
      </c>
      <c r="M99" s="119">
        <f t="shared" si="47"/>
        <v>7313460.971793104</v>
      </c>
      <c r="N99" s="119">
        <f t="shared" si="47"/>
        <v>7188241.2248567501</v>
      </c>
      <c r="O99" s="119">
        <f t="shared" si="47"/>
        <v>7033120.7204065435</v>
      </c>
      <c r="P99" s="119">
        <f t="shared" si="47"/>
        <v>6914095.8817948904</v>
      </c>
      <c r="Q99" s="119">
        <f t="shared" si="47"/>
        <v>6852146.7985479999</v>
      </c>
      <c r="R99" s="119">
        <f t="shared" si="47"/>
        <v>6927712.781075405</v>
      </c>
      <c r="S99" s="119">
        <f t="shared" si="47"/>
        <v>7004112.1108564856</v>
      </c>
      <c r="T99" s="119">
        <f t="shared" si="47"/>
        <v>7081353.9781061243</v>
      </c>
      <c r="U99" s="119">
        <f t="shared" si="47"/>
        <v>7159447.6743902834</v>
      </c>
      <c r="V99" s="119">
        <f t="shared" si="47"/>
        <v>7238402.5937423883</v>
      </c>
      <c r="W99" s="119"/>
    </row>
    <row r="100" spans="1:23">
      <c r="A100" s="110"/>
      <c r="B100" s="110"/>
      <c r="C100" s="121"/>
      <c r="D100" s="121"/>
      <c r="E100" s="121"/>
      <c r="F100" s="121"/>
      <c r="G100" s="121"/>
      <c r="H100" s="121"/>
      <c r="I100" s="121"/>
      <c r="J100" s="121"/>
      <c r="K100" s="121"/>
      <c r="L100" s="121"/>
      <c r="M100" s="121"/>
      <c r="N100" s="121"/>
      <c r="O100" s="121"/>
      <c r="P100" s="121"/>
      <c r="Q100" s="121"/>
      <c r="R100" s="121"/>
      <c r="S100" s="121"/>
      <c r="T100" s="121"/>
      <c r="U100" s="121"/>
      <c r="V100" s="121"/>
      <c r="W100" s="121"/>
    </row>
    <row r="101" spans="1:23">
      <c r="A101" s="96" t="s">
        <v>277</v>
      </c>
      <c r="B101" s="96"/>
      <c r="C101" s="111"/>
      <c r="D101" s="127"/>
      <c r="E101" s="128"/>
      <c r="F101" s="129"/>
      <c r="G101" s="120"/>
      <c r="H101" s="130"/>
      <c r="I101" s="120"/>
      <c r="J101" s="78"/>
      <c r="L101" s="78"/>
    </row>
    <row r="102" spans="1:23">
      <c r="A102" s="110"/>
      <c r="B102" s="110"/>
      <c r="C102" s="111"/>
      <c r="D102" s="127"/>
      <c r="E102" s="128"/>
      <c r="F102" s="129"/>
      <c r="G102" s="120"/>
      <c r="H102" s="130"/>
      <c r="I102" s="120"/>
      <c r="J102" s="78"/>
      <c r="L102" s="78"/>
    </row>
    <row r="103" spans="1:23">
      <c r="A103" s="492" t="s">
        <v>214</v>
      </c>
      <c r="B103" s="462" t="s">
        <v>344</v>
      </c>
      <c r="C103" s="463" t="s">
        <v>223</v>
      </c>
      <c r="D103" s="463"/>
      <c r="E103" s="463"/>
      <c r="F103" s="463"/>
      <c r="G103" s="463"/>
      <c r="H103" s="463"/>
      <c r="I103" s="463"/>
      <c r="J103" s="463"/>
      <c r="K103" s="463"/>
      <c r="L103" s="463"/>
      <c r="M103" s="463"/>
      <c r="N103" s="463"/>
      <c r="O103" s="463"/>
      <c r="P103" s="463"/>
      <c r="Q103" s="463"/>
      <c r="R103" s="463"/>
      <c r="S103" s="463"/>
      <c r="T103" s="463"/>
      <c r="U103" s="463"/>
      <c r="V103" s="463"/>
      <c r="W103" s="463"/>
    </row>
    <row r="104" spans="1:23">
      <c r="A104" s="493"/>
      <c r="B104" s="462"/>
      <c r="C104" s="184">
        <f>C5</f>
        <v>2016</v>
      </c>
      <c r="D104" s="328">
        <f t="shared" ref="D104:V104" si="48">D5</f>
        <v>2017</v>
      </c>
      <c r="E104" s="328">
        <f t="shared" si="48"/>
        <v>2018</v>
      </c>
      <c r="F104" s="328">
        <f t="shared" si="48"/>
        <v>2019</v>
      </c>
      <c r="G104" s="328">
        <f t="shared" si="48"/>
        <v>2020</v>
      </c>
      <c r="H104" s="328">
        <f t="shared" si="48"/>
        <v>2021</v>
      </c>
      <c r="I104" s="328">
        <f t="shared" si="48"/>
        <v>2022</v>
      </c>
      <c r="J104" s="328">
        <f t="shared" si="48"/>
        <v>2023</v>
      </c>
      <c r="K104" s="328">
        <f t="shared" si="48"/>
        <v>2024</v>
      </c>
      <c r="L104" s="328">
        <f t="shared" si="48"/>
        <v>2025</v>
      </c>
      <c r="M104" s="328">
        <f t="shared" si="48"/>
        <v>2026</v>
      </c>
      <c r="N104" s="328">
        <f t="shared" si="48"/>
        <v>2027</v>
      </c>
      <c r="O104" s="328">
        <f t="shared" si="48"/>
        <v>2028</v>
      </c>
      <c r="P104" s="328">
        <f t="shared" si="48"/>
        <v>2029</v>
      </c>
      <c r="Q104" s="328">
        <f t="shared" si="48"/>
        <v>2030</v>
      </c>
      <c r="R104" s="328">
        <f t="shared" si="48"/>
        <v>2031</v>
      </c>
      <c r="S104" s="328">
        <f t="shared" si="48"/>
        <v>2032</v>
      </c>
      <c r="T104" s="328">
        <f t="shared" si="48"/>
        <v>2033</v>
      </c>
      <c r="U104" s="328">
        <f t="shared" si="48"/>
        <v>2034</v>
      </c>
      <c r="V104" s="328">
        <f t="shared" si="48"/>
        <v>2035</v>
      </c>
      <c r="W104" s="184"/>
    </row>
    <row r="105" spans="1:23">
      <c r="A105" s="131"/>
      <c r="B105" s="132"/>
      <c r="C105" s="132"/>
      <c r="D105" s="133"/>
      <c r="E105" s="133"/>
      <c r="F105" s="133"/>
      <c r="G105" s="133"/>
      <c r="H105" s="133"/>
      <c r="I105" s="133"/>
      <c r="J105" s="133"/>
      <c r="K105" s="133"/>
      <c r="L105" s="133"/>
      <c r="M105" s="133"/>
      <c r="N105" s="133"/>
      <c r="O105" s="133"/>
      <c r="P105" s="133"/>
      <c r="Q105" s="133"/>
      <c r="R105" s="133"/>
      <c r="S105" s="133"/>
      <c r="T105" s="133"/>
      <c r="U105" s="133"/>
      <c r="V105" s="133"/>
      <c r="W105" s="133"/>
    </row>
    <row r="106" spans="1:23">
      <c r="A106" s="135" t="str">
        <f>A58</f>
        <v>a. Space Cooling - CAC PCT</v>
      </c>
      <c r="B106" s="136">
        <f>KeyAssumptions!$U$6</f>
        <v>25</v>
      </c>
      <c r="C106" s="137">
        <f>($B$107-IF('7thPlanAssumptions'!$D$14=1,'7thPlanAssumptions'!$B$14,0))*C82*1000</f>
        <v>-7833.5136711562491</v>
      </c>
      <c r="D106" s="137">
        <f>($B$107-IF('7thPlanAssumptions'!$D$14=1,'7thPlanAssumptions'!$B$14,0))*D82*1000</f>
        <v>-43732.561289484365</v>
      </c>
      <c r="E106" s="137">
        <f>($B$107-IF('7thPlanAssumptions'!$D$14=1,'7thPlanAssumptions'!$B$14,0))*E82*1000</f>
        <v>-87138.228844012468</v>
      </c>
      <c r="F106" s="137">
        <f>($B$107-IF('7thPlanAssumptions'!$D$14=1,'7thPlanAssumptions'!$B$14,0))*F82*1000</f>
        <v>-138320.34149370936</v>
      </c>
      <c r="G106" s="137">
        <f>($B$107-IF('7thPlanAssumptions'!$D$14=1,'7thPlanAssumptions'!$B$14,0))*G82*1000</f>
        <v>-197549.27173327497</v>
      </c>
      <c r="H106" s="137">
        <f>($B$107-IF('7thPlanAssumptions'!$D$14=1,'7thPlanAssumptions'!$B$14,0))*H82*1000</f>
        <v>-235589.35588649989</v>
      </c>
      <c r="I106" s="137">
        <f>($B$107-IF('7thPlanAssumptions'!$D$14=1,'7thPlanAssumptions'!$B$14,0))*I82*1000</f>
        <v>-238746.92757299991</v>
      </c>
      <c r="J106" s="137">
        <f>($B$107-IF('7thPlanAssumptions'!$D$14=1,'7thPlanAssumptions'!$B$14,0))*J82*1000</f>
        <v>-241887.56320574996</v>
      </c>
      <c r="K106" s="137">
        <f>($B$107-IF('7thPlanAssumptions'!$D$14=1,'7thPlanAssumptions'!$B$14,0))*K82*1000</f>
        <v>-244998.16326562499</v>
      </c>
      <c r="L106" s="137">
        <f>($B$107-IF('7thPlanAssumptions'!$D$14=1,'7thPlanAssumptions'!$B$14,0))*L82*1000</f>
        <v>-248093.27893349994</v>
      </c>
      <c r="M106" s="137">
        <f>($B$107-IF('7thPlanAssumptions'!$D$14=1,'7thPlanAssumptions'!$B$14,0))*M82*1000</f>
        <v>-251153.58928274992</v>
      </c>
      <c r="N106" s="137">
        <f>($B$107-IF('7thPlanAssumptions'!$D$14=1,'7thPlanAssumptions'!$B$14,0))*N82*1000</f>
        <v>-254161.50155549994</v>
      </c>
      <c r="O106" s="137">
        <f>($B$107-IF('7thPlanAssumptions'!$D$14=1,'7thPlanAssumptions'!$B$14,0))*O82*1000</f>
        <v>-257104.50380999999</v>
      </c>
      <c r="P106" s="137">
        <f>($B$107-IF('7thPlanAssumptions'!$D$14=1,'7thPlanAssumptions'!$B$14,0))*P82*1000</f>
        <v>-259997.7002411249</v>
      </c>
      <c r="Q106" s="137">
        <f>($B$107-IF('7thPlanAssumptions'!$D$14=1,'7thPlanAssumptions'!$B$14,0))*Q82*1000</f>
        <v>-262864.97414099996</v>
      </c>
      <c r="R106" s="137">
        <f>($B$107-IF('7thPlanAssumptions'!$D$14=1,'7thPlanAssumptions'!$B$14,0))*R82*1000</f>
        <v>-265763.86854986136</v>
      </c>
      <c r="S106" s="137">
        <f>($B$107-IF('7thPlanAssumptions'!$D$14=1,'7thPlanAssumptions'!$B$14,0))*S82*1000</f>
        <v>-268694.73218102468</v>
      </c>
      <c r="T106" s="137">
        <f>($B$107-IF('7thPlanAssumptions'!$D$14=1,'7thPlanAssumptions'!$B$14,0))*T82*1000</f>
        <v>-271657.91759344208</v>
      </c>
      <c r="U106" s="137">
        <f>($B$107-IF('7thPlanAssumptions'!$D$14=1,'7thPlanAssumptions'!$B$14,0))*U82*1000</f>
        <v>-274653.78123411152</v>
      </c>
      <c r="V106" s="137">
        <f>($B$107-IF('7thPlanAssumptions'!$D$14=1,'7thPlanAssumptions'!$B$14,0))*V82*1000</f>
        <v>-277682.68348095525</v>
      </c>
      <c r="W106" s="137"/>
    </row>
    <row r="107" spans="1:23">
      <c r="A107" s="135" t="str">
        <f t="shared" ref="A107:A109" si="49">A59</f>
        <v>b. Space Cooling - RAC PCT</v>
      </c>
      <c r="B107" s="136">
        <f>KeyAssumptions!$U$7</f>
        <v>25</v>
      </c>
      <c r="C107" s="137">
        <f>($B$107-IF('7thPlanAssumptions'!$D$14=1,'7thPlanAssumptions'!$B$14,0))*C83*1000</f>
        <v>-3525.0811520203119</v>
      </c>
      <c r="D107" s="137">
        <f>($B$107-IF('7thPlanAssumptions'!$D$14=1,'7thPlanAssumptions'!$B$14,0))*D83*1000</f>
        <v>-19679.652580267968</v>
      </c>
      <c r="E107" s="137">
        <f>($B$107-IF('7thPlanAssumptions'!$D$14=1,'7thPlanAssumptions'!$B$14,0))*E83*1000</f>
        <v>-39212.202979805625</v>
      </c>
      <c r="F107" s="137">
        <f>($B$107-IF('7thPlanAssumptions'!$D$14=1,'7thPlanAssumptions'!$B$14,0))*F83*1000</f>
        <v>-62244.153672169203</v>
      </c>
      <c r="G107" s="137">
        <f>($B$107-IF('7thPlanAssumptions'!$D$14=1,'7thPlanAssumptions'!$B$14,0))*G83*1000</f>
        <v>-88897.172279973747</v>
      </c>
      <c r="H107" s="137">
        <f>($B$107-IF('7thPlanAssumptions'!$D$14=1,'7thPlanAssumptions'!$B$14,0))*H83*1000</f>
        <v>-106015.21014892498</v>
      </c>
      <c r="I107" s="137">
        <f>($B$107-IF('7thPlanAssumptions'!$D$14=1,'7thPlanAssumptions'!$B$14,0))*I83*1000</f>
        <v>-107436.11740784996</v>
      </c>
      <c r="J107" s="137">
        <f>($B$107-IF('7thPlanAssumptions'!$D$14=1,'7thPlanAssumptions'!$B$14,0))*J83*1000</f>
        <v>-108849.4034425875</v>
      </c>
      <c r="K107" s="137">
        <f>($B$107-IF('7thPlanAssumptions'!$D$14=1,'7thPlanAssumptions'!$B$14,0))*K83*1000</f>
        <v>-110249.17346953125</v>
      </c>
      <c r="L107" s="137">
        <f>($B$107-IF('7thPlanAssumptions'!$D$14=1,'7thPlanAssumptions'!$B$14,0))*L83*1000</f>
        <v>-111641.97552007499</v>
      </c>
      <c r="M107" s="137">
        <f>($B$107-IF('7thPlanAssumptions'!$D$14=1,'7thPlanAssumptions'!$B$14,0))*M83*1000</f>
        <v>-113019.11517723749</v>
      </c>
      <c r="N107" s="137">
        <f>($B$107-IF('7thPlanAssumptions'!$D$14=1,'7thPlanAssumptions'!$B$14,0))*N83*1000</f>
        <v>-114372.67569997499</v>
      </c>
      <c r="O107" s="137">
        <f>($B$107-IF('7thPlanAssumptions'!$D$14=1,'7thPlanAssumptions'!$B$14,0))*O83*1000</f>
        <v>-115697.02671449998</v>
      </c>
      <c r="P107" s="137">
        <f>($B$107-IF('7thPlanAssumptions'!$D$14=1,'7thPlanAssumptions'!$B$14,0))*P83*1000</f>
        <v>-116998.96510850622</v>
      </c>
      <c r="Q107" s="137">
        <f>($B$107-IF('7thPlanAssumptions'!$D$14=1,'7thPlanAssumptions'!$B$14,0))*Q83*1000</f>
        <v>-118289.23836344999</v>
      </c>
      <c r="R107" s="137">
        <f>($B$107-IF('7thPlanAssumptions'!$D$14=1,'7thPlanAssumptions'!$B$14,0))*R83*1000</f>
        <v>-119593.7408474376</v>
      </c>
      <c r="S107" s="137">
        <f>($B$107-IF('7thPlanAssumptions'!$D$14=1,'7thPlanAssumptions'!$B$14,0))*S83*1000</f>
        <v>-120912.6294814611</v>
      </c>
      <c r="T107" s="137">
        <f>($B$107-IF('7thPlanAssumptions'!$D$14=1,'7thPlanAssumptions'!$B$14,0))*T83*1000</f>
        <v>-122246.06291704891</v>
      </c>
      <c r="U107" s="137">
        <f>($B$107-IF('7thPlanAssumptions'!$D$14=1,'7thPlanAssumptions'!$B$14,0))*U83*1000</f>
        <v>-123594.20155535023</v>
      </c>
      <c r="V107" s="137">
        <f>($B$107-IF('7thPlanAssumptions'!$D$14=1,'7thPlanAssumptions'!$B$14,0))*V83*1000</f>
        <v>-124957.20756642989</v>
      </c>
      <c r="W107" s="137"/>
    </row>
    <row r="108" spans="1:23">
      <c r="A108" s="135" t="str">
        <f t="shared" si="49"/>
        <v>c. Space Heating - PCT</v>
      </c>
      <c r="B108" s="136">
        <f>KeyAssumptions!$U$4</f>
        <v>25</v>
      </c>
      <c r="C108" s="137">
        <f>($B$107-IF('7thPlanAssumptions'!$D$14=1,'7thPlanAssumptions'!$B$14,0))*C84*1000</f>
        <v>-21419.064523704379</v>
      </c>
      <c r="D108" s="137">
        <f>($B$107-IF('7thPlanAssumptions'!$D$14=1,'7thPlanAssumptions'!$B$14,0))*D84*1000</f>
        <v>-119577.31758296158</v>
      </c>
      <c r="E108" s="137">
        <f>($B$107-IF('7thPlanAssumptions'!$D$14=1,'7thPlanAssumptions'!$B$14,0))*E84*1000</f>
        <v>-238260.81429634278</v>
      </c>
      <c r="F108" s="137">
        <f>($B$107-IF('7thPlanAssumptions'!$D$14=1,'7thPlanAssumptions'!$B$14,0))*F84*1000</f>
        <v>-378207.33374137105</v>
      </c>
      <c r="G108" s="137">
        <f>($B$107-IF('7thPlanAssumptions'!$D$14=1,'7thPlanAssumptions'!$B$14,0))*G84*1000</f>
        <v>-540156.15156784048</v>
      </c>
      <c r="H108" s="137">
        <f>($B$107-IF('7thPlanAssumptions'!$D$14=1,'7thPlanAssumptions'!$B$14,0))*H84*1000</f>
        <v>-644168.61023822997</v>
      </c>
      <c r="I108" s="137">
        <f>($B$107-IF('7thPlanAssumptions'!$D$14=1,'7thPlanAssumptions'!$B$14,0))*I84*1000</f>
        <v>-652802.31339245988</v>
      </c>
      <c r="J108" s="137">
        <f>($B$107-IF('7thPlanAssumptions'!$D$14=1,'7thPlanAssumptions'!$B$14,0))*J84*1000</f>
        <v>-661389.70853686496</v>
      </c>
      <c r="K108" s="137">
        <f>($B$107-IF('7thPlanAssumptions'!$D$14=1,'7thPlanAssumptions'!$B$14,0))*K84*1000</f>
        <v>-669894.97784343746</v>
      </c>
      <c r="L108" s="137">
        <f>($B$107-IF('7thPlanAssumptions'!$D$14=1,'7thPlanAssumptions'!$B$14,0))*L84*1000</f>
        <v>-678357.90839816991</v>
      </c>
      <c r="M108" s="137">
        <f>($B$107-IF('7thPlanAssumptions'!$D$14=1,'7thPlanAssumptions'!$B$14,0))*M84*1000</f>
        <v>-686725.67126740504</v>
      </c>
      <c r="N108" s="137">
        <f>($B$107-IF('7thPlanAssumptions'!$D$14=1,'7thPlanAssumptions'!$B$14,0))*N84*1000</f>
        <v>-694950.16282461002</v>
      </c>
      <c r="O108" s="137">
        <f>($B$107-IF('7thPlanAssumptions'!$D$14=1,'7thPlanAssumptions'!$B$14,0))*O84*1000</f>
        <v>-702997.17184620001</v>
      </c>
      <c r="P108" s="137">
        <f>($B$107-IF('7thPlanAssumptions'!$D$14=1,'7thPlanAssumptions'!$B$14,0))*P84*1000</f>
        <v>-710907.99751644745</v>
      </c>
      <c r="Q108" s="137">
        <f>($B$107-IF('7thPlanAssumptions'!$D$14=1,'7thPlanAssumptions'!$B$14,0))*Q84*1000</f>
        <v>-718747.94357981998</v>
      </c>
      <c r="R108" s="137">
        <f>($B$107-IF('7thPlanAssumptions'!$D$14=1,'7thPlanAssumptions'!$B$14,0))*R84*1000</f>
        <v>-726674.34914919222</v>
      </c>
      <c r="S108" s="137">
        <f>($B$107-IF('7thPlanAssumptions'!$D$14=1,'7thPlanAssumptions'!$B$14,0))*S84*1000</f>
        <v>-734688.1677064019</v>
      </c>
      <c r="T108" s="137">
        <f>($B$107-IF('7thPlanAssumptions'!$D$14=1,'7thPlanAssumptions'!$B$14,0))*T84*1000</f>
        <v>-742790.36324835464</v>
      </c>
      <c r="U108" s="137">
        <f>($B$107-IF('7thPlanAssumptions'!$D$14=1,'7thPlanAssumptions'!$B$14,0))*U84*1000</f>
        <v>-750981.91040298517</v>
      </c>
      <c r="V108" s="137">
        <f>($B$107-IF('7thPlanAssumptions'!$D$14=1,'7thPlanAssumptions'!$B$14,0))*V84*1000</f>
        <v>-759263.79454649787</v>
      </c>
      <c r="W108" s="137"/>
    </row>
    <row r="109" spans="1:23">
      <c r="A109" s="135" t="str">
        <f t="shared" si="49"/>
        <v>d. Water Heating - WH Controls</v>
      </c>
      <c r="B109" s="136">
        <f>KeyAssumptions!$U$5</f>
        <v>25</v>
      </c>
      <c r="C109" s="137">
        <f>($B$107-IF('7thPlanAssumptions'!$D$14=1,'7thPlanAssumptions'!$B$14,0))*C85*1000</f>
        <v>-2466.4377330326238</v>
      </c>
      <c r="D109" s="137">
        <f>($B$107-IF('7thPlanAssumptions'!$D$14=1,'7thPlanAssumptions'!$B$14,0))*D85*1000</f>
        <v>-12517.73572493812</v>
      </c>
      <c r="E109" s="137">
        <f>($B$107-IF('7thPlanAssumptions'!$D$14=1,'7thPlanAssumptions'!$B$14,0))*E85*1000</f>
        <v>-22863.411472881366</v>
      </c>
      <c r="F109" s="137">
        <f>($B$107-IF('7thPlanAssumptions'!$D$14=1,'7thPlanAssumptions'!$B$14,0))*F85*1000</f>
        <v>-33500.882709025871</v>
      </c>
      <c r="G109" s="137">
        <f>($B$107-IF('7thPlanAssumptions'!$D$14=1,'7thPlanAssumptions'!$B$14,0))*G85*1000</f>
        <v>-44428.428051034491</v>
      </c>
      <c r="H109" s="137">
        <f>($B$107-IF('7thPlanAssumptions'!$D$14=1,'7thPlanAssumptions'!$B$14,0))*H85*1000</f>
        <v>-52983.565344269977</v>
      </c>
      <c r="I109" s="137">
        <f>($B$107-IF('7thPlanAssumptions'!$D$14=1,'7thPlanAssumptions'!$B$14,0))*I85*1000</f>
        <v>-53693.696772539981</v>
      </c>
      <c r="J109" s="137">
        <f>($B$107-IF('7thPlanAssumptions'!$D$14=1,'7thPlanAssumptions'!$B$14,0))*J85*1000</f>
        <v>-54400.01931688498</v>
      </c>
      <c r="K109" s="137">
        <f>($B$107-IF('7thPlanAssumptions'!$D$14=1,'7thPlanAssumptions'!$B$14,0))*K85*1000</f>
        <v>-55099.586922187475</v>
      </c>
      <c r="L109" s="137">
        <f>($B$107-IF('7thPlanAssumptions'!$D$14=1,'7thPlanAssumptions'!$B$14,0))*L85*1000</f>
        <v>-55795.672119329982</v>
      </c>
      <c r="M109" s="137">
        <f>($B$107-IF('7thPlanAssumptions'!$D$14=1,'7thPlanAssumptions'!$B$14,0))*M85*1000</f>
        <v>-56483.92967134498</v>
      </c>
      <c r="N109" s="137">
        <f>($B$107-IF('7thPlanAssumptions'!$D$14=1,'7thPlanAssumptions'!$B$14,0))*N85*1000</f>
        <v>-57160.40300288998</v>
      </c>
      <c r="O109" s="137">
        <f>($B$107-IF('7thPlanAssumptions'!$D$14=1,'7thPlanAssumptions'!$B$14,0))*O85*1000</f>
        <v>-57822.278203799971</v>
      </c>
      <c r="P109" s="137">
        <f>($B$107-IF('7thPlanAssumptions'!$D$14=1,'7thPlanAssumptions'!$B$14,0))*P85*1000</f>
        <v>-58472.952176677485</v>
      </c>
      <c r="Q109" s="137">
        <f>($B$107-IF('7thPlanAssumptions'!$D$14=1,'7thPlanAssumptions'!$B$14,0))*Q85*1000</f>
        <v>-59117.796225179976</v>
      </c>
      <c r="R109" s="137">
        <f>($B$107-IF('7thPlanAssumptions'!$D$14=1,'7thPlanAssumptions'!$B$14,0))*R85*1000</f>
        <v>-59769.751661621849</v>
      </c>
      <c r="S109" s="137">
        <f>($B$107-IF('7thPlanAssumptions'!$D$14=1,'7thPlanAssumptions'!$B$14,0))*S85*1000</f>
        <v>-60428.896910916155</v>
      </c>
      <c r="T109" s="137">
        <f>($B$107-IF('7thPlanAssumptions'!$D$14=1,'7thPlanAssumptions'!$B$14,0))*T85*1000</f>
        <v>-61095.311262851654</v>
      </c>
      <c r="U109" s="137">
        <f>($B$107-IF('7thPlanAssumptions'!$D$14=1,'7thPlanAssumptions'!$B$14,0))*U85*1000</f>
        <v>-61769.07488163079</v>
      </c>
      <c r="V109" s="137">
        <f>($B$107-IF('7thPlanAssumptions'!$D$14=1,'7thPlanAssumptions'!$B$14,0))*V85*1000</f>
        <v>-62450.268815512791</v>
      </c>
      <c r="W109" s="137"/>
    </row>
    <row r="110" spans="1:23">
      <c r="A110" s="141"/>
      <c r="B110" s="142"/>
      <c r="C110" s="134"/>
      <c r="D110" s="134"/>
      <c r="E110" s="134"/>
      <c r="F110" s="134"/>
      <c r="G110" s="134"/>
      <c r="H110" s="134"/>
      <c r="I110" s="134"/>
      <c r="J110" s="134"/>
      <c r="K110" s="134"/>
      <c r="L110" s="134"/>
      <c r="M110" s="134"/>
      <c r="N110" s="134"/>
      <c r="O110" s="134"/>
      <c r="P110" s="134"/>
      <c r="Q110" s="134"/>
      <c r="R110" s="134"/>
      <c r="S110" s="134"/>
      <c r="T110" s="134"/>
      <c r="U110" s="134"/>
      <c r="V110" s="134"/>
      <c r="W110" s="134"/>
    </row>
    <row r="111" spans="1:23">
      <c r="A111" s="143" t="s">
        <v>224</v>
      </c>
      <c r="B111" s="144"/>
      <c r="C111" s="145">
        <f t="shared" ref="C111:V111" si="50">SUM(C106:C109)</f>
        <v>-35244.097079913568</v>
      </c>
      <c r="D111" s="145">
        <f t="shared" si="50"/>
        <v>-195507.26717765204</v>
      </c>
      <c r="E111" s="145">
        <f t="shared" si="50"/>
        <v>-387474.6575930423</v>
      </c>
      <c r="F111" s="145">
        <f t="shared" si="50"/>
        <v>-612272.71161627548</v>
      </c>
      <c r="G111" s="145">
        <f t="shared" si="50"/>
        <v>-871031.0236321236</v>
      </c>
      <c r="H111" s="145">
        <f t="shared" si="50"/>
        <v>-1038756.7416179249</v>
      </c>
      <c r="I111" s="145">
        <f t="shared" si="50"/>
        <v>-1052679.0551458497</v>
      </c>
      <c r="J111" s="145">
        <f t="shared" si="50"/>
        <v>-1066526.6945020873</v>
      </c>
      <c r="K111" s="145">
        <f t="shared" si="50"/>
        <v>-1080241.9015007811</v>
      </c>
      <c r="L111" s="145">
        <f t="shared" si="50"/>
        <v>-1093888.8349710747</v>
      </c>
      <c r="M111" s="145">
        <f t="shared" si="50"/>
        <v>-1107382.3053987375</v>
      </c>
      <c r="N111" s="145">
        <f t="shared" si="50"/>
        <v>-1120644.743082975</v>
      </c>
      <c r="O111" s="145">
        <f t="shared" si="50"/>
        <v>-1133620.9805744998</v>
      </c>
      <c r="P111" s="145">
        <f t="shared" si="50"/>
        <v>-1146377.6150427561</v>
      </c>
      <c r="Q111" s="145">
        <f t="shared" si="50"/>
        <v>-1159019.9523094499</v>
      </c>
      <c r="R111" s="145">
        <f t="shared" si="50"/>
        <v>-1171801.7102081128</v>
      </c>
      <c r="S111" s="145">
        <f t="shared" si="50"/>
        <v>-1184724.4262798037</v>
      </c>
      <c r="T111" s="145">
        <f t="shared" si="50"/>
        <v>-1197789.6550216973</v>
      </c>
      <c r="U111" s="145">
        <f t="shared" si="50"/>
        <v>-1210998.9680740775</v>
      </c>
      <c r="V111" s="145">
        <f t="shared" si="50"/>
        <v>-1224353.9544093958</v>
      </c>
      <c r="W111" s="145"/>
    </row>
    <row r="112" spans="1:23">
      <c r="A112" s="120"/>
      <c r="B112" s="120"/>
      <c r="C112" s="146"/>
      <c r="D112" s="146"/>
      <c r="E112" s="146"/>
      <c r="F112" s="146"/>
      <c r="G112" s="146"/>
      <c r="H112" s="146"/>
      <c r="I112" s="146"/>
      <c r="J112" s="146"/>
      <c r="K112" s="146"/>
      <c r="L112" s="146"/>
      <c r="M112" s="146"/>
      <c r="N112" s="146"/>
      <c r="O112" s="146"/>
      <c r="P112" s="146"/>
      <c r="Q112" s="146"/>
      <c r="R112" s="146"/>
      <c r="S112" s="146"/>
      <c r="T112" s="146"/>
      <c r="U112" s="146"/>
      <c r="V112" s="146"/>
      <c r="W112" s="146"/>
    </row>
    <row r="113" spans="1:23">
      <c r="A113" s="96" t="s">
        <v>308</v>
      </c>
      <c r="B113" s="96"/>
      <c r="C113" s="111"/>
      <c r="D113" s="127"/>
      <c r="E113" s="128"/>
      <c r="F113" s="190"/>
      <c r="G113" s="120"/>
      <c r="H113" s="130"/>
      <c r="I113" s="120"/>
      <c r="J113" s="78"/>
      <c r="L113" s="78"/>
    </row>
    <row r="114" spans="1:23">
      <c r="A114" s="110"/>
      <c r="B114" s="110"/>
      <c r="C114" s="111"/>
      <c r="D114" s="127"/>
      <c r="E114" s="128"/>
      <c r="F114" s="129"/>
      <c r="G114" s="120"/>
      <c r="H114" s="130"/>
      <c r="I114" s="120"/>
      <c r="J114" s="78"/>
      <c r="L114" s="78"/>
    </row>
    <row r="115" spans="1:23">
      <c r="A115" s="490" t="s">
        <v>214</v>
      </c>
      <c r="B115" s="491"/>
      <c r="C115" s="206">
        <f>C5</f>
        <v>2016</v>
      </c>
      <c r="D115" s="327">
        <f t="shared" ref="D115:V115" si="51">D5</f>
        <v>2017</v>
      </c>
      <c r="E115" s="327">
        <f t="shared" si="51"/>
        <v>2018</v>
      </c>
      <c r="F115" s="327">
        <f t="shared" si="51"/>
        <v>2019</v>
      </c>
      <c r="G115" s="327">
        <f t="shared" si="51"/>
        <v>2020</v>
      </c>
      <c r="H115" s="327">
        <f t="shared" si="51"/>
        <v>2021</v>
      </c>
      <c r="I115" s="327">
        <f t="shared" si="51"/>
        <v>2022</v>
      </c>
      <c r="J115" s="327">
        <f t="shared" si="51"/>
        <v>2023</v>
      </c>
      <c r="K115" s="327">
        <f t="shared" si="51"/>
        <v>2024</v>
      </c>
      <c r="L115" s="327">
        <f t="shared" si="51"/>
        <v>2025</v>
      </c>
      <c r="M115" s="327">
        <f t="shared" si="51"/>
        <v>2026</v>
      </c>
      <c r="N115" s="327">
        <f t="shared" si="51"/>
        <v>2027</v>
      </c>
      <c r="O115" s="327">
        <f t="shared" si="51"/>
        <v>2028</v>
      </c>
      <c r="P115" s="327">
        <f t="shared" si="51"/>
        <v>2029</v>
      </c>
      <c r="Q115" s="327">
        <f t="shared" si="51"/>
        <v>2030</v>
      </c>
      <c r="R115" s="327">
        <f t="shared" si="51"/>
        <v>2031</v>
      </c>
      <c r="S115" s="327">
        <f t="shared" si="51"/>
        <v>2032</v>
      </c>
      <c r="T115" s="327">
        <f t="shared" si="51"/>
        <v>2033</v>
      </c>
      <c r="U115" s="327">
        <f t="shared" si="51"/>
        <v>2034</v>
      </c>
      <c r="V115" s="327">
        <f t="shared" si="51"/>
        <v>2035</v>
      </c>
      <c r="W115" s="206"/>
    </row>
    <row r="116" spans="1:23" ht="13.5" customHeight="1">
      <c r="A116" s="143" t="str">
        <f>A99</f>
        <v>TOTAL ENABLEMENT COST</v>
      </c>
      <c r="B116" s="147"/>
      <c r="C116" s="148">
        <f t="shared" ref="C116:V116" si="52">C99</f>
        <v>19102300.617313154</v>
      </c>
      <c r="D116" s="148">
        <f t="shared" si="52"/>
        <v>86862638.192974254</v>
      </c>
      <c r="E116" s="148">
        <f t="shared" si="52"/>
        <v>104046325.60514151</v>
      </c>
      <c r="F116" s="148">
        <f t="shared" si="52"/>
        <v>121840545.28059241</v>
      </c>
      <c r="G116" s="148">
        <f t="shared" si="52"/>
        <v>140247005.11258978</v>
      </c>
      <c r="H116" s="148">
        <f t="shared" si="52"/>
        <v>90907339.148304179</v>
      </c>
      <c r="I116" s="148">
        <f t="shared" si="52"/>
        <v>7545893.9321353333</v>
      </c>
      <c r="J116" s="148">
        <f t="shared" si="52"/>
        <v>7505420.531080802</v>
      </c>
      <c r="K116" s="148">
        <f t="shared" si="52"/>
        <v>7433642.1932920208</v>
      </c>
      <c r="L116" s="148">
        <f t="shared" si="52"/>
        <v>7396637.9408991728</v>
      </c>
      <c r="M116" s="148">
        <f t="shared" si="52"/>
        <v>7313460.971793104</v>
      </c>
      <c r="N116" s="148">
        <f t="shared" si="52"/>
        <v>7188241.2248567501</v>
      </c>
      <c r="O116" s="148">
        <f t="shared" si="52"/>
        <v>7033120.7204065435</v>
      </c>
      <c r="P116" s="148">
        <f t="shared" si="52"/>
        <v>6914095.8817948904</v>
      </c>
      <c r="Q116" s="148">
        <f t="shared" si="52"/>
        <v>6852146.7985479999</v>
      </c>
      <c r="R116" s="148">
        <f t="shared" si="52"/>
        <v>6927712.781075405</v>
      </c>
      <c r="S116" s="148">
        <f t="shared" si="52"/>
        <v>7004112.1108564856</v>
      </c>
      <c r="T116" s="148">
        <f t="shared" si="52"/>
        <v>7081353.9781061243</v>
      </c>
      <c r="U116" s="148">
        <f t="shared" si="52"/>
        <v>7159447.6743902834</v>
      </c>
      <c r="V116" s="148">
        <f t="shared" si="52"/>
        <v>7238402.5937423883</v>
      </c>
      <c r="W116" s="148"/>
    </row>
    <row r="117" spans="1:23" ht="13.5" customHeight="1">
      <c r="A117" s="143" t="str">
        <f>A111</f>
        <v>TOTAL IMPLEMENTATION COST</v>
      </c>
      <c r="B117" s="147"/>
      <c r="C117" s="148">
        <f t="shared" ref="C117:V117" si="53">C111</f>
        <v>-35244.097079913568</v>
      </c>
      <c r="D117" s="148">
        <f t="shared" si="53"/>
        <v>-195507.26717765204</v>
      </c>
      <c r="E117" s="148">
        <f t="shared" si="53"/>
        <v>-387474.6575930423</v>
      </c>
      <c r="F117" s="148">
        <f t="shared" si="53"/>
        <v>-612272.71161627548</v>
      </c>
      <c r="G117" s="148">
        <f t="shared" si="53"/>
        <v>-871031.0236321236</v>
      </c>
      <c r="H117" s="148">
        <f t="shared" si="53"/>
        <v>-1038756.7416179249</v>
      </c>
      <c r="I117" s="148">
        <f t="shared" si="53"/>
        <v>-1052679.0551458497</v>
      </c>
      <c r="J117" s="148">
        <f t="shared" si="53"/>
        <v>-1066526.6945020873</v>
      </c>
      <c r="K117" s="148">
        <f t="shared" si="53"/>
        <v>-1080241.9015007811</v>
      </c>
      <c r="L117" s="148">
        <f t="shared" si="53"/>
        <v>-1093888.8349710747</v>
      </c>
      <c r="M117" s="148">
        <f t="shared" si="53"/>
        <v>-1107382.3053987375</v>
      </c>
      <c r="N117" s="148">
        <f t="shared" si="53"/>
        <v>-1120644.743082975</v>
      </c>
      <c r="O117" s="148">
        <f t="shared" si="53"/>
        <v>-1133620.9805744998</v>
      </c>
      <c r="P117" s="148">
        <f t="shared" si="53"/>
        <v>-1146377.6150427561</v>
      </c>
      <c r="Q117" s="148">
        <f t="shared" si="53"/>
        <v>-1159019.9523094499</v>
      </c>
      <c r="R117" s="148">
        <f t="shared" si="53"/>
        <v>-1171801.7102081128</v>
      </c>
      <c r="S117" s="148">
        <f t="shared" si="53"/>
        <v>-1184724.4262798037</v>
      </c>
      <c r="T117" s="148">
        <f t="shared" si="53"/>
        <v>-1197789.6550216973</v>
      </c>
      <c r="U117" s="148">
        <f t="shared" si="53"/>
        <v>-1210998.9680740775</v>
      </c>
      <c r="V117" s="148">
        <f t="shared" si="53"/>
        <v>-1224353.9544093958</v>
      </c>
      <c r="W117" s="148"/>
    </row>
    <row r="118" spans="1:23">
      <c r="A118" s="149" t="s">
        <v>226</v>
      </c>
      <c r="B118" s="147"/>
      <c r="C118" s="150">
        <f t="shared" ref="C118:V118" si="54">SUM(C116:C117)</f>
        <v>19067056.52023324</v>
      </c>
      <c r="D118" s="150">
        <f t="shared" si="54"/>
        <v>86667130.925796598</v>
      </c>
      <c r="E118" s="150">
        <f t="shared" si="54"/>
        <v>103658850.94754846</v>
      </c>
      <c r="F118" s="150">
        <f t="shared" si="54"/>
        <v>121228272.56897613</v>
      </c>
      <c r="G118" s="150">
        <f t="shared" si="54"/>
        <v>139375974.08895767</v>
      </c>
      <c r="H118" s="150">
        <f t="shared" si="54"/>
        <v>89868582.406686261</v>
      </c>
      <c r="I118" s="150">
        <f t="shared" si="54"/>
        <v>6493214.8769894838</v>
      </c>
      <c r="J118" s="150">
        <f t="shared" si="54"/>
        <v>6438893.8365787147</v>
      </c>
      <c r="K118" s="150">
        <f t="shared" si="54"/>
        <v>6353400.2917912398</v>
      </c>
      <c r="L118" s="150">
        <f t="shared" si="54"/>
        <v>6302749.1059280979</v>
      </c>
      <c r="M118" s="150">
        <f t="shared" si="54"/>
        <v>6206078.666394366</v>
      </c>
      <c r="N118" s="150">
        <f t="shared" si="54"/>
        <v>6067596.4817737751</v>
      </c>
      <c r="O118" s="150">
        <f t="shared" si="54"/>
        <v>5899499.7398320436</v>
      </c>
      <c r="P118" s="150">
        <f t="shared" si="54"/>
        <v>5767718.2667521341</v>
      </c>
      <c r="Q118" s="150">
        <f t="shared" si="54"/>
        <v>5693126.8462385498</v>
      </c>
      <c r="R118" s="150">
        <f t="shared" si="54"/>
        <v>5755911.0708672926</v>
      </c>
      <c r="S118" s="150">
        <f t="shared" si="54"/>
        <v>5819387.6845766818</v>
      </c>
      <c r="T118" s="150">
        <f t="shared" si="54"/>
        <v>5883564.323084427</v>
      </c>
      <c r="U118" s="150">
        <f t="shared" si="54"/>
        <v>5948448.7063162057</v>
      </c>
      <c r="V118" s="150">
        <f t="shared" si="54"/>
        <v>6014048.639332993</v>
      </c>
      <c r="W118" s="150"/>
    </row>
  </sheetData>
  <mergeCells count="15">
    <mergeCell ref="C103:W103"/>
    <mergeCell ref="A115:B115"/>
    <mergeCell ref="B103:B104"/>
    <mergeCell ref="A103:A104"/>
    <mergeCell ref="B79:B80"/>
    <mergeCell ref="C79:W79"/>
    <mergeCell ref="A91:A92"/>
    <mergeCell ref="B91:B92"/>
    <mergeCell ref="C91:W91"/>
    <mergeCell ref="A1:W1"/>
    <mergeCell ref="C4:W4"/>
    <mergeCell ref="C55:W55"/>
    <mergeCell ref="A67:A68"/>
    <mergeCell ref="B67:B68"/>
    <mergeCell ref="C67:W67"/>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sheetPr>
    <tabColor theme="4" tint="0.39997558519241921"/>
  </sheetPr>
  <dimension ref="A1:W102"/>
  <sheetViews>
    <sheetView topLeftCell="A80" workbookViewId="0">
      <selection activeCell="E115" sqref="E115"/>
    </sheetView>
  </sheetViews>
  <sheetFormatPr defaultRowHeight="12.75"/>
  <cols>
    <col min="1" max="1" width="33.85546875" style="76" customWidth="1"/>
    <col min="2" max="2" width="28" style="76" customWidth="1"/>
    <col min="3" max="3" width="31.42578125" style="76" customWidth="1"/>
    <col min="4" max="4" width="15" style="76" customWidth="1"/>
    <col min="5" max="5" width="17" style="76" bestFit="1" customWidth="1"/>
    <col min="6" max="7" width="12.85546875" style="76" customWidth="1"/>
    <col min="8" max="8" width="13.7109375" style="76" customWidth="1"/>
    <col min="9" max="23" width="12.85546875" style="76" customWidth="1"/>
    <col min="24"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303</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67" t="s">
        <v>230</v>
      </c>
      <c r="D4" s="467"/>
      <c r="E4" s="467"/>
      <c r="F4" s="467"/>
      <c r="G4" s="467"/>
      <c r="H4" s="467"/>
      <c r="I4" s="467"/>
      <c r="J4" s="467"/>
      <c r="K4" s="467"/>
      <c r="L4" s="467"/>
      <c r="M4" s="467"/>
      <c r="N4" s="467"/>
      <c r="O4" s="467"/>
      <c r="P4" s="467"/>
      <c r="Q4" s="467"/>
      <c r="R4" s="467"/>
      <c r="S4" s="467"/>
      <c r="T4" s="467"/>
      <c r="U4" s="467"/>
      <c r="V4" s="467"/>
      <c r="W4" s="468"/>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ht="13.5" thickBot="1">
      <c r="A6" s="161"/>
      <c r="B6" s="162" t="s">
        <v>244</v>
      </c>
      <c r="C6" s="332">
        <f>HLOOKUP('Res-Capacity-Base'!C$5,'NW Customers'!$B$2:$AO$5,3)</f>
        <v>394176.6962072298</v>
      </c>
      <c r="D6" s="332">
        <f>HLOOKUP('Res-Capacity-Base'!D$5,'NW Customers'!$B$2:$AO$5,3)</f>
        <v>398910.99371926603</v>
      </c>
      <c r="E6" s="332">
        <f>HLOOKUP('Res-Capacity-Base'!E$5,'NW Customers'!$B$2:$AO$5,3)</f>
        <v>404211.04209112196</v>
      </c>
      <c r="F6" s="332">
        <f>HLOOKUP('Res-Capacity-Base'!F$5,'NW Customers'!$B$2:$AO$5,3)</f>
        <v>409461.45527194545</v>
      </c>
      <c r="G6" s="332">
        <f>HLOOKUP('Res-Capacity-Base'!G$5,'NW Customers'!$B$2:$AO$5,3)</f>
        <v>414973.96221003355</v>
      </c>
      <c r="H6" s="332">
        <f>HLOOKUP('Res-Capacity-Base'!H$5,'NW Customers'!$B$2:$AO$5,3)</f>
        <v>420270.55792898097</v>
      </c>
      <c r="I6" s="332">
        <f>HLOOKUP('Res-Capacity-Base'!I$5,'NW Customers'!$B$2:$AO$5,3)</f>
        <v>425475.03615722148</v>
      </c>
      <c r="J6" s="332">
        <f>HLOOKUP('Res-Capacity-Base'!J$5,'NW Customers'!$B$2:$AO$5,3)</f>
        <v>430609.97963586426</v>
      </c>
      <c r="K6" s="332">
        <f>HLOOKUP('Res-Capacity-Base'!K$5,'NW Customers'!$B$2:$AO$5,3)</f>
        <v>435727.19666466326</v>
      </c>
      <c r="L6" s="332">
        <f>HLOOKUP('Res-Capacity-Base'!L$5,'NW Customers'!$B$2:$AO$5,3)</f>
        <v>440815.13833749207</v>
      </c>
      <c r="M6" s="332">
        <f>HLOOKUP('Res-Capacity-Base'!M$5,'NW Customers'!$B$2:$AO$5,3)</f>
        <v>445687.17196607753</v>
      </c>
      <c r="N6" s="332">
        <f>HLOOKUP('Res-Capacity-Base'!N$5,'NW Customers'!$B$2:$AO$5,3)</f>
        <v>450729.45878165902</v>
      </c>
      <c r="O6" s="332">
        <f>HLOOKUP('Res-Capacity-Base'!O$5,'NW Customers'!$B$2:$AO$5,3)</f>
        <v>455977.8439503425</v>
      </c>
      <c r="P6" s="332">
        <f>HLOOKUP('Res-Capacity-Base'!P$5,'NW Customers'!$B$2:$AO$5,3)</f>
        <v>461256.43179383531</v>
      </c>
      <c r="Q6" s="332">
        <f>HLOOKUP('Res-Capacity-Base'!Q$5,'NW Customers'!$B$2:$AO$5,3)</f>
        <v>466415.471809601</v>
      </c>
      <c r="R6" s="332">
        <f>HLOOKUP('Res-Capacity-Base'!R$5,'NW Customers'!$B$2:$AO$5,3)</f>
        <v>471632.21442212129</v>
      </c>
      <c r="S6" s="332">
        <f>HLOOKUP('Res-Capacity-Base'!S$5,'NW Customers'!$B$2:$AO$5,3)</f>
        <v>476907.30502078304</v>
      </c>
      <c r="T6" s="332">
        <f>HLOOKUP('Res-Capacity-Base'!T$5,'NW Customers'!$B$2:$AO$5,3)</f>
        <v>482241.39621349488</v>
      </c>
      <c r="U6" s="332">
        <f>HLOOKUP('Res-Capacity-Base'!U$5,'NW Customers'!$B$2:$AO$5,3)</f>
        <v>487635.14790742495</v>
      </c>
      <c r="V6" s="332">
        <f>HLOOKUP('Res-Capacity-Base'!V$5,'NW Customers'!$B$2:$AO$5,3)</f>
        <v>493089.22739064106</v>
      </c>
      <c r="W6" s="168"/>
    </row>
    <row r="7" spans="1:23" ht="16.5" thickBot="1">
      <c r="A7" s="170"/>
      <c r="B7" s="170"/>
      <c r="C7" s="170"/>
      <c r="D7" s="171"/>
      <c r="E7" s="171"/>
      <c r="F7" s="171"/>
      <c r="G7" s="171"/>
      <c r="H7" s="171"/>
      <c r="I7" s="171"/>
      <c r="J7" s="171"/>
      <c r="K7" s="171"/>
      <c r="L7" s="171"/>
      <c r="M7" s="172"/>
      <c r="N7" s="172"/>
      <c r="O7" s="172"/>
      <c r="P7" s="172"/>
      <c r="Q7" s="172"/>
      <c r="R7" s="172"/>
      <c r="S7" s="172"/>
      <c r="T7" s="172"/>
      <c r="U7" s="172"/>
      <c r="V7" s="172"/>
      <c r="W7" s="172"/>
    </row>
    <row r="8" spans="1:23" ht="15.75">
      <c r="A8" s="151" t="s">
        <v>288</v>
      </c>
      <c r="B8" s="152"/>
      <c r="C8" s="152"/>
      <c r="D8" s="153"/>
      <c r="E8" s="153"/>
      <c r="F8" s="153"/>
      <c r="G8" s="153"/>
      <c r="H8" s="153"/>
      <c r="I8" s="153"/>
      <c r="J8" s="153"/>
      <c r="K8" s="153"/>
      <c r="L8" s="153"/>
      <c r="M8" s="154"/>
      <c r="N8" s="154"/>
      <c r="O8" s="154"/>
      <c r="P8" s="154"/>
      <c r="Q8" s="154"/>
      <c r="R8" s="154"/>
      <c r="S8" s="154"/>
      <c r="T8" s="154"/>
      <c r="U8" s="154"/>
      <c r="V8" s="154"/>
      <c r="W8" s="155"/>
    </row>
    <row r="9" spans="1:23" ht="15.75">
      <c r="A9" s="185"/>
      <c r="B9" s="158" t="s">
        <v>241</v>
      </c>
      <c r="C9" s="174">
        <f>KeyAssumptions!W8</f>
        <v>0.34799999999999998</v>
      </c>
      <c r="D9" s="163"/>
      <c r="E9" s="163"/>
      <c r="F9" s="163"/>
      <c r="G9" s="163"/>
      <c r="H9" s="163"/>
      <c r="I9" s="163"/>
      <c r="J9" s="163"/>
      <c r="K9" s="163"/>
      <c r="L9" s="163"/>
      <c r="M9" s="164"/>
      <c r="N9" s="164"/>
      <c r="O9" s="164"/>
      <c r="P9" s="164"/>
      <c r="Q9" s="164"/>
      <c r="R9" s="164"/>
      <c r="S9" s="164"/>
      <c r="T9" s="164"/>
      <c r="U9" s="164"/>
      <c r="V9" s="164"/>
      <c r="W9" s="164"/>
    </row>
    <row r="10" spans="1:23" ht="15.75">
      <c r="A10" s="185"/>
      <c r="B10" s="158" t="s">
        <v>207</v>
      </c>
      <c r="C10" s="174">
        <f>KeyAssumptions!X8</f>
        <v>0.15</v>
      </c>
      <c r="D10" s="163"/>
      <c r="E10" s="163"/>
      <c r="F10" s="163"/>
      <c r="G10" s="163"/>
      <c r="H10" s="163"/>
      <c r="I10" s="163"/>
      <c r="J10" s="163"/>
      <c r="K10" s="163"/>
      <c r="L10" s="163"/>
      <c r="M10" s="164"/>
      <c r="N10" s="164"/>
      <c r="O10" s="164"/>
      <c r="P10" s="164"/>
      <c r="Q10" s="164"/>
      <c r="R10" s="164"/>
      <c r="S10" s="164"/>
      <c r="T10" s="164"/>
      <c r="U10" s="164"/>
      <c r="V10" s="164"/>
      <c r="W10" s="164"/>
    </row>
    <row r="11" spans="1:23" ht="15.75" customHeight="1">
      <c r="A11" s="185"/>
      <c r="B11" s="188" t="s">
        <v>343</v>
      </c>
      <c r="C11" s="174">
        <v>0.95</v>
      </c>
      <c r="D11" s="163"/>
      <c r="E11" s="163"/>
      <c r="F11" s="163"/>
      <c r="G11" s="163"/>
      <c r="H11" s="163"/>
      <c r="I11" s="163"/>
      <c r="J11" s="163"/>
      <c r="K11" s="163"/>
      <c r="L11" s="163"/>
      <c r="M11" s="164"/>
      <c r="N11" s="164"/>
      <c r="O11" s="164"/>
      <c r="P11" s="164"/>
      <c r="Q11" s="164"/>
      <c r="R11" s="164"/>
      <c r="S11" s="164"/>
      <c r="T11" s="164"/>
      <c r="U11" s="164"/>
      <c r="V11" s="164"/>
      <c r="W11" s="164"/>
    </row>
    <row r="12" spans="1:23" ht="15.75">
      <c r="A12" s="185"/>
      <c r="B12" s="157"/>
      <c r="C12" s="157"/>
      <c r="D12" s="163"/>
      <c r="E12" s="163"/>
      <c r="F12" s="163"/>
      <c r="G12" s="163"/>
      <c r="H12" s="163"/>
      <c r="I12" s="163"/>
      <c r="J12" s="163"/>
      <c r="K12" s="163"/>
      <c r="L12" s="163"/>
      <c r="M12" s="164"/>
      <c r="N12" s="164"/>
      <c r="O12" s="164"/>
      <c r="P12" s="164"/>
      <c r="Q12" s="164"/>
      <c r="R12" s="164"/>
      <c r="S12" s="164"/>
      <c r="T12" s="164"/>
      <c r="U12" s="164"/>
      <c r="V12" s="164"/>
      <c r="W12" s="164"/>
    </row>
    <row r="13" spans="1:23">
      <c r="A13" s="156"/>
      <c r="B13" s="158" t="s">
        <v>1</v>
      </c>
      <c r="C13" s="159">
        <f>C5</f>
        <v>2016</v>
      </c>
      <c r="D13" s="159">
        <f t="shared" ref="D13:V13" si="0">D5</f>
        <v>2017</v>
      </c>
      <c r="E13" s="159">
        <f t="shared" si="0"/>
        <v>2018</v>
      </c>
      <c r="F13" s="159">
        <f t="shared" si="0"/>
        <v>2019</v>
      </c>
      <c r="G13" s="159">
        <f t="shared" si="0"/>
        <v>2020</v>
      </c>
      <c r="H13" s="159">
        <f t="shared" si="0"/>
        <v>2021</v>
      </c>
      <c r="I13" s="159">
        <f t="shared" si="0"/>
        <v>2022</v>
      </c>
      <c r="J13" s="159">
        <f t="shared" si="0"/>
        <v>2023</v>
      </c>
      <c r="K13" s="159">
        <f t="shared" si="0"/>
        <v>2024</v>
      </c>
      <c r="L13" s="159">
        <f t="shared" si="0"/>
        <v>2025</v>
      </c>
      <c r="M13" s="159">
        <f t="shared" si="0"/>
        <v>2026</v>
      </c>
      <c r="N13" s="159">
        <f t="shared" si="0"/>
        <v>2027</v>
      </c>
      <c r="O13" s="159">
        <f t="shared" si="0"/>
        <v>2028</v>
      </c>
      <c r="P13" s="159">
        <f t="shared" si="0"/>
        <v>2029</v>
      </c>
      <c r="Q13" s="159">
        <f t="shared" si="0"/>
        <v>2030</v>
      </c>
      <c r="R13" s="159">
        <f t="shared" si="0"/>
        <v>2031</v>
      </c>
      <c r="S13" s="159">
        <f t="shared" si="0"/>
        <v>2032</v>
      </c>
      <c r="T13" s="159">
        <f t="shared" si="0"/>
        <v>2033</v>
      </c>
      <c r="U13" s="159">
        <f t="shared" si="0"/>
        <v>2034</v>
      </c>
      <c r="V13" s="159">
        <f t="shared" si="0"/>
        <v>2035</v>
      </c>
      <c r="W13" s="159"/>
    </row>
    <row r="14" spans="1:23">
      <c r="A14" s="156"/>
      <c r="B14" s="158" t="s">
        <v>231</v>
      </c>
      <c r="C14" s="174">
        <v>0.05</v>
      </c>
      <c r="D14" s="174">
        <v>0.2</v>
      </c>
      <c r="E14" s="174">
        <v>0.2</v>
      </c>
      <c r="F14" s="174">
        <v>0.2</v>
      </c>
      <c r="G14" s="174">
        <v>0.2</v>
      </c>
      <c r="H14" s="174">
        <v>0.15</v>
      </c>
      <c r="I14" s="174">
        <v>0</v>
      </c>
      <c r="J14" s="174">
        <v>0</v>
      </c>
      <c r="K14" s="174">
        <v>0</v>
      </c>
      <c r="L14" s="174">
        <v>0</v>
      </c>
      <c r="M14" s="174">
        <v>0</v>
      </c>
      <c r="N14" s="174">
        <v>0</v>
      </c>
      <c r="O14" s="174">
        <v>0</v>
      </c>
      <c r="P14" s="174">
        <v>0</v>
      </c>
      <c r="Q14" s="174">
        <v>0</v>
      </c>
      <c r="R14" s="174">
        <v>0</v>
      </c>
      <c r="S14" s="174">
        <v>0</v>
      </c>
      <c r="T14" s="174">
        <v>0</v>
      </c>
      <c r="U14" s="174">
        <v>0</v>
      </c>
      <c r="V14" s="174">
        <v>0</v>
      </c>
      <c r="W14" s="174"/>
    </row>
    <row r="15" spans="1:23">
      <c r="A15" s="156"/>
      <c r="B15" s="158" t="s">
        <v>237</v>
      </c>
      <c r="C15" s="174">
        <f>C14</f>
        <v>0.05</v>
      </c>
      <c r="D15" s="174">
        <f>C15+D14</f>
        <v>0.25</v>
      </c>
      <c r="E15" s="174">
        <f t="shared" ref="E15:V15" si="1">D15+E14</f>
        <v>0.45</v>
      </c>
      <c r="F15" s="174">
        <f t="shared" si="1"/>
        <v>0.65</v>
      </c>
      <c r="G15" s="174">
        <f t="shared" si="1"/>
        <v>0.85000000000000009</v>
      </c>
      <c r="H15" s="174">
        <f t="shared" si="1"/>
        <v>1</v>
      </c>
      <c r="I15" s="174">
        <f t="shared" si="1"/>
        <v>1</v>
      </c>
      <c r="J15" s="174">
        <f t="shared" si="1"/>
        <v>1</v>
      </c>
      <c r="K15" s="174">
        <f t="shared" si="1"/>
        <v>1</v>
      </c>
      <c r="L15" s="174">
        <f t="shared" si="1"/>
        <v>1</v>
      </c>
      <c r="M15" s="174">
        <f t="shared" si="1"/>
        <v>1</v>
      </c>
      <c r="N15" s="174">
        <f t="shared" si="1"/>
        <v>1</v>
      </c>
      <c r="O15" s="174">
        <f t="shared" si="1"/>
        <v>1</v>
      </c>
      <c r="P15" s="174">
        <f t="shared" si="1"/>
        <v>1</v>
      </c>
      <c r="Q15" s="174">
        <f t="shared" si="1"/>
        <v>1</v>
      </c>
      <c r="R15" s="174">
        <f t="shared" si="1"/>
        <v>1</v>
      </c>
      <c r="S15" s="174">
        <f t="shared" si="1"/>
        <v>1</v>
      </c>
      <c r="T15" s="174">
        <f t="shared" si="1"/>
        <v>1</v>
      </c>
      <c r="U15" s="174">
        <f t="shared" si="1"/>
        <v>1</v>
      </c>
      <c r="V15" s="174">
        <f t="shared" si="1"/>
        <v>1</v>
      </c>
      <c r="W15" s="174"/>
    </row>
    <row r="16" spans="1:23">
      <c r="A16" s="156"/>
      <c r="B16" s="158" t="s">
        <v>232</v>
      </c>
      <c r="C16" s="174">
        <v>0.01</v>
      </c>
      <c r="D16" s="174">
        <v>0.01</v>
      </c>
      <c r="E16" s="174">
        <v>0.01</v>
      </c>
      <c r="F16" s="174">
        <v>0.01</v>
      </c>
      <c r="G16" s="174">
        <v>0.01</v>
      </c>
      <c r="H16" s="174">
        <v>0.01</v>
      </c>
      <c r="I16" s="174">
        <v>0.01</v>
      </c>
      <c r="J16" s="174">
        <v>0.01</v>
      </c>
      <c r="K16" s="174">
        <v>0.01</v>
      </c>
      <c r="L16" s="174">
        <v>0.01</v>
      </c>
      <c r="M16" s="174">
        <v>0.01</v>
      </c>
      <c r="N16" s="174">
        <v>0.01</v>
      </c>
      <c r="O16" s="174">
        <v>0.01</v>
      </c>
      <c r="P16" s="174">
        <v>0.01</v>
      </c>
      <c r="Q16" s="174">
        <v>0.01</v>
      </c>
      <c r="R16" s="174">
        <v>0.01</v>
      </c>
      <c r="S16" s="174">
        <v>0.01</v>
      </c>
      <c r="T16" s="174">
        <v>0.01</v>
      </c>
      <c r="U16" s="174">
        <v>0.01</v>
      </c>
      <c r="V16" s="174">
        <v>0.01</v>
      </c>
      <c r="W16" s="174"/>
    </row>
    <row r="17" spans="1:23" ht="15" customHeight="1">
      <c r="A17" s="156"/>
      <c r="B17" s="158" t="s">
        <v>345</v>
      </c>
      <c r="C17" s="174">
        <f>1-'Com-Capacity-Base'!C17</f>
        <v>0.5</v>
      </c>
      <c r="D17" s="174">
        <f>1-'Com-Capacity-Base'!D17</f>
        <v>0.55000000000000004</v>
      </c>
      <c r="E17" s="174">
        <f>1-'Com-Capacity-Base'!E17</f>
        <v>0.6</v>
      </c>
      <c r="F17" s="174">
        <f>1-'Com-Capacity-Base'!F17</f>
        <v>0.64999999999999991</v>
      </c>
      <c r="G17" s="174">
        <f>1-'Com-Capacity-Base'!G17</f>
        <v>0.7</v>
      </c>
      <c r="H17" s="174">
        <f>1-'Com-Capacity-Base'!H17</f>
        <v>0.7</v>
      </c>
      <c r="I17" s="174">
        <f>1-'Com-Capacity-Base'!I17</f>
        <v>0.7</v>
      </c>
      <c r="J17" s="174">
        <f>1-'Com-Capacity-Base'!J17</f>
        <v>0.7</v>
      </c>
      <c r="K17" s="174">
        <f>1-'Com-Capacity-Base'!K17</f>
        <v>0.7</v>
      </c>
      <c r="L17" s="174">
        <f>1-'Com-Capacity-Base'!L17</f>
        <v>0.7</v>
      </c>
      <c r="M17" s="174">
        <f>1-'Com-Capacity-Base'!M17</f>
        <v>0.7</v>
      </c>
      <c r="N17" s="174">
        <f>1-'Com-Capacity-Base'!N17</f>
        <v>0.7</v>
      </c>
      <c r="O17" s="174">
        <f>1-'Com-Capacity-Base'!O17</f>
        <v>0.7</v>
      </c>
      <c r="P17" s="174">
        <f>1-'Com-Capacity-Base'!P17</f>
        <v>0.7</v>
      </c>
      <c r="Q17" s="174">
        <f>1-'Com-Capacity-Base'!Q17</f>
        <v>0.7</v>
      </c>
      <c r="R17" s="174">
        <f>1-'Com-Capacity-Base'!R17</f>
        <v>0.7</v>
      </c>
      <c r="S17" s="174">
        <f>1-'Com-Capacity-Base'!S17</f>
        <v>0.7</v>
      </c>
      <c r="T17" s="174">
        <f>1-'Com-Capacity-Base'!T17</f>
        <v>0.7</v>
      </c>
      <c r="U17" s="174">
        <f>1-'Com-Capacity-Base'!U17</f>
        <v>0.7</v>
      </c>
      <c r="V17" s="174">
        <f>1-'Com-Capacity-Base'!V17</f>
        <v>0.7</v>
      </c>
      <c r="W17" s="174"/>
    </row>
    <row r="18" spans="1:23" ht="16.5" thickBot="1">
      <c r="A18" s="167"/>
      <c r="B18" s="167"/>
      <c r="C18" s="167"/>
      <c r="D18" s="175"/>
      <c r="E18" s="175"/>
      <c r="F18" s="175"/>
      <c r="G18" s="175"/>
      <c r="H18" s="175"/>
      <c r="I18" s="175"/>
      <c r="J18" s="175"/>
      <c r="K18" s="175"/>
      <c r="L18" s="175"/>
      <c r="M18" s="176"/>
      <c r="N18" s="176"/>
      <c r="O18" s="176"/>
      <c r="P18" s="176"/>
      <c r="Q18" s="176"/>
      <c r="R18" s="176"/>
      <c r="S18" s="176"/>
      <c r="T18" s="176"/>
      <c r="U18" s="176"/>
      <c r="V18" s="176"/>
      <c r="W18" s="176"/>
    </row>
    <row r="19" spans="1:23" ht="15.75">
      <c r="A19" s="151" t="s">
        <v>289</v>
      </c>
      <c r="B19" s="152"/>
      <c r="C19" s="152"/>
      <c r="D19" s="153"/>
      <c r="E19" s="153"/>
      <c r="F19" s="153"/>
      <c r="G19" s="153"/>
      <c r="H19" s="153"/>
      <c r="I19" s="153"/>
      <c r="J19" s="153"/>
      <c r="K19" s="153"/>
      <c r="L19" s="153"/>
      <c r="M19" s="154"/>
      <c r="N19" s="154"/>
      <c r="O19" s="154"/>
      <c r="P19" s="154"/>
      <c r="Q19" s="154"/>
      <c r="R19" s="154"/>
      <c r="S19" s="154"/>
      <c r="T19" s="154"/>
      <c r="U19" s="154"/>
      <c r="V19" s="154"/>
      <c r="W19" s="155"/>
    </row>
    <row r="20" spans="1:23" ht="15.75">
      <c r="A20" s="185"/>
      <c r="B20" s="158" t="s">
        <v>241</v>
      </c>
      <c r="C20" s="173">
        <f>KeyAssumptions!W9</f>
        <v>0.17399999999999999</v>
      </c>
      <c r="D20" s="163"/>
      <c r="E20" s="163"/>
      <c r="F20" s="163"/>
      <c r="G20" s="163"/>
      <c r="H20" s="163"/>
      <c r="I20" s="163"/>
      <c r="J20" s="163"/>
      <c r="K20" s="163"/>
      <c r="L20" s="163"/>
      <c r="M20" s="164"/>
      <c r="N20" s="164"/>
      <c r="O20" s="164"/>
      <c r="P20" s="164"/>
      <c r="Q20" s="164"/>
      <c r="R20" s="164"/>
      <c r="S20" s="164"/>
      <c r="T20" s="164"/>
      <c r="U20" s="164"/>
      <c r="V20" s="164"/>
      <c r="W20" s="165"/>
    </row>
    <row r="21" spans="1:23" ht="15.75">
      <c r="A21" s="185"/>
      <c r="B21" s="158" t="s">
        <v>207</v>
      </c>
      <c r="C21" s="174">
        <f>KeyAssumptions!X9</f>
        <v>0.15</v>
      </c>
      <c r="D21" s="163"/>
      <c r="E21" s="163"/>
      <c r="F21" s="163"/>
      <c r="G21" s="163"/>
      <c r="H21" s="163"/>
      <c r="I21" s="163"/>
      <c r="J21" s="163"/>
      <c r="K21" s="163"/>
      <c r="L21" s="163"/>
      <c r="M21" s="164"/>
      <c r="N21" s="164"/>
      <c r="O21" s="164"/>
      <c r="P21" s="164"/>
      <c r="Q21" s="164"/>
      <c r="R21" s="164"/>
      <c r="S21" s="164"/>
      <c r="T21" s="164"/>
      <c r="U21" s="164"/>
      <c r="V21" s="164"/>
      <c r="W21" s="165"/>
    </row>
    <row r="22" spans="1:23" ht="15.75" customHeight="1">
      <c r="A22" s="185"/>
      <c r="B22" s="188" t="s">
        <v>343</v>
      </c>
      <c r="C22" s="174">
        <v>0.95</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7"/>
      <c r="C23" s="157"/>
      <c r="D23" s="163"/>
      <c r="E23" s="163"/>
      <c r="F23" s="163"/>
      <c r="G23" s="163"/>
      <c r="H23" s="163"/>
      <c r="I23" s="163"/>
      <c r="J23" s="163"/>
      <c r="K23" s="163"/>
      <c r="L23" s="163"/>
      <c r="M23" s="164"/>
      <c r="N23" s="164"/>
      <c r="O23" s="164"/>
      <c r="P23" s="164"/>
      <c r="Q23" s="164"/>
      <c r="R23" s="164"/>
      <c r="S23" s="164"/>
      <c r="T23" s="164"/>
      <c r="U23" s="164"/>
      <c r="V23" s="164"/>
      <c r="W23" s="165"/>
    </row>
    <row r="24" spans="1:23">
      <c r="A24" s="156"/>
      <c r="B24" s="158" t="s">
        <v>1</v>
      </c>
      <c r="C24" s="159">
        <f>C5</f>
        <v>2016</v>
      </c>
      <c r="D24" s="159">
        <f t="shared" ref="D24:V24" si="2">D5</f>
        <v>2017</v>
      </c>
      <c r="E24" s="159">
        <f t="shared" si="2"/>
        <v>2018</v>
      </c>
      <c r="F24" s="159">
        <f t="shared" si="2"/>
        <v>2019</v>
      </c>
      <c r="G24" s="159">
        <f t="shared" si="2"/>
        <v>2020</v>
      </c>
      <c r="H24" s="159">
        <f t="shared" si="2"/>
        <v>2021</v>
      </c>
      <c r="I24" s="159">
        <f t="shared" si="2"/>
        <v>2022</v>
      </c>
      <c r="J24" s="159">
        <f t="shared" si="2"/>
        <v>2023</v>
      </c>
      <c r="K24" s="159">
        <f t="shared" si="2"/>
        <v>2024</v>
      </c>
      <c r="L24" s="159">
        <f t="shared" si="2"/>
        <v>2025</v>
      </c>
      <c r="M24" s="159">
        <f t="shared" si="2"/>
        <v>2026</v>
      </c>
      <c r="N24" s="159">
        <f t="shared" si="2"/>
        <v>2027</v>
      </c>
      <c r="O24" s="159">
        <f t="shared" si="2"/>
        <v>2028</v>
      </c>
      <c r="P24" s="159">
        <f t="shared" si="2"/>
        <v>2029</v>
      </c>
      <c r="Q24" s="159">
        <f t="shared" si="2"/>
        <v>2030</v>
      </c>
      <c r="R24" s="159">
        <f t="shared" si="2"/>
        <v>2031</v>
      </c>
      <c r="S24" s="159">
        <f t="shared" si="2"/>
        <v>2032</v>
      </c>
      <c r="T24" s="159">
        <f t="shared" si="2"/>
        <v>2033</v>
      </c>
      <c r="U24" s="159">
        <f t="shared" si="2"/>
        <v>2034</v>
      </c>
      <c r="V24" s="159">
        <f t="shared" si="2"/>
        <v>2035</v>
      </c>
      <c r="W24" s="160"/>
    </row>
    <row r="25" spans="1:23">
      <c r="A25" s="156"/>
      <c r="B25" s="158" t="s">
        <v>231</v>
      </c>
      <c r="C25" s="174">
        <v>0.05</v>
      </c>
      <c r="D25" s="174">
        <v>0.2</v>
      </c>
      <c r="E25" s="174">
        <v>0.2</v>
      </c>
      <c r="F25" s="174">
        <v>0.2</v>
      </c>
      <c r="G25" s="174">
        <v>0.2</v>
      </c>
      <c r="H25" s="174">
        <v>0.15</v>
      </c>
      <c r="I25" s="174">
        <v>0</v>
      </c>
      <c r="J25" s="174">
        <v>0</v>
      </c>
      <c r="K25" s="174">
        <v>0</v>
      </c>
      <c r="L25" s="174">
        <v>0</v>
      </c>
      <c r="M25" s="174">
        <v>0</v>
      </c>
      <c r="N25" s="174">
        <v>0</v>
      </c>
      <c r="O25" s="174">
        <v>0</v>
      </c>
      <c r="P25" s="174">
        <v>0</v>
      </c>
      <c r="Q25" s="174">
        <v>0</v>
      </c>
      <c r="R25" s="174">
        <v>0</v>
      </c>
      <c r="S25" s="174">
        <v>0</v>
      </c>
      <c r="T25" s="174">
        <v>0</v>
      </c>
      <c r="U25" s="174">
        <v>0</v>
      </c>
      <c r="V25" s="174">
        <v>0</v>
      </c>
      <c r="W25" s="174"/>
    </row>
    <row r="26" spans="1:23">
      <c r="A26" s="156"/>
      <c r="B26" s="158" t="s">
        <v>237</v>
      </c>
      <c r="C26" s="174">
        <f>C25</f>
        <v>0.05</v>
      </c>
      <c r="D26" s="174">
        <f>C26+D25</f>
        <v>0.25</v>
      </c>
      <c r="E26" s="174">
        <f t="shared" ref="E26:V26" si="3">D26+E25</f>
        <v>0.45</v>
      </c>
      <c r="F26" s="174">
        <f t="shared" si="3"/>
        <v>0.65</v>
      </c>
      <c r="G26" s="174">
        <f t="shared" si="3"/>
        <v>0.85000000000000009</v>
      </c>
      <c r="H26" s="174">
        <f t="shared" si="3"/>
        <v>1</v>
      </c>
      <c r="I26" s="174">
        <f t="shared" si="3"/>
        <v>1</v>
      </c>
      <c r="J26" s="174">
        <f t="shared" si="3"/>
        <v>1</v>
      </c>
      <c r="K26" s="174">
        <f t="shared" si="3"/>
        <v>1</v>
      </c>
      <c r="L26" s="174">
        <f t="shared" si="3"/>
        <v>1</v>
      </c>
      <c r="M26" s="174">
        <f t="shared" si="3"/>
        <v>1</v>
      </c>
      <c r="N26" s="174">
        <f t="shared" si="3"/>
        <v>1</v>
      </c>
      <c r="O26" s="174">
        <f t="shared" si="3"/>
        <v>1</v>
      </c>
      <c r="P26" s="174">
        <f t="shared" si="3"/>
        <v>1</v>
      </c>
      <c r="Q26" s="174">
        <f t="shared" si="3"/>
        <v>1</v>
      </c>
      <c r="R26" s="174">
        <f t="shared" si="3"/>
        <v>1</v>
      </c>
      <c r="S26" s="174">
        <f t="shared" si="3"/>
        <v>1</v>
      </c>
      <c r="T26" s="174">
        <f t="shared" si="3"/>
        <v>1</v>
      </c>
      <c r="U26" s="174">
        <f t="shared" si="3"/>
        <v>1</v>
      </c>
      <c r="V26" s="174">
        <f t="shared" si="3"/>
        <v>1</v>
      </c>
      <c r="W26" s="174"/>
    </row>
    <row r="27" spans="1:23">
      <c r="A27" s="156"/>
      <c r="B27" s="158" t="s">
        <v>232</v>
      </c>
      <c r="C27" s="174">
        <v>0.01</v>
      </c>
      <c r="D27" s="174">
        <v>0.01</v>
      </c>
      <c r="E27" s="174">
        <v>0.01</v>
      </c>
      <c r="F27" s="174">
        <v>0.01</v>
      </c>
      <c r="G27" s="174">
        <v>0.01</v>
      </c>
      <c r="H27" s="174">
        <v>0.01</v>
      </c>
      <c r="I27" s="174">
        <v>0.01</v>
      </c>
      <c r="J27" s="174">
        <v>0.01</v>
      </c>
      <c r="K27" s="174">
        <v>0.01</v>
      </c>
      <c r="L27" s="174">
        <v>0.01</v>
      </c>
      <c r="M27" s="174">
        <v>0.01</v>
      </c>
      <c r="N27" s="174">
        <v>0.01</v>
      </c>
      <c r="O27" s="174">
        <v>0.01</v>
      </c>
      <c r="P27" s="174">
        <v>0.01</v>
      </c>
      <c r="Q27" s="174">
        <v>0.01</v>
      </c>
      <c r="R27" s="174">
        <v>0.01</v>
      </c>
      <c r="S27" s="174">
        <v>0.01</v>
      </c>
      <c r="T27" s="174">
        <v>0.01</v>
      </c>
      <c r="U27" s="174">
        <v>0.01</v>
      </c>
      <c r="V27" s="174">
        <v>0.01</v>
      </c>
      <c r="W27" s="174"/>
    </row>
    <row r="28" spans="1:23">
      <c r="A28" s="156"/>
      <c r="B28" s="158" t="s">
        <v>330</v>
      </c>
      <c r="C28" s="174">
        <f>1-'Com-Capacity-Base'!C28</f>
        <v>0.5</v>
      </c>
      <c r="D28" s="174">
        <f>1-'Com-Capacity-Base'!D28</f>
        <v>0.55000000000000004</v>
      </c>
      <c r="E28" s="174">
        <f>1-'Com-Capacity-Base'!E28</f>
        <v>0.6</v>
      </c>
      <c r="F28" s="174">
        <f>1-'Com-Capacity-Base'!F28</f>
        <v>0.64999999999999991</v>
      </c>
      <c r="G28" s="174">
        <f>1-'Com-Capacity-Base'!G28</f>
        <v>0.7</v>
      </c>
      <c r="H28" s="174">
        <f>1-'Com-Capacity-Base'!H28</f>
        <v>0.7</v>
      </c>
      <c r="I28" s="174">
        <f>1-'Com-Capacity-Base'!I28</f>
        <v>0.7</v>
      </c>
      <c r="J28" s="174">
        <f>1-'Com-Capacity-Base'!J28</f>
        <v>0.7</v>
      </c>
      <c r="K28" s="174">
        <f>1-'Com-Capacity-Base'!K28</f>
        <v>0.7</v>
      </c>
      <c r="L28" s="174">
        <f>1-'Com-Capacity-Base'!L28</f>
        <v>0.7</v>
      </c>
      <c r="M28" s="174">
        <f>1-'Com-Capacity-Base'!M28</f>
        <v>0.7</v>
      </c>
      <c r="N28" s="174">
        <f>1-'Com-Capacity-Base'!N28</f>
        <v>0.7</v>
      </c>
      <c r="O28" s="174">
        <f>1-'Com-Capacity-Base'!O28</f>
        <v>0.7</v>
      </c>
      <c r="P28" s="174">
        <f>1-'Com-Capacity-Base'!P28</f>
        <v>0.7</v>
      </c>
      <c r="Q28" s="174">
        <f>1-'Com-Capacity-Base'!Q28</f>
        <v>0.7</v>
      </c>
      <c r="R28" s="174">
        <f>1-'Com-Capacity-Base'!R28</f>
        <v>0.7</v>
      </c>
      <c r="S28" s="174">
        <f>1-'Com-Capacity-Base'!S28</f>
        <v>0.7</v>
      </c>
      <c r="T28" s="174">
        <f>1-'Com-Capacity-Base'!T28</f>
        <v>0.7</v>
      </c>
      <c r="U28" s="174">
        <f>1-'Com-Capacity-Base'!U28</f>
        <v>0.7</v>
      </c>
      <c r="V28" s="174">
        <f>1-'Com-Capacity-Base'!V28</f>
        <v>0.7</v>
      </c>
      <c r="W28" s="174"/>
    </row>
    <row r="29" spans="1:23" ht="16.5" thickBot="1">
      <c r="A29" s="167"/>
      <c r="B29" s="167"/>
      <c r="C29" s="167"/>
      <c r="D29" s="175"/>
      <c r="E29" s="175"/>
      <c r="F29" s="175"/>
      <c r="G29" s="175"/>
      <c r="H29" s="175"/>
      <c r="I29" s="175"/>
      <c r="J29" s="175"/>
      <c r="K29" s="175"/>
      <c r="L29" s="175"/>
      <c r="M29" s="176"/>
      <c r="N29" s="176"/>
      <c r="O29" s="176"/>
      <c r="P29" s="176"/>
      <c r="Q29" s="176"/>
      <c r="R29" s="176"/>
      <c r="S29" s="176"/>
      <c r="T29" s="176"/>
      <c r="U29" s="176"/>
      <c r="V29" s="176"/>
      <c r="W29" s="176"/>
    </row>
    <row r="30" spans="1:23" ht="15.75">
      <c r="A30" s="151" t="s">
        <v>346</v>
      </c>
      <c r="B30" s="152"/>
      <c r="C30" s="152"/>
      <c r="D30" s="153"/>
      <c r="E30" s="153"/>
      <c r="F30" s="153"/>
      <c r="G30" s="153"/>
      <c r="H30" s="153"/>
      <c r="I30" s="153"/>
      <c r="J30" s="153"/>
      <c r="K30" s="153"/>
      <c r="L30" s="153"/>
      <c r="M30" s="154"/>
      <c r="N30" s="154"/>
      <c r="O30" s="154"/>
      <c r="P30" s="154"/>
      <c r="Q30" s="154"/>
      <c r="R30" s="154"/>
      <c r="S30" s="154"/>
      <c r="T30" s="154"/>
      <c r="U30" s="154"/>
      <c r="V30" s="154"/>
      <c r="W30" s="155"/>
    </row>
    <row r="31" spans="1:23" ht="15.75">
      <c r="A31" s="185"/>
      <c r="B31" s="158" t="s">
        <v>241</v>
      </c>
      <c r="C31" s="173">
        <f>KeyAssumptions!W10</f>
        <v>0.25</v>
      </c>
      <c r="D31" s="163"/>
      <c r="E31" s="163"/>
      <c r="F31" s="163"/>
      <c r="G31" s="163"/>
      <c r="H31" s="163"/>
      <c r="I31" s="163"/>
      <c r="J31" s="163"/>
      <c r="K31" s="163"/>
      <c r="L31" s="163"/>
      <c r="M31" s="164"/>
      <c r="N31" s="164"/>
      <c r="O31" s="164"/>
      <c r="P31" s="164"/>
      <c r="Q31" s="164"/>
      <c r="R31" s="164"/>
      <c r="S31" s="164"/>
      <c r="T31" s="164"/>
      <c r="U31" s="164"/>
      <c r="V31" s="164"/>
      <c r="W31" s="165"/>
    </row>
    <row r="32" spans="1:23" ht="15.75">
      <c r="A32" s="185"/>
      <c r="B32" s="158" t="s">
        <v>207</v>
      </c>
      <c r="C32" s="174">
        <f>KeyAssumptions!X10</f>
        <v>0.15</v>
      </c>
      <c r="D32" s="163"/>
      <c r="E32" s="163"/>
      <c r="F32" s="163"/>
      <c r="G32" s="163"/>
      <c r="H32" s="163"/>
      <c r="I32" s="163"/>
      <c r="J32" s="163"/>
      <c r="K32" s="163"/>
      <c r="L32" s="163"/>
      <c r="M32" s="164"/>
      <c r="N32" s="164"/>
      <c r="O32" s="164"/>
      <c r="P32" s="164"/>
      <c r="Q32" s="164"/>
      <c r="R32" s="164"/>
      <c r="S32" s="164"/>
      <c r="T32" s="164"/>
      <c r="U32" s="164"/>
      <c r="V32" s="164"/>
      <c r="W32" s="165"/>
    </row>
    <row r="33" spans="1:23" ht="15.75" customHeight="1">
      <c r="A33" s="185"/>
      <c r="B33" s="188" t="s">
        <v>343</v>
      </c>
      <c r="C33" s="174">
        <v>0.95</v>
      </c>
      <c r="D33" s="163"/>
      <c r="E33" s="163"/>
      <c r="F33" s="163"/>
      <c r="G33" s="163"/>
      <c r="H33" s="163"/>
      <c r="I33" s="163"/>
      <c r="J33" s="163"/>
      <c r="K33" s="163"/>
      <c r="L33" s="163"/>
      <c r="M33" s="164"/>
      <c r="N33" s="164"/>
      <c r="O33" s="164"/>
      <c r="P33" s="164"/>
      <c r="Q33" s="164"/>
      <c r="R33" s="164"/>
      <c r="S33" s="164"/>
      <c r="T33" s="164"/>
      <c r="U33" s="164"/>
      <c r="V33" s="164"/>
      <c r="W33" s="165"/>
    </row>
    <row r="34" spans="1:23" ht="15.75">
      <c r="A34" s="185"/>
      <c r="B34" s="157"/>
      <c r="C34" s="157"/>
      <c r="D34" s="163"/>
      <c r="E34" s="163"/>
      <c r="F34" s="163"/>
      <c r="G34" s="163"/>
      <c r="H34" s="163"/>
      <c r="I34" s="163"/>
      <c r="J34" s="163"/>
      <c r="K34" s="163"/>
      <c r="L34" s="163"/>
      <c r="M34" s="164"/>
      <c r="N34" s="164"/>
      <c r="O34" s="164"/>
      <c r="P34" s="164"/>
      <c r="Q34" s="164"/>
      <c r="R34" s="164"/>
      <c r="S34" s="164"/>
      <c r="T34" s="164"/>
      <c r="U34" s="164"/>
      <c r="V34" s="164"/>
      <c r="W34" s="165"/>
    </row>
    <row r="35" spans="1:23">
      <c r="A35" s="156"/>
      <c r="B35" s="158" t="s">
        <v>1</v>
      </c>
      <c r="C35" s="159">
        <f>C5</f>
        <v>2016</v>
      </c>
      <c r="D35" s="159">
        <f t="shared" ref="D35:V35" si="4">D5</f>
        <v>2017</v>
      </c>
      <c r="E35" s="159">
        <f t="shared" si="4"/>
        <v>2018</v>
      </c>
      <c r="F35" s="159">
        <f t="shared" si="4"/>
        <v>2019</v>
      </c>
      <c r="G35" s="159">
        <f t="shared" si="4"/>
        <v>2020</v>
      </c>
      <c r="H35" s="159">
        <f t="shared" si="4"/>
        <v>2021</v>
      </c>
      <c r="I35" s="159">
        <f t="shared" si="4"/>
        <v>2022</v>
      </c>
      <c r="J35" s="159">
        <f t="shared" si="4"/>
        <v>2023</v>
      </c>
      <c r="K35" s="159">
        <f t="shared" si="4"/>
        <v>2024</v>
      </c>
      <c r="L35" s="159">
        <f t="shared" si="4"/>
        <v>2025</v>
      </c>
      <c r="M35" s="159">
        <f t="shared" si="4"/>
        <v>2026</v>
      </c>
      <c r="N35" s="159">
        <f t="shared" si="4"/>
        <v>2027</v>
      </c>
      <c r="O35" s="159">
        <f t="shared" si="4"/>
        <v>2028</v>
      </c>
      <c r="P35" s="159">
        <f t="shared" si="4"/>
        <v>2029</v>
      </c>
      <c r="Q35" s="159">
        <f t="shared" si="4"/>
        <v>2030</v>
      </c>
      <c r="R35" s="159">
        <f t="shared" si="4"/>
        <v>2031</v>
      </c>
      <c r="S35" s="159">
        <f t="shared" si="4"/>
        <v>2032</v>
      </c>
      <c r="T35" s="159">
        <f t="shared" si="4"/>
        <v>2033</v>
      </c>
      <c r="U35" s="159">
        <f t="shared" si="4"/>
        <v>2034</v>
      </c>
      <c r="V35" s="159">
        <f t="shared" si="4"/>
        <v>2035</v>
      </c>
      <c r="W35" s="160"/>
    </row>
    <row r="36" spans="1:23">
      <c r="A36" s="156"/>
      <c r="B36" s="158" t="s">
        <v>231</v>
      </c>
      <c r="C36" s="174">
        <v>0.05</v>
      </c>
      <c r="D36" s="174">
        <v>0.2</v>
      </c>
      <c r="E36" s="174">
        <v>0.2</v>
      </c>
      <c r="F36" s="174">
        <v>0.2</v>
      </c>
      <c r="G36" s="174">
        <v>0.2</v>
      </c>
      <c r="H36" s="174">
        <v>0.15</v>
      </c>
      <c r="I36" s="174">
        <v>0</v>
      </c>
      <c r="J36" s="174">
        <v>0</v>
      </c>
      <c r="K36" s="174">
        <v>0</v>
      </c>
      <c r="L36" s="174">
        <v>0</v>
      </c>
      <c r="M36" s="174">
        <v>0</v>
      </c>
      <c r="N36" s="174">
        <v>0</v>
      </c>
      <c r="O36" s="174">
        <v>0</v>
      </c>
      <c r="P36" s="174">
        <v>0</v>
      </c>
      <c r="Q36" s="174">
        <v>0</v>
      </c>
      <c r="R36" s="174">
        <v>0</v>
      </c>
      <c r="S36" s="174">
        <v>0</v>
      </c>
      <c r="T36" s="174">
        <v>0</v>
      </c>
      <c r="U36" s="174">
        <v>0</v>
      </c>
      <c r="V36" s="174">
        <v>0</v>
      </c>
      <c r="W36" s="174"/>
    </row>
    <row r="37" spans="1:23">
      <c r="A37" s="156"/>
      <c r="B37" s="158" t="s">
        <v>237</v>
      </c>
      <c r="C37" s="174">
        <f>C36</f>
        <v>0.05</v>
      </c>
      <c r="D37" s="174">
        <f t="shared" ref="D37:V37" si="5">C37+D36</f>
        <v>0.25</v>
      </c>
      <c r="E37" s="174">
        <f t="shared" si="5"/>
        <v>0.45</v>
      </c>
      <c r="F37" s="174">
        <f t="shared" si="5"/>
        <v>0.65</v>
      </c>
      <c r="G37" s="174">
        <f t="shared" si="5"/>
        <v>0.85000000000000009</v>
      </c>
      <c r="H37" s="174">
        <f t="shared" si="5"/>
        <v>1</v>
      </c>
      <c r="I37" s="174">
        <f t="shared" si="5"/>
        <v>1</v>
      </c>
      <c r="J37" s="174">
        <f t="shared" si="5"/>
        <v>1</v>
      </c>
      <c r="K37" s="174">
        <f t="shared" si="5"/>
        <v>1</v>
      </c>
      <c r="L37" s="174">
        <f t="shared" si="5"/>
        <v>1</v>
      </c>
      <c r="M37" s="174">
        <f t="shared" si="5"/>
        <v>1</v>
      </c>
      <c r="N37" s="174">
        <f t="shared" si="5"/>
        <v>1</v>
      </c>
      <c r="O37" s="174">
        <f t="shared" si="5"/>
        <v>1</v>
      </c>
      <c r="P37" s="174">
        <f t="shared" si="5"/>
        <v>1</v>
      </c>
      <c r="Q37" s="174">
        <f t="shared" si="5"/>
        <v>1</v>
      </c>
      <c r="R37" s="174">
        <f t="shared" si="5"/>
        <v>1</v>
      </c>
      <c r="S37" s="174">
        <f t="shared" si="5"/>
        <v>1</v>
      </c>
      <c r="T37" s="174">
        <f t="shared" si="5"/>
        <v>1</v>
      </c>
      <c r="U37" s="174">
        <f t="shared" si="5"/>
        <v>1</v>
      </c>
      <c r="V37" s="174">
        <f t="shared" si="5"/>
        <v>1</v>
      </c>
      <c r="W37" s="174"/>
    </row>
    <row r="38" spans="1:23">
      <c r="A38" s="156"/>
      <c r="B38" s="158" t="s">
        <v>232</v>
      </c>
      <c r="C38" s="174">
        <v>0.01</v>
      </c>
      <c r="D38" s="174">
        <v>0.01</v>
      </c>
      <c r="E38" s="174">
        <v>0.01</v>
      </c>
      <c r="F38" s="174">
        <v>0.01</v>
      </c>
      <c r="G38" s="174">
        <v>0.01</v>
      </c>
      <c r="H38" s="174">
        <v>0.01</v>
      </c>
      <c r="I38" s="174">
        <v>0.01</v>
      </c>
      <c r="J38" s="174">
        <v>0.01</v>
      </c>
      <c r="K38" s="174">
        <v>0.01</v>
      </c>
      <c r="L38" s="174">
        <v>0.01</v>
      </c>
      <c r="M38" s="174">
        <v>0.01</v>
      </c>
      <c r="N38" s="174">
        <v>0.01</v>
      </c>
      <c r="O38" s="174">
        <v>0.01</v>
      </c>
      <c r="P38" s="174">
        <v>0.01</v>
      </c>
      <c r="Q38" s="174">
        <v>0.01</v>
      </c>
      <c r="R38" s="174">
        <v>0.01</v>
      </c>
      <c r="S38" s="174">
        <v>0.01</v>
      </c>
      <c r="T38" s="174">
        <v>0.01</v>
      </c>
      <c r="U38" s="174">
        <v>0.01</v>
      </c>
      <c r="V38" s="174">
        <v>0.01</v>
      </c>
      <c r="W38" s="174"/>
    </row>
    <row r="39" spans="1:23">
      <c r="A39" s="156"/>
      <c r="B39" s="158" t="s">
        <v>297</v>
      </c>
      <c r="C39" s="174">
        <v>0.2</v>
      </c>
      <c r="D39" s="174">
        <v>0.2</v>
      </c>
      <c r="E39" s="174">
        <v>0.2</v>
      </c>
      <c r="F39" s="174">
        <v>0.2</v>
      </c>
      <c r="G39" s="174">
        <v>0.2</v>
      </c>
      <c r="H39" s="174">
        <v>0.2</v>
      </c>
      <c r="I39" s="174">
        <v>0.2</v>
      </c>
      <c r="J39" s="174">
        <v>0.2</v>
      </c>
      <c r="K39" s="174">
        <v>0.2</v>
      </c>
      <c r="L39" s="174">
        <v>0.2</v>
      </c>
      <c r="M39" s="174">
        <v>0.2</v>
      </c>
      <c r="N39" s="174">
        <v>0.2</v>
      </c>
      <c r="O39" s="174">
        <v>0.2</v>
      </c>
      <c r="P39" s="174">
        <v>0.2</v>
      </c>
      <c r="Q39" s="174">
        <v>0.2</v>
      </c>
      <c r="R39" s="174">
        <v>0.2</v>
      </c>
      <c r="S39" s="174">
        <v>0.2</v>
      </c>
      <c r="T39" s="174">
        <v>0.2</v>
      </c>
      <c r="U39" s="174">
        <v>0.2</v>
      </c>
      <c r="V39" s="174">
        <v>0.2</v>
      </c>
      <c r="W39" s="174"/>
    </row>
    <row r="40" spans="1:23" ht="13.5" thickBot="1">
      <c r="A40" s="177"/>
      <c r="B40" s="177"/>
      <c r="C40" s="172"/>
      <c r="D40" s="172"/>
      <c r="E40" s="172"/>
      <c r="F40" s="172"/>
      <c r="G40" s="172"/>
      <c r="H40" s="172"/>
      <c r="I40" s="172"/>
      <c r="J40" s="172"/>
      <c r="K40" s="172"/>
      <c r="L40" s="172"/>
      <c r="M40" s="172"/>
      <c r="N40" s="172"/>
      <c r="O40" s="172"/>
      <c r="P40" s="172"/>
      <c r="Q40" s="172"/>
      <c r="R40" s="172"/>
      <c r="S40" s="172"/>
      <c r="T40" s="172"/>
      <c r="U40" s="172"/>
      <c r="V40" s="172"/>
      <c r="W40" s="172"/>
    </row>
    <row r="41" spans="1:23" ht="15.75" thickBot="1">
      <c r="A41" s="186" t="s">
        <v>240</v>
      </c>
      <c r="B41" s="187"/>
      <c r="C41" s="180"/>
      <c r="D41" s="180"/>
      <c r="E41" s="180"/>
      <c r="F41" s="180"/>
      <c r="G41" s="180"/>
      <c r="H41" s="180"/>
      <c r="I41" s="180"/>
      <c r="J41" s="180"/>
      <c r="K41" s="180"/>
      <c r="L41" s="180"/>
      <c r="M41" s="180"/>
      <c r="N41" s="180"/>
      <c r="O41" s="180"/>
      <c r="P41" s="180"/>
      <c r="Q41" s="180"/>
      <c r="R41" s="180"/>
      <c r="S41" s="180"/>
      <c r="T41" s="180"/>
      <c r="U41" s="180"/>
      <c r="V41" s="180"/>
      <c r="W41" s="181"/>
    </row>
    <row r="42" spans="1:23">
      <c r="A42" s="77" t="s">
        <v>212</v>
      </c>
      <c r="B42" s="77"/>
      <c r="F42" s="78"/>
      <c r="G42" s="78"/>
    </row>
    <row r="44" spans="1:23">
      <c r="A44" s="79"/>
      <c r="B44" s="183"/>
      <c r="C44" s="469" t="s">
        <v>213</v>
      </c>
      <c r="D44" s="469"/>
      <c r="E44" s="469"/>
      <c r="F44" s="469"/>
      <c r="G44" s="469"/>
      <c r="H44" s="469"/>
      <c r="I44" s="469"/>
      <c r="J44" s="469"/>
      <c r="K44" s="469"/>
      <c r="L44" s="469"/>
      <c r="M44" s="469"/>
      <c r="N44" s="469"/>
      <c r="O44" s="469"/>
      <c r="P44" s="469"/>
      <c r="Q44" s="469"/>
      <c r="R44" s="469"/>
      <c r="S44" s="469"/>
      <c r="T44" s="469"/>
      <c r="U44" s="469"/>
      <c r="V44" s="469"/>
      <c r="W44" s="469"/>
    </row>
    <row r="45" spans="1:23" ht="16.5" customHeight="1">
      <c r="A45" s="80" t="s">
        <v>214</v>
      </c>
      <c r="B45" s="81"/>
      <c r="C45" s="184">
        <f>C35</f>
        <v>2016</v>
      </c>
      <c r="D45" s="328">
        <f t="shared" ref="D45:V45" si="6">D35</f>
        <v>2017</v>
      </c>
      <c r="E45" s="328">
        <f t="shared" si="6"/>
        <v>2018</v>
      </c>
      <c r="F45" s="328">
        <f t="shared" si="6"/>
        <v>2019</v>
      </c>
      <c r="G45" s="328">
        <f t="shared" si="6"/>
        <v>2020</v>
      </c>
      <c r="H45" s="328">
        <f t="shared" si="6"/>
        <v>2021</v>
      </c>
      <c r="I45" s="328">
        <f t="shared" si="6"/>
        <v>2022</v>
      </c>
      <c r="J45" s="328">
        <f t="shared" si="6"/>
        <v>2023</v>
      </c>
      <c r="K45" s="328">
        <f t="shared" si="6"/>
        <v>2024</v>
      </c>
      <c r="L45" s="328">
        <f t="shared" si="6"/>
        <v>2025</v>
      </c>
      <c r="M45" s="328">
        <f t="shared" si="6"/>
        <v>2026</v>
      </c>
      <c r="N45" s="328">
        <f t="shared" si="6"/>
        <v>2027</v>
      </c>
      <c r="O45" s="328">
        <f t="shared" si="6"/>
        <v>2028</v>
      </c>
      <c r="P45" s="328">
        <f t="shared" si="6"/>
        <v>2029</v>
      </c>
      <c r="Q45" s="328">
        <f t="shared" si="6"/>
        <v>2030</v>
      </c>
      <c r="R45" s="328">
        <f t="shared" si="6"/>
        <v>2031</v>
      </c>
      <c r="S45" s="328">
        <f t="shared" si="6"/>
        <v>2032</v>
      </c>
      <c r="T45" s="328">
        <f t="shared" si="6"/>
        <v>2033</v>
      </c>
      <c r="U45" s="328">
        <f t="shared" si="6"/>
        <v>2034</v>
      </c>
      <c r="V45" s="328">
        <f t="shared" si="6"/>
        <v>2035</v>
      </c>
      <c r="W45" s="184"/>
    </row>
    <row r="46" spans="1:23" ht="12.75" customHeight="1">
      <c r="A46" s="82"/>
      <c r="B46" s="83"/>
      <c r="C46" s="82"/>
      <c r="D46" s="82"/>
      <c r="E46" s="82"/>
      <c r="F46" s="82"/>
      <c r="G46" s="82"/>
      <c r="H46" s="84"/>
      <c r="I46" s="82"/>
      <c r="J46" s="82"/>
      <c r="K46" s="82"/>
      <c r="L46" s="82"/>
      <c r="M46" s="82"/>
      <c r="N46" s="82"/>
      <c r="O46" s="82"/>
      <c r="P46" s="82"/>
      <c r="Q46" s="82"/>
      <c r="R46" s="82"/>
      <c r="S46" s="82"/>
      <c r="T46" s="82"/>
      <c r="U46" s="82"/>
      <c r="V46" s="82"/>
      <c r="W46" s="82"/>
    </row>
    <row r="47" spans="1:23" ht="12.75" customHeight="1">
      <c r="A47" s="166" t="s">
        <v>311</v>
      </c>
      <c r="B47" s="83"/>
      <c r="C47" s="86">
        <f>C58</f>
        <v>254.6282913324653</v>
      </c>
      <c r="D47" s="86">
        <f t="shared" ref="D47:E49" si="7">D58-C58</f>
        <v>1162.6476190904505</v>
      </c>
      <c r="E47" s="86">
        <f t="shared" si="7"/>
        <v>1402.7145510570595</v>
      </c>
      <c r="F47" s="86">
        <f t="shared" ref="F47:V48" si="8">F58-E58</f>
        <v>1650.0910328411092</v>
      </c>
      <c r="G47" s="86">
        <f t="shared" si="8"/>
        <v>1909.8132703582241</v>
      </c>
      <c r="H47" s="86">
        <f t="shared" si="8"/>
        <v>1221.6648977495479</v>
      </c>
      <c r="I47" s="86">
        <f t="shared" si="8"/>
        <v>94.134959057654669</v>
      </c>
      <c r="J47" s="86">
        <f t="shared" si="8"/>
        <v>92.87726318125533</v>
      </c>
      <c r="K47" s="86">
        <f t="shared" si="8"/>
        <v>92.556639564995749</v>
      </c>
      <c r="L47" s="86">
        <f t="shared" si="8"/>
        <v>92.027127418958116</v>
      </c>
      <c r="M47" s="86">
        <f t="shared" si="8"/>
        <v>88.121933850313326</v>
      </c>
      <c r="N47" s="86">
        <f t="shared" si="8"/>
        <v>91.2013543194671</v>
      </c>
      <c r="O47" s="86">
        <f t="shared" si="8"/>
        <v>94.929117061527904</v>
      </c>
      <c r="P47" s="86">
        <f t="shared" si="8"/>
        <v>95.475401901607256</v>
      </c>
      <c r="Q47" s="86">
        <f t="shared" si="8"/>
        <v>93.313104477159868</v>
      </c>
      <c r="R47" s="86">
        <f t="shared" si="8"/>
        <v>94.356788655435594</v>
      </c>
      <c r="S47" s="86">
        <f t="shared" si="8"/>
        <v>95.412146185177335</v>
      </c>
      <c r="T47" s="86">
        <f t="shared" si="8"/>
        <v>96.479307629937466</v>
      </c>
      <c r="U47" s="86">
        <f t="shared" si="8"/>
        <v>97.558405013620359</v>
      </c>
      <c r="V47" s="86">
        <f t="shared" si="8"/>
        <v>98.649571836773248</v>
      </c>
      <c r="W47" s="86"/>
    </row>
    <row r="48" spans="1:23" ht="12.75" customHeight="1">
      <c r="A48" s="166" t="s">
        <v>312</v>
      </c>
      <c r="B48" s="83"/>
      <c r="C48" s="86">
        <f>C59</f>
        <v>509.25658266493059</v>
      </c>
      <c r="D48" s="86">
        <f t="shared" si="7"/>
        <v>2325.2952381809009</v>
      </c>
      <c r="E48" s="86">
        <f t="shared" si="7"/>
        <v>2805.4291021141189</v>
      </c>
      <c r="F48" s="86">
        <f t="shared" si="8"/>
        <v>3300.1820656822183</v>
      </c>
      <c r="G48" s="86">
        <f t="shared" si="8"/>
        <v>3819.6265407164483</v>
      </c>
      <c r="H48" s="86">
        <f t="shared" si="8"/>
        <v>2443.3297954990958</v>
      </c>
      <c r="I48" s="86">
        <f t="shared" si="8"/>
        <v>188.26991811530934</v>
      </c>
      <c r="J48" s="86">
        <f t="shared" si="8"/>
        <v>185.75452636251066</v>
      </c>
      <c r="K48" s="86">
        <f t="shared" si="8"/>
        <v>185.1132791299915</v>
      </c>
      <c r="L48" s="86">
        <f t="shared" si="8"/>
        <v>184.05425483791623</v>
      </c>
      <c r="M48" s="86">
        <f t="shared" si="8"/>
        <v>176.24386770062665</v>
      </c>
      <c r="N48" s="86">
        <f t="shared" si="8"/>
        <v>182.4027086389342</v>
      </c>
      <c r="O48" s="86">
        <f t="shared" si="8"/>
        <v>189.85823412305581</v>
      </c>
      <c r="P48" s="86">
        <f t="shared" si="8"/>
        <v>190.95080380321451</v>
      </c>
      <c r="Q48" s="86">
        <f t="shared" si="8"/>
        <v>186.62620895431974</v>
      </c>
      <c r="R48" s="86">
        <f t="shared" si="8"/>
        <v>188.71357731087119</v>
      </c>
      <c r="S48" s="86">
        <f t="shared" si="8"/>
        <v>190.82429237035467</v>
      </c>
      <c r="T48" s="86">
        <f t="shared" si="8"/>
        <v>192.95861525987493</v>
      </c>
      <c r="U48" s="86">
        <f t="shared" si="8"/>
        <v>195.11681002724072</v>
      </c>
      <c r="V48" s="86">
        <f t="shared" si="8"/>
        <v>197.2991436735465</v>
      </c>
      <c r="W48" s="86"/>
    </row>
    <row r="49" spans="1:23" ht="12.75" customHeight="1">
      <c r="A49" s="166" t="s">
        <v>347</v>
      </c>
      <c r="B49" s="83"/>
      <c r="C49" s="86">
        <f>C60</f>
        <v>146.33809846693407</v>
      </c>
      <c r="D49" s="86">
        <f t="shared" si="7"/>
        <v>594.14043362445352</v>
      </c>
      <c r="E49" s="86">
        <f t="shared" si="7"/>
        <v>610.09161229557355</v>
      </c>
      <c r="F49" s="86">
        <f t="shared" ref="F49" si="9">F60-E60</f>
        <v>625.59320411926592</v>
      </c>
      <c r="G49" s="86">
        <f t="shared" ref="G49" si="10">G60-F60</f>
        <v>642.8410704918474</v>
      </c>
      <c r="H49" s="86">
        <f t="shared" ref="H49" si="11">H60-G60</f>
        <v>501.50447362460955</v>
      </c>
      <c r="I49" s="86">
        <f t="shared" ref="I49" si="12">I60-H60</f>
        <v>38.643250844685554</v>
      </c>
      <c r="J49" s="86">
        <f t="shared" ref="J49" si="13">J60-I60</f>
        <v>38.126955328922577</v>
      </c>
      <c r="K49" s="86">
        <f t="shared" ref="K49" si="14">K60-J60</f>
        <v>37.99533643883251</v>
      </c>
      <c r="L49" s="86">
        <f t="shared" ref="L49" si="15">L60-K60</f>
        <v>37.777966920753897</v>
      </c>
      <c r="M49" s="86">
        <f t="shared" ref="M49" si="16">M60-L60</f>
        <v>36.17484969224688</v>
      </c>
      <c r="N49" s="86">
        <f t="shared" ref="N49" si="17">N60-M60</f>
        <v>37.438979605692566</v>
      </c>
      <c r="O49" s="86">
        <f t="shared" ref="O49" si="18">O60-N60</f>
        <v>38.969259877474997</v>
      </c>
      <c r="P49" s="86">
        <f t="shared" ref="P49" si="19">P60-O60</f>
        <v>39.193514737934038</v>
      </c>
      <c r="Q49" s="86">
        <f t="shared" ref="Q49" si="20">Q60-P60</f>
        <v>38.305872117060517</v>
      </c>
      <c r="R49" s="86">
        <f t="shared" ref="R49" si="21">R60-Q60</f>
        <v>38.734313897963148</v>
      </c>
      <c r="S49" s="86">
        <f t="shared" ref="S49" si="22">S60-R60</f>
        <v>39.167547695063149</v>
      </c>
      <c r="T49" s="86">
        <f t="shared" ref="T49" si="23">T60-S60</f>
        <v>39.60562710588556</v>
      </c>
      <c r="U49" s="86">
        <f t="shared" ref="U49" si="24">U60-T60</f>
        <v>40.048606327430662</v>
      </c>
      <c r="V49" s="86">
        <f t="shared" ref="V49" si="25">V60-U60</f>
        <v>40.496540162880137</v>
      </c>
      <c r="W49" s="86"/>
    </row>
    <row r="50" spans="1:23" ht="12.75" customHeight="1">
      <c r="A50" s="166"/>
      <c r="B50" s="83"/>
      <c r="C50" s="86"/>
      <c r="D50" s="86"/>
      <c r="E50" s="86"/>
      <c r="F50" s="86"/>
      <c r="G50" s="86"/>
      <c r="H50" s="86"/>
      <c r="I50" s="86"/>
      <c r="J50" s="86"/>
      <c r="K50" s="86"/>
      <c r="L50" s="86"/>
      <c r="M50" s="86"/>
      <c r="N50" s="86"/>
      <c r="O50" s="86"/>
      <c r="P50" s="86"/>
      <c r="Q50" s="86"/>
      <c r="R50" s="86"/>
      <c r="S50" s="86"/>
      <c r="T50" s="86"/>
      <c r="U50" s="86"/>
      <c r="V50" s="86"/>
      <c r="W50" s="86"/>
    </row>
    <row r="51" spans="1:23">
      <c r="A51" s="91" t="s">
        <v>216</v>
      </c>
      <c r="B51" s="92"/>
      <c r="C51" s="93">
        <f>SUM(C47:C49)</f>
        <v>910.22297246432993</v>
      </c>
      <c r="D51" s="93">
        <f t="shared" ref="D51:V51" si="26">SUM(D47:D49)</f>
        <v>4082.083290895805</v>
      </c>
      <c r="E51" s="93">
        <f t="shared" si="26"/>
        <v>4818.235265466752</v>
      </c>
      <c r="F51" s="93">
        <f t="shared" si="26"/>
        <v>5575.8663026425929</v>
      </c>
      <c r="G51" s="93">
        <f t="shared" si="26"/>
        <v>6372.2808815665194</v>
      </c>
      <c r="H51" s="93">
        <f t="shared" si="26"/>
        <v>4166.4991668732528</v>
      </c>
      <c r="I51" s="93">
        <f t="shared" si="26"/>
        <v>321.04812801764956</v>
      </c>
      <c r="J51" s="93">
        <f t="shared" si="26"/>
        <v>316.75874487268857</v>
      </c>
      <c r="K51" s="93">
        <f t="shared" si="26"/>
        <v>315.66525513381976</v>
      </c>
      <c r="L51" s="93">
        <f t="shared" si="26"/>
        <v>313.85934917762825</v>
      </c>
      <c r="M51" s="93">
        <f t="shared" si="26"/>
        <v>300.54065124318686</v>
      </c>
      <c r="N51" s="93">
        <f t="shared" si="26"/>
        <v>311.04304256409387</v>
      </c>
      <c r="O51" s="93">
        <f t="shared" si="26"/>
        <v>323.75661106205871</v>
      </c>
      <c r="P51" s="93">
        <f t="shared" si="26"/>
        <v>325.61972044275581</v>
      </c>
      <c r="Q51" s="93">
        <f t="shared" si="26"/>
        <v>318.24518554854012</v>
      </c>
      <c r="R51" s="93">
        <f t="shared" si="26"/>
        <v>321.80467986426993</v>
      </c>
      <c r="S51" s="93">
        <f t="shared" si="26"/>
        <v>325.40398625059515</v>
      </c>
      <c r="T51" s="93">
        <f t="shared" si="26"/>
        <v>329.04354999569796</v>
      </c>
      <c r="U51" s="93">
        <f t="shared" si="26"/>
        <v>332.72382136829174</v>
      </c>
      <c r="V51" s="93">
        <f t="shared" si="26"/>
        <v>336.44525567319988</v>
      </c>
      <c r="W51" s="93"/>
    </row>
    <row r="52" spans="1:23">
      <c r="A52" s="94"/>
      <c r="B52" s="94"/>
      <c r="C52" s="95"/>
      <c r="D52" s="95"/>
      <c r="E52" s="95"/>
      <c r="F52" s="95"/>
      <c r="G52" s="95"/>
      <c r="H52" s="95"/>
      <c r="I52" s="95"/>
      <c r="J52" s="94"/>
      <c r="K52" s="94"/>
      <c r="L52" s="94"/>
    </row>
    <row r="53" spans="1:23">
      <c r="A53" s="96" t="s">
        <v>217</v>
      </c>
      <c r="B53" s="96"/>
      <c r="C53" s="97"/>
      <c r="D53" s="97"/>
      <c r="E53" s="97"/>
      <c r="F53" s="97"/>
      <c r="G53" s="97"/>
      <c r="H53" s="97"/>
      <c r="I53" s="97"/>
      <c r="J53" s="98"/>
      <c r="K53" s="98"/>
      <c r="L53" s="98"/>
    </row>
    <row r="54" spans="1:23">
      <c r="A54" s="96"/>
      <c r="B54" s="96"/>
      <c r="C54" s="97"/>
      <c r="D54" s="97"/>
      <c r="E54" s="97"/>
      <c r="F54" s="97"/>
      <c r="G54" s="97"/>
      <c r="H54" s="97"/>
      <c r="I54" s="97"/>
      <c r="J54" s="98"/>
      <c r="K54" s="98"/>
      <c r="L54" s="98"/>
    </row>
    <row r="55" spans="1:23">
      <c r="A55" s="470" t="s">
        <v>214</v>
      </c>
      <c r="B55" s="472"/>
      <c r="C55" s="469" t="s">
        <v>218</v>
      </c>
      <c r="D55" s="469"/>
      <c r="E55" s="469"/>
      <c r="F55" s="469"/>
      <c r="G55" s="469"/>
      <c r="H55" s="469"/>
      <c r="I55" s="469"/>
      <c r="J55" s="469"/>
      <c r="K55" s="469"/>
      <c r="L55" s="469"/>
      <c r="M55" s="469"/>
      <c r="N55" s="469"/>
      <c r="O55" s="469"/>
      <c r="P55" s="469"/>
      <c r="Q55" s="469"/>
      <c r="R55" s="469"/>
      <c r="S55" s="469"/>
      <c r="T55" s="469"/>
      <c r="U55" s="469"/>
      <c r="V55" s="469"/>
      <c r="W55" s="469"/>
    </row>
    <row r="56" spans="1:23">
      <c r="A56" s="471"/>
      <c r="B56" s="473"/>
      <c r="C56" s="184">
        <f>C45</f>
        <v>2016</v>
      </c>
      <c r="D56" s="328">
        <f t="shared" ref="D56:V56" si="27">D45</f>
        <v>2017</v>
      </c>
      <c r="E56" s="328">
        <f t="shared" si="27"/>
        <v>2018</v>
      </c>
      <c r="F56" s="328">
        <f t="shared" si="27"/>
        <v>2019</v>
      </c>
      <c r="G56" s="328">
        <f t="shared" si="27"/>
        <v>2020</v>
      </c>
      <c r="H56" s="328">
        <f t="shared" si="27"/>
        <v>2021</v>
      </c>
      <c r="I56" s="328">
        <f t="shared" si="27"/>
        <v>2022</v>
      </c>
      <c r="J56" s="328">
        <f t="shared" si="27"/>
        <v>2023</v>
      </c>
      <c r="K56" s="328">
        <f t="shared" si="27"/>
        <v>2024</v>
      </c>
      <c r="L56" s="328">
        <f t="shared" si="27"/>
        <v>2025</v>
      </c>
      <c r="M56" s="328">
        <f t="shared" si="27"/>
        <v>2026</v>
      </c>
      <c r="N56" s="328">
        <f t="shared" si="27"/>
        <v>2027</v>
      </c>
      <c r="O56" s="328">
        <f t="shared" si="27"/>
        <v>2028</v>
      </c>
      <c r="P56" s="328">
        <f t="shared" si="27"/>
        <v>2029</v>
      </c>
      <c r="Q56" s="328">
        <f t="shared" si="27"/>
        <v>2030</v>
      </c>
      <c r="R56" s="328">
        <f t="shared" si="27"/>
        <v>2031</v>
      </c>
      <c r="S56" s="328">
        <f t="shared" si="27"/>
        <v>2032</v>
      </c>
      <c r="T56" s="328">
        <f t="shared" si="27"/>
        <v>2033</v>
      </c>
      <c r="U56" s="328">
        <f t="shared" si="27"/>
        <v>2034</v>
      </c>
      <c r="V56" s="328">
        <f t="shared" si="27"/>
        <v>2035</v>
      </c>
      <c r="W56" s="184"/>
    </row>
    <row r="57" spans="1:23">
      <c r="A57" s="82"/>
      <c r="B57" s="85"/>
      <c r="C57" s="90"/>
      <c r="D57" s="90"/>
      <c r="E57" s="90"/>
      <c r="F57" s="90"/>
      <c r="G57" s="90"/>
      <c r="H57" s="90"/>
      <c r="I57" s="90"/>
      <c r="J57" s="90"/>
      <c r="K57" s="90"/>
      <c r="L57" s="90"/>
      <c r="M57" s="90"/>
      <c r="N57" s="90"/>
      <c r="O57" s="90"/>
      <c r="P57" s="90"/>
      <c r="Q57" s="90"/>
      <c r="R57" s="90"/>
      <c r="S57" s="90"/>
      <c r="T57" s="90"/>
      <c r="U57" s="90"/>
      <c r="V57" s="90"/>
      <c r="W57" s="90"/>
    </row>
    <row r="58" spans="1:23">
      <c r="A58" s="101" t="str">
        <f>+A47</f>
        <v>a. Space Cooling, Small - PCT</v>
      </c>
      <c r="B58" s="102"/>
      <c r="C58" s="90">
        <f t="shared" ref="C58:V58" si="28">C6*$C$20*$C$21*C28*C26*(1-C27)</f>
        <v>254.6282913324653</v>
      </c>
      <c r="D58" s="90">
        <f t="shared" si="28"/>
        <v>1417.2759104229158</v>
      </c>
      <c r="E58" s="90">
        <f t="shared" si="28"/>
        <v>2819.9904614799752</v>
      </c>
      <c r="F58" s="90">
        <f t="shared" si="28"/>
        <v>4470.0814943210844</v>
      </c>
      <c r="G58" s="90">
        <f t="shared" si="28"/>
        <v>6379.8947646793085</v>
      </c>
      <c r="H58" s="90">
        <f t="shared" si="28"/>
        <v>7601.5596624288564</v>
      </c>
      <c r="I58" s="90">
        <f t="shared" si="28"/>
        <v>7695.6946214865111</v>
      </c>
      <c r="J58" s="90">
        <f t="shared" si="28"/>
        <v>7788.5718846677664</v>
      </c>
      <c r="K58" s="90">
        <f t="shared" si="28"/>
        <v>7881.1285242327622</v>
      </c>
      <c r="L58" s="90">
        <f t="shared" si="28"/>
        <v>7973.1556516517203</v>
      </c>
      <c r="M58" s="90">
        <f t="shared" si="28"/>
        <v>8061.2775855020336</v>
      </c>
      <c r="N58" s="90">
        <f t="shared" si="28"/>
        <v>8152.4789398215007</v>
      </c>
      <c r="O58" s="90">
        <f t="shared" si="28"/>
        <v>8247.4080568830286</v>
      </c>
      <c r="P58" s="90">
        <f t="shared" si="28"/>
        <v>8342.8834587846359</v>
      </c>
      <c r="Q58" s="90">
        <f t="shared" si="28"/>
        <v>8436.1965632617957</v>
      </c>
      <c r="R58" s="90">
        <f t="shared" si="28"/>
        <v>8530.5533519172313</v>
      </c>
      <c r="S58" s="90">
        <f t="shared" si="28"/>
        <v>8625.9654981024087</v>
      </c>
      <c r="T58" s="90">
        <f t="shared" si="28"/>
        <v>8722.4448057323461</v>
      </c>
      <c r="U58" s="90">
        <f t="shared" si="28"/>
        <v>8820.0032107459665</v>
      </c>
      <c r="V58" s="90">
        <f t="shared" si="28"/>
        <v>8918.6527825827397</v>
      </c>
      <c r="W58" s="90"/>
    </row>
    <row r="59" spans="1:23">
      <c r="A59" s="101" t="str">
        <f>+A48</f>
        <v>b. Space Cooling, Medium - AutoDR</v>
      </c>
      <c r="B59" s="102"/>
      <c r="C59" s="90">
        <f t="shared" ref="C59:V59" si="29">C6*$C$9*$C$10*C17*C15*(1-C16)</f>
        <v>509.25658266493059</v>
      </c>
      <c r="D59" s="90">
        <f t="shared" si="29"/>
        <v>2834.5518208458316</v>
      </c>
      <c r="E59" s="90">
        <f t="shared" si="29"/>
        <v>5639.9809229599505</v>
      </c>
      <c r="F59" s="90">
        <f t="shared" si="29"/>
        <v>8940.1629886421688</v>
      </c>
      <c r="G59" s="90">
        <f t="shared" si="29"/>
        <v>12759.789529358617</v>
      </c>
      <c r="H59" s="90">
        <f t="shared" si="29"/>
        <v>15203.119324857713</v>
      </c>
      <c r="I59" s="90">
        <f t="shared" si="29"/>
        <v>15391.389242973022</v>
      </c>
      <c r="J59" s="90">
        <f t="shared" si="29"/>
        <v>15577.143769335533</v>
      </c>
      <c r="K59" s="90">
        <f t="shared" si="29"/>
        <v>15762.257048465524</v>
      </c>
      <c r="L59" s="90">
        <f t="shared" si="29"/>
        <v>15946.311303303441</v>
      </c>
      <c r="M59" s="90">
        <f t="shared" si="29"/>
        <v>16122.555171004067</v>
      </c>
      <c r="N59" s="90">
        <f t="shared" si="29"/>
        <v>16304.957879643001</v>
      </c>
      <c r="O59" s="90">
        <f t="shared" si="29"/>
        <v>16494.816113766057</v>
      </c>
      <c r="P59" s="90">
        <f t="shared" si="29"/>
        <v>16685.766917569272</v>
      </c>
      <c r="Q59" s="90">
        <f t="shared" si="29"/>
        <v>16872.393126523591</v>
      </c>
      <c r="R59" s="90">
        <f t="shared" si="29"/>
        <v>17061.106703834463</v>
      </c>
      <c r="S59" s="90">
        <f t="shared" si="29"/>
        <v>17251.930996204817</v>
      </c>
      <c r="T59" s="90">
        <f t="shared" si="29"/>
        <v>17444.889611464692</v>
      </c>
      <c r="U59" s="90">
        <f t="shared" si="29"/>
        <v>17640.006421491933</v>
      </c>
      <c r="V59" s="90">
        <f t="shared" si="29"/>
        <v>17837.305565165479</v>
      </c>
      <c r="W59" s="90"/>
    </row>
    <row r="60" spans="1:23">
      <c r="A60" s="101" t="str">
        <f>A49</f>
        <v>c. Lighting Controls - AutoDR</v>
      </c>
      <c r="B60" s="102"/>
      <c r="C60" s="90">
        <f>C6*$C$31*$C$32*C39*C37*(1-C38)</f>
        <v>146.33809846693407</v>
      </c>
      <c r="D60" s="90">
        <f t="shared" ref="D60:V60" si="30">D6*$C$31*$C$32*D39*D37*(1-D38)</f>
        <v>740.47853209138759</v>
      </c>
      <c r="E60" s="90">
        <f t="shared" si="30"/>
        <v>1350.5701443869611</v>
      </c>
      <c r="F60" s="90">
        <f t="shared" si="30"/>
        <v>1976.1633485062271</v>
      </c>
      <c r="G60" s="90">
        <f t="shared" si="30"/>
        <v>2619.0044189980745</v>
      </c>
      <c r="H60" s="90">
        <f t="shared" si="30"/>
        <v>3120.508892622684</v>
      </c>
      <c r="I60" s="90">
        <f t="shared" si="30"/>
        <v>3159.1521434673696</v>
      </c>
      <c r="J60" s="90">
        <f t="shared" si="30"/>
        <v>3197.2790987962921</v>
      </c>
      <c r="K60" s="90">
        <f t="shared" si="30"/>
        <v>3235.2744352351247</v>
      </c>
      <c r="L60" s="90">
        <f t="shared" si="30"/>
        <v>3273.0524021558786</v>
      </c>
      <c r="M60" s="90">
        <f t="shared" si="30"/>
        <v>3309.2272518481254</v>
      </c>
      <c r="N60" s="90">
        <f t="shared" si="30"/>
        <v>3346.666231453818</v>
      </c>
      <c r="O60" s="90">
        <f t="shared" si="30"/>
        <v>3385.635491331293</v>
      </c>
      <c r="P60" s="90">
        <f t="shared" si="30"/>
        <v>3424.829006069227</v>
      </c>
      <c r="Q60" s="90">
        <f t="shared" si="30"/>
        <v>3463.1348781862876</v>
      </c>
      <c r="R60" s="90">
        <f t="shared" si="30"/>
        <v>3501.8691920842507</v>
      </c>
      <c r="S60" s="90">
        <f t="shared" si="30"/>
        <v>3541.0367397793138</v>
      </c>
      <c r="T60" s="90">
        <f t="shared" si="30"/>
        <v>3580.6423668851994</v>
      </c>
      <c r="U60" s="90">
        <f t="shared" si="30"/>
        <v>3620.6909732126301</v>
      </c>
      <c r="V60" s="90">
        <f t="shared" si="30"/>
        <v>3661.1875133755102</v>
      </c>
      <c r="W60" s="90"/>
    </row>
    <row r="61" spans="1:23">
      <c r="A61" s="85"/>
      <c r="B61" s="85"/>
      <c r="C61" s="103"/>
      <c r="D61" s="103"/>
      <c r="E61" s="103"/>
      <c r="F61" s="103"/>
      <c r="G61" s="103"/>
      <c r="H61" s="103"/>
      <c r="I61" s="103"/>
      <c r="J61" s="103"/>
      <c r="K61" s="103"/>
      <c r="L61" s="103"/>
      <c r="M61" s="103"/>
      <c r="N61" s="103"/>
      <c r="O61" s="103"/>
      <c r="P61" s="103"/>
      <c r="Q61" s="103"/>
      <c r="R61" s="103"/>
      <c r="S61" s="103"/>
      <c r="T61" s="103"/>
      <c r="U61" s="103"/>
      <c r="V61" s="103"/>
      <c r="W61" s="103"/>
    </row>
    <row r="62" spans="1:23">
      <c r="A62" s="91" t="s">
        <v>219</v>
      </c>
      <c r="B62" s="91"/>
      <c r="C62" s="93">
        <f>SUM(C58:C60)</f>
        <v>910.22297246432993</v>
      </c>
      <c r="D62" s="93">
        <f t="shared" ref="D62:V62" si="31">SUM(D58:D60)</f>
        <v>4992.3062633601357</v>
      </c>
      <c r="E62" s="93">
        <f t="shared" si="31"/>
        <v>9810.5415288268887</v>
      </c>
      <c r="F62" s="93">
        <f t="shared" si="31"/>
        <v>15386.40783146948</v>
      </c>
      <c r="G62" s="93">
        <f t="shared" si="31"/>
        <v>21758.688713035997</v>
      </c>
      <c r="H62" s="93">
        <f t="shared" si="31"/>
        <v>25925.187879909256</v>
      </c>
      <c r="I62" s="93">
        <f t="shared" si="31"/>
        <v>26246.236007926906</v>
      </c>
      <c r="J62" s="93">
        <f t="shared" si="31"/>
        <v>26562.99475279959</v>
      </c>
      <c r="K62" s="93">
        <f t="shared" si="31"/>
        <v>26878.660007933413</v>
      </c>
      <c r="L62" s="93">
        <f t="shared" si="31"/>
        <v>27192.519357111039</v>
      </c>
      <c r="M62" s="93">
        <f t="shared" si="31"/>
        <v>27493.060008354227</v>
      </c>
      <c r="N62" s="93">
        <f t="shared" si="31"/>
        <v>27804.103050918322</v>
      </c>
      <c r="O62" s="93">
        <f t="shared" si="31"/>
        <v>28127.859661980379</v>
      </c>
      <c r="P62" s="93">
        <f t="shared" si="31"/>
        <v>28453.479382423135</v>
      </c>
      <c r="Q62" s="93">
        <f t="shared" si="31"/>
        <v>28771.724567971676</v>
      </c>
      <c r="R62" s="93">
        <f t="shared" si="31"/>
        <v>29093.529247835944</v>
      </c>
      <c r="S62" s="93">
        <f t="shared" si="31"/>
        <v>29418.93323408654</v>
      </c>
      <c r="T62" s="93">
        <f t="shared" si="31"/>
        <v>29747.976784082239</v>
      </c>
      <c r="U62" s="93">
        <f t="shared" si="31"/>
        <v>30080.700605450529</v>
      </c>
      <c r="V62" s="93">
        <f t="shared" si="31"/>
        <v>30417.145861123729</v>
      </c>
      <c r="W62" s="93"/>
    </row>
    <row r="64" spans="1:23">
      <c r="A64" s="77" t="s">
        <v>220</v>
      </c>
      <c r="B64" s="77"/>
      <c r="D64" s="214"/>
      <c r="E64" s="78"/>
      <c r="F64" s="78"/>
      <c r="G64" s="215"/>
    </row>
    <row r="66" spans="1:23">
      <c r="A66" s="104"/>
      <c r="B66" s="474" t="s">
        <v>242</v>
      </c>
      <c r="C66" s="476" t="s">
        <v>221</v>
      </c>
      <c r="D66" s="477"/>
      <c r="E66" s="477"/>
      <c r="F66" s="477"/>
      <c r="G66" s="477"/>
      <c r="H66" s="477"/>
      <c r="I66" s="477"/>
      <c r="J66" s="477"/>
      <c r="K66" s="477"/>
      <c r="L66" s="477"/>
      <c r="M66" s="477"/>
      <c r="N66" s="477"/>
      <c r="O66" s="477"/>
      <c r="P66" s="477"/>
      <c r="Q66" s="477"/>
      <c r="R66" s="477"/>
      <c r="S66" s="477"/>
      <c r="T66" s="477"/>
      <c r="U66" s="477"/>
      <c r="V66" s="477"/>
      <c r="W66" s="477"/>
    </row>
    <row r="67" spans="1:23">
      <c r="A67" s="182" t="s">
        <v>214</v>
      </c>
      <c r="B67" s="475"/>
      <c r="C67" s="184">
        <f>C56</f>
        <v>2016</v>
      </c>
      <c r="D67" s="328">
        <f t="shared" ref="D67:V67" si="32">D56</f>
        <v>2017</v>
      </c>
      <c r="E67" s="328">
        <f t="shared" si="32"/>
        <v>2018</v>
      </c>
      <c r="F67" s="328">
        <f t="shared" si="32"/>
        <v>2019</v>
      </c>
      <c r="G67" s="328">
        <f t="shared" si="32"/>
        <v>2020</v>
      </c>
      <c r="H67" s="328">
        <f t="shared" si="32"/>
        <v>2021</v>
      </c>
      <c r="I67" s="328">
        <f t="shared" si="32"/>
        <v>2022</v>
      </c>
      <c r="J67" s="328">
        <f t="shared" si="32"/>
        <v>2023</v>
      </c>
      <c r="K67" s="328">
        <f t="shared" si="32"/>
        <v>2024</v>
      </c>
      <c r="L67" s="328">
        <f t="shared" si="32"/>
        <v>2025</v>
      </c>
      <c r="M67" s="328">
        <f t="shared" si="32"/>
        <v>2026</v>
      </c>
      <c r="N67" s="328">
        <f t="shared" si="32"/>
        <v>2027</v>
      </c>
      <c r="O67" s="328">
        <f t="shared" si="32"/>
        <v>2028</v>
      </c>
      <c r="P67" s="328">
        <f t="shared" si="32"/>
        <v>2029</v>
      </c>
      <c r="Q67" s="328">
        <f t="shared" si="32"/>
        <v>2030</v>
      </c>
      <c r="R67" s="328">
        <f t="shared" si="32"/>
        <v>2031</v>
      </c>
      <c r="S67" s="328">
        <f t="shared" si="32"/>
        <v>2032</v>
      </c>
      <c r="T67" s="328">
        <f t="shared" si="32"/>
        <v>2033</v>
      </c>
      <c r="U67" s="328">
        <f t="shared" si="32"/>
        <v>2034</v>
      </c>
      <c r="V67" s="328">
        <f t="shared" si="32"/>
        <v>2035</v>
      </c>
      <c r="W67" s="184"/>
    </row>
    <row r="68" spans="1:23" ht="17.100000000000001" customHeight="1">
      <c r="A68" s="82"/>
      <c r="B68" s="105"/>
      <c r="C68" s="82"/>
      <c r="D68" s="105"/>
      <c r="E68" s="82"/>
      <c r="F68" s="82"/>
      <c r="G68" s="82"/>
      <c r="H68" s="82"/>
      <c r="I68" s="82"/>
      <c r="J68" s="82"/>
      <c r="K68" s="82"/>
      <c r="L68" s="82"/>
      <c r="M68" s="82"/>
      <c r="N68" s="82"/>
      <c r="O68" s="82"/>
      <c r="P68" s="82"/>
      <c r="Q68" s="82"/>
      <c r="R68" s="82"/>
      <c r="S68" s="82"/>
      <c r="T68" s="82"/>
      <c r="U68" s="82"/>
      <c r="V68" s="82"/>
      <c r="W68" s="82"/>
    </row>
    <row r="69" spans="1:23">
      <c r="A69" s="85" t="str">
        <f>+A47</f>
        <v>a. Space Cooling, Small - PCT</v>
      </c>
      <c r="B69" s="239">
        <f>KeyAssumptions!V8</f>
        <v>2.8</v>
      </c>
      <c r="C69" s="189">
        <f>$B69/1000*C58*$C$11</f>
        <v>0.67731125494435762</v>
      </c>
      <c r="D69" s="189">
        <f t="shared" ref="D69:V69" si="33">$B69/1000*D58*$C$11</f>
        <v>3.769953921724956</v>
      </c>
      <c r="E69" s="189">
        <f t="shared" si="33"/>
        <v>7.5011746275367344</v>
      </c>
      <c r="F69" s="189">
        <f t="shared" si="33"/>
        <v>11.890416774894083</v>
      </c>
      <c r="G69" s="189">
        <f t="shared" si="33"/>
        <v>16.970520074046963</v>
      </c>
      <c r="H69" s="189">
        <f t="shared" si="33"/>
        <v>20.220148702060754</v>
      </c>
      <c r="I69" s="189">
        <f t="shared" si="33"/>
        <v>20.470547693154121</v>
      </c>
      <c r="J69" s="189">
        <f t="shared" si="33"/>
        <v>20.717601213216259</v>
      </c>
      <c r="K69" s="189">
        <f t="shared" si="33"/>
        <v>20.963801874459147</v>
      </c>
      <c r="L69" s="189">
        <f t="shared" si="33"/>
        <v>21.208594033393574</v>
      </c>
      <c r="M69" s="189">
        <f t="shared" si="33"/>
        <v>21.442998377435408</v>
      </c>
      <c r="N69" s="189">
        <f t="shared" si="33"/>
        <v>21.685593979925191</v>
      </c>
      <c r="O69" s="189">
        <f t="shared" si="33"/>
        <v>21.938105431308855</v>
      </c>
      <c r="P69" s="189">
        <f t="shared" si="33"/>
        <v>22.192070000367131</v>
      </c>
      <c r="Q69" s="189">
        <f t="shared" si="33"/>
        <v>22.440282858276376</v>
      </c>
      <c r="R69" s="189">
        <f t="shared" si="33"/>
        <v>22.691271916099833</v>
      </c>
      <c r="S69" s="189">
        <f t="shared" si="33"/>
        <v>22.945068224952404</v>
      </c>
      <c r="T69" s="189">
        <f t="shared" si="33"/>
        <v>23.201703183248039</v>
      </c>
      <c r="U69" s="189">
        <f t="shared" si="33"/>
        <v>23.46120854058427</v>
      </c>
      <c r="V69" s="189">
        <f t="shared" si="33"/>
        <v>23.723616401670085</v>
      </c>
      <c r="W69" s="189"/>
    </row>
    <row r="70" spans="1:23">
      <c r="A70" s="85" t="str">
        <f>+A48</f>
        <v>b. Space Cooling, Medium - AutoDR</v>
      </c>
      <c r="B70" s="239">
        <f>KeyAssumptions!V9</f>
        <v>15</v>
      </c>
      <c r="C70" s="189">
        <f>$B70/1000*C59*$C$22</f>
        <v>7.2569063029752607</v>
      </c>
      <c r="D70" s="189">
        <f t="shared" ref="D70:V70" si="34">$B70/1000*D59*$C$22</f>
        <v>40.3923634470531</v>
      </c>
      <c r="E70" s="189">
        <f t="shared" si="34"/>
        <v>80.369728152179277</v>
      </c>
      <c r="F70" s="189">
        <f t="shared" si="34"/>
        <v>127.3973225881509</v>
      </c>
      <c r="G70" s="189">
        <f t="shared" si="34"/>
        <v>181.8270007933603</v>
      </c>
      <c r="H70" s="189">
        <f t="shared" si="34"/>
        <v>216.64445037922238</v>
      </c>
      <c r="I70" s="189">
        <f t="shared" si="34"/>
        <v>219.32729671236555</v>
      </c>
      <c r="J70" s="189">
        <f t="shared" si="34"/>
        <v>221.97429871303132</v>
      </c>
      <c r="K70" s="189">
        <f t="shared" si="34"/>
        <v>224.61216294063371</v>
      </c>
      <c r="L70" s="189">
        <f t="shared" si="34"/>
        <v>227.23493607207402</v>
      </c>
      <c r="M70" s="189">
        <f t="shared" si="34"/>
        <v>229.74641118680793</v>
      </c>
      <c r="N70" s="189">
        <f t="shared" si="34"/>
        <v>232.34564978491275</v>
      </c>
      <c r="O70" s="189">
        <f t="shared" si="34"/>
        <v>235.0511296211663</v>
      </c>
      <c r="P70" s="189">
        <f t="shared" si="34"/>
        <v>237.77217857536209</v>
      </c>
      <c r="Q70" s="189">
        <f t="shared" si="34"/>
        <v>240.43160205296115</v>
      </c>
      <c r="R70" s="189">
        <f t="shared" si="34"/>
        <v>243.12077052964108</v>
      </c>
      <c r="S70" s="189">
        <f t="shared" si="34"/>
        <v>245.84001669591862</v>
      </c>
      <c r="T70" s="189">
        <f t="shared" si="34"/>
        <v>248.58967696337183</v>
      </c>
      <c r="U70" s="189">
        <f t="shared" si="34"/>
        <v>251.37009150626002</v>
      </c>
      <c r="V70" s="189">
        <f t="shared" si="34"/>
        <v>254.18160430360808</v>
      </c>
      <c r="W70" s="189"/>
    </row>
    <row r="71" spans="1:23">
      <c r="A71" s="85" t="str">
        <f>A49</f>
        <v>c. Lighting Controls - AutoDR</v>
      </c>
      <c r="B71" s="239">
        <f>KeyAssumptions!V10</f>
        <v>57</v>
      </c>
      <c r="C71" s="189">
        <f>$B71/1000*C60*$C$33</f>
        <v>7.9242080319844801</v>
      </c>
      <c r="D71" s="189">
        <f t="shared" ref="D71:V71" si="35">$B71/1000*D60*$C$33</f>
        <v>40.096912512748638</v>
      </c>
      <c r="E71" s="189">
        <f t="shared" si="35"/>
        <v>73.13337331855395</v>
      </c>
      <c r="F71" s="189">
        <f t="shared" si="35"/>
        <v>107.0092453216122</v>
      </c>
      <c r="G71" s="189">
        <f t="shared" si="35"/>
        <v>141.81908928874574</v>
      </c>
      <c r="H71" s="189">
        <f t="shared" si="35"/>
        <v>168.97555653551834</v>
      </c>
      <c r="I71" s="189">
        <f t="shared" si="35"/>
        <v>171.06808856875804</v>
      </c>
      <c r="J71" s="189">
        <f t="shared" si="35"/>
        <v>173.13266319981921</v>
      </c>
      <c r="K71" s="189">
        <f t="shared" si="35"/>
        <v>175.190110667982</v>
      </c>
      <c r="L71" s="189">
        <f t="shared" si="35"/>
        <v>177.23578757674082</v>
      </c>
      <c r="M71" s="189">
        <f t="shared" si="35"/>
        <v>179.19465568757599</v>
      </c>
      <c r="N71" s="189">
        <f t="shared" si="35"/>
        <v>181.22197643322426</v>
      </c>
      <c r="O71" s="189">
        <f t="shared" si="35"/>
        <v>183.33216185558953</v>
      </c>
      <c r="P71" s="189">
        <f t="shared" si="35"/>
        <v>185.45449067864863</v>
      </c>
      <c r="Q71" s="189">
        <f t="shared" si="35"/>
        <v>187.52875365378748</v>
      </c>
      <c r="R71" s="189">
        <f t="shared" si="35"/>
        <v>189.62621675136216</v>
      </c>
      <c r="S71" s="189">
        <f t="shared" si="35"/>
        <v>191.74713945904986</v>
      </c>
      <c r="T71" s="189">
        <f t="shared" si="35"/>
        <v>193.89178416683356</v>
      </c>
      <c r="U71" s="189">
        <f t="shared" si="35"/>
        <v>196.06041619946393</v>
      </c>
      <c r="V71" s="189">
        <f t="shared" si="35"/>
        <v>198.25330384928387</v>
      </c>
      <c r="W71" s="189"/>
    </row>
    <row r="72" spans="1:23">
      <c r="A72" s="87"/>
      <c r="B72" s="240"/>
      <c r="C72" s="106"/>
      <c r="D72" s="106"/>
      <c r="E72" s="106"/>
      <c r="F72" s="106"/>
      <c r="G72" s="106"/>
      <c r="H72" s="106"/>
      <c r="I72" s="106"/>
      <c r="J72" s="106"/>
      <c r="K72" s="106"/>
      <c r="L72" s="106"/>
      <c r="M72" s="106"/>
      <c r="N72" s="106"/>
      <c r="O72" s="106"/>
      <c r="P72" s="106"/>
      <c r="Q72" s="106"/>
      <c r="R72" s="106"/>
      <c r="S72" s="106"/>
      <c r="T72" s="106"/>
      <c r="U72" s="106"/>
      <c r="V72" s="106"/>
      <c r="W72" s="106"/>
    </row>
    <row r="73" spans="1:23">
      <c r="A73" s="107" t="s">
        <v>269</v>
      </c>
      <c r="B73" s="108"/>
      <c r="C73" s="109">
        <f>SUM(C69:C71)</f>
        <v>15.858425589904098</v>
      </c>
      <c r="D73" s="109">
        <f t="shared" ref="D73:V73" si="36">SUM(D69:D71)</f>
        <v>84.259229881526693</v>
      </c>
      <c r="E73" s="109">
        <f t="shared" si="36"/>
        <v>161.00427609826994</v>
      </c>
      <c r="F73" s="109">
        <f t="shared" si="36"/>
        <v>246.29698468465716</v>
      </c>
      <c r="G73" s="109">
        <f t="shared" si="36"/>
        <v>340.616610156153</v>
      </c>
      <c r="H73" s="109">
        <f t="shared" si="36"/>
        <v>405.84015561680144</v>
      </c>
      <c r="I73" s="109">
        <f t="shared" si="36"/>
        <v>410.86593297427771</v>
      </c>
      <c r="J73" s="109">
        <f t="shared" si="36"/>
        <v>415.82456312606678</v>
      </c>
      <c r="K73" s="109">
        <f t="shared" si="36"/>
        <v>420.76607548307481</v>
      </c>
      <c r="L73" s="109">
        <f t="shared" si="36"/>
        <v>425.67931768220842</v>
      </c>
      <c r="M73" s="109">
        <f t="shared" si="36"/>
        <v>430.38406525181932</v>
      </c>
      <c r="N73" s="109">
        <f t="shared" si="36"/>
        <v>435.25322019806219</v>
      </c>
      <c r="O73" s="109">
        <f t="shared" si="36"/>
        <v>440.32139690806468</v>
      </c>
      <c r="P73" s="109">
        <f t="shared" si="36"/>
        <v>445.4187392543779</v>
      </c>
      <c r="Q73" s="109">
        <f t="shared" si="36"/>
        <v>450.40063856502502</v>
      </c>
      <c r="R73" s="109">
        <f t="shared" si="36"/>
        <v>455.43825919710309</v>
      </c>
      <c r="S73" s="109">
        <f t="shared" si="36"/>
        <v>460.53222437992088</v>
      </c>
      <c r="T73" s="109">
        <f t="shared" si="36"/>
        <v>465.6831643134534</v>
      </c>
      <c r="U73" s="109">
        <f t="shared" si="36"/>
        <v>470.89171624630825</v>
      </c>
      <c r="V73" s="109">
        <f t="shared" si="36"/>
        <v>476.15852455456206</v>
      </c>
      <c r="W73" s="109"/>
    </row>
    <row r="74" spans="1:23">
      <c r="A74" s="110"/>
      <c r="B74" s="110"/>
      <c r="C74" s="111"/>
      <c r="D74" s="111"/>
      <c r="E74" s="112"/>
      <c r="F74" s="112"/>
      <c r="G74" s="112"/>
      <c r="H74" s="112"/>
      <c r="I74" s="112"/>
      <c r="J74" s="112"/>
      <c r="K74" s="112"/>
      <c r="L74" s="112"/>
      <c r="M74" s="112"/>
      <c r="N74" s="112"/>
      <c r="O74" s="112"/>
      <c r="P74" s="112"/>
      <c r="Q74" s="112"/>
      <c r="R74" s="112"/>
      <c r="S74" s="112"/>
      <c r="T74" s="112"/>
      <c r="U74" s="112"/>
      <c r="V74" s="112"/>
      <c r="W74" s="112"/>
    </row>
    <row r="75" spans="1:23">
      <c r="A75" s="77" t="s">
        <v>276</v>
      </c>
      <c r="B75" s="110"/>
      <c r="C75" s="98"/>
      <c r="D75" s="122"/>
      <c r="E75" s="121"/>
      <c r="F75" s="121"/>
      <c r="G75" s="121"/>
      <c r="H75" s="121"/>
      <c r="I75" s="121"/>
      <c r="J75" s="121"/>
      <c r="K75" s="121"/>
      <c r="L75" s="121"/>
      <c r="M75" s="121"/>
      <c r="N75" s="121"/>
      <c r="O75" s="121"/>
      <c r="P75" s="121"/>
      <c r="Q75" s="121"/>
      <c r="R75" s="121"/>
      <c r="S75" s="121"/>
      <c r="T75" s="121"/>
      <c r="U75" s="121"/>
      <c r="V75" s="121"/>
      <c r="W75" s="121"/>
    </row>
    <row r="76" spans="1:23">
      <c r="A76" s="113"/>
      <c r="B76" s="110"/>
      <c r="C76" s="98"/>
      <c r="D76" s="121"/>
      <c r="E76" s="121"/>
      <c r="F76" s="121"/>
      <c r="G76" s="121"/>
      <c r="H76" s="121"/>
      <c r="I76" s="121"/>
      <c r="J76" s="121"/>
      <c r="K76" s="121"/>
      <c r="L76" s="121"/>
      <c r="M76" s="121"/>
      <c r="N76" s="121"/>
      <c r="O76" s="121"/>
      <c r="P76" s="121"/>
      <c r="Q76" s="121"/>
      <c r="R76" s="121"/>
      <c r="S76" s="121"/>
      <c r="T76" s="121"/>
      <c r="U76" s="121"/>
      <c r="V76" s="121"/>
      <c r="W76" s="121"/>
    </row>
    <row r="77" spans="1:23" ht="12.75" customHeight="1">
      <c r="A77" s="478" t="s">
        <v>214</v>
      </c>
      <c r="B77" s="474" t="s">
        <v>304</v>
      </c>
      <c r="C77" s="469" t="s">
        <v>222</v>
      </c>
      <c r="D77" s="469"/>
      <c r="E77" s="469"/>
      <c r="F77" s="469"/>
      <c r="G77" s="469"/>
      <c r="H77" s="469"/>
      <c r="I77" s="469"/>
      <c r="J77" s="469"/>
      <c r="K77" s="469"/>
      <c r="L77" s="469"/>
      <c r="M77" s="469"/>
      <c r="N77" s="469"/>
      <c r="O77" s="469"/>
      <c r="P77" s="469"/>
      <c r="Q77" s="469"/>
      <c r="R77" s="469"/>
      <c r="S77" s="469"/>
      <c r="T77" s="469"/>
      <c r="U77" s="469"/>
      <c r="V77" s="469"/>
      <c r="W77" s="469"/>
    </row>
    <row r="78" spans="1:23">
      <c r="A78" s="479"/>
      <c r="B78" s="480"/>
      <c r="C78" s="184">
        <f>C67</f>
        <v>2016</v>
      </c>
      <c r="D78" s="328">
        <f t="shared" ref="D78:V78" si="37">D67</f>
        <v>2017</v>
      </c>
      <c r="E78" s="328">
        <f t="shared" si="37"/>
        <v>2018</v>
      </c>
      <c r="F78" s="328">
        <f t="shared" si="37"/>
        <v>2019</v>
      </c>
      <c r="G78" s="328">
        <f t="shared" si="37"/>
        <v>2020</v>
      </c>
      <c r="H78" s="328">
        <f t="shared" si="37"/>
        <v>2021</v>
      </c>
      <c r="I78" s="328">
        <f t="shared" si="37"/>
        <v>2022</v>
      </c>
      <c r="J78" s="328">
        <f t="shared" si="37"/>
        <v>2023</v>
      </c>
      <c r="K78" s="328">
        <f t="shared" si="37"/>
        <v>2024</v>
      </c>
      <c r="L78" s="328">
        <f t="shared" si="37"/>
        <v>2025</v>
      </c>
      <c r="M78" s="328">
        <f t="shared" si="37"/>
        <v>2026</v>
      </c>
      <c r="N78" s="328">
        <f t="shared" si="37"/>
        <v>2027</v>
      </c>
      <c r="O78" s="328">
        <f t="shared" si="37"/>
        <v>2028</v>
      </c>
      <c r="P78" s="328">
        <f t="shared" si="37"/>
        <v>2029</v>
      </c>
      <c r="Q78" s="328">
        <f t="shared" si="37"/>
        <v>2030</v>
      </c>
      <c r="R78" s="328">
        <f t="shared" si="37"/>
        <v>2031</v>
      </c>
      <c r="S78" s="328">
        <f t="shared" si="37"/>
        <v>2032</v>
      </c>
      <c r="T78" s="328">
        <f t="shared" si="37"/>
        <v>2033</v>
      </c>
      <c r="U78" s="328">
        <f t="shared" si="37"/>
        <v>2034</v>
      </c>
      <c r="V78" s="328">
        <f t="shared" si="37"/>
        <v>2035</v>
      </c>
      <c r="W78" s="184"/>
    </row>
    <row r="79" spans="1:23">
      <c r="A79" s="123"/>
      <c r="B79" s="124"/>
      <c r="C79" s="78"/>
      <c r="D79" s="82"/>
      <c r="E79" s="82"/>
      <c r="F79" s="82"/>
      <c r="G79" s="82"/>
      <c r="H79" s="82"/>
      <c r="I79" s="82"/>
      <c r="J79" s="82"/>
      <c r="K79" s="82"/>
      <c r="L79" s="82"/>
      <c r="M79" s="82"/>
      <c r="N79" s="82"/>
      <c r="O79" s="82"/>
      <c r="P79" s="82"/>
      <c r="Q79" s="82"/>
      <c r="R79" s="82"/>
      <c r="S79" s="82"/>
      <c r="T79" s="82"/>
      <c r="U79" s="82"/>
      <c r="V79" s="82"/>
      <c r="W79" s="82"/>
    </row>
    <row r="80" spans="1:23">
      <c r="A80" s="85" t="str">
        <f>+A47</f>
        <v>a. Space Cooling, Small - PCT</v>
      </c>
      <c r="B80" s="136">
        <f>SUM(KeyAssumptions!Q8:S8)</f>
        <v>1028.2719999999999</v>
      </c>
      <c r="C80" s="116">
        <f t="shared" ref="C80:V80" si="38">MAX(0,($B$80*C47))</f>
        <v>261827.14238501675</v>
      </c>
      <c r="D80" s="116">
        <f t="shared" si="38"/>
        <v>1195517.9925773756</v>
      </c>
      <c r="E80" s="116">
        <f t="shared" si="38"/>
        <v>1442372.0968445446</v>
      </c>
      <c r="F80" s="116">
        <f t="shared" si="38"/>
        <v>1696742.406521593</v>
      </c>
      <c r="G80" s="116">
        <f t="shared" si="38"/>
        <v>1963807.5111377917</v>
      </c>
      <c r="H80" s="116">
        <f t="shared" si="38"/>
        <v>1256203.807738723</v>
      </c>
      <c r="I80" s="116">
        <f t="shared" si="38"/>
        <v>96796.34262013268</v>
      </c>
      <c r="J80" s="116">
        <f t="shared" si="38"/>
        <v>95503.089165915779</v>
      </c>
      <c r="K80" s="116">
        <f t="shared" si="38"/>
        <v>95173.400878777305</v>
      </c>
      <c r="L80" s="116">
        <f t="shared" si="38"/>
        <v>94628.918365346894</v>
      </c>
      <c r="M80" s="116">
        <f t="shared" si="38"/>
        <v>90613.317164129374</v>
      </c>
      <c r="N80" s="116">
        <f t="shared" si="38"/>
        <v>93779.799008787071</v>
      </c>
      <c r="O80" s="116">
        <f t="shared" si="38"/>
        <v>97612.953059091422</v>
      </c>
      <c r="P80" s="116">
        <f t="shared" si="38"/>
        <v>98174.682464169484</v>
      </c>
      <c r="Q80" s="116">
        <f t="shared" si="38"/>
        <v>95951.252566938128</v>
      </c>
      <c r="R80" s="116">
        <f t="shared" si="38"/>
        <v>97024.443784302057</v>
      </c>
      <c r="S80" s="116">
        <f t="shared" si="38"/>
        <v>98109.638382124656</v>
      </c>
      <c r="T80" s="116">
        <f t="shared" si="38"/>
        <v>99206.970615251048</v>
      </c>
      <c r="U80" s="116">
        <f t="shared" si="38"/>
        <v>100316.57624016542</v>
      </c>
      <c r="V80" s="116">
        <f t="shared" si="38"/>
        <v>101438.5925317425</v>
      </c>
      <c r="W80" s="116"/>
    </row>
    <row r="81" spans="1:23">
      <c r="A81" s="85" t="str">
        <f>A48</f>
        <v>b. Space Cooling, Medium - AutoDR</v>
      </c>
      <c r="B81" s="136">
        <f>SUM(KeyAssumptions!Q9:S9)</f>
        <v>3517.5</v>
      </c>
      <c r="C81" s="116">
        <f t="shared" ref="C81:V81" si="39">MAX(0,($B$81*C48))</f>
        <v>1791310.0295238933</v>
      </c>
      <c r="D81" s="116">
        <f t="shared" si="39"/>
        <v>8179226.0003013192</v>
      </c>
      <c r="E81" s="116">
        <f t="shared" si="39"/>
        <v>9868096.8666864131</v>
      </c>
      <c r="F81" s="116">
        <f t="shared" si="39"/>
        <v>11608390.416037204</v>
      </c>
      <c r="G81" s="116">
        <f t="shared" si="39"/>
        <v>13435536.356970107</v>
      </c>
      <c r="H81" s="116">
        <f t="shared" si="39"/>
        <v>8594412.555668069</v>
      </c>
      <c r="I81" s="116">
        <f t="shared" si="39"/>
        <v>662239.43697060063</v>
      </c>
      <c r="J81" s="116">
        <f t="shared" si="39"/>
        <v>653391.54648013122</v>
      </c>
      <c r="K81" s="116">
        <f t="shared" si="39"/>
        <v>651135.95933974511</v>
      </c>
      <c r="L81" s="116">
        <f t="shared" si="39"/>
        <v>647410.84139237041</v>
      </c>
      <c r="M81" s="116">
        <f t="shared" si="39"/>
        <v>619937.80463695421</v>
      </c>
      <c r="N81" s="116">
        <f t="shared" si="39"/>
        <v>641601.52763745107</v>
      </c>
      <c r="O81" s="116">
        <f t="shared" si="39"/>
        <v>667826.33852784883</v>
      </c>
      <c r="P81" s="116">
        <f t="shared" si="39"/>
        <v>671669.452377807</v>
      </c>
      <c r="Q81" s="116">
        <f t="shared" si="39"/>
        <v>656457.68999681971</v>
      </c>
      <c r="R81" s="116">
        <f t="shared" si="39"/>
        <v>663800.00819098938</v>
      </c>
      <c r="S81" s="116">
        <f t="shared" si="39"/>
        <v>671224.44841272256</v>
      </c>
      <c r="T81" s="116">
        <f t="shared" si="39"/>
        <v>678731.92917661008</v>
      </c>
      <c r="U81" s="116">
        <f t="shared" si="39"/>
        <v>686323.37927081925</v>
      </c>
      <c r="V81" s="116">
        <f t="shared" si="39"/>
        <v>693999.73787169985</v>
      </c>
      <c r="W81" s="116"/>
    </row>
    <row r="82" spans="1:23">
      <c r="A82" s="85" t="str">
        <f>A49</f>
        <v>c. Lighting Controls - AutoDR</v>
      </c>
      <c r="B82" s="136">
        <f>SUM(KeyAssumptions!Q10:S10)</f>
        <v>13366.5</v>
      </c>
      <c r="C82" s="116">
        <f>MAX(0,($B$82*C49))</f>
        <v>1956028.1931582743</v>
      </c>
      <c r="D82" s="116">
        <f t="shared" ref="D82:V82" si="40">MAX(0,($B$82*D49))</f>
        <v>7941578.1060412582</v>
      </c>
      <c r="E82" s="116">
        <f t="shared" si="40"/>
        <v>8154789.5357487835</v>
      </c>
      <c r="F82" s="116">
        <f t="shared" si="40"/>
        <v>8361991.5628601676</v>
      </c>
      <c r="G82" s="116">
        <f t="shared" si="40"/>
        <v>8592535.1687292792</v>
      </c>
      <c r="H82" s="116">
        <f t="shared" si="40"/>
        <v>6703359.5467033433</v>
      </c>
      <c r="I82" s="116">
        <f t="shared" si="40"/>
        <v>516525.01241548947</v>
      </c>
      <c r="J82" s="116">
        <f t="shared" si="40"/>
        <v>509623.94840404362</v>
      </c>
      <c r="K82" s="116">
        <f t="shared" si="40"/>
        <v>507864.66450965474</v>
      </c>
      <c r="L82" s="116">
        <f t="shared" si="40"/>
        <v>504959.19484625699</v>
      </c>
      <c r="M82" s="116">
        <f t="shared" si="40"/>
        <v>483531.12841141794</v>
      </c>
      <c r="N82" s="116">
        <f t="shared" si="40"/>
        <v>500428.12089948967</v>
      </c>
      <c r="O82" s="116">
        <f t="shared" si="40"/>
        <v>520882.61215226952</v>
      </c>
      <c r="P82" s="116">
        <f t="shared" si="40"/>
        <v>523880.11474459531</v>
      </c>
      <c r="Q82" s="116">
        <f t="shared" si="40"/>
        <v>512015.43965268938</v>
      </c>
      <c r="R82" s="116">
        <f t="shared" si="40"/>
        <v>517742.20671712444</v>
      </c>
      <c r="S82" s="116">
        <f t="shared" si="40"/>
        <v>523533.02626606158</v>
      </c>
      <c r="T82" s="116">
        <f t="shared" si="40"/>
        <v>529388.61471081933</v>
      </c>
      <c r="U82" s="116">
        <f t="shared" si="40"/>
        <v>535309.69647560199</v>
      </c>
      <c r="V82" s="116">
        <f t="shared" si="40"/>
        <v>541297.00408713741</v>
      </c>
      <c r="W82" s="116"/>
    </row>
    <row r="83" spans="1:23">
      <c r="A83" s="85"/>
      <c r="B83" s="125"/>
      <c r="C83" s="116"/>
      <c r="D83" s="116"/>
      <c r="E83" s="116"/>
      <c r="F83" s="116"/>
      <c r="G83" s="116"/>
      <c r="H83" s="116"/>
      <c r="I83" s="116"/>
      <c r="J83" s="116"/>
      <c r="K83" s="116"/>
      <c r="L83" s="116"/>
      <c r="M83" s="116"/>
      <c r="N83" s="116"/>
      <c r="O83" s="116"/>
      <c r="P83" s="116"/>
      <c r="Q83" s="116"/>
      <c r="R83" s="116"/>
      <c r="S83" s="116"/>
      <c r="T83" s="116"/>
      <c r="U83" s="116"/>
      <c r="V83" s="116"/>
      <c r="W83" s="116"/>
    </row>
    <row r="84" spans="1:23">
      <c r="A84" s="126" t="s">
        <v>287</v>
      </c>
      <c r="B84" s="107"/>
      <c r="C84" s="119">
        <f>SUM(C80:C82)</f>
        <v>4009165.365067184</v>
      </c>
      <c r="D84" s="119">
        <f t="shared" ref="D84:V84" si="41">SUM(D80:D82)</f>
        <v>17316322.09891995</v>
      </c>
      <c r="E84" s="119">
        <f t="shared" si="41"/>
        <v>19465258.499279741</v>
      </c>
      <c r="F84" s="119">
        <f t="shared" si="41"/>
        <v>21667124.385418963</v>
      </c>
      <c r="G84" s="119">
        <f t="shared" si="41"/>
        <v>23991879.036837175</v>
      </c>
      <c r="H84" s="119">
        <f t="shared" si="41"/>
        <v>16553975.910110135</v>
      </c>
      <c r="I84" s="119">
        <f t="shared" si="41"/>
        <v>1275560.7920062228</v>
      </c>
      <c r="J84" s="119">
        <f t="shared" si="41"/>
        <v>1258518.5840500905</v>
      </c>
      <c r="K84" s="119">
        <f t="shared" si="41"/>
        <v>1254174.0247281771</v>
      </c>
      <c r="L84" s="119">
        <f t="shared" si="41"/>
        <v>1246998.9546039742</v>
      </c>
      <c r="M84" s="119">
        <f t="shared" si="41"/>
        <v>1194082.2502125015</v>
      </c>
      <c r="N84" s="119">
        <f t="shared" si="41"/>
        <v>1235809.4475457277</v>
      </c>
      <c r="O84" s="119">
        <f t="shared" si="41"/>
        <v>1286321.9037392098</v>
      </c>
      <c r="P84" s="119">
        <f t="shared" si="41"/>
        <v>1293724.2495865717</v>
      </c>
      <c r="Q84" s="119">
        <f t="shared" si="41"/>
        <v>1264424.3822164473</v>
      </c>
      <c r="R84" s="119">
        <f t="shared" si="41"/>
        <v>1278566.6586924158</v>
      </c>
      <c r="S84" s="119">
        <f t="shared" si="41"/>
        <v>1292867.1130609089</v>
      </c>
      <c r="T84" s="119">
        <f t="shared" si="41"/>
        <v>1307327.5145026804</v>
      </c>
      <c r="U84" s="119">
        <f t="shared" si="41"/>
        <v>1321949.6519865866</v>
      </c>
      <c r="V84" s="119">
        <f t="shared" si="41"/>
        <v>1336735.3344905798</v>
      </c>
      <c r="W84" s="119"/>
    </row>
    <row r="85" spans="1:23">
      <c r="A85" s="110"/>
      <c r="B85" s="110"/>
      <c r="C85" s="121"/>
      <c r="D85" s="121"/>
      <c r="E85" s="121"/>
      <c r="F85" s="121"/>
      <c r="G85" s="121"/>
      <c r="H85" s="121"/>
      <c r="I85" s="121"/>
      <c r="J85" s="121"/>
      <c r="K85" s="121"/>
      <c r="L85" s="121"/>
      <c r="M85" s="121"/>
      <c r="N85" s="121"/>
      <c r="O85" s="121"/>
      <c r="P85" s="121"/>
      <c r="Q85" s="121"/>
      <c r="R85" s="121"/>
      <c r="S85" s="121"/>
      <c r="T85" s="121"/>
      <c r="U85" s="121"/>
      <c r="V85" s="121"/>
      <c r="W85" s="121"/>
    </row>
    <row r="86" spans="1:23">
      <c r="A86" s="96" t="s">
        <v>277</v>
      </c>
      <c r="B86" s="96"/>
      <c r="C86" s="111"/>
      <c r="D86" s="127"/>
      <c r="E86" s="128"/>
      <c r="F86" s="129"/>
      <c r="G86" s="120"/>
      <c r="H86" s="130"/>
      <c r="I86" s="120"/>
      <c r="J86" s="78"/>
      <c r="L86" s="78"/>
    </row>
    <row r="87" spans="1:23">
      <c r="A87" s="110"/>
      <c r="B87" s="110"/>
      <c r="C87" s="111"/>
      <c r="D87" s="127"/>
      <c r="E87" s="128"/>
      <c r="F87" s="129"/>
      <c r="G87" s="120"/>
      <c r="H87" s="130"/>
      <c r="I87" s="120"/>
      <c r="J87" s="78"/>
      <c r="L87" s="78"/>
    </row>
    <row r="88" spans="1:23">
      <c r="A88" s="492" t="s">
        <v>214</v>
      </c>
      <c r="B88" s="462" t="s">
        <v>344</v>
      </c>
      <c r="C88" s="463" t="s">
        <v>223</v>
      </c>
      <c r="D88" s="463"/>
      <c r="E88" s="463"/>
      <c r="F88" s="463"/>
      <c r="G88" s="463"/>
      <c r="H88" s="463"/>
      <c r="I88" s="463"/>
      <c r="J88" s="463"/>
      <c r="K88" s="463"/>
      <c r="L88" s="463"/>
      <c r="M88" s="463"/>
      <c r="N88" s="463"/>
      <c r="O88" s="463"/>
      <c r="P88" s="463"/>
      <c r="Q88" s="463"/>
      <c r="R88" s="463"/>
      <c r="S88" s="463"/>
      <c r="T88" s="463"/>
      <c r="U88" s="463"/>
      <c r="V88" s="463"/>
      <c r="W88" s="463"/>
    </row>
    <row r="89" spans="1:23">
      <c r="A89" s="493"/>
      <c r="B89" s="462"/>
      <c r="C89" s="184">
        <f>C78</f>
        <v>2016</v>
      </c>
      <c r="D89" s="328">
        <f t="shared" ref="D89:V89" si="42">D78</f>
        <v>2017</v>
      </c>
      <c r="E89" s="328">
        <f t="shared" si="42"/>
        <v>2018</v>
      </c>
      <c r="F89" s="328">
        <f t="shared" si="42"/>
        <v>2019</v>
      </c>
      <c r="G89" s="328">
        <f t="shared" si="42"/>
        <v>2020</v>
      </c>
      <c r="H89" s="328">
        <f t="shared" si="42"/>
        <v>2021</v>
      </c>
      <c r="I89" s="328">
        <f t="shared" si="42"/>
        <v>2022</v>
      </c>
      <c r="J89" s="328">
        <f t="shared" si="42"/>
        <v>2023</v>
      </c>
      <c r="K89" s="328">
        <f t="shared" si="42"/>
        <v>2024</v>
      </c>
      <c r="L89" s="328">
        <f t="shared" si="42"/>
        <v>2025</v>
      </c>
      <c r="M89" s="328">
        <f t="shared" si="42"/>
        <v>2026</v>
      </c>
      <c r="N89" s="328">
        <f t="shared" si="42"/>
        <v>2027</v>
      </c>
      <c r="O89" s="328">
        <f t="shared" si="42"/>
        <v>2028</v>
      </c>
      <c r="P89" s="328">
        <f t="shared" si="42"/>
        <v>2029</v>
      </c>
      <c r="Q89" s="328">
        <f t="shared" si="42"/>
        <v>2030</v>
      </c>
      <c r="R89" s="328">
        <f t="shared" si="42"/>
        <v>2031</v>
      </c>
      <c r="S89" s="328">
        <f t="shared" si="42"/>
        <v>2032</v>
      </c>
      <c r="T89" s="328">
        <f t="shared" si="42"/>
        <v>2033</v>
      </c>
      <c r="U89" s="328">
        <f t="shared" si="42"/>
        <v>2034</v>
      </c>
      <c r="V89" s="328">
        <f t="shared" si="42"/>
        <v>2035</v>
      </c>
      <c r="W89" s="184"/>
    </row>
    <row r="90" spans="1:23">
      <c r="A90" s="131"/>
      <c r="B90" s="132"/>
      <c r="C90" s="132"/>
      <c r="D90" s="133"/>
      <c r="E90" s="133"/>
      <c r="F90" s="133"/>
      <c r="G90" s="133"/>
      <c r="H90" s="133"/>
      <c r="I90" s="133"/>
      <c r="J90" s="133"/>
      <c r="K90" s="133"/>
      <c r="L90" s="133"/>
      <c r="M90" s="133"/>
      <c r="N90" s="133"/>
      <c r="O90" s="133"/>
      <c r="P90" s="133"/>
      <c r="Q90" s="133"/>
      <c r="R90" s="133"/>
      <c r="S90" s="133"/>
      <c r="T90" s="133"/>
      <c r="U90" s="133"/>
      <c r="V90" s="133"/>
      <c r="W90" s="133"/>
    </row>
    <row r="91" spans="1:23">
      <c r="A91" s="135" t="str">
        <f>A47</f>
        <v>a. Space Cooling, Small - PCT</v>
      </c>
      <c r="B91" s="136">
        <f>KeyAssumptions!U8</f>
        <v>20</v>
      </c>
      <c r="C91" s="89">
        <f>($B91-IF('7thPlanAssumptions'!$D$14=1,'7thPlanAssumptions'!$B$14,0))*C69*1000</f>
        <v>-4063.8675296661459</v>
      </c>
      <c r="D91" s="89">
        <f>($B91-IF('7thPlanAssumptions'!$D$14=1,'7thPlanAssumptions'!$B$14,0))*D69*1000</f>
        <v>-22619.723530349736</v>
      </c>
      <c r="E91" s="89">
        <f>($B91-IF('7thPlanAssumptions'!$D$14=1,'7thPlanAssumptions'!$B$14,0))*E69*1000</f>
        <v>-45007.047765220406</v>
      </c>
      <c r="F91" s="89">
        <f>($B91-IF('7thPlanAssumptions'!$D$14=1,'7thPlanAssumptions'!$B$14,0))*F69*1000</f>
        <v>-71342.500649364491</v>
      </c>
      <c r="G91" s="89">
        <f>($B91-IF('7thPlanAssumptions'!$D$14=1,'7thPlanAssumptions'!$B$14,0))*G69*1000</f>
        <v>-101823.12044428178</v>
      </c>
      <c r="H91" s="89">
        <f>($B91-IF('7thPlanAssumptions'!$D$14=1,'7thPlanAssumptions'!$B$14,0))*H69*1000</f>
        <v>-121320.89221236453</v>
      </c>
      <c r="I91" s="89">
        <f>($B91-IF('7thPlanAssumptions'!$D$14=1,'7thPlanAssumptions'!$B$14,0))*I69*1000</f>
        <v>-122823.28615892473</v>
      </c>
      <c r="J91" s="89">
        <f>($B91-IF('7thPlanAssumptions'!$D$14=1,'7thPlanAssumptions'!$B$14,0))*J69*1000</f>
        <v>-124305.60727929756</v>
      </c>
      <c r="K91" s="89">
        <f>($B91-IF('7thPlanAssumptions'!$D$14=1,'7thPlanAssumptions'!$B$14,0))*K69*1000</f>
        <v>-125782.81124675488</v>
      </c>
      <c r="L91" s="89">
        <f>($B91-IF('7thPlanAssumptions'!$D$14=1,'7thPlanAssumptions'!$B$14,0))*L69*1000</f>
        <v>-127251.56420036145</v>
      </c>
      <c r="M91" s="89">
        <f>($B91-IF('7thPlanAssumptions'!$D$14=1,'7thPlanAssumptions'!$B$14,0))*M69*1000</f>
        <v>-128657.99026461247</v>
      </c>
      <c r="N91" s="89">
        <f>($B91-IF('7thPlanAssumptions'!$D$14=1,'7thPlanAssumptions'!$B$14,0))*N69*1000</f>
        <v>-130113.56387955115</v>
      </c>
      <c r="O91" s="89">
        <f>($B91-IF('7thPlanAssumptions'!$D$14=1,'7thPlanAssumptions'!$B$14,0))*O69*1000</f>
        <v>-131628.63258785312</v>
      </c>
      <c r="P91" s="89">
        <f>($B91-IF('7thPlanAssumptions'!$D$14=1,'7thPlanAssumptions'!$B$14,0))*P69*1000</f>
        <v>-133152.42000220279</v>
      </c>
      <c r="Q91" s="89">
        <f>($B91-IF('7thPlanAssumptions'!$D$14=1,'7thPlanAssumptions'!$B$14,0))*Q69*1000</f>
        <v>-134641.69714965826</v>
      </c>
      <c r="R91" s="89">
        <f>($B91-IF('7thPlanAssumptions'!$D$14=1,'7thPlanAssumptions'!$B$14,0))*R69*1000</f>
        <v>-136147.631496599</v>
      </c>
      <c r="S91" s="89">
        <f>($B91-IF('7thPlanAssumptions'!$D$14=1,'7thPlanAssumptions'!$B$14,0))*S69*1000</f>
        <v>-137670.40934971441</v>
      </c>
      <c r="T91" s="89">
        <f>($B91-IF('7thPlanAssumptions'!$D$14=1,'7thPlanAssumptions'!$B$14,0))*T69*1000</f>
        <v>-139210.21909948823</v>
      </c>
      <c r="U91" s="89">
        <f>($B91-IF('7thPlanAssumptions'!$D$14=1,'7thPlanAssumptions'!$B$14,0))*U69*1000</f>
        <v>-140767.25124350563</v>
      </c>
      <c r="V91" s="89">
        <f>($B91-IF('7thPlanAssumptions'!$D$14=1,'7thPlanAssumptions'!$B$14,0))*V69*1000</f>
        <v>-142341.6984100205</v>
      </c>
      <c r="W91" s="89"/>
    </row>
    <row r="92" spans="1:23">
      <c r="A92" s="135" t="str">
        <f t="shared" ref="A92:A93" si="43">A48</f>
        <v>b. Space Cooling, Medium - AutoDR</v>
      </c>
      <c r="B92" s="136">
        <f>KeyAssumptions!U9</f>
        <v>20</v>
      </c>
      <c r="C92" s="89">
        <f>($B92-IF('7thPlanAssumptions'!$D$14=1,'7thPlanAssumptions'!$B$14,0))*C70*1000</f>
        <v>-43541.437817851569</v>
      </c>
      <c r="D92" s="89">
        <f>($B92-IF('7thPlanAssumptions'!$D$14=1,'7thPlanAssumptions'!$B$14,0))*D70*1000</f>
        <v>-242354.18068231861</v>
      </c>
      <c r="E92" s="89">
        <f>($B92-IF('7thPlanAssumptions'!$D$14=1,'7thPlanAssumptions'!$B$14,0))*E70*1000</f>
        <v>-482218.36891307565</v>
      </c>
      <c r="F92" s="89">
        <f>($B92-IF('7thPlanAssumptions'!$D$14=1,'7thPlanAssumptions'!$B$14,0))*F70*1000</f>
        <v>-764383.93552890536</v>
      </c>
      <c r="G92" s="89">
        <f>($B92-IF('7thPlanAssumptions'!$D$14=1,'7thPlanAssumptions'!$B$14,0))*G70*1000</f>
        <v>-1090962.0047601617</v>
      </c>
      <c r="H92" s="89">
        <f>($B92-IF('7thPlanAssumptions'!$D$14=1,'7thPlanAssumptions'!$B$14,0))*H70*1000</f>
        <v>-1299866.7022753344</v>
      </c>
      <c r="I92" s="89">
        <f>($B92-IF('7thPlanAssumptions'!$D$14=1,'7thPlanAssumptions'!$B$14,0))*I70*1000</f>
        <v>-1315963.7802741933</v>
      </c>
      <c r="J92" s="89">
        <f>($B92-IF('7thPlanAssumptions'!$D$14=1,'7thPlanAssumptions'!$B$14,0))*J70*1000</f>
        <v>-1331845.7922781878</v>
      </c>
      <c r="K92" s="89">
        <f>($B92-IF('7thPlanAssumptions'!$D$14=1,'7thPlanAssumptions'!$B$14,0))*K70*1000</f>
        <v>-1347672.9776438023</v>
      </c>
      <c r="L92" s="89">
        <f>($B92-IF('7thPlanAssumptions'!$D$14=1,'7thPlanAssumptions'!$B$14,0))*L70*1000</f>
        <v>-1363409.6164324442</v>
      </c>
      <c r="M92" s="89">
        <f>($B92-IF('7thPlanAssumptions'!$D$14=1,'7thPlanAssumptions'!$B$14,0))*M70*1000</f>
        <v>-1378478.4671208477</v>
      </c>
      <c r="N92" s="89">
        <f>($B92-IF('7thPlanAssumptions'!$D$14=1,'7thPlanAssumptions'!$B$14,0))*N70*1000</f>
        <v>-1394073.8987094765</v>
      </c>
      <c r="O92" s="89">
        <f>($B92-IF('7thPlanAssumptions'!$D$14=1,'7thPlanAssumptions'!$B$14,0))*O70*1000</f>
        <v>-1410306.7777269979</v>
      </c>
      <c r="P92" s="89">
        <f>($B92-IF('7thPlanAssumptions'!$D$14=1,'7thPlanAssumptions'!$B$14,0))*P70*1000</f>
        <v>-1426633.0714521725</v>
      </c>
      <c r="Q92" s="89">
        <f>($B92-IF('7thPlanAssumptions'!$D$14=1,'7thPlanAssumptions'!$B$14,0))*Q70*1000</f>
        <v>-1442589.612317767</v>
      </c>
      <c r="R92" s="89">
        <f>($B92-IF('7thPlanAssumptions'!$D$14=1,'7thPlanAssumptions'!$B$14,0))*R70*1000</f>
        <v>-1458724.6231778464</v>
      </c>
      <c r="S92" s="89">
        <f>($B92-IF('7thPlanAssumptions'!$D$14=1,'7thPlanAssumptions'!$B$14,0))*S70*1000</f>
        <v>-1475040.1001755118</v>
      </c>
      <c r="T92" s="89">
        <f>($B92-IF('7thPlanAssumptions'!$D$14=1,'7thPlanAssumptions'!$B$14,0))*T70*1000</f>
        <v>-1491538.0617802308</v>
      </c>
      <c r="U92" s="89">
        <f>($B92-IF('7thPlanAssumptions'!$D$14=1,'7thPlanAssumptions'!$B$14,0))*U70*1000</f>
        <v>-1508220.5490375601</v>
      </c>
      <c r="V92" s="89">
        <f>($B92-IF('7thPlanAssumptions'!$D$14=1,'7thPlanAssumptions'!$B$14,0))*V70*1000</f>
        <v>-1525089.6258216484</v>
      </c>
      <c r="W92" s="89"/>
    </row>
    <row r="93" spans="1:23">
      <c r="A93" s="135" t="str">
        <f t="shared" si="43"/>
        <v>c. Lighting Controls - AutoDR</v>
      </c>
      <c r="B93" s="136">
        <f>KeyAssumptions!U10</f>
        <v>20</v>
      </c>
      <c r="C93" s="89">
        <f>($B93-IF('7thPlanAssumptions'!$D$14=1,'7thPlanAssumptions'!$B$14,0))*C71*1000</f>
        <v>-47545.248191906881</v>
      </c>
      <c r="D93" s="89">
        <f>($B93-IF('7thPlanAssumptions'!$D$14=1,'7thPlanAssumptions'!$B$14,0))*D71*1000</f>
        <v>-240581.4750764918</v>
      </c>
      <c r="E93" s="89">
        <f>($B93-IF('7thPlanAssumptions'!$D$14=1,'7thPlanAssumptions'!$B$14,0))*E71*1000</f>
        <v>-438800.2399113237</v>
      </c>
      <c r="F93" s="89">
        <f>($B93-IF('7thPlanAssumptions'!$D$14=1,'7thPlanAssumptions'!$B$14,0))*F71*1000</f>
        <v>-642055.47192967322</v>
      </c>
      <c r="G93" s="89">
        <f>($B93-IF('7thPlanAssumptions'!$D$14=1,'7thPlanAssumptions'!$B$14,0))*G71*1000</f>
        <v>-850914.53573247441</v>
      </c>
      <c r="H93" s="89">
        <f>($B93-IF('7thPlanAssumptions'!$D$14=1,'7thPlanAssumptions'!$B$14,0))*H71*1000</f>
        <v>-1013853.33921311</v>
      </c>
      <c r="I93" s="89">
        <f>($B93-IF('7thPlanAssumptions'!$D$14=1,'7thPlanAssumptions'!$B$14,0))*I71*1000</f>
        <v>-1026408.5314125482</v>
      </c>
      <c r="J93" s="89">
        <f>($B93-IF('7thPlanAssumptions'!$D$14=1,'7thPlanAssumptions'!$B$14,0))*J71*1000</f>
        <v>-1038795.9791989151</v>
      </c>
      <c r="K93" s="89">
        <f>($B93-IF('7thPlanAssumptions'!$D$14=1,'7thPlanAssumptions'!$B$14,0))*K71*1000</f>
        <v>-1051140.6640078919</v>
      </c>
      <c r="L93" s="89">
        <f>($B93-IF('7thPlanAssumptions'!$D$14=1,'7thPlanAssumptions'!$B$14,0))*L71*1000</f>
        <v>-1063414.725460445</v>
      </c>
      <c r="M93" s="89">
        <f>($B93-IF('7thPlanAssumptions'!$D$14=1,'7thPlanAssumptions'!$B$14,0))*M71*1000</f>
        <v>-1075167.934125456</v>
      </c>
      <c r="N93" s="89">
        <f>($B93-IF('7thPlanAssumptions'!$D$14=1,'7thPlanAssumptions'!$B$14,0))*N71*1000</f>
        <v>-1087331.8585993457</v>
      </c>
      <c r="O93" s="89">
        <f>($B93-IF('7thPlanAssumptions'!$D$14=1,'7thPlanAssumptions'!$B$14,0))*O71*1000</f>
        <v>-1099992.9711335371</v>
      </c>
      <c r="P93" s="89">
        <f>($B93-IF('7thPlanAssumptions'!$D$14=1,'7thPlanAssumptions'!$B$14,0))*P71*1000</f>
        <v>-1112726.9440718917</v>
      </c>
      <c r="Q93" s="89">
        <f>($B93-IF('7thPlanAssumptions'!$D$14=1,'7thPlanAssumptions'!$B$14,0))*Q71*1000</f>
        <v>-1125172.5219227248</v>
      </c>
      <c r="R93" s="89">
        <f>($B93-IF('7thPlanAssumptions'!$D$14=1,'7thPlanAssumptions'!$B$14,0))*R71*1000</f>
        <v>-1137757.3005081732</v>
      </c>
      <c r="S93" s="89">
        <f>($B93-IF('7thPlanAssumptions'!$D$14=1,'7thPlanAssumptions'!$B$14,0))*S71*1000</f>
        <v>-1150482.836754299</v>
      </c>
      <c r="T93" s="89">
        <f>($B93-IF('7thPlanAssumptions'!$D$14=1,'7thPlanAssumptions'!$B$14,0))*T71*1000</f>
        <v>-1163350.7050010015</v>
      </c>
      <c r="U93" s="89">
        <f>($B93-IF('7thPlanAssumptions'!$D$14=1,'7thPlanAssumptions'!$B$14,0))*U71*1000</f>
        <v>-1176362.4971967835</v>
      </c>
      <c r="V93" s="89">
        <f>($B93-IF('7thPlanAssumptions'!$D$14=1,'7thPlanAssumptions'!$B$14,0))*V71*1000</f>
        <v>-1189519.8230957033</v>
      </c>
      <c r="W93" s="89"/>
    </row>
    <row r="94" spans="1:23">
      <c r="A94" s="141"/>
      <c r="B94" s="142"/>
      <c r="C94" s="134"/>
      <c r="D94" s="134"/>
      <c r="E94" s="134"/>
      <c r="F94" s="134"/>
      <c r="G94" s="134"/>
      <c r="H94" s="134"/>
      <c r="I94" s="134"/>
      <c r="J94" s="134"/>
      <c r="K94" s="134"/>
      <c r="L94" s="134"/>
      <c r="M94" s="134"/>
      <c r="N94" s="134"/>
      <c r="O94" s="134"/>
      <c r="P94" s="134"/>
      <c r="Q94" s="134"/>
      <c r="R94" s="134"/>
      <c r="S94" s="134"/>
      <c r="T94" s="134"/>
      <c r="U94" s="134"/>
      <c r="V94" s="134"/>
      <c r="W94" s="134"/>
    </row>
    <row r="95" spans="1:23">
      <c r="A95" s="143" t="s">
        <v>224</v>
      </c>
      <c r="B95" s="144"/>
      <c r="C95" s="145">
        <f>SUM(C91:C93)</f>
        <v>-95150.553539424596</v>
      </c>
      <c r="D95" s="145">
        <f t="shared" ref="D95:V95" si="44">SUM(D91:D93)</f>
        <v>-505555.37928916013</v>
      </c>
      <c r="E95" s="145">
        <f t="shared" si="44"/>
        <v>-966025.65658961982</v>
      </c>
      <c r="F95" s="145">
        <f t="shared" si="44"/>
        <v>-1477781.9081079429</v>
      </c>
      <c r="G95" s="145">
        <f t="shared" si="44"/>
        <v>-2043699.6609369179</v>
      </c>
      <c r="H95" s="145">
        <f t="shared" si="44"/>
        <v>-2435040.9337008093</v>
      </c>
      <c r="I95" s="145">
        <f t="shared" si="44"/>
        <v>-2465195.5978456661</v>
      </c>
      <c r="J95" s="145">
        <f t="shared" si="44"/>
        <v>-2494947.3787564007</v>
      </c>
      <c r="K95" s="145">
        <f t="shared" si="44"/>
        <v>-2524596.4528984493</v>
      </c>
      <c r="L95" s="145">
        <f t="shared" si="44"/>
        <v>-2554075.906093251</v>
      </c>
      <c r="M95" s="145">
        <f t="shared" si="44"/>
        <v>-2582304.3915109159</v>
      </c>
      <c r="N95" s="145">
        <f t="shared" si="44"/>
        <v>-2611519.3211883735</v>
      </c>
      <c r="O95" s="145">
        <f t="shared" si="44"/>
        <v>-2641928.3814483881</v>
      </c>
      <c r="P95" s="145">
        <f t="shared" si="44"/>
        <v>-2672512.4355262667</v>
      </c>
      <c r="Q95" s="145">
        <f t="shared" si="44"/>
        <v>-2702403.8313901499</v>
      </c>
      <c r="R95" s="145">
        <f t="shared" si="44"/>
        <v>-2732629.5551826186</v>
      </c>
      <c r="S95" s="145">
        <f t="shared" si="44"/>
        <v>-2763193.3462795252</v>
      </c>
      <c r="T95" s="145">
        <f t="shared" si="44"/>
        <v>-2794098.9858807204</v>
      </c>
      <c r="U95" s="145">
        <f t="shared" si="44"/>
        <v>-2825350.2974778493</v>
      </c>
      <c r="V95" s="145">
        <f t="shared" si="44"/>
        <v>-2856951.1473273719</v>
      </c>
      <c r="W95" s="145"/>
    </row>
    <row r="96" spans="1:23">
      <c r="A96" s="120"/>
      <c r="B96" s="120"/>
      <c r="C96" s="146"/>
      <c r="D96" s="146"/>
      <c r="E96" s="146"/>
      <c r="F96" s="146"/>
      <c r="G96" s="146"/>
      <c r="H96" s="146"/>
      <c r="I96" s="146"/>
      <c r="J96" s="146"/>
      <c r="K96" s="146"/>
      <c r="L96" s="146"/>
      <c r="M96" s="146"/>
      <c r="N96" s="146"/>
      <c r="O96" s="146"/>
      <c r="P96" s="146"/>
      <c r="Q96" s="146"/>
      <c r="R96" s="146"/>
      <c r="S96" s="146"/>
      <c r="T96" s="146"/>
      <c r="U96" s="146"/>
      <c r="V96" s="146"/>
      <c r="W96" s="146"/>
    </row>
    <row r="97" spans="1:23">
      <c r="A97" s="96" t="s">
        <v>308</v>
      </c>
      <c r="B97" s="96"/>
      <c r="C97" s="111"/>
      <c r="D97" s="127"/>
      <c r="E97" s="128"/>
      <c r="F97" s="190"/>
      <c r="G97" s="120"/>
      <c r="H97" s="130"/>
      <c r="I97" s="120"/>
      <c r="J97" s="78"/>
      <c r="L97" s="78"/>
    </row>
    <row r="98" spans="1:23">
      <c r="A98" s="110"/>
      <c r="B98" s="110"/>
      <c r="C98" s="111"/>
      <c r="D98" s="127"/>
      <c r="E98" s="128"/>
      <c r="F98" s="129"/>
      <c r="G98" s="120"/>
      <c r="H98" s="130"/>
      <c r="I98" s="120"/>
      <c r="J98" s="78"/>
      <c r="L98" s="78"/>
    </row>
    <row r="99" spans="1:23" ht="17.100000000000001" customHeight="1">
      <c r="A99" s="490" t="s">
        <v>214</v>
      </c>
      <c r="B99" s="491"/>
      <c r="C99" s="206">
        <f>C89</f>
        <v>2016</v>
      </c>
      <c r="D99" s="327">
        <f t="shared" ref="D99:V99" si="45">D89</f>
        <v>2017</v>
      </c>
      <c r="E99" s="327">
        <f t="shared" si="45"/>
        <v>2018</v>
      </c>
      <c r="F99" s="327">
        <f t="shared" si="45"/>
        <v>2019</v>
      </c>
      <c r="G99" s="327">
        <f t="shared" si="45"/>
        <v>2020</v>
      </c>
      <c r="H99" s="327">
        <f t="shared" si="45"/>
        <v>2021</v>
      </c>
      <c r="I99" s="327">
        <f t="shared" si="45"/>
        <v>2022</v>
      </c>
      <c r="J99" s="327">
        <f t="shared" si="45"/>
        <v>2023</v>
      </c>
      <c r="K99" s="327">
        <f t="shared" si="45"/>
        <v>2024</v>
      </c>
      <c r="L99" s="327">
        <f t="shared" si="45"/>
        <v>2025</v>
      </c>
      <c r="M99" s="327">
        <f t="shared" si="45"/>
        <v>2026</v>
      </c>
      <c r="N99" s="327">
        <f t="shared" si="45"/>
        <v>2027</v>
      </c>
      <c r="O99" s="327">
        <f t="shared" si="45"/>
        <v>2028</v>
      </c>
      <c r="P99" s="327">
        <f t="shared" si="45"/>
        <v>2029</v>
      </c>
      <c r="Q99" s="327">
        <f t="shared" si="45"/>
        <v>2030</v>
      </c>
      <c r="R99" s="327">
        <f t="shared" si="45"/>
        <v>2031</v>
      </c>
      <c r="S99" s="327">
        <f t="shared" si="45"/>
        <v>2032</v>
      </c>
      <c r="T99" s="327">
        <f t="shared" si="45"/>
        <v>2033</v>
      </c>
      <c r="U99" s="327">
        <f t="shared" si="45"/>
        <v>2034</v>
      </c>
      <c r="V99" s="327">
        <f t="shared" si="45"/>
        <v>2035</v>
      </c>
      <c r="W99" s="206"/>
    </row>
    <row r="100" spans="1:23">
      <c r="A100" s="143" t="str">
        <f>A84</f>
        <v xml:space="preserve">TOTAL ENABLEMENT COST </v>
      </c>
      <c r="B100" s="147"/>
      <c r="C100" s="148">
        <f>C84</f>
        <v>4009165.365067184</v>
      </c>
      <c r="D100" s="148">
        <f t="shared" ref="D100:V100" si="46">D84</f>
        <v>17316322.09891995</v>
      </c>
      <c r="E100" s="148">
        <f t="shared" si="46"/>
        <v>19465258.499279741</v>
      </c>
      <c r="F100" s="148">
        <f t="shared" si="46"/>
        <v>21667124.385418963</v>
      </c>
      <c r="G100" s="148">
        <f t="shared" si="46"/>
        <v>23991879.036837175</v>
      </c>
      <c r="H100" s="148">
        <f t="shared" si="46"/>
        <v>16553975.910110135</v>
      </c>
      <c r="I100" s="148">
        <f t="shared" si="46"/>
        <v>1275560.7920062228</v>
      </c>
      <c r="J100" s="148">
        <f t="shared" si="46"/>
        <v>1258518.5840500905</v>
      </c>
      <c r="K100" s="148">
        <f t="shared" si="46"/>
        <v>1254174.0247281771</v>
      </c>
      <c r="L100" s="148">
        <f t="shared" si="46"/>
        <v>1246998.9546039742</v>
      </c>
      <c r="M100" s="148">
        <f t="shared" si="46"/>
        <v>1194082.2502125015</v>
      </c>
      <c r="N100" s="148">
        <f t="shared" si="46"/>
        <v>1235809.4475457277</v>
      </c>
      <c r="O100" s="148">
        <f t="shared" si="46"/>
        <v>1286321.9037392098</v>
      </c>
      <c r="P100" s="148">
        <f t="shared" si="46"/>
        <v>1293724.2495865717</v>
      </c>
      <c r="Q100" s="148">
        <f t="shared" si="46"/>
        <v>1264424.3822164473</v>
      </c>
      <c r="R100" s="148">
        <f t="shared" si="46"/>
        <v>1278566.6586924158</v>
      </c>
      <c r="S100" s="148">
        <f t="shared" si="46"/>
        <v>1292867.1130609089</v>
      </c>
      <c r="T100" s="148">
        <f t="shared" si="46"/>
        <v>1307327.5145026804</v>
      </c>
      <c r="U100" s="148">
        <f t="shared" si="46"/>
        <v>1321949.6519865866</v>
      </c>
      <c r="V100" s="148">
        <f t="shared" si="46"/>
        <v>1336735.3344905798</v>
      </c>
      <c r="W100" s="148"/>
    </row>
    <row r="101" spans="1:23">
      <c r="A101" s="143" t="str">
        <f>A95</f>
        <v>TOTAL IMPLEMENTATION COST</v>
      </c>
      <c r="B101" s="147"/>
      <c r="C101" s="148">
        <f>C95</f>
        <v>-95150.553539424596</v>
      </c>
      <c r="D101" s="148">
        <f t="shared" ref="D101:V101" si="47">D95</f>
        <v>-505555.37928916013</v>
      </c>
      <c r="E101" s="148">
        <f t="shared" si="47"/>
        <v>-966025.65658961982</v>
      </c>
      <c r="F101" s="148">
        <f t="shared" si="47"/>
        <v>-1477781.9081079429</v>
      </c>
      <c r="G101" s="148">
        <f t="shared" si="47"/>
        <v>-2043699.6609369179</v>
      </c>
      <c r="H101" s="148">
        <f t="shared" si="47"/>
        <v>-2435040.9337008093</v>
      </c>
      <c r="I101" s="148">
        <f t="shared" si="47"/>
        <v>-2465195.5978456661</v>
      </c>
      <c r="J101" s="148">
        <f t="shared" si="47"/>
        <v>-2494947.3787564007</v>
      </c>
      <c r="K101" s="148">
        <f t="shared" si="47"/>
        <v>-2524596.4528984493</v>
      </c>
      <c r="L101" s="148">
        <f t="shared" si="47"/>
        <v>-2554075.906093251</v>
      </c>
      <c r="M101" s="148">
        <f t="shared" si="47"/>
        <v>-2582304.3915109159</v>
      </c>
      <c r="N101" s="148">
        <f t="shared" si="47"/>
        <v>-2611519.3211883735</v>
      </c>
      <c r="O101" s="148">
        <f t="shared" si="47"/>
        <v>-2641928.3814483881</v>
      </c>
      <c r="P101" s="148">
        <f t="shared" si="47"/>
        <v>-2672512.4355262667</v>
      </c>
      <c r="Q101" s="148">
        <f t="shared" si="47"/>
        <v>-2702403.8313901499</v>
      </c>
      <c r="R101" s="148">
        <f t="shared" si="47"/>
        <v>-2732629.5551826186</v>
      </c>
      <c r="S101" s="148">
        <f t="shared" si="47"/>
        <v>-2763193.3462795252</v>
      </c>
      <c r="T101" s="148">
        <f t="shared" si="47"/>
        <v>-2794098.9858807204</v>
      </c>
      <c r="U101" s="148">
        <f t="shared" si="47"/>
        <v>-2825350.2974778493</v>
      </c>
      <c r="V101" s="148">
        <f t="shared" si="47"/>
        <v>-2856951.1473273719</v>
      </c>
      <c r="W101" s="148"/>
    </row>
    <row r="102" spans="1:23">
      <c r="A102" s="149" t="s">
        <v>226</v>
      </c>
      <c r="B102" s="147"/>
      <c r="C102" s="150">
        <f>SUM(C100:C101)</f>
        <v>3914014.8115277593</v>
      </c>
      <c r="D102" s="150">
        <f t="shared" ref="D102:V102" si="48">SUM(D100:D101)</f>
        <v>16810766.719630789</v>
      </c>
      <c r="E102" s="150">
        <f t="shared" si="48"/>
        <v>18499232.842690121</v>
      </c>
      <c r="F102" s="150">
        <f t="shared" si="48"/>
        <v>20189342.477311019</v>
      </c>
      <c r="G102" s="150">
        <f t="shared" si="48"/>
        <v>21948179.375900257</v>
      </c>
      <c r="H102" s="150">
        <f t="shared" si="48"/>
        <v>14118934.976409325</v>
      </c>
      <c r="I102" s="150">
        <f t="shared" si="48"/>
        <v>-1189634.8058394433</v>
      </c>
      <c r="J102" s="150">
        <f t="shared" si="48"/>
        <v>-1236428.7947063101</v>
      </c>
      <c r="K102" s="150">
        <f t="shared" si="48"/>
        <v>-1270422.4281702721</v>
      </c>
      <c r="L102" s="150">
        <f t="shared" si="48"/>
        <v>-1307076.9514892767</v>
      </c>
      <c r="M102" s="150">
        <f t="shared" si="48"/>
        <v>-1388222.1412984144</v>
      </c>
      <c r="N102" s="150">
        <f t="shared" si="48"/>
        <v>-1375709.8736426458</v>
      </c>
      <c r="O102" s="150">
        <f t="shared" si="48"/>
        <v>-1355606.4777091783</v>
      </c>
      <c r="P102" s="150">
        <f t="shared" si="48"/>
        <v>-1378788.185939695</v>
      </c>
      <c r="Q102" s="150">
        <f t="shared" si="48"/>
        <v>-1437979.4491737026</v>
      </c>
      <c r="R102" s="150">
        <f t="shared" si="48"/>
        <v>-1454062.8964902028</v>
      </c>
      <c r="S102" s="150">
        <f t="shared" si="48"/>
        <v>-1470326.2332186163</v>
      </c>
      <c r="T102" s="150">
        <f t="shared" si="48"/>
        <v>-1486771.47137804</v>
      </c>
      <c r="U102" s="150">
        <f t="shared" si="48"/>
        <v>-1503400.6454912627</v>
      </c>
      <c r="V102" s="150">
        <f t="shared" si="48"/>
        <v>-1520215.8128367921</v>
      </c>
      <c r="W102" s="150"/>
    </row>
  </sheetData>
  <mergeCells count="15">
    <mergeCell ref="B88:B89"/>
    <mergeCell ref="A88:A89"/>
    <mergeCell ref="C88:W88"/>
    <mergeCell ref="A99:B99"/>
    <mergeCell ref="A1:W1"/>
    <mergeCell ref="C4:W4"/>
    <mergeCell ref="C44:W44"/>
    <mergeCell ref="A55:A56"/>
    <mergeCell ref="B55:B56"/>
    <mergeCell ref="C55:W55"/>
    <mergeCell ref="B66:B67"/>
    <mergeCell ref="C66:W66"/>
    <mergeCell ref="B77:B78"/>
    <mergeCell ref="A77:A78"/>
    <mergeCell ref="C77:W77"/>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A4"/>
  <sheetViews>
    <sheetView workbookViewId="0">
      <selection sqref="A1:A4"/>
    </sheetView>
  </sheetViews>
  <sheetFormatPr defaultRowHeight="15"/>
  <cols>
    <col min="1" max="1" width="21.7109375" bestFit="1" customWidth="1"/>
  </cols>
  <sheetData>
    <row r="1" spans="1:1">
      <c r="A1" t="s">
        <v>5</v>
      </c>
    </row>
    <row r="2" spans="1:1">
      <c r="A2" t="s">
        <v>6</v>
      </c>
    </row>
    <row r="3" spans="1:1">
      <c r="A3" t="s">
        <v>7</v>
      </c>
    </row>
    <row r="4" spans="1:1">
      <c r="A4" t="s">
        <v>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sheetPr>
    <tabColor theme="4" tint="0.39997558519241921"/>
  </sheetPr>
  <dimension ref="A1:W120"/>
  <sheetViews>
    <sheetView topLeftCell="A96" workbookViewId="0">
      <selection activeCell="B138" sqref="B138"/>
    </sheetView>
  </sheetViews>
  <sheetFormatPr defaultRowHeight="12.75"/>
  <cols>
    <col min="1" max="1" width="39.42578125" style="76" customWidth="1"/>
    <col min="2" max="2" width="28.5703125" style="76" customWidth="1"/>
    <col min="3" max="3" width="19.85546875" style="76" bestFit="1" customWidth="1"/>
    <col min="4" max="4" width="15" style="76" customWidth="1"/>
    <col min="5" max="5" width="17" style="76" bestFit="1" customWidth="1"/>
    <col min="6" max="7" width="12.85546875" style="76" customWidth="1"/>
    <col min="8" max="8" width="13.7109375" style="76" customWidth="1"/>
    <col min="9" max="23" width="12.85546875" style="76" customWidth="1"/>
    <col min="24" max="255" width="9.140625" style="76"/>
    <col min="256" max="256" width="33.85546875" style="76" customWidth="1"/>
    <col min="257" max="257" width="19.28515625" style="76" customWidth="1"/>
    <col min="258" max="279" width="12.85546875" style="76" customWidth="1"/>
    <col min="280" max="511" width="9.140625" style="76"/>
    <col min="512" max="512" width="33.85546875" style="76" customWidth="1"/>
    <col min="513" max="513" width="19.28515625" style="76" customWidth="1"/>
    <col min="514" max="535" width="12.85546875" style="76" customWidth="1"/>
    <col min="536" max="767" width="9.140625" style="76"/>
    <col min="768" max="768" width="33.85546875" style="76" customWidth="1"/>
    <col min="769" max="769" width="19.28515625" style="76" customWidth="1"/>
    <col min="770" max="791" width="12.85546875" style="76" customWidth="1"/>
    <col min="792" max="1023" width="9.140625" style="76"/>
    <col min="1024" max="1024" width="33.85546875" style="76" customWidth="1"/>
    <col min="1025" max="1025" width="19.28515625" style="76" customWidth="1"/>
    <col min="1026" max="1047" width="12.85546875" style="76" customWidth="1"/>
    <col min="1048" max="1279" width="9.140625" style="76"/>
    <col min="1280" max="1280" width="33.85546875" style="76" customWidth="1"/>
    <col min="1281" max="1281" width="19.28515625" style="76" customWidth="1"/>
    <col min="1282" max="1303" width="12.85546875" style="76" customWidth="1"/>
    <col min="1304" max="1535" width="9.140625" style="76"/>
    <col min="1536" max="1536" width="33.85546875" style="76" customWidth="1"/>
    <col min="1537" max="1537" width="19.28515625" style="76" customWidth="1"/>
    <col min="1538" max="1559" width="12.85546875" style="76" customWidth="1"/>
    <col min="1560" max="1791" width="9.140625" style="76"/>
    <col min="1792" max="1792" width="33.85546875" style="76" customWidth="1"/>
    <col min="1793" max="1793" width="19.28515625" style="76" customWidth="1"/>
    <col min="1794" max="1815" width="12.85546875" style="76" customWidth="1"/>
    <col min="1816" max="2047" width="9.140625" style="76"/>
    <col min="2048" max="2048" width="33.85546875" style="76" customWidth="1"/>
    <col min="2049" max="2049" width="19.28515625" style="76" customWidth="1"/>
    <col min="2050" max="2071" width="12.85546875" style="76" customWidth="1"/>
    <col min="2072" max="2303" width="9.140625" style="76"/>
    <col min="2304" max="2304" width="33.85546875" style="76" customWidth="1"/>
    <col min="2305" max="2305" width="19.28515625" style="76" customWidth="1"/>
    <col min="2306" max="2327" width="12.85546875" style="76" customWidth="1"/>
    <col min="2328" max="2559" width="9.140625" style="76"/>
    <col min="2560" max="2560" width="33.85546875" style="76" customWidth="1"/>
    <col min="2561" max="2561" width="19.28515625" style="76" customWidth="1"/>
    <col min="2562" max="2583" width="12.85546875" style="76" customWidth="1"/>
    <col min="2584" max="2815" width="9.140625" style="76"/>
    <col min="2816" max="2816" width="33.85546875" style="76" customWidth="1"/>
    <col min="2817" max="2817" width="19.28515625" style="76" customWidth="1"/>
    <col min="2818" max="2839" width="12.85546875" style="76" customWidth="1"/>
    <col min="2840" max="3071" width="9.140625" style="76"/>
    <col min="3072" max="3072" width="33.85546875" style="76" customWidth="1"/>
    <col min="3073" max="3073" width="19.28515625" style="76" customWidth="1"/>
    <col min="3074" max="3095" width="12.85546875" style="76" customWidth="1"/>
    <col min="3096" max="3327" width="9.140625" style="76"/>
    <col min="3328" max="3328" width="33.85546875" style="76" customWidth="1"/>
    <col min="3329" max="3329" width="19.28515625" style="76" customWidth="1"/>
    <col min="3330" max="3351" width="12.85546875" style="76" customWidth="1"/>
    <col min="3352" max="3583" width="9.140625" style="76"/>
    <col min="3584" max="3584" width="33.85546875" style="76" customWidth="1"/>
    <col min="3585" max="3585" width="19.28515625" style="76" customWidth="1"/>
    <col min="3586" max="3607" width="12.85546875" style="76" customWidth="1"/>
    <col min="3608" max="3839" width="9.140625" style="76"/>
    <col min="3840" max="3840" width="33.85546875" style="76" customWidth="1"/>
    <col min="3841" max="3841" width="19.28515625" style="76" customWidth="1"/>
    <col min="3842" max="3863" width="12.85546875" style="76" customWidth="1"/>
    <col min="3864" max="4095" width="9.140625" style="76"/>
    <col min="4096" max="4096" width="33.85546875" style="76" customWidth="1"/>
    <col min="4097" max="4097" width="19.28515625" style="76" customWidth="1"/>
    <col min="4098" max="4119" width="12.85546875" style="76" customWidth="1"/>
    <col min="4120" max="4351" width="9.140625" style="76"/>
    <col min="4352" max="4352" width="33.85546875" style="76" customWidth="1"/>
    <col min="4353" max="4353" width="19.28515625" style="76" customWidth="1"/>
    <col min="4354" max="4375" width="12.85546875" style="76" customWidth="1"/>
    <col min="4376" max="4607" width="9.140625" style="76"/>
    <col min="4608" max="4608" width="33.85546875" style="76" customWidth="1"/>
    <col min="4609" max="4609" width="19.28515625" style="76" customWidth="1"/>
    <col min="4610" max="4631" width="12.85546875" style="76" customWidth="1"/>
    <col min="4632" max="4863" width="9.140625" style="76"/>
    <col min="4864" max="4864" width="33.85546875" style="76" customWidth="1"/>
    <col min="4865" max="4865" width="19.28515625" style="76" customWidth="1"/>
    <col min="4866" max="4887" width="12.85546875" style="76" customWidth="1"/>
    <col min="4888" max="5119" width="9.140625" style="76"/>
    <col min="5120" max="5120" width="33.85546875" style="76" customWidth="1"/>
    <col min="5121" max="5121" width="19.28515625" style="76" customWidth="1"/>
    <col min="5122" max="5143" width="12.85546875" style="76" customWidth="1"/>
    <col min="5144" max="5375" width="9.140625" style="76"/>
    <col min="5376" max="5376" width="33.85546875" style="76" customWidth="1"/>
    <col min="5377" max="5377" width="19.28515625" style="76" customWidth="1"/>
    <col min="5378" max="5399" width="12.85546875" style="76" customWidth="1"/>
    <col min="5400" max="5631" width="9.140625" style="76"/>
    <col min="5632" max="5632" width="33.85546875" style="76" customWidth="1"/>
    <col min="5633" max="5633" width="19.28515625" style="76" customWidth="1"/>
    <col min="5634" max="5655" width="12.85546875" style="76" customWidth="1"/>
    <col min="5656" max="5887" width="9.140625" style="76"/>
    <col min="5888" max="5888" width="33.85546875" style="76" customWidth="1"/>
    <col min="5889" max="5889" width="19.28515625" style="76" customWidth="1"/>
    <col min="5890" max="5911" width="12.85546875" style="76" customWidth="1"/>
    <col min="5912" max="6143" width="9.140625" style="76"/>
    <col min="6144" max="6144" width="33.85546875" style="76" customWidth="1"/>
    <col min="6145" max="6145" width="19.28515625" style="76" customWidth="1"/>
    <col min="6146" max="6167" width="12.85546875" style="76" customWidth="1"/>
    <col min="6168" max="6399" width="9.140625" style="76"/>
    <col min="6400" max="6400" width="33.85546875" style="76" customWidth="1"/>
    <col min="6401" max="6401" width="19.28515625" style="76" customWidth="1"/>
    <col min="6402" max="6423" width="12.85546875" style="76" customWidth="1"/>
    <col min="6424" max="6655" width="9.140625" style="76"/>
    <col min="6656" max="6656" width="33.85546875" style="76" customWidth="1"/>
    <col min="6657" max="6657" width="19.28515625" style="76" customWidth="1"/>
    <col min="6658" max="6679" width="12.85546875" style="76" customWidth="1"/>
    <col min="6680" max="6911" width="9.140625" style="76"/>
    <col min="6912" max="6912" width="33.85546875" style="76" customWidth="1"/>
    <col min="6913" max="6913" width="19.28515625" style="76" customWidth="1"/>
    <col min="6914" max="6935" width="12.85546875" style="76" customWidth="1"/>
    <col min="6936" max="7167" width="9.140625" style="76"/>
    <col min="7168" max="7168" width="33.85546875" style="76" customWidth="1"/>
    <col min="7169" max="7169" width="19.28515625" style="76" customWidth="1"/>
    <col min="7170" max="7191" width="12.85546875" style="76" customWidth="1"/>
    <col min="7192" max="7423" width="9.140625" style="76"/>
    <col min="7424" max="7424" width="33.85546875" style="76" customWidth="1"/>
    <col min="7425" max="7425" width="19.28515625" style="76" customWidth="1"/>
    <col min="7426" max="7447" width="12.85546875" style="76" customWidth="1"/>
    <col min="7448" max="7679" width="9.140625" style="76"/>
    <col min="7680" max="7680" width="33.85546875" style="76" customWidth="1"/>
    <col min="7681" max="7681" width="19.28515625" style="76" customWidth="1"/>
    <col min="7682" max="7703" width="12.85546875" style="76" customWidth="1"/>
    <col min="7704" max="7935" width="9.140625" style="76"/>
    <col min="7936" max="7936" width="33.85546875" style="76" customWidth="1"/>
    <col min="7937" max="7937" width="19.28515625" style="76" customWidth="1"/>
    <col min="7938" max="7959" width="12.85546875" style="76" customWidth="1"/>
    <col min="7960" max="8191" width="9.140625" style="76"/>
    <col min="8192" max="8192" width="33.85546875" style="76" customWidth="1"/>
    <col min="8193" max="8193" width="19.28515625" style="76" customWidth="1"/>
    <col min="8194" max="8215" width="12.85546875" style="76" customWidth="1"/>
    <col min="8216" max="8447" width="9.140625" style="76"/>
    <col min="8448" max="8448" width="33.85546875" style="76" customWidth="1"/>
    <col min="8449" max="8449" width="19.28515625" style="76" customWidth="1"/>
    <col min="8450" max="8471" width="12.85546875" style="76" customWidth="1"/>
    <col min="8472" max="8703" width="9.140625" style="76"/>
    <col min="8704" max="8704" width="33.85546875" style="76" customWidth="1"/>
    <col min="8705" max="8705" width="19.28515625" style="76" customWidth="1"/>
    <col min="8706" max="8727" width="12.85546875" style="76" customWidth="1"/>
    <col min="8728" max="8959" width="9.140625" style="76"/>
    <col min="8960" max="8960" width="33.85546875" style="76" customWidth="1"/>
    <col min="8961" max="8961" width="19.28515625" style="76" customWidth="1"/>
    <col min="8962" max="8983" width="12.85546875" style="76" customWidth="1"/>
    <col min="8984" max="9215" width="9.140625" style="76"/>
    <col min="9216" max="9216" width="33.85546875" style="76" customWidth="1"/>
    <col min="9217" max="9217" width="19.28515625" style="76" customWidth="1"/>
    <col min="9218" max="9239" width="12.85546875" style="76" customWidth="1"/>
    <col min="9240" max="9471" width="9.140625" style="76"/>
    <col min="9472" max="9472" width="33.85546875" style="76" customWidth="1"/>
    <col min="9473" max="9473" width="19.28515625" style="76" customWidth="1"/>
    <col min="9474" max="9495" width="12.85546875" style="76" customWidth="1"/>
    <col min="9496" max="9727" width="9.140625" style="76"/>
    <col min="9728" max="9728" width="33.85546875" style="76" customWidth="1"/>
    <col min="9729" max="9729" width="19.28515625" style="76" customWidth="1"/>
    <col min="9730" max="9751" width="12.85546875" style="76" customWidth="1"/>
    <col min="9752" max="9983" width="9.140625" style="76"/>
    <col min="9984" max="9984" width="33.85546875" style="76" customWidth="1"/>
    <col min="9985" max="9985" width="19.28515625" style="76" customWidth="1"/>
    <col min="9986" max="10007" width="12.85546875" style="76" customWidth="1"/>
    <col min="10008" max="10239" width="9.140625" style="76"/>
    <col min="10240" max="10240" width="33.85546875" style="76" customWidth="1"/>
    <col min="10241" max="10241" width="19.28515625" style="76" customWidth="1"/>
    <col min="10242" max="10263" width="12.85546875" style="76" customWidth="1"/>
    <col min="10264" max="10495" width="9.140625" style="76"/>
    <col min="10496" max="10496" width="33.85546875" style="76" customWidth="1"/>
    <col min="10497" max="10497" width="19.28515625" style="76" customWidth="1"/>
    <col min="10498" max="10519" width="12.85546875" style="76" customWidth="1"/>
    <col min="10520" max="10751" width="9.140625" style="76"/>
    <col min="10752" max="10752" width="33.85546875" style="76" customWidth="1"/>
    <col min="10753" max="10753" width="19.28515625" style="76" customWidth="1"/>
    <col min="10754" max="10775" width="12.85546875" style="76" customWidth="1"/>
    <col min="10776" max="11007" width="9.140625" style="76"/>
    <col min="11008" max="11008" width="33.85546875" style="76" customWidth="1"/>
    <col min="11009" max="11009" width="19.28515625" style="76" customWidth="1"/>
    <col min="11010" max="11031" width="12.85546875" style="76" customWidth="1"/>
    <col min="11032" max="11263" width="9.140625" style="76"/>
    <col min="11264" max="11264" width="33.85546875" style="76" customWidth="1"/>
    <col min="11265" max="11265" width="19.28515625" style="76" customWidth="1"/>
    <col min="11266" max="11287" width="12.85546875" style="76" customWidth="1"/>
    <col min="11288" max="11519" width="9.140625" style="76"/>
    <col min="11520" max="11520" width="33.85546875" style="76" customWidth="1"/>
    <col min="11521" max="11521" width="19.28515625" style="76" customWidth="1"/>
    <col min="11522" max="11543" width="12.85546875" style="76" customWidth="1"/>
    <col min="11544" max="11775" width="9.140625" style="76"/>
    <col min="11776" max="11776" width="33.85546875" style="76" customWidth="1"/>
    <col min="11777" max="11777" width="19.28515625" style="76" customWidth="1"/>
    <col min="11778" max="11799" width="12.85546875" style="76" customWidth="1"/>
    <col min="11800" max="12031" width="9.140625" style="76"/>
    <col min="12032" max="12032" width="33.85546875" style="76" customWidth="1"/>
    <col min="12033" max="12033" width="19.28515625" style="76" customWidth="1"/>
    <col min="12034" max="12055" width="12.85546875" style="76" customWidth="1"/>
    <col min="12056" max="12287" width="9.140625" style="76"/>
    <col min="12288" max="12288" width="33.85546875" style="76" customWidth="1"/>
    <col min="12289" max="12289" width="19.28515625" style="76" customWidth="1"/>
    <col min="12290" max="12311" width="12.85546875" style="76" customWidth="1"/>
    <col min="12312" max="12543" width="9.140625" style="76"/>
    <col min="12544" max="12544" width="33.85546875" style="76" customWidth="1"/>
    <col min="12545" max="12545" width="19.28515625" style="76" customWidth="1"/>
    <col min="12546" max="12567" width="12.85546875" style="76" customWidth="1"/>
    <col min="12568" max="12799" width="9.140625" style="76"/>
    <col min="12800" max="12800" width="33.85546875" style="76" customWidth="1"/>
    <col min="12801" max="12801" width="19.28515625" style="76" customWidth="1"/>
    <col min="12802" max="12823" width="12.85546875" style="76" customWidth="1"/>
    <col min="12824" max="13055" width="9.140625" style="76"/>
    <col min="13056" max="13056" width="33.85546875" style="76" customWidth="1"/>
    <col min="13057" max="13057" width="19.28515625" style="76" customWidth="1"/>
    <col min="13058" max="13079" width="12.85546875" style="76" customWidth="1"/>
    <col min="13080" max="13311" width="9.140625" style="76"/>
    <col min="13312" max="13312" width="33.85546875" style="76" customWidth="1"/>
    <col min="13313" max="13313" width="19.28515625" style="76" customWidth="1"/>
    <col min="13314" max="13335" width="12.85546875" style="76" customWidth="1"/>
    <col min="13336" max="13567" width="9.140625" style="76"/>
    <col min="13568" max="13568" width="33.85546875" style="76" customWidth="1"/>
    <col min="13569" max="13569" width="19.28515625" style="76" customWidth="1"/>
    <col min="13570" max="13591" width="12.85546875" style="76" customWidth="1"/>
    <col min="13592" max="13823" width="9.140625" style="76"/>
    <col min="13824" max="13824" width="33.85546875" style="76" customWidth="1"/>
    <col min="13825" max="13825" width="19.28515625" style="76" customWidth="1"/>
    <col min="13826" max="13847" width="12.85546875" style="76" customWidth="1"/>
    <col min="13848" max="14079" width="9.140625" style="76"/>
    <col min="14080" max="14080" width="33.85546875" style="76" customWidth="1"/>
    <col min="14081" max="14081" width="19.28515625" style="76" customWidth="1"/>
    <col min="14082" max="14103" width="12.85546875" style="76" customWidth="1"/>
    <col min="14104" max="14335" width="9.140625" style="76"/>
    <col min="14336" max="14336" width="33.85546875" style="76" customWidth="1"/>
    <col min="14337" max="14337" width="19.28515625" style="76" customWidth="1"/>
    <col min="14338" max="14359" width="12.85546875" style="76" customWidth="1"/>
    <col min="14360" max="14591" width="9.140625" style="76"/>
    <col min="14592" max="14592" width="33.85546875" style="76" customWidth="1"/>
    <col min="14593" max="14593" width="19.28515625" style="76" customWidth="1"/>
    <col min="14594" max="14615" width="12.85546875" style="76" customWidth="1"/>
    <col min="14616" max="14847" width="9.140625" style="76"/>
    <col min="14848" max="14848" width="33.85546875" style="76" customWidth="1"/>
    <col min="14849" max="14849" width="19.28515625" style="76" customWidth="1"/>
    <col min="14850" max="14871" width="12.85546875" style="76" customWidth="1"/>
    <col min="14872" max="15103" width="9.140625" style="76"/>
    <col min="15104" max="15104" width="33.85546875" style="76" customWidth="1"/>
    <col min="15105" max="15105" width="19.28515625" style="76" customWidth="1"/>
    <col min="15106" max="15127" width="12.85546875" style="76" customWidth="1"/>
    <col min="15128" max="15359" width="9.140625" style="76"/>
    <col min="15360" max="15360" width="33.85546875" style="76" customWidth="1"/>
    <col min="15361" max="15361" width="19.28515625" style="76" customWidth="1"/>
    <col min="15362" max="15383" width="12.85546875" style="76" customWidth="1"/>
    <col min="15384" max="15615" width="9.140625" style="76"/>
    <col min="15616" max="15616" width="33.85546875" style="76" customWidth="1"/>
    <col min="15617" max="15617" width="19.28515625" style="76" customWidth="1"/>
    <col min="15618" max="15639" width="12.85546875" style="76" customWidth="1"/>
    <col min="15640" max="15871" width="9.140625" style="76"/>
    <col min="15872" max="15872" width="33.85546875" style="76" customWidth="1"/>
    <col min="15873" max="15873" width="19.28515625" style="76" customWidth="1"/>
    <col min="15874" max="15895" width="12.85546875" style="76" customWidth="1"/>
    <col min="15896" max="16127" width="9.140625" style="76"/>
    <col min="16128" max="16128" width="33.85546875" style="76" customWidth="1"/>
    <col min="16129" max="16129" width="19.28515625" style="76" customWidth="1"/>
    <col min="16130" max="16151" width="12.85546875" style="76" customWidth="1"/>
    <col min="16152" max="16384" width="9.140625" style="76"/>
  </cols>
  <sheetData>
    <row r="1" spans="1:23" ht="16.5" thickBot="1">
      <c r="A1" s="464" t="s">
        <v>349</v>
      </c>
      <c r="B1" s="465"/>
      <c r="C1" s="465"/>
      <c r="D1" s="465"/>
      <c r="E1" s="465"/>
      <c r="F1" s="465"/>
      <c r="G1" s="465"/>
      <c r="H1" s="465"/>
      <c r="I1" s="465"/>
      <c r="J1" s="465"/>
      <c r="K1" s="465"/>
      <c r="L1" s="465"/>
      <c r="M1" s="465"/>
      <c r="N1" s="465"/>
      <c r="O1" s="465"/>
      <c r="P1" s="465"/>
      <c r="Q1" s="465"/>
      <c r="R1" s="465"/>
      <c r="S1" s="465"/>
      <c r="T1" s="465"/>
      <c r="U1" s="465"/>
      <c r="V1" s="465"/>
      <c r="W1" s="466"/>
    </row>
    <row r="2" spans="1:23" ht="16.5" thickBot="1">
      <c r="A2" s="178" t="s">
        <v>235</v>
      </c>
      <c r="B2" s="179"/>
      <c r="C2" s="179"/>
      <c r="D2" s="179"/>
      <c r="E2" s="179"/>
      <c r="F2" s="179"/>
      <c r="G2" s="179"/>
      <c r="H2" s="179"/>
      <c r="I2" s="179"/>
      <c r="J2" s="179"/>
      <c r="K2" s="179"/>
      <c r="L2" s="179"/>
      <c r="M2" s="180"/>
      <c r="N2" s="180"/>
      <c r="O2" s="180"/>
      <c r="P2" s="180"/>
      <c r="Q2" s="180"/>
      <c r="R2" s="180"/>
      <c r="S2" s="180"/>
      <c r="T2" s="180"/>
      <c r="U2" s="180"/>
      <c r="V2" s="180"/>
      <c r="W2" s="181"/>
    </row>
    <row r="3" spans="1:23" ht="15.75">
      <c r="A3" s="151" t="s">
        <v>233</v>
      </c>
      <c r="B3" s="152"/>
      <c r="C3" s="152"/>
      <c r="D3" s="153"/>
      <c r="E3" s="153"/>
      <c r="F3" s="153"/>
      <c r="G3" s="153"/>
      <c r="H3" s="153"/>
      <c r="I3" s="153"/>
      <c r="J3" s="153"/>
      <c r="K3" s="153"/>
      <c r="L3" s="153"/>
      <c r="M3" s="154"/>
      <c r="N3" s="154"/>
      <c r="O3" s="154"/>
      <c r="P3" s="154"/>
      <c r="Q3" s="154"/>
      <c r="R3" s="154"/>
      <c r="S3" s="154"/>
      <c r="T3" s="154"/>
      <c r="U3" s="154"/>
      <c r="V3" s="154"/>
      <c r="W3" s="155"/>
    </row>
    <row r="4" spans="1:23">
      <c r="A4" s="156"/>
      <c r="B4" s="157"/>
      <c r="C4" s="467" t="s">
        <v>230</v>
      </c>
      <c r="D4" s="467"/>
      <c r="E4" s="467"/>
      <c r="F4" s="467"/>
      <c r="G4" s="467"/>
      <c r="H4" s="467"/>
      <c r="I4" s="467"/>
      <c r="J4" s="467"/>
      <c r="K4" s="467"/>
      <c r="L4" s="467"/>
      <c r="M4" s="467"/>
      <c r="N4" s="467"/>
      <c r="O4" s="467"/>
      <c r="P4" s="467"/>
      <c r="Q4" s="467"/>
      <c r="R4" s="467"/>
      <c r="S4" s="467"/>
      <c r="T4" s="467"/>
      <c r="U4" s="467"/>
      <c r="V4" s="467"/>
      <c r="W4" s="468"/>
    </row>
    <row r="5" spans="1:23">
      <c r="A5" s="156"/>
      <c r="B5" s="158" t="s">
        <v>1</v>
      </c>
      <c r="C5" s="159">
        <v>2016</v>
      </c>
      <c r="D5" s="159">
        <v>2017</v>
      </c>
      <c r="E5" s="159">
        <v>2018</v>
      </c>
      <c r="F5" s="159">
        <v>2019</v>
      </c>
      <c r="G5" s="159">
        <v>2020</v>
      </c>
      <c r="H5" s="159">
        <v>2021</v>
      </c>
      <c r="I5" s="159">
        <v>2022</v>
      </c>
      <c r="J5" s="159">
        <v>2023</v>
      </c>
      <c r="K5" s="159">
        <v>2024</v>
      </c>
      <c r="L5" s="159">
        <v>2025</v>
      </c>
      <c r="M5" s="159">
        <v>2026</v>
      </c>
      <c r="N5" s="159">
        <v>2027</v>
      </c>
      <c r="O5" s="159">
        <v>2028</v>
      </c>
      <c r="P5" s="159">
        <v>2029</v>
      </c>
      <c r="Q5" s="159">
        <v>2030</v>
      </c>
      <c r="R5" s="159">
        <v>2031</v>
      </c>
      <c r="S5" s="159">
        <v>2032</v>
      </c>
      <c r="T5" s="159">
        <v>2033</v>
      </c>
      <c r="U5" s="159">
        <v>2034</v>
      </c>
      <c r="V5" s="160">
        <v>2035</v>
      </c>
      <c r="W5" s="160"/>
    </row>
    <row r="6" spans="1:23" s="98" customFormat="1" ht="13.5" thickBot="1">
      <c r="A6" s="156"/>
      <c r="B6" s="158" t="s">
        <v>320</v>
      </c>
      <c r="C6" s="332">
        <f>HLOOKUP('Res-Capacity-Base'!C$5,'NW Customers'!$B$2:$AO$5,4)-C7</f>
        <v>31353.145008649793</v>
      </c>
      <c r="D6" s="332">
        <f>HLOOKUP('Res-Capacity-Base'!D$5,'NW Customers'!$B$2:$AO$5,4)-D7</f>
        <v>31729.715003368419</v>
      </c>
      <c r="E6" s="332">
        <f>HLOOKUP('Res-Capacity-Base'!E$5,'NW Customers'!$B$2:$AO$5,4)-E7</f>
        <v>32151.285295967089</v>
      </c>
      <c r="F6" s="332">
        <f>HLOOKUP('Res-Capacity-Base'!F$5,'NW Customers'!$B$2:$AO$5,4)-F7</f>
        <v>32568.907563842458</v>
      </c>
      <c r="G6" s="332">
        <f>HLOOKUP('Res-Capacity-Base'!G$5,'NW Customers'!$B$2:$AO$5,4)-G7</f>
        <v>33007.376988986252</v>
      </c>
      <c r="H6" s="332">
        <f>HLOOKUP('Res-Capacity-Base'!H$5,'NW Customers'!$B$2:$AO$5,4)-H7</f>
        <v>33428.672654676862</v>
      </c>
      <c r="I6" s="332">
        <f>HLOOKUP('Res-Capacity-Base'!I$5,'NW Customers'!$B$2:$AO$5,4)-I7</f>
        <v>33842.64121789857</v>
      </c>
      <c r="J6" s="332">
        <f>HLOOKUP('Res-Capacity-Base'!J$5,'NW Customers'!$B$2:$AO$5,4)-J7</f>
        <v>34251.07892881913</v>
      </c>
      <c r="K6" s="332">
        <f>HLOOKUP('Res-Capacity-Base'!K$5,'NW Customers'!$B$2:$AO$5,4)-K7</f>
        <v>34658.106663052095</v>
      </c>
      <c r="L6" s="332">
        <f>HLOOKUP('Res-Capacity-Base'!L$5,'NW Customers'!$B$2:$AO$5,4)-L7</f>
        <v>35062.805810918224</v>
      </c>
      <c r="M6" s="332">
        <f>HLOOKUP('Res-Capacity-Base'!M$5,'NW Customers'!$B$2:$AO$5,4)-M7</f>
        <v>35450.331451865175</v>
      </c>
      <c r="N6" s="332">
        <f>HLOOKUP('Res-Capacity-Base'!N$5,'NW Customers'!$B$2:$AO$5,4)-N7</f>
        <v>35851.399174095553</v>
      </c>
      <c r="O6" s="332">
        <f>HLOOKUP('Res-Capacity-Base'!O$5,'NW Customers'!$B$2:$AO$5,4)-O7</f>
        <v>36268.860132184433</v>
      </c>
      <c r="P6" s="332">
        <f>HLOOKUP('Res-Capacity-Base'!P$5,'NW Customers'!$B$2:$AO$5,4)-P7</f>
        <v>36688.723436358341</v>
      </c>
      <c r="Q6" s="332">
        <f>HLOOKUP('Res-Capacity-Base'!Q$5,'NW Customers'!$B$2:$AO$5,4)-Q7</f>
        <v>37099.077806051202</v>
      </c>
      <c r="R6" s="332">
        <f>HLOOKUP('Res-Capacity-Base'!R$5,'NW Customers'!$B$2:$AO$5,4)-R7</f>
        <v>37514.021888684547</v>
      </c>
      <c r="S6" s="332">
        <f>HLOOKUP('Res-Capacity-Base'!S$5,'NW Customers'!$B$2:$AO$5,4)-S7</f>
        <v>37933.607019071489</v>
      </c>
      <c r="T6" s="332">
        <f>HLOOKUP('Res-Capacity-Base'!T$5,'NW Customers'!$B$2:$AO$5,4)-T7</f>
        <v>38357.885106192436</v>
      </c>
      <c r="U6" s="332">
        <f>HLOOKUP('Res-Capacity-Base'!U$5,'NW Customers'!$B$2:$AO$5,4)-U7</f>
        <v>38786.908639616981</v>
      </c>
      <c r="V6" s="332">
        <f>HLOOKUP('Res-Capacity-Base'!V$5,'NW Customers'!$B$2:$AO$5,4)-V7</f>
        <v>39220.730695997692</v>
      </c>
      <c r="W6" s="243"/>
    </row>
    <row r="7" spans="1:23" ht="13.5" thickBot="1">
      <c r="A7" s="156"/>
      <c r="B7" s="242" t="s">
        <v>319</v>
      </c>
      <c r="C7" s="244">
        <f>C8*0.15</f>
        <v>5532.9079427029046</v>
      </c>
      <c r="D7" s="244">
        <f t="shared" ref="D7:V7" si="0">D8*0.15</f>
        <v>5599.3614711826622</v>
      </c>
      <c r="E7" s="244">
        <f t="shared" si="0"/>
        <v>5673.7562287000737</v>
      </c>
      <c r="F7" s="244">
        <f t="shared" si="0"/>
        <v>5747.454275972198</v>
      </c>
      <c r="G7" s="244">
        <f t="shared" si="0"/>
        <v>5824.8312333505155</v>
      </c>
      <c r="H7" s="244">
        <f t="shared" si="0"/>
        <v>5899.1775272959176</v>
      </c>
      <c r="I7" s="244">
        <f t="shared" si="0"/>
        <v>5972.2308031585708</v>
      </c>
      <c r="J7" s="244">
        <f t="shared" si="0"/>
        <v>6044.3080462621983</v>
      </c>
      <c r="K7" s="244">
        <f t="shared" si="0"/>
        <v>6116.1364699503692</v>
      </c>
      <c r="L7" s="244">
        <f t="shared" si="0"/>
        <v>6187.5539666326276</v>
      </c>
      <c r="M7" s="244">
        <f t="shared" si="0"/>
        <v>6255.9408444467945</v>
      </c>
      <c r="N7" s="244">
        <f t="shared" si="0"/>
        <v>6326.71750131098</v>
      </c>
      <c r="O7" s="244">
        <f t="shared" si="0"/>
        <v>6400.3870821501932</v>
      </c>
      <c r="P7" s="244">
        <f t="shared" si="0"/>
        <v>6474.4806064161785</v>
      </c>
      <c r="Q7" s="244">
        <f t="shared" si="0"/>
        <v>6546.8960834208001</v>
      </c>
      <c r="R7" s="244">
        <f t="shared" si="0"/>
        <v>6620.1215097678605</v>
      </c>
      <c r="S7" s="244">
        <f t="shared" si="0"/>
        <v>6694.1659445420273</v>
      </c>
      <c r="T7" s="244">
        <f t="shared" si="0"/>
        <v>6769.0385481516059</v>
      </c>
      <c r="U7" s="244">
        <f t="shared" si="0"/>
        <v>6844.7485834618201</v>
      </c>
      <c r="V7" s="244">
        <f t="shared" si="0"/>
        <v>6921.3054169407687</v>
      </c>
      <c r="W7" s="244"/>
    </row>
    <row r="8" spans="1:23" ht="13.5" thickBot="1">
      <c r="A8" s="245"/>
      <c r="B8" s="247" t="s">
        <v>318</v>
      </c>
      <c r="C8" s="332">
        <f>HLOOKUP('Res-Capacity-Base'!C$5,'NW Customers'!$B$2:$AO$5,4)</f>
        <v>36886.0529513527</v>
      </c>
      <c r="D8" s="332">
        <f>HLOOKUP('Res-Capacity-Base'!D$5,'NW Customers'!$B$2:$AO$5,4)</f>
        <v>37329.076474551082</v>
      </c>
      <c r="E8" s="332">
        <f>HLOOKUP('Res-Capacity-Base'!E$5,'NW Customers'!$B$2:$AO$5,4)</f>
        <v>37825.041524667162</v>
      </c>
      <c r="F8" s="332">
        <f>HLOOKUP('Res-Capacity-Base'!F$5,'NW Customers'!$B$2:$AO$5,4)</f>
        <v>38316.361839814657</v>
      </c>
      <c r="G8" s="332">
        <f>HLOOKUP('Res-Capacity-Base'!G$5,'NW Customers'!$B$2:$AO$5,4)</f>
        <v>38832.208222336769</v>
      </c>
      <c r="H8" s="332">
        <f>HLOOKUP('Res-Capacity-Base'!H$5,'NW Customers'!$B$2:$AO$5,4)</f>
        <v>39327.850181972783</v>
      </c>
      <c r="I8" s="332">
        <f>HLOOKUP('Res-Capacity-Base'!I$5,'NW Customers'!$B$2:$AO$5,4)</f>
        <v>39814.872021057141</v>
      </c>
      <c r="J8" s="332">
        <f>HLOOKUP('Res-Capacity-Base'!J$5,'NW Customers'!$B$2:$AO$5,4)</f>
        <v>40295.386975081325</v>
      </c>
      <c r="K8" s="332">
        <f>HLOOKUP('Res-Capacity-Base'!K$5,'NW Customers'!$B$2:$AO$5,4)</f>
        <v>40774.243133002463</v>
      </c>
      <c r="L8" s="332">
        <f>HLOOKUP('Res-Capacity-Base'!L$5,'NW Customers'!$B$2:$AO$5,4)</f>
        <v>41250.359777550853</v>
      </c>
      <c r="M8" s="332">
        <f>HLOOKUP('Res-Capacity-Base'!M$5,'NW Customers'!$B$2:$AO$5,4)</f>
        <v>41706.272296311967</v>
      </c>
      <c r="N8" s="332">
        <f>HLOOKUP('Res-Capacity-Base'!N$5,'NW Customers'!$B$2:$AO$5,4)</f>
        <v>42178.116675406534</v>
      </c>
      <c r="O8" s="332">
        <f>HLOOKUP('Res-Capacity-Base'!O$5,'NW Customers'!$B$2:$AO$5,4)</f>
        <v>42669.247214334624</v>
      </c>
      <c r="P8" s="332">
        <f>HLOOKUP('Res-Capacity-Base'!P$5,'NW Customers'!$B$2:$AO$5,4)</f>
        <v>43163.204042774523</v>
      </c>
      <c r="Q8" s="332">
        <f>HLOOKUP('Res-Capacity-Base'!Q$5,'NW Customers'!$B$2:$AO$5,4)</f>
        <v>43645.973889471999</v>
      </c>
      <c r="R8" s="332">
        <f>HLOOKUP('Res-Capacity-Base'!R$5,'NW Customers'!$B$2:$AO$5,4)</f>
        <v>44134.143398452405</v>
      </c>
      <c r="S8" s="332">
        <f>HLOOKUP('Res-Capacity-Base'!S$5,'NW Customers'!$B$2:$AO$5,4)</f>
        <v>44627.772963613519</v>
      </c>
      <c r="T8" s="332">
        <f>HLOOKUP('Res-Capacity-Base'!T$5,'NW Customers'!$B$2:$AO$5,4)</f>
        <v>45126.923654344042</v>
      </c>
      <c r="U8" s="332">
        <f>HLOOKUP('Res-Capacity-Base'!U$5,'NW Customers'!$B$2:$AO$5,4)</f>
        <v>45631.657223078801</v>
      </c>
      <c r="V8" s="332">
        <f>HLOOKUP('Res-Capacity-Base'!V$5,'NW Customers'!$B$2:$AO$5,4)</f>
        <v>46142.036112938462</v>
      </c>
      <c r="W8" s="246"/>
    </row>
    <row r="9" spans="1:23" ht="16.5" thickBot="1">
      <c r="A9" s="170"/>
      <c r="B9" s="170"/>
      <c r="C9" s="170"/>
      <c r="D9" s="171"/>
      <c r="E9" s="171"/>
      <c r="F9" s="171"/>
      <c r="G9" s="171"/>
      <c r="H9" s="171"/>
      <c r="I9" s="171"/>
      <c r="J9" s="171"/>
      <c r="K9" s="171"/>
      <c r="L9" s="171"/>
      <c r="M9" s="172"/>
      <c r="N9" s="172"/>
      <c r="O9" s="172"/>
      <c r="P9" s="172"/>
      <c r="Q9" s="172"/>
      <c r="R9" s="172"/>
      <c r="S9" s="172"/>
      <c r="T9" s="172"/>
      <c r="U9" s="172"/>
      <c r="V9" s="172"/>
      <c r="W9" s="172"/>
    </row>
    <row r="10" spans="1:23" ht="15.75">
      <c r="A10" s="151" t="s">
        <v>309</v>
      </c>
      <c r="B10" s="152"/>
      <c r="C10" s="152"/>
      <c r="D10" s="153"/>
      <c r="E10" s="153"/>
      <c r="F10" s="153"/>
      <c r="G10" s="153"/>
      <c r="H10" s="153"/>
      <c r="I10" s="153"/>
      <c r="J10" s="153"/>
      <c r="K10" s="153"/>
      <c r="L10" s="153"/>
      <c r="M10" s="154"/>
      <c r="N10" s="154"/>
      <c r="O10" s="154"/>
      <c r="P10" s="154"/>
      <c r="Q10" s="154"/>
      <c r="R10" s="154"/>
      <c r="S10" s="154"/>
      <c r="T10" s="154"/>
      <c r="U10" s="154"/>
      <c r="V10" s="154"/>
      <c r="W10" s="155"/>
    </row>
    <row r="11" spans="1:23" ht="15.75">
      <c r="A11" s="185"/>
      <c r="B11" s="158" t="s">
        <v>241</v>
      </c>
      <c r="C11" s="174">
        <f>KeyAssumptions!W11</f>
        <v>0.35</v>
      </c>
      <c r="D11" s="163"/>
      <c r="E11" s="163"/>
      <c r="F11" s="163"/>
      <c r="G11" s="163"/>
      <c r="H11" s="163"/>
      <c r="I11" s="163"/>
      <c r="J11" s="163"/>
      <c r="K11" s="163"/>
      <c r="L11" s="163"/>
      <c r="M11" s="164"/>
      <c r="N11" s="164"/>
      <c r="O11" s="164"/>
      <c r="P11" s="164"/>
      <c r="Q11" s="164"/>
      <c r="R11" s="164"/>
      <c r="S11" s="164"/>
      <c r="T11" s="164"/>
      <c r="U11" s="164"/>
      <c r="V11" s="164"/>
      <c r="W11" s="165"/>
    </row>
    <row r="12" spans="1:23" ht="15.75">
      <c r="A12" s="185"/>
      <c r="B12" s="158" t="s">
        <v>207</v>
      </c>
      <c r="C12" s="174">
        <f>KeyAssumptions!X11</f>
        <v>0.2</v>
      </c>
      <c r="D12" s="163"/>
      <c r="E12" s="163"/>
      <c r="F12" s="163"/>
      <c r="G12" s="163"/>
      <c r="H12" s="163"/>
      <c r="I12" s="163"/>
      <c r="J12" s="163"/>
      <c r="K12" s="163"/>
      <c r="L12" s="163"/>
      <c r="M12" s="164"/>
      <c r="N12" s="164"/>
      <c r="O12" s="164"/>
      <c r="P12" s="164"/>
      <c r="Q12" s="164"/>
      <c r="R12" s="164"/>
      <c r="S12" s="164"/>
      <c r="T12" s="164"/>
      <c r="U12" s="164"/>
      <c r="V12" s="164"/>
      <c r="W12" s="165"/>
    </row>
    <row r="13" spans="1:23" ht="15.75" customHeight="1">
      <c r="A13" s="185"/>
      <c r="B13" s="188" t="s">
        <v>343</v>
      </c>
      <c r="C13" s="174">
        <v>0.95</v>
      </c>
      <c r="D13" s="163"/>
      <c r="E13" s="163"/>
      <c r="F13" s="163"/>
      <c r="G13" s="163"/>
      <c r="H13" s="163"/>
      <c r="I13" s="163"/>
      <c r="J13" s="163"/>
      <c r="K13" s="163"/>
      <c r="L13" s="163"/>
      <c r="M13" s="164"/>
      <c r="N13" s="164"/>
      <c r="O13" s="164"/>
      <c r="P13" s="164"/>
      <c r="Q13" s="164"/>
      <c r="R13" s="164"/>
      <c r="S13" s="164"/>
      <c r="T13" s="164"/>
      <c r="U13" s="164"/>
      <c r="V13" s="164"/>
      <c r="W13" s="165"/>
    </row>
    <row r="14" spans="1:23" ht="15.75">
      <c r="A14" s="185"/>
      <c r="B14" s="157"/>
      <c r="C14" s="157"/>
      <c r="D14" s="163"/>
      <c r="E14" s="163"/>
      <c r="F14" s="163"/>
      <c r="G14" s="163"/>
      <c r="H14" s="163"/>
      <c r="I14" s="163"/>
      <c r="J14" s="163"/>
      <c r="K14" s="163"/>
      <c r="L14" s="163"/>
      <c r="M14" s="164"/>
      <c r="N14" s="164"/>
      <c r="O14" s="164"/>
      <c r="P14" s="164"/>
      <c r="Q14" s="164"/>
      <c r="R14" s="164"/>
      <c r="S14" s="164"/>
      <c r="T14" s="164"/>
      <c r="U14" s="164"/>
      <c r="V14" s="164"/>
      <c r="W14" s="165"/>
    </row>
    <row r="15" spans="1:23">
      <c r="A15" s="156"/>
      <c r="B15" s="158" t="s">
        <v>1</v>
      </c>
      <c r="C15" s="159">
        <f>C5</f>
        <v>2016</v>
      </c>
      <c r="D15" s="159">
        <f t="shared" ref="D15:V15" si="1">D5</f>
        <v>2017</v>
      </c>
      <c r="E15" s="159">
        <f t="shared" si="1"/>
        <v>2018</v>
      </c>
      <c r="F15" s="159">
        <f t="shared" si="1"/>
        <v>2019</v>
      </c>
      <c r="G15" s="159">
        <f t="shared" si="1"/>
        <v>2020</v>
      </c>
      <c r="H15" s="159">
        <f t="shared" si="1"/>
        <v>2021</v>
      </c>
      <c r="I15" s="159">
        <f t="shared" si="1"/>
        <v>2022</v>
      </c>
      <c r="J15" s="159">
        <f t="shared" si="1"/>
        <v>2023</v>
      </c>
      <c r="K15" s="159">
        <f t="shared" si="1"/>
        <v>2024</v>
      </c>
      <c r="L15" s="159">
        <f t="shared" si="1"/>
        <v>2025</v>
      </c>
      <c r="M15" s="159">
        <f t="shared" si="1"/>
        <v>2026</v>
      </c>
      <c r="N15" s="159">
        <f t="shared" si="1"/>
        <v>2027</v>
      </c>
      <c r="O15" s="159">
        <f t="shared" si="1"/>
        <v>2028</v>
      </c>
      <c r="P15" s="159">
        <f t="shared" si="1"/>
        <v>2029</v>
      </c>
      <c r="Q15" s="159">
        <f t="shared" si="1"/>
        <v>2030</v>
      </c>
      <c r="R15" s="159">
        <f t="shared" si="1"/>
        <v>2031</v>
      </c>
      <c r="S15" s="159">
        <f t="shared" si="1"/>
        <v>2032</v>
      </c>
      <c r="T15" s="159">
        <f t="shared" si="1"/>
        <v>2033</v>
      </c>
      <c r="U15" s="159">
        <f t="shared" si="1"/>
        <v>2034</v>
      </c>
      <c r="V15" s="159">
        <f t="shared" si="1"/>
        <v>2035</v>
      </c>
      <c r="W15" s="160"/>
    </row>
    <row r="16" spans="1:23">
      <c r="A16" s="156"/>
      <c r="B16" s="158" t="s">
        <v>231</v>
      </c>
      <c r="C16" s="174">
        <v>0.05</v>
      </c>
      <c r="D16" s="174">
        <v>0.2</v>
      </c>
      <c r="E16" s="174">
        <v>0.2</v>
      </c>
      <c r="F16" s="174">
        <v>0.2</v>
      </c>
      <c r="G16" s="174">
        <v>0.2</v>
      </c>
      <c r="H16" s="174">
        <v>0.15</v>
      </c>
      <c r="I16" s="174">
        <v>0</v>
      </c>
      <c r="J16" s="174">
        <v>0</v>
      </c>
      <c r="K16" s="174">
        <v>0</v>
      </c>
      <c r="L16" s="174">
        <v>0</v>
      </c>
      <c r="M16" s="174">
        <v>0</v>
      </c>
      <c r="N16" s="174">
        <v>0</v>
      </c>
      <c r="O16" s="174">
        <v>0</v>
      </c>
      <c r="P16" s="174">
        <v>0</v>
      </c>
      <c r="Q16" s="174">
        <v>0</v>
      </c>
      <c r="R16" s="174">
        <v>0</v>
      </c>
      <c r="S16" s="174">
        <v>0</v>
      </c>
      <c r="T16" s="174">
        <v>0</v>
      </c>
      <c r="U16" s="174">
        <v>0</v>
      </c>
      <c r="V16" s="174">
        <v>0</v>
      </c>
      <c r="W16" s="216"/>
    </row>
    <row r="17" spans="1:23">
      <c r="A17" s="156"/>
      <c r="B17" s="158" t="s">
        <v>237</v>
      </c>
      <c r="C17" s="174">
        <f>C16</f>
        <v>0.05</v>
      </c>
      <c r="D17" s="174">
        <f>C17+D16</f>
        <v>0.25</v>
      </c>
      <c r="E17" s="174">
        <f t="shared" ref="E17:V17" si="2">D17+E16</f>
        <v>0.45</v>
      </c>
      <c r="F17" s="174">
        <f t="shared" si="2"/>
        <v>0.65</v>
      </c>
      <c r="G17" s="174">
        <f t="shared" si="2"/>
        <v>0.85000000000000009</v>
      </c>
      <c r="H17" s="174">
        <f t="shared" si="2"/>
        <v>1</v>
      </c>
      <c r="I17" s="174">
        <f t="shared" si="2"/>
        <v>1</v>
      </c>
      <c r="J17" s="174">
        <f t="shared" si="2"/>
        <v>1</v>
      </c>
      <c r="K17" s="174">
        <f t="shared" si="2"/>
        <v>1</v>
      </c>
      <c r="L17" s="174">
        <f t="shared" si="2"/>
        <v>1</v>
      </c>
      <c r="M17" s="174">
        <f t="shared" si="2"/>
        <v>1</v>
      </c>
      <c r="N17" s="174">
        <f t="shared" si="2"/>
        <v>1</v>
      </c>
      <c r="O17" s="174">
        <f t="shared" si="2"/>
        <v>1</v>
      </c>
      <c r="P17" s="174">
        <f t="shared" si="2"/>
        <v>1</v>
      </c>
      <c r="Q17" s="174">
        <f t="shared" si="2"/>
        <v>1</v>
      </c>
      <c r="R17" s="174">
        <f t="shared" si="2"/>
        <v>1</v>
      </c>
      <c r="S17" s="174">
        <f t="shared" si="2"/>
        <v>1</v>
      </c>
      <c r="T17" s="174">
        <f t="shared" si="2"/>
        <v>1</v>
      </c>
      <c r="U17" s="174">
        <f t="shared" si="2"/>
        <v>1</v>
      </c>
      <c r="V17" s="174">
        <f t="shared" si="2"/>
        <v>1</v>
      </c>
      <c r="W17" s="216"/>
    </row>
    <row r="18" spans="1:23">
      <c r="A18" s="156"/>
      <c r="B18" s="158" t="s">
        <v>232</v>
      </c>
      <c r="C18" s="174">
        <v>0.01</v>
      </c>
      <c r="D18" s="174">
        <v>0.01</v>
      </c>
      <c r="E18" s="174">
        <v>0.01</v>
      </c>
      <c r="F18" s="174">
        <v>0.01</v>
      </c>
      <c r="G18" s="174">
        <v>0.01</v>
      </c>
      <c r="H18" s="174">
        <v>0.01</v>
      </c>
      <c r="I18" s="174">
        <v>0.01</v>
      </c>
      <c r="J18" s="174">
        <v>0.01</v>
      </c>
      <c r="K18" s="174">
        <v>0.01</v>
      </c>
      <c r="L18" s="174">
        <v>0.01</v>
      </c>
      <c r="M18" s="174">
        <v>0.01</v>
      </c>
      <c r="N18" s="174">
        <v>0.01</v>
      </c>
      <c r="O18" s="174">
        <v>0.01</v>
      </c>
      <c r="P18" s="174">
        <v>0.01</v>
      </c>
      <c r="Q18" s="174">
        <v>0.01</v>
      </c>
      <c r="R18" s="174">
        <v>0.01</v>
      </c>
      <c r="S18" s="174">
        <v>0.01</v>
      </c>
      <c r="T18" s="174">
        <v>0.01</v>
      </c>
      <c r="U18" s="174">
        <v>0.01</v>
      </c>
      <c r="V18" s="174">
        <v>0.01</v>
      </c>
      <c r="W18" s="216"/>
    </row>
    <row r="19" spans="1:23" ht="13.5" thickBot="1">
      <c r="A19" s="161"/>
      <c r="B19" s="162" t="s">
        <v>297</v>
      </c>
      <c r="C19" s="217">
        <f>1-'Ag-Ind-Capacity-Base'!C19</f>
        <v>0.5</v>
      </c>
      <c r="D19" s="217">
        <f>1-'Ag-Ind-Capacity-Base'!D19</f>
        <v>0.5</v>
      </c>
      <c r="E19" s="217">
        <f>1-'Ag-Ind-Capacity-Base'!E19</f>
        <v>0.5</v>
      </c>
      <c r="F19" s="217">
        <f>1-'Ag-Ind-Capacity-Base'!F19</f>
        <v>0.5</v>
      </c>
      <c r="G19" s="217">
        <f>1-'Ag-Ind-Capacity-Base'!G19</f>
        <v>0.5</v>
      </c>
      <c r="H19" s="217">
        <f>1-'Ag-Ind-Capacity-Base'!H19</f>
        <v>0.5</v>
      </c>
      <c r="I19" s="217">
        <f>1-'Ag-Ind-Capacity-Base'!I19</f>
        <v>0.5</v>
      </c>
      <c r="J19" s="217">
        <f>1-'Ag-Ind-Capacity-Base'!J19</f>
        <v>0.5</v>
      </c>
      <c r="K19" s="217">
        <f>1-'Ag-Ind-Capacity-Base'!K19</f>
        <v>0.5</v>
      </c>
      <c r="L19" s="217">
        <f>1-'Ag-Ind-Capacity-Base'!L19</f>
        <v>0.5</v>
      </c>
      <c r="M19" s="217">
        <f>1-'Ag-Ind-Capacity-Base'!M19</f>
        <v>0.5</v>
      </c>
      <c r="N19" s="217">
        <f>1-'Ag-Ind-Capacity-Base'!N19</f>
        <v>0.5</v>
      </c>
      <c r="O19" s="217">
        <f>1-'Ag-Ind-Capacity-Base'!O19</f>
        <v>0.5</v>
      </c>
      <c r="P19" s="217">
        <f>1-'Ag-Ind-Capacity-Base'!P19</f>
        <v>0.5</v>
      </c>
      <c r="Q19" s="217">
        <f>1-'Ag-Ind-Capacity-Base'!Q19</f>
        <v>0.5</v>
      </c>
      <c r="R19" s="217">
        <f>1-'Ag-Ind-Capacity-Base'!R19</f>
        <v>0.5</v>
      </c>
      <c r="S19" s="217">
        <f>1-'Ag-Ind-Capacity-Base'!S19</f>
        <v>0.5</v>
      </c>
      <c r="T19" s="217">
        <f>1-'Ag-Ind-Capacity-Base'!T19</f>
        <v>0.5</v>
      </c>
      <c r="U19" s="217">
        <f>1-'Ag-Ind-Capacity-Base'!U19</f>
        <v>0.5</v>
      </c>
      <c r="V19" s="217">
        <f>1-'Ag-Ind-Capacity-Base'!V19</f>
        <v>0.5</v>
      </c>
      <c r="W19" s="217"/>
    </row>
    <row r="20" spans="1:23" ht="16.5" thickBot="1">
      <c r="A20" s="170"/>
      <c r="B20" s="170"/>
      <c r="C20" s="170"/>
      <c r="D20" s="171"/>
      <c r="E20" s="171"/>
      <c r="F20" s="171"/>
      <c r="G20" s="171"/>
      <c r="H20" s="171"/>
      <c r="I20" s="171"/>
      <c r="J20" s="171"/>
      <c r="K20" s="171"/>
      <c r="L20" s="171"/>
      <c r="M20" s="172"/>
      <c r="N20" s="172"/>
      <c r="O20" s="172"/>
      <c r="P20" s="172"/>
      <c r="Q20" s="172"/>
      <c r="R20" s="172"/>
      <c r="S20" s="172"/>
      <c r="T20" s="172"/>
      <c r="U20" s="172"/>
      <c r="V20" s="172"/>
      <c r="W20" s="172"/>
    </row>
    <row r="21" spans="1:23" ht="15.75">
      <c r="A21" s="151" t="s">
        <v>317</v>
      </c>
      <c r="B21" s="152"/>
      <c r="C21" s="152"/>
      <c r="D21" s="153"/>
      <c r="E21" s="153"/>
      <c r="F21" s="153"/>
      <c r="G21" s="153"/>
      <c r="H21" s="153"/>
      <c r="I21" s="153"/>
      <c r="J21" s="153"/>
      <c r="K21" s="153"/>
      <c r="L21" s="153"/>
      <c r="M21" s="154"/>
      <c r="N21" s="154"/>
      <c r="O21" s="154"/>
      <c r="P21" s="154"/>
      <c r="Q21" s="154"/>
      <c r="R21" s="154"/>
      <c r="S21" s="154"/>
      <c r="T21" s="154"/>
      <c r="U21" s="154"/>
      <c r="V21" s="154"/>
      <c r="W21" s="155"/>
    </row>
    <row r="22" spans="1:23" ht="15.75">
      <c r="A22" s="185"/>
      <c r="B22" s="158" t="s">
        <v>241</v>
      </c>
      <c r="C22" s="173">
        <f>KeyAssumptions!W12</f>
        <v>0.17499999999999999</v>
      </c>
      <c r="D22" s="163"/>
      <c r="E22" s="163"/>
      <c r="F22" s="163"/>
      <c r="G22" s="163"/>
      <c r="H22" s="163"/>
      <c r="I22" s="163"/>
      <c r="J22" s="163"/>
      <c r="K22" s="163"/>
      <c r="L22" s="163"/>
      <c r="M22" s="164"/>
      <c r="N22" s="164"/>
      <c r="O22" s="164"/>
      <c r="P22" s="164"/>
      <c r="Q22" s="164"/>
      <c r="R22" s="164"/>
      <c r="S22" s="164"/>
      <c r="T22" s="164"/>
      <c r="U22" s="164"/>
      <c r="V22" s="164"/>
      <c r="W22" s="165"/>
    </row>
    <row r="23" spans="1:23" ht="15.75">
      <c r="A23" s="185"/>
      <c r="B23" s="158" t="s">
        <v>207</v>
      </c>
      <c r="C23" s="174">
        <f>KeyAssumptions!X12</f>
        <v>0.25</v>
      </c>
      <c r="D23" s="163"/>
      <c r="E23" s="163"/>
      <c r="F23" s="163"/>
      <c r="G23" s="163"/>
      <c r="H23" s="163"/>
      <c r="I23" s="163"/>
      <c r="J23" s="163"/>
      <c r="K23" s="163"/>
      <c r="L23" s="163"/>
      <c r="M23" s="164"/>
      <c r="N23" s="164"/>
      <c r="O23" s="164"/>
      <c r="P23" s="164"/>
      <c r="Q23" s="164"/>
      <c r="R23" s="164"/>
      <c r="S23" s="164"/>
      <c r="T23" s="164"/>
      <c r="U23" s="164"/>
      <c r="V23" s="164"/>
      <c r="W23" s="165"/>
    </row>
    <row r="24" spans="1:23" ht="15.75" customHeight="1">
      <c r="A24" s="185"/>
      <c r="B24" s="188" t="s">
        <v>343</v>
      </c>
      <c r="C24" s="174">
        <v>0.95</v>
      </c>
      <c r="D24" s="163"/>
      <c r="E24" s="163"/>
      <c r="F24" s="163"/>
      <c r="G24" s="163"/>
      <c r="H24" s="163"/>
      <c r="I24" s="163"/>
      <c r="J24" s="163"/>
      <c r="K24" s="163"/>
      <c r="L24" s="163"/>
      <c r="M24" s="164"/>
      <c r="N24" s="164"/>
      <c r="O24" s="164"/>
      <c r="P24" s="164"/>
      <c r="Q24" s="164"/>
      <c r="R24" s="164"/>
      <c r="S24" s="164"/>
      <c r="T24" s="164"/>
      <c r="U24" s="164"/>
      <c r="V24" s="164"/>
      <c r="W24" s="165"/>
    </row>
    <row r="25" spans="1:23" ht="15.75">
      <c r="A25" s="185"/>
      <c r="B25" s="157"/>
      <c r="C25" s="157"/>
      <c r="D25" s="163"/>
      <c r="E25" s="163"/>
      <c r="F25" s="163"/>
      <c r="G25" s="163"/>
      <c r="H25" s="163"/>
      <c r="I25" s="163"/>
      <c r="J25" s="163"/>
      <c r="K25" s="163"/>
      <c r="L25" s="163"/>
      <c r="M25" s="164"/>
      <c r="N25" s="164"/>
      <c r="O25" s="164"/>
      <c r="P25" s="164"/>
      <c r="Q25" s="164"/>
      <c r="R25" s="164"/>
      <c r="S25" s="164"/>
      <c r="T25" s="164"/>
      <c r="U25" s="164"/>
      <c r="V25" s="164"/>
      <c r="W25" s="165"/>
    </row>
    <row r="26" spans="1:23">
      <c r="A26" s="156"/>
      <c r="B26" s="158" t="s">
        <v>1</v>
      </c>
      <c r="C26" s="159">
        <f>C15</f>
        <v>2016</v>
      </c>
      <c r="D26" s="159">
        <f t="shared" ref="D26:V26" si="3">D15</f>
        <v>2017</v>
      </c>
      <c r="E26" s="159">
        <f t="shared" si="3"/>
        <v>2018</v>
      </c>
      <c r="F26" s="159">
        <f t="shared" si="3"/>
        <v>2019</v>
      </c>
      <c r="G26" s="159">
        <f t="shared" si="3"/>
        <v>2020</v>
      </c>
      <c r="H26" s="159">
        <f t="shared" si="3"/>
        <v>2021</v>
      </c>
      <c r="I26" s="159">
        <f t="shared" si="3"/>
        <v>2022</v>
      </c>
      <c r="J26" s="159">
        <f t="shared" si="3"/>
        <v>2023</v>
      </c>
      <c r="K26" s="159">
        <f t="shared" si="3"/>
        <v>2024</v>
      </c>
      <c r="L26" s="159">
        <f t="shared" si="3"/>
        <v>2025</v>
      </c>
      <c r="M26" s="159">
        <f t="shared" si="3"/>
        <v>2026</v>
      </c>
      <c r="N26" s="159">
        <f t="shared" si="3"/>
        <v>2027</v>
      </c>
      <c r="O26" s="159">
        <f t="shared" si="3"/>
        <v>2028</v>
      </c>
      <c r="P26" s="159">
        <f t="shared" si="3"/>
        <v>2029</v>
      </c>
      <c r="Q26" s="159">
        <f t="shared" si="3"/>
        <v>2030</v>
      </c>
      <c r="R26" s="159">
        <f t="shared" si="3"/>
        <v>2031</v>
      </c>
      <c r="S26" s="159">
        <f t="shared" si="3"/>
        <v>2032</v>
      </c>
      <c r="T26" s="159">
        <f t="shared" si="3"/>
        <v>2033</v>
      </c>
      <c r="U26" s="159">
        <f t="shared" si="3"/>
        <v>2034</v>
      </c>
      <c r="V26" s="159">
        <f t="shared" si="3"/>
        <v>2035</v>
      </c>
      <c r="W26" s="160"/>
    </row>
    <row r="27" spans="1:23">
      <c r="A27" s="156"/>
      <c r="B27" s="158" t="s">
        <v>231</v>
      </c>
      <c r="C27" s="174">
        <v>0.05</v>
      </c>
      <c r="D27" s="174">
        <v>0.2</v>
      </c>
      <c r="E27" s="174">
        <v>0.2</v>
      </c>
      <c r="F27" s="174">
        <v>0.2</v>
      </c>
      <c r="G27" s="174">
        <v>0.2</v>
      </c>
      <c r="H27" s="174">
        <v>0.15</v>
      </c>
      <c r="I27" s="174">
        <v>0</v>
      </c>
      <c r="J27" s="174">
        <v>0</v>
      </c>
      <c r="K27" s="174">
        <v>0</v>
      </c>
      <c r="L27" s="174">
        <v>0</v>
      </c>
      <c r="M27" s="174">
        <v>0</v>
      </c>
      <c r="N27" s="174">
        <v>0</v>
      </c>
      <c r="O27" s="174">
        <v>0</v>
      </c>
      <c r="P27" s="174">
        <v>0</v>
      </c>
      <c r="Q27" s="174">
        <v>0</v>
      </c>
      <c r="R27" s="174">
        <v>0</v>
      </c>
      <c r="S27" s="174">
        <v>0</v>
      </c>
      <c r="T27" s="174">
        <v>0</v>
      </c>
      <c r="U27" s="174">
        <v>0</v>
      </c>
      <c r="V27" s="174">
        <v>0</v>
      </c>
      <c r="W27" s="216"/>
    </row>
    <row r="28" spans="1:23">
      <c r="A28" s="156"/>
      <c r="B28" s="158" t="s">
        <v>237</v>
      </c>
      <c r="C28" s="174">
        <f>C27</f>
        <v>0.05</v>
      </c>
      <c r="D28" s="174">
        <f>C28+D27</f>
        <v>0.25</v>
      </c>
      <c r="E28" s="174">
        <f t="shared" ref="E28:V28" si="4">D28+E27</f>
        <v>0.45</v>
      </c>
      <c r="F28" s="174">
        <f t="shared" si="4"/>
        <v>0.65</v>
      </c>
      <c r="G28" s="174">
        <f t="shared" si="4"/>
        <v>0.85000000000000009</v>
      </c>
      <c r="H28" s="174">
        <f t="shared" si="4"/>
        <v>1</v>
      </c>
      <c r="I28" s="174">
        <f t="shared" si="4"/>
        <v>1</v>
      </c>
      <c r="J28" s="174">
        <f t="shared" si="4"/>
        <v>1</v>
      </c>
      <c r="K28" s="174">
        <f t="shared" si="4"/>
        <v>1</v>
      </c>
      <c r="L28" s="174">
        <f t="shared" si="4"/>
        <v>1</v>
      </c>
      <c r="M28" s="174">
        <f t="shared" si="4"/>
        <v>1</v>
      </c>
      <c r="N28" s="174">
        <f t="shared" si="4"/>
        <v>1</v>
      </c>
      <c r="O28" s="174">
        <f t="shared" si="4"/>
        <v>1</v>
      </c>
      <c r="P28" s="174">
        <f t="shared" si="4"/>
        <v>1</v>
      </c>
      <c r="Q28" s="174">
        <f t="shared" si="4"/>
        <v>1</v>
      </c>
      <c r="R28" s="174">
        <f t="shared" si="4"/>
        <v>1</v>
      </c>
      <c r="S28" s="174">
        <f t="shared" si="4"/>
        <v>1</v>
      </c>
      <c r="T28" s="174">
        <f t="shared" si="4"/>
        <v>1</v>
      </c>
      <c r="U28" s="174">
        <f t="shared" si="4"/>
        <v>1</v>
      </c>
      <c r="V28" s="174">
        <f t="shared" si="4"/>
        <v>1</v>
      </c>
      <c r="W28" s="216"/>
    </row>
    <row r="29" spans="1:23">
      <c r="A29" s="156"/>
      <c r="B29" s="158" t="s">
        <v>232</v>
      </c>
      <c r="C29" s="174">
        <v>0.01</v>
      </c>
      <c r="D29" s="174">
        <v>0.01</v>
      </c>
      <c r="E29" s="174">
        <v>0.01</v>
      </c>
      <c r="F29" s="174">
        <v>0.01</v>
      </c>
      <c r="G29" s="174">
        <v>0.01</v>
      </c>
      <c r="H29" s="174">
        <v>0.01</v>
      </c>
      <c r="I29" s="174">
        <v>0.01</v>
      </c>
      <c r="J29" s="174">
        <v>0.01</v>
      </c>
      <c r="K29" s="174">
        <v>0.01</v>
      </c>
      <c r="L29" s="174">
        <v>0.01</v>
      </c>
      <c r="M29" s="174">
        <v>0.01</v>
      </c>
      <c r="N29" s="174">
        <v>0.01</v>
      </c>
      <c r="O29" s="174">
        <v>0.01</v>
      </c>
      <c r="P29" s="174">
        <v>0.01</v>
      </c>
      <c r="Q29" s="174">
        <v>0.01</v>
      </c>
      <c r="R29" s="174">
        <v>0.01</v>
      </c>
      <c r="S29" s="174">
        <v>0.01</v>
      </c>
      <c r="T29" s="174">
        <v>0.01</v>
      </c>
      <c r="U29" s="174">
        <v>0.01</v>
      </c>
      <c r="V29" s="174">
        <v>0.01</v>
      </c>
      <c r="W29" s="216"/>
    </row>
    <row r="30" spans="1:23" ht="13.5" thickBot="1">
      <c r="A30" s="161"/>
      <c r="B30" s="162" t="s">
        <v>297</v>
      </c>
      <c r="C30" s="217">
        <f>1-'Ag-Ind-Capacity-Base'!C30</f>
        <v>0.8</v>
      </c>
      <c r="D30" s="217">
        <f>1-'Ag-Ind-Capacity-Base'!D30</f>
        <v>0.8</v>
      </c>
      <c r="E30" s="217">
        <f>1-'Ag-Ind-Capacity-Base'!E30</f>
        <v>0.8</v>
      </c>
      <c r="F30" s="217">
        <f>1-'Ag-Ind-Capacity-Base'!F30</f>
        <v>0.8</v>
      </c>
      <c r="G30" s="217">
        <f>1-'Ag-Ind-Capacity-Base'!G30</f>
        <v>0.8</v>
      </c>
      <c r="H30" s="217">
        <f>1-'Ag-Ind-Capacity-Base'!H30</f>
        <v>0.8</v>
      </c>
      <c r="I30" s="217">
        <f>1-'Ag-Ind-Capacity-Base'!I30</f>
        <v>0.8</v>
      </c>
      <c r="J30" s="217">
        <f>1-'Ag-Ind-Capacity-Base'!J30</f>
        <v>0.8</v>
      </c>
      <c r="K30" s="217">
        <f>1-'Ag-Ind-Capacity-Base'!K30</f>
        <v>0.8</v>
      </c>
      <c r="L30" s="217">
        <f>1-'Ag-Ind-Capacity-Base'!L30</f>
        <v>0.8</v>
      </c>
      <c r="M30" s="217">
        <f>1-'Ag-Ind-Capacity-Base'!M30</f>
        <v>0.8</v>
      </c>
      <c r="N30" s="217">
        <f>1-'Ag-Ind-Capacity-Base'!N30</f>
        <v>0.8</v>
      </c>
      <c r="O30" s="217">
        <f>1-'Ag-Ind-Capacity-Base'!O30</f>
        <v>0.8</v>
      </c>
      <c r="P30" s="217">
        <f>1-'Ag-Ind-Capacity-Base'!P30</f>
        <v>0.8</v>
      </c>
      <c r="Q30" s="217">
        <f>1-'Ag-Ind-Capacity-Base'!Q30</f>
        <v>0.8</v>
      </c>
      <c r="R30" s="217">
        <f>1-'Ag-Ind-Capacity-Base'!R30</f>
        <v>0.8</v>
      </c>
      <c r="S30" s="217">
        <f>1-'Ag-Ind-Capacity-Base'!S30</f>
        <v>0.8</v>
      </c>
      <c r="T30" s="217">
        <f>1-'Ag-Ind-Capacity-Base'!T30</f>
        <v>0.8</v>
      </c>
      <c r="U30" s="217">
        <f>1-'Ag-Ind-Capacity-Base'!U30</f>
        <v>0.8</v>
      </c>
      <c r="V30" s="217">
        <f>1-'Ag-Ind-Capacity-Base'!V30</f>
        <v>0.8</v>
      </c>
      <c r="W30" s="217"/>
    </row>
    <row r="31" spans="1:23" ht="13.5" thickBot="1">
      <c r="A31" s="177"/>
      <c r="B31" s="177"/>
      <c r="C31" s="172"/>
      <c r="D31" s="172"/>
      <c r="E31" s="172"/>
      <c r="F31" s="172"/>
      <c r="G31" s="172"/>
      <c r="H31" s="172"/>
      <c r="I31" s="172"/>
      <c r="J31" s="172"/>
      <c r="K31" s="172"/>
      <c r="L31" s="172"/>
      <c r="M31" s="172"/>
      <c r="N31" s="172"/>
      <c r="O31" s="172"/>
      <c r="P31" s="172"/>
      <c r="Q31" s="172"/>
      <c r="R31" s="172"/>
      <c r="S31" s="172"/>
      <c r="T31" s="172"/>
      <c r="U31" s="172"/>
      <c r="V31" s="172"/>
      <c r="W31" s="172"/>
    </row>
    <row r="32" spans="1:23" ht="15.75">
      <c r="A32" s="151" t="s">
        <v>321</v>
      </c>
      <c r="B32" s="152"/>
      <c r="C32" s="152"/>
      <c r="D32" s="153"/>
      <c r="E32" s="153"/>
      <c r="F32" s="153"/>
      <c r="G32" s="153"/>
      <c r="H32" s="153"/>
      <c r="I32" s="153"/>
      <c r="J32" s="153"/>
      <c r="K32" s="153"/>
      <c r="L32" s="153"/>
      <c r="M32" s="154"/>
      <c r="N32" s="154"/>
      <c r="O32" s="154"/>
      <c r="P32" s="154"/>
      <c r="Q32" s="154"/>
      <c r="R32" s="154"/>
      <c r="S32" s="154"/>
      <c r="T32" s="154"/>
      <c r="U32" s="154"/>
      <c r="V32" s="154"/>
      <c r="W32" s="155"/>
    </row>
    <row r="33" spans="1:23" ht="15.75">
      <c r="A33" s="185"/>
      <c r="B33" s="158" t="s">
        <v>241</v>
      </c>
      <c r="C33" s="173">
        <f>KeyAssumptions!W13</f>
        <v>0.17499999999999999</v>
      </c>
      <c r="D33" s="163"/>
      <c r="E33" s="163"/>
      <c r="F33" s="163"/>
      <c r="G33" s="163"/>
      <c r="H33" s="163"/>
      <c r="I33" s="163"/>
      <c r="J33" s="163"/>
      <c r="K33" s="163"/>
      <c r="L33" s="163"/>
      <c r="M33" s="164"/>
      <c r="N33" s="164"/>
      <c r="O33" s="164"/>
      <c r="P33" s="164"/>
      <c r="Q33" s="164"/>
      <c r="R33" s="164"/>
      <c r="S33" s="164"/>
      <c r="T33" s="164"/>
      <c r="U33" s="164"/>
      <c r="V33" s="164"/>
      <c r="W33" s="165"/>
    </row>
    <row r="34" spans="1:23" ht="15.75">
      <c r="A34" s="185"/>
      <c r="B34" s="158" t="s">
        <v>207</v>
      </c>
      <c r="C34" s="174">
        <f>KeyAssumptions!X13</f>
        <v>0.25</v>
      </c>
      <c r="D34" s="163"/>
      <c r="E34" s="163"/>
      <c r="F34" s="163"/>
      <c r="G34" s="163"/>
      <c r="H34" s="163"/>
      <c r="I34" s="163"/>
      <c r="J34" s="163"/>
      <c r="K34" s="163"/>
      <c r="L34" s="163"/>
      <c r="M34" s="164"/>
      <c r="N34" s="164"/>
      <c r="O34" s="164"/>
      <c r="P34" s="164"/>
      <c r="Q34" s="164"/>
      <c r="R34" s="164"/>
      <c r="S34" s="164"/>
      <c r="T34" s="164"/>
      <c r="U34" s="164"/>
      <c r="V34" s="164"/>
      <c r="W34" s="165"/>
    </row>
    <row r="35" spans="1:23" ht="15.75" customHeight="1">
      <c r="A35" s="185"/>
      <c r="B35" s="188" t="s">
        <v>343</v>
      </c>
      <c r="C35" s="174">
        <v>0.95</v>
      </c>
      <c r="D35" s="163"/>
      <c r="E35" s="163"/>
      <c r="F35" s="163"/>
      <c r="G35" s="163"/>
      <c r="H35" s="163"/>
      <c r="I35" s="163"/>
      <c r="J35" s="163"/>
      <c r="K35" s="163"/>
      <c r="L35" s="163"/>
      <c r="M35" s="164"/>
      <c r="N35" s="164"/>
      <c r="O35" s="164"/>
      <c r="P35" s="164"/>
      <c r="Q35" s="164"/>
      <c r="R35" s="164"/>
      <c r="S35" s="164"/>
      <c r="T35" s="164"/>
      <c r="U35" s="164"/>
      <c r="V35" s="164"/>
      <c r="W35" s="165"/>
    </row>
    <row r="36" spans="1:23" ht="15.75">
      <c r="A36" s="185"/>
      <c r="B36" s="157"/>
      <c r="C36" s="157"/>
      <c r="D36" s="163"/>
      <c r="E36" s="163"/>
      <c r="F36" s="163"/>
      <c r="G36" s="163"/>
      <c r="H36" s="163"/>
      <c r="I36" s="163"/>
      <c r="J36" s="163"/>
      <c r="K36" s="163"/>
      <c r="L36" s="163"/>
      <c r="M36" s="164"/>
      <c r="N36" s="164"/>
      <c r="O36" s="164"/>
      <c r="P36" s="164"/>
      <c r="Q36" s="164"/>
      <c r="R36" s="164"/>
      <c r="S36" s="164"/>
      <c r="T36" s="164"/>
      <c r="U36" s="164"/>
      <c r="V36" s="164"/>
      <c r="W36" s="165"/>
    </row>
    <row r="37" spans="1:23">
      <c r="A37" s="156"/>
      <c r="B37" s="158" t="s">
        <v>1</v>
      </c>
      <c r="C37" s="159">
        <f>C26</f>
        <v>2016</v>
      </c>
      <c r="D37" s="159">
        <f t="shared" ref="D37:V37" si="5">D26</f>
        <v>2017</v>
      </c>
      <c r="E37" s="159">
        <f t="shared" si="5"/>
        <v>2018</v>
      </c>
      <c r="F37" s="159">
        <f t="shared" si="5"/>
        <v>2019</v>
      </c>
      <c r="G37" s="159">
        <f t="shared" si="5"/>
        <v>2020</v>
      </c>
      <c r="H37" s="159">
        <f t="shared" si="5"/>
        <v>2021</v>
      </c>
      <c r="I37" s="159">
        <f t="shared" si="5"/>
        <v>2022</v>
      </c>
      <c r="J37" s="159">
        <f t="shared" si="5"/>
        <v>2023</v>
      </c>
      <c r="K37" s="159">
        <f t="shared" si="5"/>
        <v>2024</v>
      </c>
      <c r="L37" s="159">
        <f t="shared" si="5"/>
        <v>2025</v>
      </c>
      <c r="M37" s="159">
        <f t="shared" si="5"/>
        <v>2026</v>
      </c>
      <c r="N37" s="159">
        <f t="shared" si="5"/>
        <v>2027</v>
      </c>
      <c r="O37" s="159">
        <f t="shared" si="5"/>
        <v>2028</v>
      </c>
      <c r="P37" s="159">
        <f t="shared" si="5"/>
        <v>2029</v>
      </c>
      <c r="Q37" s="159">
        <f t="shared" si="5"/>
        <v>2030</v>
      </c>
      <c r="R37" s="159">
        <f t="shared" si="5"/>
        <v>2031</v>
      </c>
      <c r="S37" s="159">
        <f t="shared" si="5"/>
        <v>2032</v>
      </c>
      <c r="T37" s="159">
        <f t="shared" si="5"/>
        <v>2033</v>
      </c>
      <c r="U37" s="159">
        <f t="shared" si="5"/>
        <v>2034</v>
      </c>
      <c r="V37" s="159">
        <f t="shared" si="5"/>
        <v>2035</v>
      </c>
      <c r="W37" s="160"/>
    </row>
    <row r="38" spans="1:23">
      <c r="A38" s="156"/>
      <c r="B38" s="158" t="s">
        <v>231</v>
      </c>
      <c r="C38" s="174">
        <v>0.05</v>
      </c>
      <c r="D38" s="174">
        <v>0.2</v>
      </c>
      <c r="E38" s="174">
        <v>0.2</v>
      </c>
      <c r="F38" s="174">
        <v>0.2</v>
      </c>
      <c r="G38" s="174">
        <v>0.2</v>
      </c>
      <c r="H38" s="174">
        <v>0.15</v>
      </c>
      <c r="I38" s="174">
        <v>0</v>
      </c>
      <c r="J38" s="174">
        <v>0</v>
      </c>
      <c r="K38" s="174">
        <v>0</v>
      </c>
      <c r="L38" s="174">
        <v>0</v>
      </c>
      <c r="M38" s="174">
        <v>0</v>
      </c>
      <c r="N38" s="174">
        <v>0</v>
      </c>
      <c r="O38" s="174">
        <v>0</v>
      </c>
      <c r="P38" s="174">
        <v>0</v>
      </c>
      <c r="Q38" s="174">
        <v>0</v>
      </c>
      <c r="R38" s="174">
        <v>0</v>
      </c>
      <c r="S38" s="174">
        <v>0</v>
      </c>
      <c r="T38" s="174">
        <v>0</v>
      </c>
      <c r="U38" s="174">
        <v>0</v>
      </c>
      <c r="V38" s="174">
        <v>0</v>
      </c>
      <c r="W38" s="216"/>
    </row>
    <row r="39" spans="1:23">
      <c r="A39" s="156"/>
      <c r="B39" s="158" t="s">
        <v>237</v>
      </c>
      <c r="C39" s="174">
        <f>C38</f>
        <v>0.05</v>
      </c>
      <c r="D39" s="174">
        <f>C39+D38</f>
        <v>0.25</v>
      </c>
      <c r="E39" s="174">
        <f t="shared" ref="E39:V39" si="6">D39+E38</f>
        <v>0.45</v>
      </c>
      <c r="F39" s="174">
        <f t="shared" si="6"/>
        <v>0.65</v>
      </c>
      <c r="G39" s="174">
        <f t="shared" si="6"/>
        <v>0.85000000000000009</v>
      </c>
      <c r="H39" s="174">
        <f t="shared" si="6"/>
        <v>1</v>
      </c>
      <c r="I39" s="174">
        <f t="shared" si="6"/>
        <v>1</v>
      </c>
      <c r="J39" s="174">
        <f t="shared" si="6"/>
        <v>1</v>
      </c>
      <c r="K39" s="174">
        <f t="shared" si="6"/>
        <v>1</v>
      </c>
      <c r="L39" s="174">
        <f t="shared" si="6"/>
        <v>1</v>
      </c>
      <c r="M39" s="174">
        <f t="shared" si="6"/>
        <v>1</v>
      </c>
      <c r="N39" s="174">
        <f t="shared" si="6"/>
        <v>1</v>
      </c>
      <c r="O39" s="174">
        <f t="shared" si="6"/>
        <v>1</v>
      </c>
      <c r="P39" s="174">
        <f t="shared" si="6"/>
        <v>1</v>
      </c>
      <c r="Q39" s="174">
        <f t="shared" si="6"/>
        <v>1</v>
      </c>
      <c r="R39" s="174">
        <f t="shared" si="6"/>
        <v>1</v>
      </c>
      <c r="S39" s="174">
        <f t="shared" si="6"/>
        <v>1</v>
      </c>
      <c r="T39" s="174">
        <f t="shared" si="6"/>
        <v>1</v>
      </c>
      <c r="U39" s="174">
        <f t="shared" si="6"/>
        <v>1</v>
      </c>
      <c r="V39" s="174">
        <f t="shared" si="6"/>
        <v>1</v>
      </c>
      <c r="W39" s="216"/>
    </row>
    <row r="40" spans="1:23">
      <c r="A40" s="156"/>
      <c r="B40" s="158" t="s">
        <v>232</v>
      </c>
      <c r="C40" s="174">
        <v>0.01</v>
      </c>
      <c r="D40" s="174">
        <v>0.01</v>
      </c>
      <c r="E40" s="174">
        <v>0.01</v>
      </c>
      <c r="F40" s="174">
        <v>0.01</v>
      </c>
      <c r="G40" s="174">
        <v>0.01</v>
      </c>
      <c r="H40" s="174">
        <v>0.01</v>
      </c>
      <c r="I40" s="174">
        <v>0.01</v>
      </c>
      <c r="J40" s="174">
        <v>0.01</v>
      </c>
      <c r="K40" s="174">
        <v>0.01</v>
      </c>
      <c r="L40" s="174">
        <v>0.01</v>
      </c>
      <c r="M40" s="174">
        <v>0.01</v>
      </c>
      <c r="N40" s="174">
        <v>0.01</v>
      </c>
      <c r="O40" s="174">
        <v>0.01</v>
      </c>
      <c r="P40" s="174">
        <v>0.01</v>
      </c>
      <c r="Q40" s="174">
        <v>0.01</v>
      </c>
      <c r="R40" s="174">
        <v>0.01</v>
      </c>
      <c r="S40" s="174">
        <v>0.01</v>
      </c>
      <c r="T40" s="174">
        <v>0.01</v>
      </c>
      <c r="U40" s="174">
        <v>0.01</v>
      </c>
      <c r="V40" s="174">
        <v>0.01</v>
      </c>
      <c r="W40" s="216"/>
    </row>
    <row r="41" spans="1:23" ht="13.5" thickBot="1">
      <c r="A41" s="161"/>
      <c r="B41" s="162" t="s">
        <v>297</v>
      </c>
      <c r="C41" s="217">
        <v>1</v>
      </c>
      <c r="D41" s="217">
        <v>1</v>
      </c>
      <c r="E41" s="217">
        <v>1</v>
      </c>
      <c r="F41" s="217">
        <v>1</v>
      </c>
      <c r="G41" s="217">
        <v>1</v>
      </c>
      <c r="H41" s="217">
        <v>1</v>
      </c>
      <c r="I41" s="217">
        <v>1</v>
      </c>
      <c r="J41" s="217">
        <v>1</v>
      </c>
      <c r="K41" s="217">
        <v>1</v>
      </c>
      <c r="L41" s="217">
        <v>1</v>
      </c>
      <c r="M41" s="217">
        <v>1</v>
      </c>
      <c r="N41" s="217">
        <v>1</v>
      </c>
      <c r="O41" s="217">
        <v>1</v>
      </c>
      <c r="P41" s="217">
        <v>1</v>
      </c>
      <c r="Q41" s="217">
        <v>1</v>
      </c>
      <c r="R41" s="217">
        <v>1</v>
      </c>
      <c r="S41" s="217">
        <v>1</v>
      </c>
      <c r="T41" s="217">
        <v>1</v>
      </c>
      <c r="U41" s="217">
        <v>1</v>
      </c>
      <c r="V41" s="217">
        <v>1</v>
      </c>
      <c r="W41" s="217"/>
    </row>
    <row r="42" spans="1:23" ht="13.5" thickBot="1">
      <c r="A42" s="177"/>
      <c r="B42" s="177"/>
      <c r="C42" s="172"/>
      <c r="D42" s="172"/>
      <c r="E42" s="172"/>
      <c r="F42" s="172"/>
      <c r="G42" s="172"/>
      <c r="H42" s="172"/>
      <c r="I42" s="172"/>
      <c r="J42" s="172"/>
      <c r="K42" s="172"/>
      <c r="L42" s="172"/>
      <c r="M42" s="172"/>
      <c r="N42" s="172"/>
      <c r="O42" s="172"/>
      <c r="P42" s="172"/>
      <c r="Q42" s="172"/>
      <c r="R42" s="172"/>
      <c r="S42" s="172"/>
      <c r="T42" s="172"/>
      <c r="U42" s="172"/>
      <c r="V42" s="172"/>
      <c r="W42" s="172"/>
    </row>
    <row r="43" spans="1:23" ht="16.5" thickBot="1">
      <c r="A43" s="151" t="s">
        <v>322</v>
      </c>
      <c r="B43" s="152"/>
      <c r="C43" s="152"/>
      <c r="D43" s="153" t="s">
        <v>501</v>
      </c>
      <c r="E43" s="153" t="s">
        <v>500</v>
      </c>
      <c r="F43" s="153"/>
      <c r="G43" s="153"/>
      <c r="H43" s="153"/>
      <c r="I43" s="153"/>
      <c r="J43" s="153"/>
      <c r="K43" s="153"/>
      <c r="L43" s="153"/>
      <c r="M43" s="154"/>
      <c r="N43" s="154"/>
      <c r="O43" s="154"/>
      <c r="P43" s="154"/>
      <c r="Q43" s="154"/>
      <c r="R43" s="154"/>
      <c r="S43" s="154"/>
      <c r="T43" s="154"/>
      <c r="U43" s="154"/>
      <c r="V43" s="154"/>
      <c r="W43" s="155"/>
    </row>
    <row r="44" spans="1:23" ht="16.5" thickBot="1">
      <c r="A44" s="185"/>
      <c r="B44" s="158" t="s">
        <v>241</v>
      </c>
      <c r="C44" s="173">
        <f>IF('Ag-Ind-Capacity-Smart'!$F$44=1,'Ag-Ind-Capacity-Smart'!$D$44,'Ag-Ind-Capacity-Smart'!$E$44)</f>
        <v>0.17499999999999999</v>
      </c>
      <c r="D44" s="163">
        <v>0.17499999999999999</v>
      </c>
      <c r="E44" s="163">
        <v>0.05</v>
      </c>
      <c r="F44" s="384">
        <v>1</v>
      </c>
      <c r="G44" s="383" t="s">
        <v>502</v>
      </c>
      <c r="H44" s="229"/>
      <c r="I44" s="229"/>
      <c r="J44" s="229"/>
      <c r="K44" s="229"/>
      <c r="L44" s="163"/>
      <c r="M44" s="164"/>
      <c r="N44" s="164"/>
      <c r="O44" s="164"/>
      <c r="P44" s="164"/>
      <c r="Q44" s="164"/>
      <c r="R44" s="164"/>
      <c r="S44" s="164"/>
      <c r="T44" s="164"/>
      <c r="U44" s="164"/>
      <c r="V44" s="164"/>
      <c r="W44" s="165"/>
    </row>
    <row r="45" spans="1:23" ht="15.75">
      <c r="A45" s="185"/>
      <c r="B45" s="158" t="s">
        <v>207</v>
      </c>
      <c r="C45" s="174">
        <f>KeyAssumptions!X14</f>
        <v>0.2</v>
      </c>
      <c r="D45" s="163"/>
      <c r="E45" s="163"/>
      <c r="F45" s="163"/>
      <c r="G45" s="163"/>
      <c r="H45" s="163"/>
      <c r="I45" s="163"/>
      <c r="J45" s="163"/>
      <c r="K45" s="163"/>
      <c r="L45" s="163"/>
      <c r="M45" s="164"/>
      <c r="N45" s="164"/>
      <c r="O45" s="164"/>
      <c r="P45" s="164"/>
      <c r="Q45" s="164"/>
      <c r="R45" s="164"/>
      <c r="S45" s="164"/>
      <c r="T45" s="164"/>
      <c r="U45" s="164"/>
      <c r="V45" s="164"/>
      <c r="W45" s="165"/>
    </row>
    <row r="46" spans="1:23" ht="15.75" customHeight="1">
      <c r="A46" s="185"/>
      <c r="B46" s="188" t="s">
        <v>343</v>
      </c>
      <c r="C46" s="174">
        <v>0.95</v>
      </c>
      <c r="D46" s="163"/>
      <c r="E46" s="163"/>
      <c r="F46" s="163"/>
      <c r="G46" s="163"/>
      <c r="H46" s="163"/>
      <c r="I46" s="163"/>
      <c r="J46" s="163"/>
      <c r="K46" s="163"/>
      <c r="L46" s="163"/>
      <c r="M46" s="164"/>
      <c r="N46" s="164"/>
      <c r="O46" s="164"/>
      <c r="P46" s="164"/>
      <c r="Q46" s="164"/>
      <c r="R46" s="164"/>
      <c r="S46" s="164"/>
      <c r="T46" s="164"/>
      <c r="U46" s="164"/>
      <c r="V46" s="164"/>
      <c r="W46" s="165"/>
    </row>
    <row r="47" spans="1:23" ht="15.75">
      <c r="A47" s="185"/>
      <c r="B47" s="157"/>
      <c r="C47" s="157"/>
      <c r="D47" s="163"/>
      <c r="E47" s="163"/>
      <c r="F47" s="163"/>
      <c r="G47" s="163"/>
      <c r="H47" s="163"/>
      <c r="I47" s="163"/>
      <c r="J47" s="163"/>
      <c r="K47" s="163"/>
      <c r="L47" s="163"/>
      <c r="M47" s="164"/>
      <c r="N47" s="164"/>
      <c r="O47" s="164"/>
      <c r="P47" s="164"/>
      <c r="Q47" s="164"/>
      <c r="R47" s="164"/>
      <c r="S47" s="164"/>
      <c r="T47" s="164"/>
      <c r="U47" s="164"/>
      <c r="V47" s="164"/>
      <c r="W47" s="165"/>
    </row>
    <row r="48" spans="1:23">
      <c r="A48" s="156"/>
      <c r="B48" s="158" t="s">
        <v>1</v>
      </c>
      <c r="C48" s="159">
        <f>C37</f>
        <v>2016</v>
      </c>
      <c r="D48" s="159">
        <f t="shared" ref="D48:V48" si="7">D37</f>
        <v>2017</v>
      </c>
      <c r="E48" s="159">
        <f t="shared" si="7"/>
        <v>2018</v>
      </c>
      <c r="F48" s="159">
        <f t="shared" si="7"/>
        <v>2019</v>
      </c>
      <c r="G48" s="159">
        <f t="shared" si="7"/>
        <v>2020</v>
      </c>
      <c r="H48" s="159">
        <f t="shared" si="7"/>
        <v>2021</v>
      </c>
      <c r="I48" s="159">
        <f t="shared" si="7"/>
        <v>2022</v>
      </c>
      <c r="J48" s="159">
        <f t="shared" si="7"/>
        <v>2023</v>
      </c>
      <c r="K48" s="159">
        <f t="shared" si="7"/>
        <v>2024</v>
      </c>
      <c r="L48" s="159">
        <f t="shared" si="7"/>
        <v>2025</v>
      </c>
      <c r="M48" s="159">
        <f t="shared" si="7"/>
        <v>2026</v>
      </c>
      <c r="N48" s="159">
        <f t="shared" si="7"/>
        <v>2027</v>
      </c>
      <c r="O48" s="159">
        <f t="shared" si="7"/>
        <v>2028</v>
      </c>
      <c r="P48" s="159">
        <f t="shared" si="7"/>
        <v>2029</v>
      </c>
      <c r="Q48" s="159">
        <f t="shared" si="7"/>
        <v>2030</v>
      </c>
      <c r="R48" s="159">
        <f t="shared" si="7"/>
        <v>2031</v>
      </c>
      <c r="S48" s="159">
        <f t="shared" si="7"/>
        <v>2032</v>
      </c>
      <c r="T48" s="159">
        <f t="shared" si="7"/>
        <v>2033</v>
      </c>
      <c r="U48" s="159">
        <f t="shared" si="7"/>
        <v>2034</v>
      </c>
      <c r="V48" s="159">
        <f t="shared" si="7"/>
        <v>2035</v>
      </c>
      <c r="W48" s="160"/>
    </row>
    <row r="49" spans="1:23">
      <c r="A49" s="156"/>
      <c r="B49" s="158" t="s">
        <v>231</v>
      </c>
      <c r="C49" s="174">
        <v>0.05</v>
      </c>
      <c r="D49" s="174">
        <v>0.2</v>
      </c>
      <c r="E49" s="174">
        <v>0.2</v>
      </c>
      <c r="F49" s="174">
        <v>0.2</v>
      </c>
      <c r="G49" s="174">
        <v>0.2</v>
      </c>
      <c r="H49" s="174">
        <v>0.15</v>
      </c>
      <c r="I49" s="174">
        <v>0</v>
      </c>
      <c r="J49" s="174">
        <v>0</v>
      </c>
      <c r="K49" s="174">
        <v>0</v>
      </c>
      <c r="L49" s="174">
        <v>0</v>
      </c>
      <c r="M49" s="174">
        <v>0</v>
      </c>
      <c r="N49" s="174">
        <v>0</v>
      </c>
      <c r="O49" s="174">
        <v>0</v>
      </c>
      <c r="P49" s="174">
        <v>0</v>
      </c>
      <c r="Q49" s="174">
        <v>0</v>
      </c>
      <c r="R49" s="174">
        <v>0</v>
      </c>
      <c r="S49" s="174">
        <v>0</v>
      </c>
      <c r="T49" s="174">
        <v>0</v>
      </c>
      <c r="U49" s="174">
        <v>0</v>
      </c>
      <c r="V49" s="174">
        <v>0</v>
      </c>
      <c r="W49" s="216"/>
    </row>
    <row r="50" spans="1:23">
      <c r="A50" s="156"/>
      <c r="B50" s="158" t="s">
        <v>237</v>
      </c>
      <c r="C50" s="174">
        <f>C49</f>
        <v>0.05</v>
      </c>
      <c r="D50" s="174">
        <f>C50+D49</f>
        <v>0.25</v>
      </c>
      <c r="E50" s="174">
        <f t="shared" ref="E50" si="8">D50+E49</f>
        <v>0.45</v>
      </c>
      <c r="F50" s="174">
        <f t="shared" ref="F50" si="9">E50+F49</f>
        <v>0.65</v>
      </c>
      <c r="G50" s="174">
        <f t="shared" ref="G50" si="10">F50+G49</f>
        <v>0.85000000000000009</v>
      </c>
      <c r="H50" s="174">
        <f t="shared" ref="H50" si="11">G50+H49</f>
        <v>1</v>
      </c>
      <c r="I50" s="174">
        <f t="shared" ref="I50" si="12">H50+I49</f>
        <v>1</v>
      </c>
      <c r="J50" s="174">
        <f t="shared" ref="J50" si="13">I50+J49</f>
        <v>1</v>
      </c>
      <c r="K50" s="174">
        <f t="shared" ref="K50" si="14">J50+K49</f>
        <v>1</v>
      </c>
      <c r="L50" s="174">
        <f t="shared" ref="L50" si="15">K50+L49</f>
        <v>1</v>
      </c>
      <c r="M50" s="174">
        <f t="shared" ref="M50" si="16">L50+M49</f>
        <v>1</v>
      </c>
      <c r="N50" s="174">
        <f t="shared" ref="N50" si="17">M50+N49</f>
        <v>1</v>
      </c>
      <c r="O50" s="174">
        <f t="shared" ref="O50" si="18">N50+O49</f>
        <v>1</v>
      </c>
      <c r="P50" s="174">
        <f t="shared" ref="P50" si="19">O50+P49</f>
        <v>1</v>
      </c>
      <c r="Q50" s="174">
        <f t="shared" ref="Q50" si="20">P50+Q49</f>
        <v>1</v>
      </c>
      <c r="R50" s="174">
        <f t="shared" ref="R50" si="21">Q50+R49</f>
        <v>1</v>
      </c>
      <c r="S50" s="174">
        <f t="shared" ref="S50" si="22">R50+S49</f>
        <v>1</v>
      </c>
      <c r="T50" s="174">
        <f t="shared" ref="T50" si="23">S50+T49</f>
        <v>1</v>
      </c>
      <c r="U50" s="174">
        <f t="shared" ref="U50" si="24">T50+U49</f>
        <v>1</v>
      </c>
      <c r="V50" s="174">
        <f t="shared" ref="V50" si="25">U50+V49</f>
        <v>1</v>
      </c>
      <c r="W50" s="216"/>
    </row>
    <row r="51" spans="1:23">
      <c r="A51" s="156"/>
      <c r="B51" s="158" t="s">
        <v>232</v>
      </c>
      <c r="C51" s="174">
        <v>0.01</v>
      </c>
      <c r="D51" s="174">
        <v>0.01</v>
      </c>
      <c r="E51" s="174">
        <v>0.01</v>
      </c>
      <c r="F51" s="174">
        <v>0.01</v>
      </c>
      <c r="G51" s="174">
        <v>0.01</v>
      </c>
      <c r="H51" s="174">
        <v>0.01</v>
      </c>
      <c r="I51" s="174">
        <v>0.01</v>
      </c>
      <c r="J51" s="174">
        <v>0.01</v>
      </c>
      <c r="K51" s="174">
        <v>0.01</v>
      </c>
      <c r="L51" s="174">
        <v>0.01</v>
      </c>
      <c r="M51" s="174">
        <v>0.01</v>
      </c>
      <c r="N51" s="174">
        <v>0.01</v>
      </c>
      <c r="O51" s="174">
        <v>0.01</v>
      </c>
      <c r="P51" s="174">
        <v>0.01</v>
      </c>
      <c r="Q51" s="174">
        <v>0.01</v>
      </c>
      <c r="R51" s="174">
        <v>0.01</v>
      </c>
      <c r="S51" s="174">
        <v>0.01</v>
      </c>
      <c r="T51" s="174">
        <v>0.01</v>
      </c>
      <c r="U51" s="174">
        <v>0.01</v>
      </c>
      <c r="V51" s="174">
        <v>0.01</v>
      </c>
      <c r="W51" s="216"/>
    </row>
    <row r="52" spans="1:23" ht="13.5" thickBot="1">
      <c r="A52" s="161"/>
      <c r="B52" s="162" t="s">
        <v>297</v>
      </c>
      <c r="C52" s="217">
        <v>1</v>
      </c>
      <c r="D52" s="217">
        <v>1</v>
      </c>
      <c r="E52" s="217">
        <v>1</v>
      </c>
      <c r="F52" s="217">
        <v>1</v>
      </c>
      <c r="G52" s="217">
        <v>1</v>
      </c>
      <c r="H52" s="217">
        <v>1</v>
      </c>
      <c r="I52" s="217">
        <v>1</v>
      </c>
      <c r="J52" s="217">
        <v>1</v>
      </c>
      <c r="K52" s="217">
        <v>1</v>
      </c>
      <c r="L52" s="217">
        <v>1</v>
      </c>
      <c r="M52" s="217">
        <v>1</v>
      </c>
      <c r="N52" s="217">
        <v>1</v>
      </c>
      <c r="O52" s="217">
        <v>1</v>
      </c>
      <c r="P52" s="217">
        <v>1</v>
      </c>
      <c r="Q52" s="217">
        <v>1</v>
      </c>
      <c r="R52" s="217">
        <v>1</v>
      </c>
      <c r="S52" s="217">
        <v>1</v>
      </c>
      <c r="T52" s="217">
        <v>1</v>
      </c>
      <c r="U52" s="217">
        <v>1</v>
      </c>
      <c r="V52" s="217">
        <v>1</v>
      </c>
      <c r="W52" s="217"/>
    </row>
    <row r="53" spans="1:23" ht="13.5" thickBot="1">
      <c r="A53" s="177"/>
      <c r="B53" s="177"/>
      <c r="C53" s="172"/>
      <c r="D53" s="172"/>
      <c r="E53" s="172"/>
      <c r="F53" s="172"/>
      <c r="G53" s="172"/>
      <c r="H53" s="172"/>
      <c r="I53" s="172"/>
      <c r="J53" s="172"/>
      <c r="K53" s="172"/>
      <c r="L53" s="172"/>
      <c r="M53" s="172"/>
      <c r="N53" s="172"/>
      <c r="O53" s="172"/>
      <c r="P53" s="172"/>
      <c r="Q53" s="172"/>
      <c r="R53" s="172"/>
      <c r="S53" s="172"/>
      <c r="T53" s="172"/>
      <c r="U53" s="172"/>
      <c r="V53" s="172"/>
      <c r="W53" s="172"/>
    </row>
    <row r="54" spans="1:23" ht="15.75" thickBot="1">
      <c r="A54" s="186" t="s">
        <v>240</v>
      </c>
      <c r="B54" s="187"/>
      <c r="C54" s="180"/>
      <c r="D54" s="180"/>
      <c r="E54" s="180"/>
      <c r="F54" s="180"/>
      <c r="G54" s="180"/>
      <c r="H54" s="180"/>
      <c r="I54" s="180"/>
      <c r="J54" s="180"/>
      <c r="K54" s="180"/>
      <c r="L54" s="180"/>
      <c r="M54" s="180"/>
      <c r="N54" s="180"/>
      <c r="O54" s="180"/>
      <c r="P54" s="180"/>
      <c r="Q54" s="180"/>
      <c r="R54" s="180"/>
      <c r="S54" s="180"/>
      <c r="T54" s="180"/>
      <c r="U54" s="180"/>
      <c r="V54" s="180"/>
      <c r="W54" s="181"/>
    </row>
    <row r="55" spans="1:23">
      <c r="A55" s="77" t="s">
        <v>212</v>
      </c>
      <c r="B55" s="77"/>
      <c r="F55" s="78"/>
      <c r="G55" s="78"/>
    </row>
    <row r="57" spans="1:23">
      <c r="A57" s="79"/>
      <c r="B57" s="183"/>
      <c r="C57" s="469" t="s">
        <v>213</v>
      </c>
      <c r="D57" s="469"/>
      <c r="E57" s="469"/>
      <c r="F57" s="469"/>
      <c r="G57" s="469"/>
      <c r="H57" s="469"/>
      <c r="I57" s="469"/>
      <c r="J57" s="469"/>
      <c r="K57" s="469"/>
      <c r="L57" s="469"/>
      <c r="M57" s="469"/>
      <c r="N57" s="469"/>
      <c r="O57" s="469"/>
      <c r="P57" s="469"/>
      <c r="Q57" s="469"/>
      <c r="R57" s="469"/>
      <c r="S57" s="469"/>
      <c r="T57" s="469"/>
      <c r="U57" s="469"/>
      <c r="V57" s="469"/>
      <c r="W57" s="469"/>
    </row>
    <row r="58" spans="1:23" ht="16.5" customHeight="1">
      <c r="A58" s="80" t="s">
        <v>214</v>
      </c>
      <c r="B58" s="81"/>
      <c r="C58" s="184">
        <f>C48</f>
        <v>2016</v>
      </c>
      <c r="D58" s="328">
        <f t="shared" ref="D58:V58" si="26">D48</f>
        <v>2017</v>
      </c>
      <c r="E58" s="328">
        <f t="shared" si="26"/>
        <v>2018</v>
      </c>
      <c r="F58" s="328">
        <f t="shared" si="26"/>
        <v>2019</v>
      </c>
      <c r="G58" s="328">
        <f t="shared" si="26"/>
        <v>2020</v>
      </c>
      <c r="H58" s="328">
        <f t="shared" si="26"/>
        <v>2021</v>
      </c>
      <c r="I58" s="328">
        <f t="shared" si="26"/>
        <v>2022</v>
      </c>
      <c r="J58" s="328">
        <f t="shared" si="26"/>
        <v>2023</v>
      </c>
      <c r="K58" s="328">
        <f t="shared" si="26"/>
        <v>2024</v>
      </c>
      <c r="L58" s="328">
        <f t="shared" si="26"/>
        <v>2025</v>
      </c>
      <c r="M58" s="328">
        <f t="shared" si="26"/>
        <v>2026</v>
      </c>
      <c r="N58" s="328">
        <f t="shared" si="26"/>
        <v>2027</v>
      </c>
      <c r="O58" s="328">
        <f t="shared" si="26"/>
        <v>2028</v>
      </c>
      <c r="P58" s="328">
        <f t="shared" si="26"/>
        <v>2029</v>
      </c>
      <c r="Q58" s="328">
        <f t="shared" si="26"/>
        <v>2030</v>
      </c>
      <c r="R58" s="328">
        <f t="shared" si="26"/>
        <v>2031</v>
      </c>
      <c r="S58" s="328">
        <f t="shared" si="26"/>
        <v>2032</v>
      </c>
      <c r="T58" s="328">
        <f t="shared" si="26"/>
        <v>2033</v>
      </c>
      <c r="U58" s="328">
        <f t="shared" si="26"/>
        <v>2034</v>
      </c>
      <c r="V58" s="328">
        <f t="shared" si="26"/>
        <v>2035</v>
      </c>
      <c r="W58" s="184"/>
    </row>
    <row r="59" spans="1:23">
      <c r="A59" s="82"/>
      <c r="B59" s="83"/>
      <c r="C59" s="82"/>
      <c r="D59" s="82"/>
      <c r="E59" s="82"/>
      <c r="F59" s="82"/>
      <c r="G59" s="82"/>
      <c r="H59" s="84"/>
      <c r="I59" s="82"/>
      <c r="J59" s="82"/>
      <c r="K59" s="82"/>
      <c r="L59" s="82"/>
      <c r="M59" s="82"/>
      <c r="N59" s="82"/>
      <c r="O59" s="82"/>
      <c r="P59" s="82"/>
      <c r="Q59" s="82"/>
      <c r="R59" s="82"/>
      <c r="S59" s="82"/>
      <c r="T59" s="82"/>
      <c r="U59" s="82"/>
      <c r="V59" s="82"/>
      <c r="W59" s="82"/>
    </row>
    <row r="60" spans="1:23">
      <c r="A60" s="166" t="s">
        <v>326</v>
      </c>
      <c r="B60" s="83"/>
      <c r="C60" s="86">
        <f>C72</f>
        <v>9.5857630107327818</v>
      </c>
      <c r="D60" s="86">
        <f t="shared" ref="D60:V60" si="27">D72-C72</f>
        <v>38.918705733387029</v>
      </c>
      <c r="E60" s="86">
        <f t="shared" si="27"/>
        <v>39.963575251886091</v>
      </c>
      <c r="F60" s="86">
        <f t="shared" si="27"/>
        <v>40.978994934577926</v>
      </c>
      <c r="G60" s="86">
        <f t="shared" si="27"/>
        <v>42.10880296967224</v>
      </c>
      <c r="H60" s="86">
        <f t="shared" si="27"/>
        <v>32.850659420547487</v>
      </c>
      <c r="I60" s="86">
        <f t="shared" si="27"/>
        <v>2.5312960086409078</v>
      </c>
      <c r="J60" s="86">
        <f t="shared" si="27"/>
        <v>2.4974764735407291</v>
      </c>
      <c r="K60" s="86">
        <f t="shared" si="27"/>
        <v>2.4888548807951167</v>
      </c>
      <c r="L60" s="86">
        <f t="shared" si="27"/>
        <v>2.4746162600402215</v>
      </c>
      <c r="M60" s="86">
        <f t="shared" si="27"/>
        <v>2.3696053162609019</v>
      </c>
      <c r="N60" s="86">
        <f t="shared" si="27"/>
        <v>2.4524111603440133</v>
      </c>
      <c r="O60" s="86">
        <f t="shared" si="27"/>
        <v>2.5526509760787519</v>
      </c>
      <c r="P60" s="86">
        <f t="shared" si="27"/>
        <v>2.5673406158163914</v>
      </c>
      <c r="Q60" s="86">
        <f t="shared" si="27"/>
        <v>2.5091962782101405</v>
      </c>
      <c r="R60" s="86">
        <f t="shared" si="27"/>
        <v>2.5372610229256054</v>
      </c>
      <c r="S60" s="86">
        <f t="shared" si="27"/>
        <v>2.5656396649249018</v>
      </c>
      <c r="T60" s="86">
        <f t="shared" si="27"/>
        <v>2.5943357150718782</v>
      </c>
      <c r="U60" s="86">
        <f t="shared" si="27"/>
        <v>2.6233527234989538</v>
      </c>
      <c r="V60" s="86">
        <f t="shared" si="27"/>
        <v>2.6526942800455515</v>
      </c>
      <c r="W60" s="86"/>
    </row>
    <row r="61" spans="1:23">
      <c r="A61" s="166" t="s">
        <v>324</v>
      </c>
      <c r="B61" s="83"/>
      <c r="C61" s="86">
        <f>C73</f>
        <v>54.319323727485774</v>
      </c>
      <c r="D61" s="86">
        <f t="shared" ref="D61:V61" si="28">D73-C73</f>
        <v>220.53933248919316</v>
      </c>
      <c r="E61" s="86">
        <f t="shared" si="28"/>
        <v>226.4602597606879</v>
      </c>
      <c r="F61" s="86">
        <f t="shared" si="28"/>
        <v>232.21430462927492</v>
      </c>
      <c r="G61" s="86">
        <f t="shared" si="28"/>
        <v>238.61655016147608</v>
      </c>
      <c r="H61" s="86">
        <f t="shared" si="28"/>
        <v>186.15373671643533</v>
      </c>
      <c r="I61" s="86">
        <f t="shared" si="28"/>
        <v>14.344010715632294</v>
      </c>
      <c r="J61" s="86">
        <f t="shared" si="28"/>
        <v>14.152366683397304</v>
      </c>
      <c r="K61" s="86">
        <f t="shared" si="28"/>
        <v>14.10351099117247</v>
      </c>
      <c r="L61" s="86">
        <f t="shared" si="28"/>
        <v>14.02282547356117</v>
      </c>
      <c r="M61" s="86">
        <f t="shared" si="28"/>
        <v>13.427763458811796</v>
      </c>
      <c r="N61" s="86">
        <f t="shared" si="28"/>
        <v>13.896996575282628</v>
      </c>
      <c r="O61" s="86">
        <f t="shared" si="28"/>
        <v>14.465022197779717</v>
      </c>
      <c r="P61" s="86">
        <f t="shared" si="28"/>
        <v>14.548263489626152</v>
      </c>
      <c r="Q61" s="86">
        <f t="shared" si="28"/>
        <v>14.218778909857292</v>
      </c>
      <c r="R61" s="86">
        <f t="shared" si="28"/>
        <v>14.377812463245618</v>
      </c>
      <c r="S61" s="86">
        <f t="shared" si="28"/>
        <v>14.53862476790755</v>
      </c>
      <c r="T61" s="86">
        <f t="shared" si="28"/>
        <v>14.701235718740691</v>
      </c>
      <c r="U61" s="86">
        <f t="shared" si="28"/>
        <v>14.86566543316053</v>
      </c>
      <c r="V61" s="86">
        <f t="shared" si="28"/>
        <v>15.031934253591544</v>
      </c>
      <c r="W61" s="86"/>
    </row>
    <row r="62" spans="1:23">
      <c r="A62" s="166" t="s">
        <v>325</v>
      </c>
      <c r="B62" s="83"/>
      <c r="C62" s="86">
        <f>C74</f>
        <v>67.899154659357208</v>
      </c>
      <c r="D62" s="86">
        <f t="shared" ref="D62:V62" si="29">D74-C74</f>
        <v>275.67416561149139</v>
      </c>
      <c r="E62" s="86">
        <f t="shared" si="29"/>
        <v>283.07532470085994</v>
      </c>
      <c r="F62" s="86">
        <f t="shared" si="29"/>
        <v>290.26788078659354</v>
      </c>
      <c r="G62" s="86">
        <f t="shared" si="29"/>
        <v>298.27068770184508</v>
      </c>
      <c r="H62" s="86">
        <f t="shared" si="29"/>
        <v>232.69217089554422</v>
      </c>
      <c r="I62" s="86">
        <f t="shared" si="29"/>
        <v>17.93001339454031</v>
      </c>
      <c r="J62" s="86">
        <f t="shared" si="29"/>
        <v>17.69045835424663</v>
      </c>
      <c r="K62" s="86">
        <f t="shared" si="29"/>
        <v>17.629388738965417</v>
      </c>
      <c r="L62" s="86">
        <f t="shared" si="29"/>
        <v>17.52853184195169</v>
      </c>
      <c r="M62" s="86">
        <f t="shared" si="29"/>
        <v>16.784704323514916</v>
      </c>
      <c r="N62" s="86">
        <f t="shared" si="29"/>
        <v>17.371245719103172</v>
      </c>
      <c r="O62" s="86">
        <f t="shared" si="29"/>
        <v>18.081277747224476</v>
      </c>
      <c r="P62" s="86">
        <f t="shared" si="29"/>
        <v>18.185329362032689</v>
      </c>
      <c r="Q62" s="86">
        <f t="shared" si="29"/>
        <v>17.773473637321786</v>
      </c>
      <c r="R62" s="86">
        <f t="shared" si="29"/>
        <v>17.972265579056966</v>
      </c>
      <c r="S62" s="86">
        <f t="shared" si="29"/>
        <v>18.173280959884323</v>
      </c>
      <c r="T62" s="86">
        <f t="shared" si="29"/>
        <v>18.376544648426034</v>
      </c>
      <c r="U62" s="86">
        <f t="shared" si="29"/>
        <v>18.582081791450491</v>
      </c>
      <c r="V62" s="86">
        <f t="shared" si="29"/>
        <v>18.7899178169896</v>
      </c>
      <c r="W62" s="86"/>
    </row>
    <row r="63" spans="1:23">
      <c r="A63" s="166" t="s">
        <v>327</v>
      </c>
      <c r="B63" s="83"/>
      <c r="C63" s="86">
        <f>C75</f>
        <v>54.319323727485774</v>
      </c>
      <c r="D63" s="86">
        <f t="shared" ref="D63:V63" si="30">D75-C75</f>
        <v>220.53933248919316</v>
      </c>
      <c r="E63" s="86">
        <f t="shared" si="30"/>
        <v>226.4602597606879</v>
      </c>
      <c r="F63" s="86">
        <f t="shared" si="30"/>
        <v>232.21430462927492</v>
      </c>
      <c r="G63" s="86">
        <f t="shared" si="30"/>
        <v>238.61655016147608</v>
      </c>
      <c r="H63" s="86">
        <f t="shared" si="30"/>
        <v>186.15373671643533</v>
      </c>
      <c r="I63" s="86">
        <f t="shared" si="30"/>
        <v>14.344010715632294</v>
      </c>
      <c r="J63" s="86">
        <f t="shared" si="30"/>
        <v>14.152366683397304</v>
      </c>
      <c r="K63" s="86">
        <f t="shared" si="30"/>
        <v>14.10351099117247</v>
      </c>
      <c r="L63" s="86">
        <f t="shared" si="30"/>
        <v>14.02282547356117</v>
      </c>
      <c r="M63" s="86">
        <f t="shared" si="30"/>
        <v>13.427763458811796</v>
      </c>
      <c r="N63" s="86">
        <f t="shared" si="30"/>
        <v>13.896996575282628</v>
      </c>
      <c r="O63" s="86">
        <f t="shared" si="30"/>
        <v>14.465022197779717</v>
      </c>
      <c r="P63" s="86">
        <f t="shared" si="30"/>
        <v>14.548263489626152</v>
      </c>
      <c r="Q63" s="86">
        <f t="shared" si="30"/>
        <v>14.218778909857292</v>
      </c>
      <c r="R63" s="86">
        <f t="shared" si="30"/>
        <v>14.377812463245618</v>
      </c>
      <c r="S63" s="86">
        <f t="shared" si="30"/>
        <v>14.53862476790755</v>
      </c>
      <c r="T63" s="86">
        <f t="shared" si="30"/>
        <v>14.701235718740691</v>
      </c>
      <c r="U63" s="86">
        <f t="shared" si="30"/>
        <v>14.86566543316053</v>
      </c>
      <c r="V63" s="86">
        <f t="shared" si="30"/>
        <v>15.031934253591544</v>
      </c>
      <c r="W63" s="86"/>
    </row>
    <row r="64" spans="1:23">
      <c r="A64" s="87"/>
      <c r="B64" s="88"/>
      <c r="C64" s="89"/>
      <c r="D64" s="90"/>
      <c r="E64" s="90"/>
      <c r="F64" s="90"/>
      <c r="G64" s="90"/>
      <c r="H64" s="90"/>
      <c r="I64" s="90"/>
      <c r="J64" s="90"/>
      <c r="K64" s="90"/>
      <c r="L64" s="90"/>
      <c r="M64" s="90"/>
      <c r="N64" s="90"/>
      <c r="O64" s="90"/>
      <c r="P64" s="90"/>
      <c r="Q64" s="90"/>
      <c r="R64" s="90"/>
      <c r="S64" s="90"/>
      <c r="T64" s="90"/>
      <c r="U64" s="90"/>
      <c r="V64" s="90"/>
      <c r="W64" s="90"/>
    </row>
    <row r="65" spans="1:23">
      <c r="A65" s="91" t="s">
        <v>216</v>
      </c>
      <c r="B65" s="92"/>
      <c r="C65" s="93">
        <f>SUM(C60:C63)</f>
        <v>186.12356512506153</v>
      </c>
      <c r="D65" s="93">
        <f t="shared" ref="D65:V65" si="31">SUM(D60:D63)</f>
        <v>755.67153632326472</v>
      </c>
      <c r="E65" s="93">
        <f t="shared" si="31"/>
        <v>775.95941947412189</v>
      </c>
      <c r="F65" s="93">
        <f t="shared" si="31"/>
        <v>795.67548497972132</v>
      </c>
      <c r="G65" s="93">
        <f t="shared" si="31"/>
        <v>817.61259099446954</v>
      </c>
      <c r="H65" s="93">
        <f t="shared" si="31"/>
        <v>637.85030374896235</v>
      </c>
      <c r="I65" s="93">
        <f t="shared" si="31"/>
        <v>49.149330834445806</v>
      </c>
      <c r="J65" s="93">
        <f t="shared" si="31"/>
        <v>48.492668194581967</v>
      </c>
      <c r="K65" s="93">
        <f t="shared" si="31"/>
        <v>48.325265602105475</v>
      </c>
      <c r="L65" s="93">
        <f t="shared" si="31"/>
        <v>48.048799049114251</v>
      </c>
      <c r="M65" s="93">
        <f t="shared" si="31"/>
        <v>46.00983655739941</v>
      </c>
      <c r="N65" s="93">
        <f t="shared" si="31"/>
        <v>47.617650030012442</v>
      </c>
      <c r="O65" s="93">
        <f t="shared" si="31"/>
        <v>49.563973118862663</v>
      </c>
      <c r="P65" s="93">
        <f t="shared" si="31"/>
        <v>49.849196957101384</v>
      </c>
      <c r="Q65" s="93">
        <f t="shared" si="31"/>
        <v>48.72022773524651</v>
      </c>
      <c r="R65" s="93">
        <f t="shared" si="31"/>
        <v>49.265151528473808</v>
      </c>
      <c r="S65" s="93">
        <f t="shared" si="31"/>
        <v>49.816170160624324</v>
      </c>
      <c r="T65" s="93">
        <f t="shared" si="31"/>
        <v>50.373351800979293</v>
      </c>
      <c r="U65" s="93">
        <f t="shared" si="31"/>
        <v>50.936765381270504</v>
      </c>
      <c r="V65" s="93">
        <f t="shared" si="31"/>
        <v>51.50648060421824</v>
      </c>
      <c r="W65" s="93"/>
    </row>
    <row r="66" spans="1:23">
      <c r="A66" s="94"/>
      <c r="B66" s="94"/>
      <c r="C66" s="95"/>
      <c r="D66" s="95"/>
      <c r="E66" s="95"/>
      <c r="F66" s="95"/>
      <c r="G66" s="95"/>
      <c r="H66" s="95"/>
      <c r="I66" s="95"/>
      <c r="J66" s="94"/>
      <c r="K66" s="94"/>
      <c r="L66" s="94"/>
    </row>
    <row r="67" spans="1:23">
      <c r="A67" s="96" t="s">
        <v>217</v>
      </c>
      <c r="B67" s="96"/>
      <c r="C67" s="97"/>
      <c r="D67" s="97"/>
      <c r="E67" s="97"/>
      <c r="F67" s="97"/>
      <c r="G67" s="97"/>
      <c r="H67" s="97"/>
      <c r="I67" s="97"/>
      <c r="J67" s="98"/>
      <c r="K67" s="98"/>
      <c r="L67" s="98"/>
    </row>
    <row r="68" spans="1:23">
      <c r="A68" s="96"/>
      <c r="B68" s="96"/>
      <c r="C68" s="97"/>
      <c r="D68" s="97"/>
      <c r="E68" s="97"/>
      <c r="F68" s="97"/>
      <c r="G68" s="97"/>
      <c r="H68" s="97"/>
      <c r="I68" s="97"/>
      <c r="J68" s="98"/>
      <c r="K68" s="98"/>
      <c r="L68" s="98"/>
    </row>
    <row r="69" spans="1:23">
      <c r="A69" s="470" t="s">
        <v>214</v>
      </c>
      <c r="B69" s="472"/>
      <c r="C69" s="469" t="s">
        <v>218</v>
      </c>
      <c r="D69" s="469"/>
      <c r="E69" s="469"/>
      <c r="F69" s="469"/>
      <c r="G69" s="469"/>
      <c r="H69" s="469"/>
      <c r="I69" s="469"/>
      <c r="J69" s="469"/>
      <c r="K69" s="469"/>
      <c r="L69" s="469"/>
      <c r="M69" s="469"/>
      <c r="N69" s="469"/>
      <c r="O69" s="469"/>
      <c r="P69" s="469"/>
      <c r="Q69" s="469"/>
      <c r="R69" s="469"/>
      <c r="S69" s="469"/>
      <c r="T69" s="469"/>
      <c r="U69" s="469"/>
      <c r="V69" s="469"/>
      <c r="W69" s="469"/>
    </row>
    <row r="70" spans="1:23">
      <c r="A70" s="471"/>
      <c r="B70" s="473"/>
      <c r="C70" s="184">
        <f>C58</f>
        <v>2016</v>
      </c>
      <c r="D70" s="328">
        <f t="shared" ref="D70:V70" si="32">D58</f>
        <v>2017</v>
      </c>
      <c r="E70" s="328">
        <f t="shared" si="32"/>
        <v>2018</v>
      </c>
      <c r="F70" s="328">
        <f t="shared" si="32"/>
        <v>2019</v>
      </c>
      <c r="G70" s="328">
        <f t="shared" si="32"/>
        <v>2020</v>
      </c>
      <c r="H70" s="328">
        <f t="shared" si="32"/>
        <v>2021</v>
      </c>
      <c r="I70" s="328">
        <f t="shared" si="32"/>
        <v>2022</v>
      </c>
      <c r="J70" s="328">
        <f t="shared" si="32"/>
        <v>2023</v>
      </c>
      <c r="K70" s="328">
        <f t="shared" si="32"/>
        <v>2024</v>
      </c>
      <c r="L70" s="328">
        <f t="shared" si="32"/>
        <v>2025</v>
      </c>
      <c r="M70" s="328">
        <f t="shared" si="32"/>
        <v>2026</v>
      </c>
      <c r="N70" s="328">
        <f t="shared" si="32"/>
        <v>2027</v>
      </c>
      <c r="O70" s="328">
        <f t="shared" si="32"/>
        <v>2028</v>
      </c>
      <c r="P70" s="328">
        <f t="shared" si="32"/>
        <v>2029</v>
      </c>
      <c r="Q70" s="328">
        <f t="shared" si="32"/>
        <v>2030</v>
      </c>
      <c r="R70" s="328">
        <f t="shared" si="32"/>
        <v>2031</v>
      </c>
      <c r="S70" s="328">
        <f t="shared" si="32"/>
        <v>2032</v>
      </c>
      <c r="T70" s="328">
        <f t="shared" si="32"/>
        <v>2033</v>
      </c>
      <c r="U70" s="328">
        <f t="shared" si="32"/>
        <v>2034</v>
      </c>
      <c r="V70" s="328">
        <f t="shared" si="32"/>
        <v>2035</v>
      </c>
      <c r="W70" s="184"/>
    </row>
    <row r="71" spans="1:23">
      <c r="A71" s="82"/>
      <c r="B71" s="85"/>
      <c r="C71" s="90"/>
      <c r="D71" s="90"/>
      <c r="E71" s="90"/>
      <c r="F71" s="90"/>
      <c r="G71" s="90"/>
      <c r="H71" s="90"/>
      <c r="I71" s="90"/>
      <c r="J71" s="90"/>
      <c r="K71" s="90"/>
      <c r="L71" s="90"/>
      <c r="M71" s="90"/>
      <c r="N71" s="90"/>
      <c r="O71" s="90"/>
      <c r="P71" s="90"/>
      <c r="Q71" s="90"/>
      <c r="R71" s="90"/>
      <c r="S71" s="90"/>
      <c r="T71" s="90"/>
      <c r="U71" s="90"/>
      <c r="V71" s="90"/>
      <c r="W71" s="90"/>
    </row>
    <row r="72" spans="1:23">
      <c r="A72" s="101" t="str">
        <f>A60</f>
        <v>a. Irrigation Pumping - AutoDR</v>
      </c>
      <c r="B72" s="85"/>
      <c r="C72" s="90">
        <f>C7*$C$11*$C$12*C19*C17*(1-C18)</f>
        <v>9.5857630107327818</v>
      </c>
      <c r="D72" s="90">
        <f t="shared" ref="D72:V72" si="33">D7*$C$11*$C$12*D19*D17*(1-D18)</f>
        <v>48.504468744119812</v>
      </c>
      <c r="E72" s="90">
        <f t="shared" si="33"/>
        <v>88.468043996005903</v>
      </c>
      <c r="F72" s="90">
        <f t="shared" si="33"/>
        <v>129.44703893058383</v>
      </c>
      <c r="G72" s="90">
        <f t="shared" si="33"/>
        <v>171.55584190025607</v>
      </c>
      <c r="H72" s="90">
        <f t="shared" si="33"/>
        <v>204.40650132080356</v>
      </c>
      <c r="I72" s="90">
        <f t="shared" si="33"/>
        <v>206.93779732944446</v>
      </c>
      <c r="J72" s="90">
        <f t="shared" si="33"/>
        <v>209.43527380298519</v>
      </c>
      <c r="K72" s="90">
        <f t="shared" si="33"/>
        <v>211.92412868378031</v>
      </c>
      <c r="L72" s="90">
        <f t="shared" si="33"/>
        <v>214.39874494382053</v>
      </c>
      <c r="M72" s="90">
        <f t="shared" si="33"/>
        <v>216.76835026008143</v>
      </c>
      <c r="N72" s="90">
        <f t="shared" si="33"/>
        <v>219.22076142042545</v>
      </c>
      <c r="O72" s="90">
        <f t="shared" si="33"/>
        <v>221.7734123965042</v>
      </c>
      <c r="P72" s="90">
        <f t="shared" si="33"/>
        <v>224.34075301232059</v>
      </c>
      <c r="Q72" s="90">
        <f t="shared" si="33"/>
        <v>226.84994929053073</v>
      </c>
      <c r="R72" s="90">
        <f t="shared" si="33"/>
        <v>229.38721031345634</v>
      </c>
      <c r="S72" s="90">
        <f t="shared" si="33"/>
        <v>231.95284997838124</v>
      </c>
      <c r="T72" s="90">
        <f t="shared" si="33"/>
        <v>234.54718569345312</v>
      </c>
      <c r="U72" s="90">
        <f t="shared" si="33"/>
        <v>237.17053841695207</v>
      </c>
      <c r="V72" s="90">
        <f t="shared" si="33"/>
        <v>239.82323269699762</v>
      </c>
      <c r="W72" s="90"/>
    </row>
    <row r="73" spans="1:23">
      <c r="A73" s="101" t="str">
        <f>+A61</f>
        <v>b. Curtailable/Interruptible - AutoDR</v>
      </c>
      <c r="B73" s="102"/>
      <c r="C73" s="90">
        <f t="shared" ref="C73:V73" si="34">C6*$C$22*$C$23*C30*C28*(1-C29)</f>
        <v>54.319323727485774</v>
      </c>
      <c r="D73" s="90">
        <f t="shared" si="34"/>
        <v>274.85865621667892</v>
      </c>
      <c r="E73" s="90">
        <f t="shared" si="34"/>
        <v>501.31891597736683</v>
      </c>
      <c r="F73" s="90">
        <f t="shared" si="34"/>
        <v>733.53322060664175</v>
      </c>
      <c r="G73" s="90">
        <f t="shared" si="34"/>
        <v>972.14977076811783</v>
      </c>
      <c r="H73" s="90">
        <f t="shared" si="34"/>
        <v>1158.3035074845532</v>
      </c>
      <c r="I73" s="90">
        <f t="shared" si="34"/>
        <v>1172.6475182001855</v>
      </c>
      <c r="J73" s="90">
        <f t="shared" si="34"/>
        <v>1186.7998848835828</v>
      </c>
      <c r="K73" s="90">
        <f t="shared" si="34"/>
        <v>1200.9033958747552</v>
      </c>
      <c r="L73" s="90">
        <f t="shared" si="34"/>
        <v>1214.9262213483164</v>
      </c>
      <c r="M73" s="90">
        <f t="shared" si="34"/>
        <v>1228.3539848071282</v>
      </c>
      <c r="N73" s="90">
        <f t="shared" si="34"/>
        <v>1242.2509813824108</v>
      </c>
      <c r="O73" s="90">
        <f t="shared" si="34"/>
        <v>1256.7160035801905</v>
      </c>
      <c r="P73" s="90">
        <f t="shared" si="34"/>
        <v>1271.2642670698167</v>
      </c>
      <c r="Q73" s="90">
        <f t="shared" si="34"/>
        <v>1285.483045979674</v>
      </c>
      <c r="R73" s="90">
        <f t="shared" si="34"/>
        <v>1299.8608584429196</v>
      </c>
      <c r="S73" s="90">
        <f t="shared" si="34"/>
        <v>1314.3994832108272</v>
      </c>
      <c r="T73" s="90">
        <f t="shared" si="34"/>
        <v>1329.1007189295678</v>
      </c>
      <c r="U73" s="90">
        <f t="shared" si="34"/>
        <v>1343.9663843627284</v>
      </c>
      <c r="V73" s="90">
        <f t="shared" si="34"/>
        <v>1358.9983186163199</v>
      </c>
      <c r="W73" s="90"/>
    </row>
    <row r="74" spans="1:23">
      <c r="A74" s="101" t="str">
        <f>+A62</f>
        <v>c. Load Aggregator - AutoDR</v>
      </c>
      <c r="B74" s="102"/>
      <c r="C74" s="90">
        <f t="shared" ref="C74:V74" si="35">C6*$C$33*$C$34*C41*C39*(1-C40)</f>
        <v>67.899154659357208</v>
      </c>
      <c r="D74" s="90">
        <f t="shared" si="35"/>
        <v>343.57332027084863</v>
      </c>
      <c r="E74" s="90">
        <f t="shared" si="35"/>
        <v>626.64864497170856</v>
      </c>
      <c r="F74" s="90">
        <f t="shared" si="35"/>
        <v>916.9165257583021</v>
      </c>
      <c r="G74" s="90">
        <f t="shared" si="35"/>
        <v>1215.1872134601472</v>
      </c>
      <c r="H74" s="90">
        <f t="shared" si="35"/>
        <v>1447.8793843556914</v>
      </c>
      <c r="I74" s="90">
        <f t="shared" si="35"/>
        <v>1465.8093977502317</v>
      </c>
      <c r="J74" s="90">
        <f t="shared" si="35"/>
        <v>1483.4998561044783</v>
      </c>
      <c r="K74" s="90">
        <f t="shared" si="35"/>
        <v>1501.1292448434438</v>
      </c>
      <c r="L74" s="90">
        <f t="shared" si="35"/>
        <v>1518.6577766853954</v>
      </c>
      <c r="M74" s="90">
        <f t="shared" si="35"/>
        <v>1535.4424810089104</v>
      </c>
      <c r="N74" s="90">
        <f t="shared" si="35"/>
        <v>1552.8137267280135</v>
      </c>
      <c r="O74" s="90">
        <f t="shared" si="35"/>
        <v>1570.895004475238</v>
      </c>
      <c r="P74" s="90">
        <f t="shared" si="35"/>
        <v>1589.0803338372707</v>
      </c>
      <c r="Q74" s="90">
        <f t="shared" si="35"/>
        <v>1606.8538074745925</v>
      </c>
      <c r="R74" s="90">
        <f t="shared" si="35"/>
        <v>1624.8260730536495</v>
      </c>
      <c r="S74" s="90">
        <f t="shared" si="35"/>
        <v>1642.9993540135338</v>
      </c>
      <c r="T74" s="90">
        <f t="shared" si="35"/>
        <v>1661.3758986619598</v>
      </c>
      <c r="U74" s="90">
        <f t="shared" si="35"/>
        <v>1679.9579804534103</v>
      </c>
      <c r="V74" s="90">
        <f t="shared" si="35"/>
        <v>1698.7478982703999</v>
      </c>
      <c r="W74" s="90"/>
    </row>
    <row r="75" spans="1:23">
      <c r="A75" s="101" t="str">
        <f>A63</f>
        <v>d. Refrigerated Warehouses - Controls</v>
      </c>
      <c r="B75" s="102"/>
      <c r="C75" s="90">
        <f t="shared" ref="C75:V75" si="36">C6*$C$44*$C$45*C52*C50*(1-C51)</f>
        <v>54.319323727485774</v>
      </c>
      <c r="D75" s="90">
        <f t="shared" si="36"/>
        <v>274.85865621667892</v>
      </c>
      <c r="E75" s="90">
        <f t="shared" si="36"/>
        <v>501.31891597736683</v>
      </c>
      <c r="F75" s="90">
        <f t="shared" si="36"/>
        <v>733.53322060664175</v>
      </c>
      <c r="G75" s="90">
        <f t="shared" si="36"/>
        <v>972.14977076811783</v>
      </c>
      <c r="H75" s="90">
        <f t="shared" si="36"/>
        <v>1158.3035074845532</v>
      </c>
      <c r="I75" s="90">
        <f t="shared" si="36"/>
        <v>1172.6475182001855</v>
      </c>
      <c r="J75" s="90">
        <f t="shared" si="36"/>
        <v>1186.7998848835828</v>
      </c>
      <c r="K75" s="90">
        <f t="shared" si="36"/>
        <v>1200.9033958747552</v>
      </c>
      <c r="L75" s="90">
        <f t="shared" si="36"/>
        <v>1214.9262213483164</v>
      </c>
      <c r="M75" s="90">
        <f t="shared" si="36"/>
        <v>1228.3539848071282</v>
      </c>
      <c r="N75" s="90">
        <f t="shared" si="36"/>
        <v>1242.2509813824108</v>
      </c>
      <c r="O75" s="90">
        <f t="shared" si="36"/>
        <v>1256.7160035801905</v>
      </c>
      <c r="P75" s="90">
        <f t="shared" si="36"/>
        <v>1271.2642670698167</v>
      </c>
      <c r="Q75" s="90">
        <f t="shared" si="36"/>
        <v>1285.483045979674</v>
      </c>
      <c r="R75" s="90">
        <f t="shared" si="36"/>
        <v>1299.8608584429196</v>
      </c>
      <c r="S75" s="90">
        <f t="shared" si="36"/>
        <v>1314.3994832108272</v>
      </c>
      <c r="T75" s="90">
        <f t="shared" si="36"/>
        <v>1329.1007189295678</v>
      </c>
      <c r="U75" s="90">
        <f t="shared" si="36"/>
        <v>1343.9663843627284</v>
      </c>
      <c r="V75" s="90">
        <f t="shared" si="36"/>
        <v>1358.9983186163199</v>
      </c>
      <c r="W75" s="90"/>
    </row>
    <row r="76" spans="1:23">
      <c r="A76" s="85"/>
      <c r="B76" s="85"/>
      <c r="C76" s="103"/>
      <c r="D76" s="103"/>
      <c r="E76" s="103"/>
      <c r="F76" s="103"/>
      <c r="G76" s="103"/>
      <c r="H76" s="103"/>
      <c r="I76" s="103"/>
      <c r="J76" s="103"/>
      <c r="K76" s="103"/>
      <c r="L76" s="103"/>
      <c r="M76" s="103"/>
      <c r="N76" s="103"/>
      <c r="O76" s="103"/>
      <c r="P76" s="103"/>
      <c r="Q76" s="103"/>
      <c r="R76" s="103"/>
      <c r="S76" s="103"/>
      <c r="T76" s="103"/>
      <c r="U76" s="103"/>
      <c r="V76" s="103"/>
      <c r="W76" s="103"/>
    </row>
    <row r="77" spans="1:23">
      <c r="A77" s="91" t="s">
        <v>219</v>
      </c>
      <c r="B77" s="91"/>
      <c r="C77" s="93">
        <f>SUM(C72:C75)</f>
        <v>186.12356512506153</v>
      </c>
      <c r="D77" s="93">
        <f t="shared" ref="D77:V77" si="37">SUM(D72:D75)</f>
        <v>941.79510144832636</v>
      </c>
      <c r="E77" s="93">
        <f t="shared" si="37"/>
        <v>1717.7545209224481</v>
      </c>
      <c r="F77" s="93">
        <f t="shared" si="37"/>
        <v>2513.4300059021693</v>
      </c>
      <c r="G77" s="93">
        <f t="shared" si="37"/>
        <v>3331.0425968966388</v>
      </c>
      <c r="H77" s="93">
        <f t="shared" si="37"/>
        <v>3968.892900645601</v>
      </c>
      <c r="I77" s="93">
        <f t="shared" si="37"/>
        <v>4018.0422314800471</v>
      </c>
      <c r="J77" s="93">
        <f t="shared" si="37"/>
        <v>4066.5348996746293</v>
      </c>
      <c r="K77" s="93">
        <f t="shared" si="37"/>
        <v>4114.8601652767347</v>
      </c>
      <c r="L77" s="93">
        <f t="shared" si="37"/>
        <v>4162.9089643258485</v>
      </c>
      <c r="M77" s="93">
        <f t="shared" si="37"/>
        <v>4208.918800883248</v>
      </c>
      <c r="N77" s="93">
        <f t="shared" si="37"/>
        <v>4256.5364509132605</v>
      </c>
      <c r="O77" s="93">
        <f t="shared" si="37"/>
        <v>4306.1004240321236</v>
      </c>
      <c r="P77" s="93">
        <f t="shared" si="37"/>
        <v>4355.949620989225</v>
      </c>
      <c r="Q77" s="93">
        <f t="shared" si="37"/>
        <v>4404.6698487244712</v>
      </c>
      <c r="R77" s="93">
        <f t="shared" si="37"/>
        <v>4453.9350002529445</v>
      </c>
      <c r="S77" s="93">
        <f t="shared" si="37"/>
        <v>4503.7511704135695</v>
      </c>
      <c r="T77" s="93">
        <f t="shared" si="37"/>
        <v>4554.124522214549</v>
      </c>
      <c r="U77" s="93">
        <f t="shared" si="37"/>
        <v>4605.0612875958195</v>
      </c>
      <c r="V77" s="93">
        <f t="shared" si="37"/>
        <v>4656.5677682000369</v>
      </c>
      <c r="W77" s="93"/>
    </row>
    <row r="79" spans="1:23">
      <c r="A79" s="77" t="s">
        <v>220</v>
      </c>
      <c r="B79" s="77"/>
      <c r="D79" s="214"/>
      <c r="E79" s="78"/>
      <c r="F79" s="78"/>
      <c r="G79" s="215"/>
      <c r="H79" s="78"/>
    </row>
    <row r="81" spans="1:23">
      <c r="A81" s="104"/>
      <c r="B81" s="474" t="s">
        <v>242</v>
      </c>
      <c r="C81" s="476" t="s">
        <v>221</v>
      </c>
      <c r="D81" s="477"/>
      <c r="E81" s="477"/>
      <c r="F81" s="477"/>
      <c r="G81" s="477"/>
      <c r="H81" s="477"/>
      <c r="I81" s="477"/>
      <c r="J81" s="477"/>
      <c r="K81" s="477"/>
      <c r="L81" s="477"/>
      <c r="M81" s="477"/>
      <c r="N81" s="477"/>
      <c r="O81" s="477"/>
      <c r="P81" s="477"/>
      <c r="Q81" s="477"/>
      <c r="R81" s="477"/>
      <c r="S81" s="477"/>
      <c r="T81" s="477"/>
      <c r="U81" s="477"/>
      <c r="V81" s="477"/>
      <c r="W81" s="477"/>
    </row>
    <row r="82" spans="1:23">
      <c r="A82" s="182" t="s">
        <v>214</v>
      </c>
      <c r="B82" s="475"/>
      <c r="C82" s="184">
        <f>C70</f>
        <v>2016</v>
      </c>
      <c r="D82" s="328">
        <f t="shared" ref="D82:V82" si="38">D70</f>
        <v>2017</v>
      </c>
      <c r="E82" s="328">
        <f t="shared" si="38"/>
        <v>2018</v>
      </c>
      <c r="F82" s="328">
        <f t="shared" si="38"/>
        <v>2019</v>
      </c>
      <c r="G82" s="328">
        <f t="shared" si="38"/>
        <v>2020</v>
      </c>
      <c r="H82" s="328">
        <f t="shared" si="38"/>
        <v>2021</v>
      </c>
      <c r="I82" s="328">
        <f t="shared" si="38"/>
        <v>2022</v>
      </c>
      <c r="J82" s="328">
        <f t="shared" si="38"/>
        <v>2023</v>
      </c>
      <c r="K82" s="328">
        <f t="shared" si="38"/>
        <v>2024</v>
      </c>
      <c r="L82" s="328">
        <f t="shared" si="38"/>
        <v>2025</v>
      </c>
      <c r="M82" s="328">
        <f t="shared" si="38"/>
        <v>2026</v>
      </c>
      <c r="N82" s="328">
        <f t="shared" si="38"/>
        <v>2027</v>
      </c>
      <c r="O82" s="328">
        <f t="shared" si="38"/>
        <v>2028</v>
      </c>
      <c r="P82" s="328">
        <f t="shared" si="38"/>
        <v>2029</v>
      </c>
      <c r="Q82" s="328">
        <f t="shared" si="38"/>
        <v>2030</v>
      </c>
      <c r="R82" s="328">
        <f t="shared" si="38"/>
        <v>2031</v>
      </c>
      <c r="S82" s="328">
        <f t="shared" si="38"/>
        <v>2032</v>
      </c>
      <c r="T82" s="328">
        <f t="shared" si="38"/>
        <v>2033</v>
      </c>
      <c r="U82" s="328">
        <f t="shared" si="38"/>
        <v>2034</v>
      </c>
      <c r="V82" s="328">
        <f t="shared" si="38"/>
        <v>2035</v>
      </c>
      <c r="W82" s="184"/>
    </row>
    <row r="83" spans="1:23">
      <c r="A83" s="115"/>
      <c r="B83" s="82"/>
      <c r="C83" s="82"/>
      <c r="D83" s="105"/>
      <c r="E83" s="82"/>
      <c r="F83" s="82"/>
      <c r="G83" s="82"/>
      <c r="H83" s="82"/>
      <c r="I83" s="82"/>
      <c r="J83" s="82"/>
      <c r="K83" s="82"/>
      <c r="L83" s="82"/>
      <c r="M83" s="82"/>
      <c r="N83" s="82"/>
      <c r="O83" s="82"/>
      <c r="P83" s="82"/>
      <c r="Q83" s="82"/>
      <c r="R83" s="82"/>
      <c r="S83" s="82"/>
      <c r="T83" s="82"/>
      <c r="U83" s="82"/>
      <c r="V83" s="82"/>
      <c r="W83" s="82"/>
    </row>
    <row r="84" spans="1:23">
      <c r="A84" s="101" t="str">
        <f>A60</f>
        <v>a. Irrigation Pumping - AutoDR</v>
      </c>
      <c r="B84" s="222">
        <f>KeyAssumptions!V11</f>
        <v>25</v>
      </c>
      <c r="C84" s="189">
        <f>$B84/1000*C72*$C$13</f>
        <v>0.22766187150490355</v>
      </c>
      <c r="D84" s="189">
        <f t="shared" ref="D84:V84" si="39">$B84/1000*D72*$C$13</f>
        <v>1.1519811326728455</v>
      </c>
      <c r="E84" s="189">
        <f t="shared" si="39"/>
        <v>2.1011160449051403</v>
      </c>
      <c r="F84" s="189">
        <f t="shared" si="39"/>
        <v>3.0743671746013659</v>
      </c>
      <c r="G84" s="189">
        <f t="shared" si="39"/>
        <v>4.0744512451310815</v>
      </c>
      <c r="H84" s="189">
        <f t="shared" si="39"/>
        <v>4.8546544063690842</v>
      </c>
      <c r="I84" s="189">
        <f t="shared" si="39"/>
        <v>4.9147726865743069</v>
      </c>
      <c r="J84" s="189">
        <f t="shared" si="39"/>
        <v>4.974087752820898</v>
      </c>
      <c r="K84" s="189">
        <f t="shared" si="39"/>
        <v>5.0331980562397822</v>
      </c>
      <c r="L84" s="189">
        <f t="shared" si="39"/>
        <v>5.0919701924157375</v>
      </c>
      <c r="M84" s="189">
        <f t="shared" si="39"/>
        <v>5.1482483186769343</v>
      </c>
      <c r="N84" s="189">
        <f t="shared" si="39"/>
        <v>5.2064930837351042</v>
      </c>
      <c r="O84" s="189">
        <f t="shared" si="39"/>
        <v>5.2671185444169746</v>
      </c>
      <c r="P84" s="189">
        <f t="shared" si="39"/>
        <v>5.3280928840426141</v>
      </c>
      <c r="Q84" s="189">
        <f t="shared" si="39"/>
        <v>5.3876862956501057</v>
      </c>
      <c r="R84" s="189">
        <f t="shared" si="39"/>
        <v>5.4479462449445881</v>
      </c>
      <c r="S84" s="189">
        <f t="shared" si="39"/>
        <v>5.5088801869865547</v>
      </c>
      <c r="T84" s="189">
        <f t="shared" si="39"/>
        <v>5.5704956602195121</v>
      </c>
      <c r="U84" s="189">
        <f t="shared" si="39"/>
        <v>5.6328002874026115</v>
      </c>
      <c r="V84" s="189">
        <f t="shared" si="39"/>
        <v>5.6958017765536937</v>
      </c>
      <c r="W84" s="189"/>
    </row>
    <row r="85" spans="1:23">
      <c r="A85" s="101" t="str">
        <f>+A61</f>
        <v>b. Curtailable/Interruptible - AutoDR</v>
      </c>
      <c r="B85" s="222">
        <f>KeyAssumptions!V12</f>
        <v>500</v>
      </c>
      <c r="C85" s="189">
        <f>$B85/1000*C73*$C$24</f>
        <v>25.801678770555743</v>
      </c>
      <c r="D85" s="189">
        <f t="shared" ref="D85:V85" si="40">$B85/1000*D73*$C$24</f>
        <v>130.55786170292248</v>
      </c>
      <c r="E85" s="189">
        <f t="shared" si="40"/>
        <v>238.12648508924923</v>
      </c>
      <c r="F85" s="189">
        <f t="shared" si="40"/>
        <v>348.42827978815484</v>
      </c>
      <c r="G85" s="189">
        <f t="shared" si="40"/>
        <v>461.77114111485594</v>
      </c>
      <c r="H85" s="189">
        <f t="shared" si="40"/>
        <v>550.19416605516278</v>
      </c>
      <c r="I85" s="189">
        <f t="shared" si="40"/>
        <v>557.00757114508804</v>
      </c>
      <c r="J85" s="189">
        <f t="shared" si="40"/>
        <v>563.72994531970176</v>
      </c>
      <c r="K85" s="189">
        <f t="shared" si="40"/>
        <v>570.4291130405087</v>
      </c>
      <c r="L85" s="189">
        <f t="shared" si="40"/>
        <v>577.08995514045023</v>
      </c>
      <c r="M85" s="189">
        <f t="shared" si="40"/>
        <v>583.46814278338582</v>
      </c>
      <c r="N85" s="189">
        <f t="shared" si="40"/>
        <v>590.0692161566451</v>
      </c>
      <c r="O85" s="189">
        <f t="shared" si="40"/>
        <v>596.9401017005905</v>
      </c>
      <c r="P85" s="189">
        <f t="shared" si="40"/>
        <v>603.85052685816288</v>
      </c>
      <c r="Q85" s="189">
        <f t="shared" si="40"/>
        <v>610.60444684034508</v>
      </c>
      <c r="R85" s="189">
        <f t="shared" si="40"/>
        <v>617.43390776038677</v>
      </c>
      <c r="S85" s="189">
        <f t="shared" si="40"/>
        <v>624.33975452514289</v>
      </c>
      <c r="T85" s="189">
        <f t="shared" si="40"/>
        <v>631.32284149154475</v>
      </c>
      <c r="U85" s="189">
        <f t="shared" si="40"/>
        <v>638.38403257229595</v>
      </c>
      <c r="V85" s="189">
        <f t="shared" si="40"/>
        <v>645.52420134275189</v>
      </c>
      <c r="W85" s="189"/>
    </row>
    <row r="86" spans="1:23">
      <c r="A86" s="101" t="str">
        <f>A62</f>
        <v>c. Load Aggregator - AutoDR</v>
      </c>
      <c r="B86" s="222">
        <f>KeyAssumptions!V13</f>
        <v>100</v>
      </c>
      <c r="C86" s="189">
        <f>$B86/1000*C74*$C$35</f>
        <v>6.4504196926389348</v>
      </c>
      <c r="D86" s="189">
        <f t="shared" ref="D86:V86" si="41">$B86/1000*D74*$C$35</f>
        <v>32.63946542573062</v>
      </c>
      <c r="E86" s="189">
        <f t="shared" si="41"/>
        <v>59.531621272312314</v>
      </c>
      <c r="F86" s="189">
        <f t="shared" si="41"/>
        <v>87.10706994703871</v>
      </c>
      <c r="G86" s="189">
        <f t="shared" si="41"/>
        <v>115.44278527871398</v>
      </c>
      <c r="H86" s="189">
        <f t="shared" si="41"/>
        <v>137.5485415137907</v>
      </c>
      <c r="I86" s="189">
        <f t="shared" si="41"/>
        <v>139.25189278627201</v>
      </c>
      <c r="J86" s="189">
        <f t="shared" si="41"/>
        <v>140.93248632992544</v>
      </c>
      <c r="K86" s="189">
        <f t="shared" si="41"/>
        <v>142.60727826012715</v>
      </c>
      <c r="L86" s="189">
        <f t="shared" si="41"/>
        <v>144.27248878511256</v>
      </c>
      <c r="M86" s="189">
        <f t="shared" si="41"/>
        <v>145.86703569584648</v>
      </c>
      <c r="N86" s="189">
        <f t="shared" si="41"/>
        <v>147.51730403916127</v>
      </c>
      <c r="O86" s="189">
        <f t="shared" si="41"/>
        <v>149.23502542514763</v>
      </c>
      <c r="P86" s="189">
        <f t="shared" si="41"/>
        <v>150.96263171454072</v>
      </c>
      <c r="Q86" s="189">
        <f t="shared" si="41"/>
        <v>152.65111171008627</v>
      </c>
      <c r="R86" s="189">
        <f t="shared" si="41"/>
        <v>154.35847694009669</v>
      </c>
      <c r="S86" s="189">
        <f t="shared" si="41"/>
        <v>156.08493863128572</v>
      </c>
      <c r="T86" s="189">
        <f t="shared" si="41"/>
        <v>157.83071037288619</v>
      </c>
      <c r="U86" s="189">
        <f t="shared" si="41"/>
        <v>159.59600814307399</v>
      </c>
      <c r="V86" s="189">
        <f t="shared" si="41"/>
        <v>161.38105033568797</v>
      </c>
      <c r="W86" s="189"/>
    </row>
    <row r="87" spans="1:23">
      <c r="A87" s="101" t="str">
        <f>A63</f>
        <v>d. Refrigerated Warehouses - Controls</v>
      </c>
      <c r="B87" s="222">
        <f>KeyAssumptions!$V$14</f>
        <v>250</v>
      </c>
      <c r="C87" s="189">
        <f>$B87/1000*C75*$C$46</f>
        <v>12.900839385277871</v>
      </c>
      <c r="D87" s="189">
        <f t="shared" ref="D87:V87" si="42">$B87/1000*D75*$C$46</f>
        <v>65.27893085146124</v>
      </c>
      <c r="E87" s="189">
        <f t="shared" si="42"/>
        <v>119.06324254462461</v>
      </c>
      <c r="F87" s="189">
        <f t="shared" si="42"/>
        <v>174.21413989407742</v>
      </c>
      <c r="G87" s="189">
        <f t="shared" si="42"/>
        <v>230.88557055742797</v>
      </c>
      <c r="H87" s="189">
        <f t="shared" si="42"/>
        <v>275.09708302758139</v>
      </c>
      <c r="I87" s="189">
        <f t="shared" si="42"/>
        <v>278.50378557254402</v>
      </c>
      <c r="J87" s="189">
        <f t="shared" si="42"/>
        <v>281.86497265985088</v>
      </c>
      <c r="K87" s="189">
        <f t="shared" si="42"/>
        <v>285.21455652025435</v>
      </c>
      <c r="L87" s="189">
        <f t="shared" si="42"/>
        <v>288.54497757022511</v>
      </c>
      <c r="M87" s="189">
        <f t="shared" si="42"/>
        <v>291.73407139169291</v>
      </c>
      <c r="N87" s="189">
        <f t="shared" si="42"/>
        <v>295.03460807832255</v>
      </c>
      <c r="O87" s="189">
        <f t="shared" si="42"/>
        <v>298.47005085029525</v>
      </c>
      <c r="P87" s="189">
        <f t="shared" si="42"/>
        <v>301.92526342908144</v>
      </c>
      <c r="Q87" s="189">
        <f t="shared" si="42"/>
        <v>305.30222342017254</v>
      </c>
      <c r="R87" s="189">
        <f t="shared" si="42"/>
        <v>308.71695388019339</v>
      </c>
      <c r="S87" s="189">
        <f t="shared" si="42"/>
        <v>312.16987726257145</v>
      </c>
      <c r="T87" s="189">
        <f t="shared" si="42"/>
        <v>315.66142074577238</v>
      </c>
      <c r="U87" s="189">
        <f t="shared" si="42"/>
        <v>319.19201628614798</v>
      </c>
      <c r="V87" s="189">
        <f t="shared" si="42"/>
        <v>322.76210067137595</v>
      </c>
      <c r="W87" s="189"/>
    </row>
    <row r="88" spans="1:23">
      <c r="A88" s="101"/>
      <c r="B88" s="87"/>
      <c r="C88" s="106"/>
      <c r="D88" s="106"/>
      <c r="E88" s="106"/>
      <c r="F88" s="106"/>
      <c r="G88" s="106"/>
      <c r="H88" s="106"/>
      <c r="I88" s="106"/>
      <c r="J88" s="106"/>
      <c r="K88" s="106"/>
      <c r="L88" s="106"/>
      <c r="M88" s="106"/>
      <c r="N88" s="106"/>
      <c r="O88" s="106"/>
      <c r="P88" s="106"/>
      <c r="Q88" s="106"/>
      <c r="R88" s="106"/>
      <c r="S88" s="106"/>
      <c r="T88" s="106"/>
      <c r="U88" s="106"/>
      <c r="V88" s="106"/>
      <c r="W88" s="106"/>
    </row>
    <row r="89" spans="1:23">
      <c r="A89" s="107" t="s">
        <v>269</v>
      </c>
      <c r="B89" s="108"/>
      <c r="C89" s="220">
        <f>SUM(C84:C87)</f>
        <v>45.380599719977447</v>
      </c>
      <c r="D89" s="220">
        <f t="shared" ref="D89:V89" si="43">SUM(D84:D87)</f>
        <v>229.62823911278721</v>
      </c>
      <c r="E89" s="220">
        <f t="shared" si="43"/>
        <v>418.82246495109132</v>
      </c>
      <c r="F89" s="220">
        <f t="shared" si="43"/>
        <v>612.82385680387233</v>
      </c>
      <c r="G89" s="220">
        <f t="shared" si="43"/>
        <v>812.17394819612889</v>
      </c>
      <c r="H89" s="220">
        <f t="shared" si="43"/>
        <v>967.69444500290388</v>
      </c>
      <c r="I89" s="220">
        <f t="shared" si="43"/>
        <v>979.67802219047849</v>
      </c>
      <c r="J89" s="220">
        <f t="shared" si="43"/>
        <v>991.50149206229901</v>
      </c>
      <c r="K89" s="220">
        <f t="shared" si="43"/>
        <v>1003.28414587713</v>
      </c>
      <c r="L89" s="220">
        <f t="shared" si="43"/>
        <v>1014.9993916882037</v>
      </c>
      <c r="M89" s="220">
        <f t="shared" si="43"/>
        <v>1026.2174981896021</v>
      </c>
      <c r="N89" s="220">
        <f t="shared" si="43"/>
        <v>1037.8276213578642</v>
      </c>
      <c r="O89" s="220">
        <f t="shared" si="43"/>
        <v>1049.9122965204506</v>
      </c>
      <c r="P89" s="220">
        <f t="shared" si="43"/>
        <v>1062.0665148858277</v>
      </c>
      <c r="Q89" s="220">
        <f t="shared" si="43"/>
        <v>1073.945468266254</v>
      </c>
      <c r="R89" s="220">
        <f t="shared" si="43"/>
        <v>1085.9572848256214</v>
      </c>
      <c r="S89" s="220">
        <f t="shared" si="43"/>
        <v>1098.1034506059866</v>
      </c>
      <c r="T89" s="220">
        <f t="shared" si="43"/>
        <v>1110.3854682704227</v>
      </c>
      <c r="U89" s="220">
        <f t="shared" si="43"/>
        <v>1122.8048572889204</v>
      </c>
      <c r="V89" s="220">
        <f t="shared" si="43"/>
        <v>1135.3631541263694</v>
      </c>
      <c r="W89" s="220"/>
    </row>
    <row r="90" spans="1:23">
      <c r="A90" s="110"/>
      <c r="B90" s="110"/>
      <c r="C90" s="111"/>
      <c r="D90" s="111"/>
      <c r="E90" s="112"/>
      <c r="F90" s="112"/>
      <c r="G90" s="112"/>
      <c r="H90" s="112"/>
      <c r="I90" s="112"/>
      <c r="J90" s="112"/>
      <c r="K90" s="112"/>
      <c r="L90" s="112"/>
      <c r="M90" s="112"/>
      <c r="N90" s="112"/>
      <c r="O90" s="112"/>
      <c r="P90" s="112"/>
      <c r="Q90" s="112"/>
      <c r="R90" s="112"/>
      <c r="S90" s="112"/>
      <c r="T90" s="112"/>
      <c r="U90" s="112"/>
      <c r="V90" s="112"/>
      <c r="W90" s="112"/>
    </row>
    <row r="91" spans="1:23">
      <c r="A91" s="77" t="s">
        <v>276</v>
      </c>
      <c r="B91" s="110"/>
      <c r="C91" s="98"/>
      <c r="D91" s="122"/>
      <c r="E91" s="121"/>
      <c r="F91" s="121"/>
      <c r="G91" s="121"/>
      <c r="H91" s="121"/>
      <c r="I91" s="121"/>
      <c r="J91" s="121"/>
      <c r="K91" s="121"/>
      <c r="L91" s="121"/>
      <c r="M91" s="121"/>
      <c r="N91" s="121"/>
      <c r="O91" s="121"/>
      <c r="P91" s="121"/>
      <c r="Q91" s="121"/>
      <c r="R91" s="121"/>
      <c r="S91" s="121"/>
      <c r="T91" s="121"/>
      <c r="U91" s="121"/>
      <c r="V91" s="121"/>
      <c r="W91" s="121"/>
    </row>
    <row r="92" spans="1:23">
      <c r="A92" s="113"/>
      <c r="B92" s="110"/>
      <c r="C92" s="98"/>
      <c r="D92" s="121"/>
      <c r="E92" s="121"/>
      <c r="F92" s="121"/>
      <c r="G92" s="121"/>
      <c r="H92" s="121"/>
      <c r="I92" s="121"/>
      <c r="J92" s="121"/>
      <c r="K92" s="121"/>
      <c r="L92" s="121"/>
      <c r="M92" s="121"/>
      <c r="N92" s="121"/>
      <c r="O92" s="121"/>
      <c r="P92" s="121"/>
      <c r="Q92" s="121"/>
      <c r="R92" s="121"/>
      <c r="S92" s="121"/>
      <c r="T92" s="121"/>
      <c r="U92" s="121"/>
      <c r="V92" s="121"/>
      <c r="W92" s="121"/>
    </row>
    <row r="93" spans="1:23" ht="12.75" customHeight="1">
      <c r="A93" s="478" t="s">
        <v>214</v>
      </c>
      <c r="B93" s="474" t="s">
        <v>304</v>
      </c>
      <c r="C93" s="469" t="s">
        <v>222</v>
      </c>
      <c r="D93" s="469"/>
      <c r="E93" s="469"/>
      <c r="F93" s="469"/>
      <c r="G93" s="469"/>
      <c r="H93" s="469"/>
      <c r="I93" s="469"/>
      <c r="J93" s="469"/>
      <c r="K93" s="469"/>
      <c r="L93" s="469"/>
      <c r="M93" s="469"/>
      <c r="N93" s="469"/>
      <c r="O93" s="469"/>
      <c r="P93" s="469"/>
      <c r="Q93" s="469"/>
      <c r="R93" s="469"/>
      <c r="S93" s="469"/>
      <c r="T93" s="469"/>
      <c r="U93" s="469"/>
      <c r="V93" s="469"/>
      <c r="W93" s="469"/>
    </row>
    <row r="94" spans="1:23">
      <c r="A94" s="479"/>
      <c r="B94" s="480"/>
      <c r="C94" s="184">
        <f>C82</f>
        <v>2016</v>
      </c>
      <c r="D94" s="328">
        <f t="shared" ref="D94:V94" si="44">D82</f>
        <v>2017</v>
      </c>
      <c r="E94" s="328">
        <f t="shared" si="44"/>
        <v>2018</v>
      </c>
      <c r="F94" s="328">
        <f t="shared" si="44"/>
        <v>2019</v>
      </c>
      <c r="G94" s="328">
        <f t="shared" si="44"/>
        <v>2020</v>
      </c>
      <c r="H94" s="328">
        <f t="shared" si="44"/>
        <v>2021</v>
      </c>
      <c r="I94" s="328">
        <f t="shared" si="44"/>
        <v>2022</v>
      </c>
      <c r="J94" s="328">
        <f t="shared" si="44"/>
        <v>2023</v>
      </c>
      <c r="K94" s="328">
        <f t="shared" si="44"/>
        <v>2024</v>
      </c>
      <c r="L94" s="328">
        <f t="shared" si="44"/>
        <v>2025</v>
      </c>
      <c r="M94" s="328">
        <f t="shared" si="44"/>
        <v>2026</v>
      </c>
      <c r="N94" s="328">
        <f t="shared" si="44"/>
        <v>2027</v>
      </c>
      <c r="O94" s="328">
        <f t="shared" si="44"/>
        <v>2028</v>
      </c>
      <c r="P94" s="328">
        <f t="shared" si="44"/>
        <v>2029</v>
      </c>
      <c r="Q94" s="328">
        <f t="shared" si="44"/>
        <v>2030</v>
      </c>
      <c r="R94" s="328">
        <f t="shared" si="44"/>
        <v>2031</v>
      </c>
      <c r="S94" s="328">
        <f t="shared" si="44"/>
        <v>2032</v>
      </c>
      <c r="T94" s="328">
        <f t="shared" si="44"/>
        <v>2033</v>
      </c>
      <c r="U94" s="328">
        <f t="shared" si="44"/>
        <v>2034</v>
      </c>
      <c r="V94" s="328">
        <f t="shared" si="44"/>
        <v>2035</v>
      </c>
      <c r="W94" s="184"/>
    </row>
    <row r="95" spans="1:23">
      <c r="A95" s="123"/>
      <c r="B95" s="124"/>
      <c r="C95" s="78"/>
      <c r="D95" s="82"/>
      <c r="E95" s="82"/>
      <c r="F95" s="82"/>
      <c r="G95" s="82"/>
      <c r="H95" s="82"/>
      <c r="I95" s="82"/>
      <c r="J95" s="82"/>
      <c r="K95" s="82"/>
      <c r="L95" s="82"/>
      <c r="M95" s="82"/>
      <c r="N95" s="82"/>
      <c r="O95" s="82"/>
      <c r="P95" s="82"/>
      <c r="Q95" s="82"/>
      <c r="R95" s="82"/>
      <c r="S95" s="82"/>
      <c r="T95" s="82"/>
      <c r="U95" s="82"/>
      <c r="V95" s="82"/>
      <c r="W95" s="82"/>
    </row>
    <row r="96" spans="1:23">
      <c r="A96" s="166" t="str">
        <f>A60</f>
        <v>a. Irrigation Pumping - AutoDR</v>
      </c>
      <c r="B96" s="223">
        <f>SUM(KeyAssumptions!$Q$11:$S$11)</f>
        <v>5862.5</v>
      </c>
      <c r="C96" s="116">
        <f>MAX(0,($B$96*C60))</f>
        <v>56196.535650420934</v>
      </c>
      <c r="D96" s="116">
        <f t="shared" ref="D96:V96" si="45">MAX(0,($B$96*D60))</f>
        <v>228160.91236198146</v>
      </c>
      <c r="E96" s="116">
        <f t="shared" si="45"/>
        <v>234286.4599141822</v>
      </c>
      <c r="F96" s="116">
        <f t="shared" si="45"/>
        <v>240239.3578039631</v>
      </c>
      <c r="G96" s="116">
        <f t="shared" si="45"/>
        <v>246862.85740970352</v>
      </c>
      <c r="H96" s="116">
        <f t="shared" si="45"/>
        <v>192586.99085295963</v>
      </c>
      <c r="I96" s="116">
        <f t="shared" si="45"/>
        <v>14839.722850657321</v>
      </c>
      <c r="J96" s="116">
        <f t="shared" si="45"/>
        <v>14641.455826132524</v>
      </c>
      <c r="K96" s="116">
        <f t="shared" si="45"/>
        <v>14590.911738661373</v>
      </c>
      <c r="L96" s="116">
        <f t="shared" si="45"/>
        <v>14507.437824485798</v>
      </c>
      <c r="M96" s="116">
        <f t="shared" si="45"/>
        <v>13891.811166579537</v>
      </c>
      <c r="N96" s="116">
        <f t="shared" si="45"/>
        <v>14377.260427516778</v>
      </c>
      <c r="O96" s="116">
        <f t="shared" si="45"/>
        <v>14964.916347261684</v>
      </c>
      <c r="P96" s="116">
        <f t="shared" si="45"/>
        <v>15051.034360223595</v>
      </c>
      <c r="Q96" s="116">
        <f t="shared" si="45"/>
        <v>14710.163181006948</v>
      </c>
      <c r="R96" s="116">
        <f t="shared" si="45"/>
        <v>14874.692746901361</v>
      </c>
      <c r="S96" s="116">
        <f t="shared" si="45"/>
        <v>15041.062535622237</v>
      </c>
      <c r="T96" s="116">
        <f t="shared" si="45"/>
        <v>15209.293129608886</v>
      </c>
      <c r="U96" s="116">
        <f t="shared" si="45"/>
        <v>15379.405341512616</v>
      </c>
      <c r="V96" s="116">
        <f t="shared" si="45"/>
        <v>15551.420216767046</v>
      </c>
      <c r="W96" s="116"/>
    </row>
    <row r="97" spans="1:23">
      <c r="A97" s="85" t="str">
        <f>+A61</f>
        <v>b. Curtailable/Interruptible - AutoDR</v>
      </c>
      <c r="B97" s="223">
        <f>SUM(KeyAssumptions!$Q$12:$S$12)</f>
        <v>3750</v>
      </c>
      <c r="C97" s="116">
        <f t="shared" ref="C97:V97" si="46">MAX(0,($B$97*C61))</f>
        <v>203697.46397807164</v>
      </c>
      <c r="D97" s="116">
        <f t="shared" si="46"/>
        <v>827022.49683447438</v>
      </c>
      <c r="E97" s="116">
        <f t="shared" si="46"/>
        <v>849225.97410257964</v>
      </c>
      <c r="F97" s="116">
        <f t="shared" si="46"/>
        <v>870803.64235978096</v>
      </c>
      <c r="G97" s="116">
        <f t="shared" si="46"/>
        <v>894812.06310553534</v>
      </c>
      <c r="H97" s="116">
        <f t="shared" si="46"/>
        <v>698076.51268663246</v>
      </c>
      <c r="I97" s="116">
        <f t="shared" si="46"/>
        <v>53790.040183621102</v>
      </c>
      <c r="J97" s="116">
        <f t="shared" si="46"/>
        <v>53071.375062739891</v>
      </c>
      <c r="K97" s="116">
        <f t="shared" si="46"/>
        <v>52888.166216896767</v>
      </c>
      <c r="L97" s="116">
        <f t="shared" si="46"/>
        <v>52585.595525854384</v>
      </c>
      <c r="M97" s="116">
        <f t="shared" si="46"/>
        <v>50354.112970544236</v>
      </c>
      <c r="N97" s="116">
        <f t="shared" si="46"/>
        <v>52113.737157309857</v>
      </c>
      <c r="O97" s="116">
        <f t="shared" si="46"/>
        <v>54243.833241673943</v>
      </c>
      <c r="P97" s="116">
        <f t="shared" si="46"/>
        <v>54555.98808609807</v>
      </c>
      <c r="Q97" s="116">
        <f t="shared" si="46"/>
        <v>53320.420911964844</v>
      </c>
      <c r="R97" s="116">
        <f t="shared" si="46"/>
        <v>53916.796737171069</v>
      </c>
      <c r="S97" s="116">
        <f t="shared" si="46"/>
        <v>54519.842879653312</v>
      </c>
      <c r="T97" s="116">
        <f t="shared" si="46"/>
        <v>55129.633945277586</v>
      </c>
      <c r="U97" s="116">
        <f t="shared" si="46"/>
        <v>55746.245374351987</v>
      </c>
      <c r="V97" s="116">
        <f t="shared" si="46"/>
        <v>56369.753450968288</v>
      </c>
      <c r="W97" s="116"/>
    </row>
    <row r="98" spans="1:23">
      <c r="A98" s="85" t="str">
        <f>+A62</f>
        <v>c. Load Aggregator - AutoDR</v>
      </c>
      <c r="B98" s="223">
        <f>SUM(KeyAssumptions!Q13:$S$13)</f>
        <v>3750</v>
      </c>
      <c r="C98" s="116">
        <f t="shared" ref="C98:V98" si="47">MAX(0,($B$98*C62))</f>
        <v>254621.82997258953</v>
      </c>
      <c r="D98" s="116">
        <f t="shared" si="47"/>
        <v>1033778.1210430927</v>
      </c>
      <c r="E98" s="116">
        <f t="shared" si="47"/>
        <v>1061532.4676282248</v>
      </c>
      <c r="F98" s="116">
        <f t="shared" si="47"/>
        <v>1088504.5529497257</v>
      </c>
      <c r="G98" s="116">
        <f t="shared" si="47"/>
        <v>1118515.0788819192</v>
      </c>
      <c r="H98" s="116">
        <f t="shared" si="47"/>
        <v>872595.64085829083</v>
      </c>
      <c r="I98" s="116">
        <f t="shared" si="47"/>
        <v>67237.550229526169</v>
      </c>
      <c r="J98" s="116">
        <f t="shared" si="47"/>
        <v>66339.218828424855</v>
      </c>
      <c r="K98" s="116">
        <f t="shared" si="47"/>
        <v>66110.207771120316</v>
      </c>
      <c r="L98" s="116">
        <f t="shared" si="47"/>
        <v>65731.994407318838</v>
      </c>
      <c r="M98" s="116">
        <f t="shared" si="47"/>
        <v>62942.641213180934</v>
      </c>
      <c r="N98" s="116">
        <f t="shared" si="47"/>
        <v>65142.171446636894</v>
      </c>
      <c r="O98" s="116">
        <f t="shared" si="47"/>
        <v>67804.791552091789</v>
      </c>
      <c r="P98" s="116">
        <f t="shared" si="47"/>
        <v>68194.98510762259</v>
      </c>
      <c r="Q98" s="116">
        <f t="shared" si="47"/>
        <v>66650.526139956695</v>
      </c>
      <c r="R98" s="116">
        <f t="shared" si="47"/>
        <v>67395.995921463618</v>
      </c>
      <c r="S98" s="116">
        <f t="shared" si="47"/>
        <v>68149.803599566207</v>
      </c>
      <c r="T98" s="116">
        <f t="shared" si="47"/>
        <v>68912.042431597627</v>
      </c>
      <c r="U98" s="116">
        <f t="shared" si="47"/>
        <v>69682.80671793934</v>
      </c>
      <c r="V98" s="116">
        <f t="shared" si="47"/>
        <v>70462.191813711004</v>
      </c>
      <c r="W98" s="116"/>
    </row>
    <row r="99" spans="1:23">
      <c r="A99" s="85" t="str">
        <f>A63</f>
        <v>d. Refrigerated Warehouses - Controls</v>
      </c>
      <c r="B99" s="223">
        <f>SUM(KeyAssumptions!Q14:$S$14)</f>
        <v>7500</v>
      </c>
      <c r="C99" s="116">
        <f>MAX(0,($B$99*C63))</f>
        <v>407394.92795614328</v>
      </c>
      <c r="D99" s="116">
        <f t="shared" ref="D99:V99" si="48">MAX(0,($B$99*D63))</f>
        <v>1654044.9936689488</v>
      </c>
      <c r="E99" s="116">
        <f t="shared" si="48"/>
        <v>1698451.9482051593</v>
      </c>
      <c r="F99" s="116">
        <f t="shared" si="48"/>
        <v>1741607.2847195619</v>
      </c>
      <c r="G99" s="116">
        <f t="shared" si="48"/>
        <v>1789624.1262110707</v>
      </c>
      <c r="H99" s="116">
        <f t="shared" si="48"/>
        <v>1396153.0253732649</v>
      </c>
      <c r="I99" s="116">
        <f t="shared" si="48"/>
        <v>107580.0803672422</v>
      </c>
      <c r="J99" s="116">
        <f t="shared" si="48"/>
        <v>106142.75012547978</v>
      </c>
      <c r="K99" s="116">
        <f t="shared" si="48"/>
        <v>105776.33243379353</v>
      </c>
      <c r="L99" s="116">
        <f t="shared" si="48"/>
        <v>105171.19105170877</v>
      </c>
      <c r="M99" s="116">
        <f t="shared" si="48"/>
        <v>100708.22594108847</v>
      </c>
      <c r="N99" s="116">
        <f t="shared" si="48"/>
        <v>104227.47431461971</v>
      </c>
      <c r="O99" s="116">
        <f t="shared" si="48"/>
        <v>108487.66648334789</v>
      </c>
      <c r="P99" s="116">
        <f t="shared" si="48"/>
        <v>109111.97617219614</v>
      </c>
      <c r="Q99" s="116">
        <f t="shared" si="48"/>
        <v>106640.84182392969</v>
      </c>
      <c r="R99" s="116">
        <f t="shared" si="48"/>
        <v>107833.59347434214</v>
      </c>
      <c r="S99" s="116">
        <f t="shared" si="48"/>
        <v>109039.68575930662</v>
      </c>
      <c r="T99" s="116">
        <f t="shared" si="48"/>
        <v>110259.26789055517</v>
      </c>
      <c r="U99" s="116">
        <f t="shared" si="48"/>
        <v>111492.49074870397</v>
      </c>
      <c r="V99" s="116">
        <f t="shared" si="48"/>
        <v>112739.50690193658</v>
      </c>
      <c r="W99" s="116"/>
    </row>
    <row r="100" spans="1:23">
      <c r="A100" s="85"/>
      <c r="B100" s="110"/>
      <c r="C100" s="117"/>
      <c r="D100" s="117"/>
      <c r="E100" s="117"/>
      <c r="F100" s="117"/>
      <c r="G100" s="117"/>
      <c r="H100" s="117"/>
      <c r="I100" s="117"/>
      <c r="J100" s="117"/>
      <c r="K100" s="117"/>
      <c r="L100" s="117"/>
      <c r="M100" s="117"/>
      <c r="N100" s="117"/>
      <c r="O100" s="117"/>
      <c r="P100" s="117"/>
      <c r="Q100" s="117"/>
      <c r="R100" s="117"/>
      <c r="S100" s="117"/>
      <c r="T100" s="117"/>
      <c r="U100" s="117"/>
      <c r="V100" s="117"/>
      <c r="W100" s="117"/>
    </row>
    <row r="101" spans="1:23">
      <c r="A101" s="126" t="s">
        <v>287</v>
      </c>
      <c r="B101" s="107"/>
      <c r="C101" s="119">
        <f>SUM(C96:C99)</f>
        <v>921910.75755722541</v>
      </c>
      <c r="D101" s="119">
        <f t="shared" ref="D101:V101" si="49">SUM(D96:D99)</f>
        <v>3743006.5239084973</v>
      </c>
      <c r="E101" s="119">
        <f t="shared" si="49"/>
        <v>3843496.8498501461</v>
      </c>
      <c r="F101" s="119">
        <f t="shared" si="49"/>
        <v>3941154.837833032</v>
      </c>
      <c r="G101" s="119">
        <f t="shared" si="49"/>
        <v>4049814.1256082281</v>
      </c>
      <c r="H101" s="119">
        <f t="shared" si="49"/>
        <v>3159412.1697711479</v>
      </c>
      <c r="I101" s="119">
        <f t="shared" si="49"/>
        <v>243447.39363104681</v>
      </c>
      <c r="J101" s="119">
        <f t="shared" si="49"/>
        <v>240194.79984277702</v>
      </c>
      <c r="K101" s="119">
        <f t="shared" si="49"/>
        <v>239365.61816047196</v>
      </c>
      <c r="L101" s="119">
        <f t="shared" si="49"/>
        <v>237996.2188093678</v>
      </c>
      <c r="M101" s="119">
        <f t="shared" si="49"/>
        <v>227896.79129139317</v>
      </c>
      <c r="N101" s="119">
        <f t="shared" si="49"/>
        <v>235860.64334608323</v>
      </c>
      <c r="O101" s="119">
        <f t="shared" si="49"/>
        <v>245501.2076243753</v>
      </c>
      <c r="P101" s="119">
        <f t="shared" si="49"/>
        <v>246913.9837261404</v>
      </c>
      <c r="Q101" s="119">
        <f t="shared" si="49"/>
        <v>241321.95205685816</v>
      </c>
      <c r="R101" s="119">
        <f t="shared" si="49"/>
        <v>244021.07887987819</v>
      </c>
      <c r="S101" s="119">
        <f t="shared" si="49"/>
        <v>246750.39477414839</v>
      </c>
      <c r="T101" s="119">
        <f t="shared" si="49"/>
        <v>249510.23739703928</v>
      </c>
      <c r="U101" s="119">
        <f t="shared" si="49"/>
        <v>252300.94818250791</v>
      </c>
      <c r="V101" s="119">
        <f t="shared" si="49"/>
        <v>255122.8723833829</v>
      </c>
      <c r="W101" s="119"/>
    </row>
    <row r="102" spans="1:23">
      <c r="A102" s="110"/>
      <c r="B102" s="110"/>
      <c r="C102" s="121"/>
      <c r="D102" s="121"/>
      <c r="E102" s="121"/>
      <c r="F102" s="121"/>
      <c r="G102" s="121"/>
      <c r="H102" s="121"/>
      <c r="I102" s="121"/>
      <c r="J102" s="121"/>
      <c r="K102" s="121"/>
      <c r="L102" s="121"/>
      <c r="M102" s="121"/>
      <c r="N102" s="121"/>
      <c r="O102" s="121"/>
      <c r="P102" s="121"/>
      <c r="Q102" s="121"/>
      <c r="R102" s="121"/>
      <c r="S102" s="121"/>
      <c r="T102" s="121"/>
      <c r="U102" s="121"/>
      <c r="V102" s="121"/>
      <c r="W102" s="121"/>
    </row>
    <row r="103" spans="1:23">
      <c r="A103" s="96" t="s">
        <v>277</v>
      </c>
      <c r="B103" s="96"/>
      <c r="C103" s="111"/>
      <c r="D103" s="127"/>
      <c r="E103" s="128"/>
      <c r="F103" s="129"/>
      <c r="G103" s="120"/>
      <c r="H103" s="130"/>
      <c r="I103" s="120"/>
      <c r="J103" s="78"/>
      <c r="L103" s="78"/>
    </row>
    <row r="104" spans="1:23">
      <c r="A104" s="110"/>
      <c r="B104" s="110"/>
      <c r="C104" s="111"/>
      <c r="D104" s="127"/>
      <c r="E104" s="128"/>
      <c r="F104" s="129"/>
      <c r="G104" s="120"/>
      <c r="H104" s="130"/>
      <c r="I104" s="120"/>
      <c r="J104" s="78"/>
      <c r="L104" s="78"/>
    </row>
    <row r="105" spans="1:23">
      <c r="A105" s="492" t="s">
        <v>214</v>
      </c>
      <c r="B105" s="462" t="s">
        <v>344</v>
      </c>
      <c r="C105" s="463" t="s">
        <v>223</v>
      </c>
      <c r="D105" s="463"/>
      <c r="E105" s="463"/>
      <c r="F105" s="463"/>
      <c r="G105" s="463"/>
      <c r="H105" s="463"/>
      <c r="I105" s="463"/>
      <c r="J105" s="463"/>
      <c r="K105" s="463"/>
      <c r="L105" s="463"/>
      <c r="M105" s="463"/>
      <c r="N105" s="463"/>
      <c r="O105" s="463"/>
      <c r="P105" s="463"/>
      <c r="Q105" s="463"/>
      <c r="R105" s="463"/>
      <c r="S105" s="463"/>
      <c r="T105" s="463"/>
      <c r="U105" s="463"/>
      <c r="V105" s="463"/>
      <c r="W105" s="463"/>
    </row>
    <row r="106" spans="1:23">
      <c r="A106" s="493"/>
      <c r="B106" s="462"/>
      <c r="C106" s="184">
        <f>C94</f>
        <v>2016</v>
      </c>
      <c r="D106" s="328">
        <f t="shared" ref="D106:V106" si="50">D94</f>
        <v>2017</v>
      </c>
      <c r="E106" s="328">
        <f t="shared" si="50"/>
        <v>2018</v>
      </c>
      <c r="F106" s="328">
        <f t="shared" si="50"/>
        <v>2019</v>
      </c>
      <c r="G106" s="328">
        <f t="shared" si="50"/>
        <v>2020</v>
      </c>
      <c r="H106" s="328">
        <f t="shared" si="50"/>
        <v>2021</v>
      </c>
      <c r="I106" s="328">
        <f t="shared" si="50"/>
        <v>2022</v>
      </c>
      <c r="J106" s="328">
        <f t="shared" si="50"/>
        <v>2023</v>
      </c>
      <c r="K106" s="328">
        <f t="shared" si="50"/>
        <v>2024</v>
      </c>
      <c r="L106" s="328">
        <f t="shared" si="50"/>
        <v>2025</v>
      </c>
      <c r="M106" s="328">
        <f t="shared" si="50"/>
        <v>2026</v>
      </c>
      <c r="N106" s="328">
        <f t="shared" si="50"/>
        <v>2027</v>
      </c>
      <c r="O106" s="328">
        <f t="shared" si="50"/>
        <v>2028</v>
      </c>
      <c r="P106" s="328">
        <f t="shared" si="50"/>
        <v>2029</v>
      </c>
      <c r="Q106" s="328">
        <f t="shared" si="50"/>
        <v>2030</v>
      </c>
      <c r="R106" s="328">
        <f t="shared" si="50"/>
        <v>2031</v>
      </c>
      <c r="S106" s="328">
        <f t="shared" si="50"/>
        <v>2032</v>
      </c>
      <c r="T106" s="328">
        <f t="shared" si="50"/>
        <v>2033</v>
      </c>
      <c r="U106" s="328">
        <f t="shared" si="50"/>
        <v>2034</v>
      </c>
      <c r="V106" s="328">
        <f t="shared" si="50"/>
        <v>2035</v>
      </c>
      <c r="W106" s="184"/>
    </row>
    <row r="107" spans="1:23">
      <c r="A107" s="131"/>
      <c r="B107" s="235"/>
      <c r="C107" s="132"/>
      <c r="D107" s="133"/>
      <c r="E107" s="133"/>
      <c r="F107" s="133"/>
      <c r="G107" s="133"/>
      <c r="H107" s="133"/>
      <c r="I107" s="133"/>
      <c r="J107" s="133"/>
      <c r="K107" s="133"/>
      <c r="L107" s="133"/>
      <c r="M107" s="133"/>
      <c r="N107" s="133"/>
      <c r="O107" s="133"/>
      <c r="P107" s="133"/>
      <c r="Q107" s="133"/>
      <c r="R107" s="133"/>
      <c r="S107" s="133"/>
      <c r="T107" s="133"/>
      <c r="U107" s="133"/>
      <c r="V107" s="133"/>
      <c r="W107" s="133"/>
    </row>
    <row r="108" spans="1:23">
      <c r="A108" s="241" t="str">
        <f>A60</f>
        <v>a. Irrigation Pumping - AutoDR</v>
      </c>
      <c r="B108" s="236">
        <f>KeyAssumptions!U11</f>
        <v>20</v>
      </c>
      <c r="C108" s="137">
        <f>($B108-IF('7thPlanAssumptions'!$D$14=1,'7thPlanAssumptions'!$B$14,0))*C84*1000</f>
        <v>-1365.9712290294212</v>
      </c>
      <c r="D108" s="137">
        <f>($B108-IF('7thPlanAssumptions'!$D$14=1,'7thPlanAssumptions'!$B$14,0))*D84*1000</f>
        <v>-6911.8867960370735</v>
      </c>
      <c r="E108" s="137">
        <f>($B108-IF('7thPlanAssumptions'!$D$14=1,'7thPlanAssumptions'!$B$14,0))*E84*1000</f>
        <v>-12606.696269430842</v>
      </c>
      <c r="F108" s="137">
        <f>($B108-IF('7thPlanAssumptions'!$D$14=1,'7thPlanAssumptions'!$B$14,0))*F84*1000</f>
        <v>-18446.203047608193</v>
      </c>
      <c r="G108" s="137">
        <f>($B108-IF('7thPlanAssumptions'!$D$14=1,'7thPlanAssumptions'!$B$14,0))*G84*1000</f>
        <v>-24446.707470786489</v>
      </c>
      <c r="H108" s="137">
        <f>($B108-IF('7thPlanAssumptions'!$D$14=1,'7thPlanAssumptions'!$B$14,0))*H84*1000</f>
        <v>-29127.926438214505</v>
      </c>
      <c r="I108" s="137">
        <f>($B108-IF('7thPlanAssumptions'!$D$14=1,'7thPlanAssumptions'!$B$14,0))*I84*1000</f>
        <v>-29488.636119445844</v>
      </c>
      <c r="J108" s="137">
        <f>($B108-IF('7thPlanAssumptions'!$D$14=1,'7thPlanAssumptions'!$B$14,0))*J84*1000</f>
        <v>-29844.526516925387</v>
      </c>
      <c r="K108" s="137">
        <f>($B108-IF('7thPlanAssumptions'!$D$14=1,'7thPlanAssumptions'!$B$14,0))*K84*1000</f>
        <v>-30199.188337438693</v>
      </c>
      <c r="L108" s="137">
        <f>($B108-IF('7thPlanAssumptions'!$D$14=1,'7thPlanAssumptions'!$B$14,0))*L84*1000</f>
        <v>-30551.821154494428</v>
      </c>
      <c r="M108" s="137">
        <f>($B108-IF('7thPlanAssumptions'!$D$14=1,'7thPlanAssumptions'!$B$14,0))*M84*1000</f>
        <v>-30889.489912061606</v>
      </c>
      <c r="N108" s="137">
        <f>($B108-IF('7thPlanAssumptions'!$D$14=1,'7thPlanAssumptions'!$B$14,0))*N84*1000</f>
        <v>-31238.958502410624</v>
      </c>
      <c r="O108" s="137">
        <f>($B108-IF('7thPlanAssumptions'!$D$14=1,'7thPlanAssumptions'!$B$14,0))*O84*1000</f>
        <v>-31602.71126650185</v>
      </c>
      <c r="P108" s="137">
        <f>($B108-IF('7thPlanAssumptions'!$D$14=1,'7thPlanAssumptions'!$B$14,0))*P84*1000</f>
        <v>-31968.557304255683</v>
      </c>
      <c r="Q108" s="137">
        <f>($B108-IF('7thPlanAssumptions'!$D$14=1,'7thPlanAssumptions'!$B$14,0))*Q84*1000</f>
        <v>-32326.117773900634</v>
      </c>
      <c r="R108" s="137">
        <f>($B108-IF('7thPlanAssumptions'!$D$14=1,'7thPlanAssumptions'!$B$14,0))*R84*1000</f>
        <v>-32687.677469667527</v>
      </c>
      <c r="S108" s="137">
        <f>($B108-IF('7thPlanAssumptions'!$D$14=1,'7thPlanAssumptions'!$B$14,0))*S84*1000</f>
        <v>-33053.281121919325</v>
      </c>
      <c r="T108" s="137">
        <f>($B108-IF('7thPlanAssumptions'!$D$14=1,'7thPlanAssumptions'!$B$14,0))*T84*1000</f>
        <v>-33422.973961317068</v>
      </c>
      <c r="U108" s="137">
        <f>($B108-IF('7thPlanAssumptions'!$D$14=1,'7thPlanAssumptions'!$B$14,0))*U84*1000</f>
        <v>-33796.801724415673</v>
      </c>
      <c r="V108" s="137">
        <f>($B108-IF('7thPlanAssumptions'!$D$14=1,'7thPlanAssumptions'!$B$14,0))*V84*1000</f>
        <v>-34174.81065932216</v>
      </c>
      <c r="W108" s="137"/>
    </row>
    <row r="109" spans="1:23">
      <c r="A109" s="135" t="str">
        <f>A61</f>
        <v>b. Curtailable/Interruptible - AutoDR</v>
      </c>
      <c r="B109" s="236">
        <f>KeyAssumptions!U12</f>
        <v>20</v>
      </c>
      <c r="C109" s="137">
        <f>($B109-IF('7thPlanAssumptions'!$D$14=1,'7thPlanAssumptions'!$B$14,0))*C85*1000</f>
        <v>-154810.07262333448</v>
      </c>
      <c r="D109" s="137">
        <f>($B109-IF('7thPlanAssumptions'!$D$14=1,'7thPlanAssumptions'!$B$14,0))*D85*1000</f>
        <v>-783347.17021753488</v>
      </c>
      <c r="E109" s="137">
        <f>($B109-IF('7thPlanAssumptions'!$D$14=1,'7thPlanAssumptions'!$B$14,0))*E85*1000</f>
        <v>-1428758.9105354955</v>
      </c>
      <c r="F109" s="137">
        <f>($B109-IF('7thPlanAssumptions'!$D$14=1,'7thPlanAssumptions'!$B$14,0))*F85*1000</f>
        <v>-2090569.678728929</v>
      </c>
      <c r="G109" s="137">
        <f>($B109-IF('7thPlanAssumptions'!$D$14=1,'7thPlanAssumptions'!$B$14,0))*G85*1000</f>
        <v>-2770626.8466891358</v>
      </c>
      <c r="H109" s="137">
        <f>($B109-IF('7thPlanAssumptions'!$D$14=1,'7thPlanAssumptions'!$B$14,0))*H85*1000</f>
        <v>-3301164.9963309765</v>
      </c>
      <c r="I109" s="137">
        <f>($B109-IF('7thPlanAssumptions'!$D$14=1,'7thPlanAssumptions'!$B$14,0))*I85*1000</f>
        <v>-3342045.4268705281</v>
      </c>
      <c r="J109" s="137">
        <f>($B109-IF('7thPlanAssumptions'!$D$14=1,'7thPlanAssumptions'!$B$14,0))*J85*1000</f>
        <v>-3382379.6719182106</v>
      </c>
      <c r="K109" s="137">
        <f>($B109-IF('7thPlanAssumptions'!$D$14=1,'7thPlanAssumptions'!$B$14,0))*K85*1000</f>
        <v>-3422574.6782430522</v>
      </c>
      <c r="L109" s="137">
        <f>($B109-IF('7thPlanAssumptions'!$D$14=1,'7thPlanAssumptions'!$B$14,0))*L85*1000</f>
        <v>-3462539.7308427012</v>
      </c>
      <c r="M109" s="137">
        <f>($B109-IF('7thPlanAssumptions'!$D$14=1,'7thPlanAssumptions'!$B$14,0))*M85*1000</f>
        <v>-3500808.8567003151</v>
      </c>
      <c r="N109" s="137">
        <f>($B109-IF('7thPlanAssumptions'!$D$14=1,'7thPlanAssumptions'!$B$14,0))*N85*1000</f>
        <v>-3540415.2969398708</v>
      </c>
      <c r="O109" s="137">
        <f>($B109-IF('7thPlanAssumptions'!$D$14=1,'7thPlanAssumptions'!$B$14,0))*O85*1000</f>
        <v>-3581640.6102035432</v>
      </c>
      <c r="P109" s="137">
        <f>($B109-IF('7thPlanAssumptions'!$D$14=1,'7thPlanAssumptions'!$B$14,0))*P85*1000</f>
        <v>-3623103.161148977</v>
      </c>
      <c r="Q109" s="137">
        <f>($B109-IF('7thPlanAssumptions'!$D$14=1,'7thPlanAssumptions'!$B$14,0))*Q85*1000</f>
        <v>-3663626.68104207</v>
      </c>
      <c r="R109" s="137">
        <f>($B109-IF('7thPlanAssumptions'!$D$14=1,'7thPlanAssumptions'!$B$14,0))*R85*1000</f>
        <v>-3704603.4465623205</v>
      </c>
      <c r="S109" s="137">
        <f>($B109-IF('7thPlanAssumptions'!$D$14=1,'7thPlanAssumptions'!$B$14,0))*S85*1000</f>
        <v>-3746038.5271508577</v>
      </c>
      <c r="T109" s="137">
        <f>($B109-IF('7thPlanAssumptions'!$D$14=1,'7thPlanAssumptions'!$B$14,0))*T85*1000</f>
        <v>-3787937.0489492686</v>
      </c>
      <c r="U109" s="137">
        <f>($B109-IF('7thPlanAssumptions'!$D$14=1,'7thPlanAssumptions'!$B$14,0))*U85*1000</f>
        <v>-3830304.1954337759</v>
      </c>
      <c r="V109" s="137">
        <f>($B109-IF('7thPlanAssumptions'!$D$14=1,'7thPlanAssumptions'!$B$14,0))*V85*1000</f>
        <v>-3873145.2080565114</v>
      </c>
      <c r="W109" s="137"/>
    </row>
    <row r="110" spans="1:23">
      <c r="A110" s="135" t="str">
        <f>A62</f>
        <v>c. Load Aggregator - AutoDR</v>
      </c>
      <c r="B110" s="237">
        <f>KeyAssumptions!U13</f>
        <v>50</v>
      </c>
      <c r="C110" s="137">
        <f>($B110-IF('7thPlanAssumptions'!$D$14=1,'7thPlanAssumptions'!$B$14,0))*C86*1000</f>
        <v>154810.07262333445</v>
      </c>
      <c r="D110" s="137">
        <f>($B110-IF('7thPlanAssumptions'!$D$14=1,'7thPlanAssumptions'!$B$14,0))*D86*1000</f>
        <v>783347.17021753488</v>
      </c>
      <c r="E110" s="137">
        <f>($B110-IF('7thPlanAssumptions'!$D$14=1,'7thPlanAssumptions'!$B$14,0))*E86*1000</f>
        <v>1428758.9105354955</v>
      </c>
      <c r="F110" s="137">
        <f>($B110-IF('7thPlanAssumptions'!$D$14=1,'7thPlanAssumptions'!$B$14,0))*F86*1000</f>
        <v>2090569.678728929</v>
      </c>
      <c r="G110" s="137">
        <f>($B110-IF('7thPlanAssumptions'!$D$14=1,'7thPlanAssumptions'!$B$14,0))*G86*1000</f>
        <v>2770626.8466891358</v>
      </c>
      <c r="H110" s="137">
        <f>($B110-IF('7thPlanAssumptions'!$D$14=1,'7thPlanAssumptions'!$B$14,0))*H86*1000</f>
        <v>3301164.9963309765</v>
      </c>
      <c r="I110" s="137">
        <f>($B110-IF('7thPlanAssumptions'!$D$14=1,'7thPlanAssumptions'!$B$14,0))*I86*1000</f>
        <v>3342045.4268705281</v>
      </c>
      <c r="J110" s="137">
        <f>($B110-IF('7thPlanAssumptions'!$D$14=1,'7thPlanAssumptions'!$B$14,0))*J86*1000</f>
        <v>3382379.6719182106</v>
      </c>
      <c r="K110" s="137">
        <f>($B110-IF('7thPlanAssumptions'!$D$14=1,'7thPlanAssumptions'!$B$14,0))*K86*1000</f>
        <v>3422574.6782430513</v>
      </c>
      <c r="L110" s="137">
        <f>($B110-IF('7thPlanAssumptions'!$D$14=1,'7thPlanAssumptions'!$B$14,0))*L86*1000</f>
        <v>3462539.7308427012</v>
      </c>
      <c r="M110" s="137">
        <f>($B110-IF('7thPlanAssumptions'!$D$14=1,'7thPlanAssumptions'!$B$14,0))*M86*1000</f>
        <v>3500808.8567003156</v>
      </c>
      <c r="N110" s="137">
        <f>($B110-IF('7thPlanAssumptions'!$D$14=1,'7thPlanAssumptions'!$B$14,0))*N86*1000</f>
        <v>3540415.2969398708</v>
      </c>
      <c r="O110" s="137">
        <f>($B110-IF('7thPlanAssumptions'!$D$14=1,'7thPlanAssumptions'!$B$14,0))*O86*1000</f>
        <v>3581640.6102035432</v>
      </c>
      <c r="P110" s="137">
        <f>($B110-IF('7thPlanAssumptions'!$D$14=1,'7thPlanAssumptions'!$B$14,0))*P86*1000</f>
        <v>3623103.161148977</v>
      </c>
      <c r="Q110" s="137">
        <f>($B110-IF('7thPlanAssumptions'!$D$14=1,'7thPlanAssumptions'!$B$14,0))*Q86*1000</f>
        <v>3663626.68104207</v>
      </c>
      <c r="R110" s="137">
        <f>($B110-IF('7thPlanAssumptions'!$D$14=1,'7thPlanAssumptions'!$B$14,0))*R86*1000</f>
        <v>3704603.4465623205</v>
      </c>
      <c r="S110" s="137">
        <f>($B110-IF('7thPlanAssumptions'!$D$14=1,'7thPlanAssumptions'!$B$14,0))*S86*1000</f>
        <v>3746038.5271508577</v>
      </c>
      <c r="T110" s="137">
        <f>($B110-IF('7thPlanAssumptions'!$D$14=1,'7thPlanAssumptions'!$B$14,0))*T86*1000</f>
        <v>3787937.0489492686</v>
      </c>
      <c r="U110" s="137">
        <f>($B110-IF('7thPlanAssumptions'!$D$14=1,'7thPlanAssumptions'!$B$14,0))*U86*1000</f>
        <v>3830304.1954337759</v>
      </c>
      <c r="V110" s="137">
        <f>($B110-IF('7thPlanAssumptions'!$D$14=1,'7thPlanAssumptions'!$B$14,0))*V86*1000</f>
        <v>3873145.2080565114</v>
      </c>
      <c r="W110" s="137"/>
    </row>
    <row r="111" spans="1:23">
      <c r="A111" s="135" t="str">
        <f>A63</f>
        <v>d. Refrigerated Warehouses - Controls</v>
      </c>
      <c r="B111" s="237">
        <f>KeyAssumptions!U14</f>
        <v>20</v>
      </c>
      <c r="C111" s="137">
        <f>($B111-IF('7thPlanAssumptions'!$D$14=1,'7thPlanAssumptions'!$B$14,0))*C87*1000</f>
        <v>-77405.036311667238</v>
      </c>
      <c r="D111" s="137">
        <f>($B111-IF('7thPlanAssumptions'!$D$14=1,'7thPlanAssumptions'!$B$14,0))*D87*1000</f>
        <v>-391673.58510876744</v>
      </c>
      <c r="E111" s="137">
        <f>($B111-IF('7thPlanAssumptions'!$D$14=1,'7thPlanAssumptions'!$B$14,0))*E87*1000</f>
        <v>-714379.45526774775</v>
      </c>
      <c r="F111" s="137">
        <f>($B111-IF('7thPlanAssumptions'!$D$14=1,'7thPlanAssumptions'!$B$14,0))*F87*1000</f>
        <v>-1045284.8393644645</v>
      </c>
      <c r="G111" s="137">
        <f>($B111-IF('7thPlanAssumptions'!$D$14=1,'7thPlanAssumptions'!$B$14,0))*G87*1000</f>
        <v>-1385313.4233445679</v>
      </c>
      <c r="H111" s="137">
        <f>($B111-IF('7thPlanAssumptions'!$D$14=1,'7thPlanAssumptions'!$B$14,0))*H87*1000</f>
        <v>-1650582.4981654882</v>
      </c>
      <c r="I111" s="137">
        <f>($B111-IF('7thPlanAssumptions'!$D$14=1,'7thPlanAssumptions'!$B$14,0))*I87*1000</f>
        <v>-1671022.7134352641</v>
      </c>
      <c r="J111" s="137">
        <f>($B111-IF('7thPlanAssumptions'!$D$14=1,'7thPlanAssumptions'!$B$14,0))*J87*1000</f>
        <v>-1691189.8359591053</v>
      </c>
      <c r="K111" s="137">
        <f>($B111-IF('7thPlanAssumptions'!$D$14=1,'7thPlanAssumptions'!$B$14,0))*K87*1000</f>
        <v>-1711287.3391215261</v>
      </c>
      <c r="L111" s="137">
        <f>($B111-IF('7thPlanAssumptions'!$D$14=1,'7thPlanAssumptions'!$B$14,0))*L87*1000</f>
        <v>-1731269.8654213506</v>
      </c>
      <c r="M111" s="137">
        <f>($B111-IF('7thPlanAssumptions'!$D$14=1,'7thPlanAssumptions'!$B$14,0))*M87*1000</f>
        <v>-1750404.4283501576</v>
      </c>
      <c r="N111" s="137">
        <f>($B111-IF('7thPlanAssumptions'!$D$14=1,'7thPlanAssumptions'!$B$14,0))*N87*1000</f>
        <v>-1770207.6484699354</v>
      </c>
      <c r="O111" s="137">
        <f>($B111-IF('7thPlanAssumptions'!$D$14=1,'7thPlanAssumptions'!$B$14,0))*O87*1000</f>
        <v>-1790820.3051017716</v>
      </c>
      <c r="P111" s="137">
        <f>($B111-IF('7thPlanAssumptions'!$D$14=1,'7thPlanAssumptions'!$B$14,0))*P87*1000</f>
        <v>-1811551.5805744885</v>
      </c>
      <c r="Q111" s="137">
        <f>($B111-IF('7thPlanAssumptions'!$D$14=1,'7thPlanAssumptions'!$B$14,0))*Q87*1000</f>
        <v>-1831813.340521035</v>
      </c>
      <c r="R111" s="137">
        <f>($B111-IF('7thPlanAssumptions'!$D$14=1,'7thPlanAssumptions'!$B$14,0))*R87*1000</f>
        <v>-1852301.7232811602</v>
      </c>
      <c r="S111" s="137">
        <f>($B111-IF('7thPlanAssumptions'!$D$14=1,'7thPlanAssumptions'!$B$14,0))*S87*1000</f>
        <v>-1873019.2635754289</v>
      </c>
      <c r="T111" s="137">
        <f>($B111-IF('7thPlanAssumptions'!$D$14=1,'7thPlanAssumptions'!$B$14,0))*T87*1000</f>
        <v>-1893968.5244746343</v>
      </c>
      <c r="U111" s="137">
        <f>($B111-IF('7thPlanAssumptions'!$D$14=1,'7thPlanAssumptions'!$B$14,0))*U87*1000</f>
        <v>-1915152.0977168879</v>
      </c>
      <c r="V111" s="137">
        <f>($B111-IF('7thPlanAssumptions'!$D$14=1,'7thPlanAssumptions'!$B$14,0))*V87*1000</f>
        <v>-1936572.6040282557</v>
      </c>
      <c r="W111" s="137"/>
    </row>
    <row r="112" spans="1:23">
      <c r="A112" s="141"/>
      <c r="B112" s="238"/>
      <c r="C112" s="134"/>
      <c r="D112" s="134"/>
      <c r="E112" s="134"/>
      <c r="F112" s="134"/>
      <c r="G112" s="134"/>
      <c r="H112" s="134"/>
      <c r="I112" s="134"/>
      <c r="J112" s="134"/>
      <c r="K112" s="134"/>
      <c r="L112" s="134"/>
      <c r="M112" s="134"/>
      <c r="N112" s="134"/>
      <c r="O112" s="134"/>
      <c r="P112" s="134"/>
      <c r="Q112" s="134"/>
      <c r="R112" s="134"/>
      <c r="S112" s="134"/>
      <c r="T112" s="134"/>
      <c r="U112" s="134"/>
      <c r="V112" s="134"/>
      <c r="W112" s="134"/>
    </row>
    <row r="113" spans="1:23">
      <c r="A113" s="143" t="s">
        <v>224</v>
      </c>
      <c r="B113" s="144"/>
      <c r="C113" s="145">
        <f>SUM(C108:C111)</f>
        <v>-78771.007540696679</v>
      </c>
      <c r="D113" s="145">
        <f t="shared" ref="D113:V113" si="51">SUM(D108:D111)</f>
        <v>-398585.47190480452</v>
      </c>
      <c r="E113" s="145">
        <f t="shared" si="51"/>
        <v>-726986.15153717867</v>
      </c>
      <c r="F113" s="145">
        <f t="shared" si="51"/>
        <v>-1063731.0424120729</v>
      </c>
      <c r="G113" s="145">
        <f t="shared" si="51"/>
        <v>-1409760.1308153542</v>
      </c>
      <c r="H113" s="145">
        <f t="shared" si="51"/>
        <v>-1679710.424603703</v>
      </c>
      <c r="I113" s="145">
        <f t="shared" si="51"/>
        <v>-1700511.3495547099</v>
      </c>
      <c r="J113" s="145">
        <f t="shared" si="51"/>
        <v>-1721034.3624760308</v>
      </c>
      <c r="K113" s="145">
        <f t="shared" si="51"/>
        <v>-1741486.5274589658</v>
      </c>
      <c r="L113" s="145">
        <f t="shared" si="51"/>
        <v>-1761821.6865758449</v>
      </c>
      <c r="M113" s="145">
        <f t="shared" si="51"/>
        <v>-1781293.9182622186</v>
      </c>
      <c r="N113" s="145">
        <f t="shared" si="51"/>
        <v>-1801446.6069723458</v>
      </c>
      <c r="O113" s="145">
        <f t="shared" si="51"/>
        <v>-1822423.0163682734</v>
      </c>
      <c r="P113" s="145">
        <f t="shared" si="51"/>
        <v>-1843520.1378787442</v>
      </c>
      <c r="Q113" s="145">
        <f t="shared" si="51"/>
        <v>-1864139.4582949358</v>
      </c>
      <c r="R113" s="145">
        <f t="shared" si="51"/>
        <v>-1884989.4007508277</v>
      </c>
      <c r="S113" s="145">
        <f t="shared" si="51"/>
        <v>-1906072.5446973483</v>
      </c>
      <c r="T113" s="145">
        <f t="shared" si="51"/>
        <v>-1927391.4984359513</v>
      </c>
      <c r="U113" s="145">
        <f t="shared" si="51"/>
        <v>-1948948.8994413037</v>
      </c>
      <c r="V113" s="145">
        <f t="shared" si="51"/>
        <v>-1970747.4146875776</v>
      </c>
      <c r="W113" s="145"/>
    </row>
    <row r="114" spans="1:23">
      <c r="A114" s="120"/>
      <c r="B114" s="120"/>
      <c r="C114" s="146"/>
      <c r="D114" s="146"/>
      <c r="E114" s="146"/>
      <c r="F114" s="146"/>
      <c r="G114" s="146"/>
      <c r="H114" s="146"/>
      <c r="I114" s="146"/>
      <c r="J114" s="146"/>
      <c r="K114" s="146"/>
      <c r="L114" s="146"/>
      <c r="M114" s="146"/>
      <c r="N114" s="146"/>
      <c r="O114" s="146"/>
      <c r="P114" s="146"/>
      <c r="Q114" s="146"/>
      <c r="R114" s="146"/>
      <c r="S114" s="146"/>
      <c r="T114" s="146"/>
      <c r="U114" s="146"/>
      <c r="V114" s="146"/>
      <c r="W114" s="146"/>
    </row>
    <row r="115" spans="1:23">
      <c r="A115" s="96" t="s">
        <v>308</v>
      </c>
      <c r="B115" s="96"/>
      <c r="C115" s="111"/>
      <c r="D115" s="127"/>
      <c r="E115" s="128"/>
      <c r="F115" s="190"/>
      <c r="G115" s="120"/>
      <c r="H115" s="130"/>
      <c r="I115" s="120"/>
      <c r="J115" s="78"/>
      <c r="L115" s="78"/>
    </row>
    <row r="116" spans="1:23">
      <c r="A116" s="110"/>
      <c r="B116" s="110"/>
      <c r="C116" s="111"/>
      <c r="D116" s="127"/>
      <c r="E116" s="128"/>
      <c r="F116" s="129"/>
      <c r="G116" s="120"/>
      <c r="H116" s="130"/>
      <c r="I116" s="120"/>
      <c r="J116" s="78"/>
      <c r="L116" s="78"/>
    </row>
    <row r="117" spans="1:23">
      <c r="A117" s="490" t="s">
        <v>214</v>
      </c>
      <c r="B117" s="491"/>
      <c r="C117" s="206">
        <f>C106</f>
        <v>2016</v>
      </c>
      <c r="D117" s="327">
        <f t="shared" ref="D117:V117" si="52">D106</f>
        <v>2017</v>
      </c>
      <c r="E117" s="327">
        <f t="shared" si="52"/>
        <v>2018</v>
      </c>
      <c r="F117" s="327">
        <f t="shared" si="52"/>
        <v>2019</v>
      </c>
      <c r="G117" s="327">
        <f t="shared" si="52"/>
        <v>2020</v>
      </c>
      <c r="H117" s="327">
        <f t="shared" si="52"/>
        <v>2021</v>
      </c>
      <c r="I117" s="327">
        <f t="shared" si="52"/>
        <v>2022</v>
      </c>
      <c r="J117" s="327">
        <f t="shared" si="52"/>
        <v>2023</v>
      </c>
      <c r="K117" s="327">
        <f t="shared" si="52"/>
        <v>2024</v>
      </c>
      <c r="L117" s="327">
        <f t="shared" si="52"/>
        <v>2025</v>
      </c>
      <c r="M117" s="327">
        <f t="shared" si="52"/>
        <v>2026</v>
      </c>
      <c r="N117" s="327">
        <f t="shared" si="52"/>
        <v>2027</v>
      </c>
      <c r="O117" s="327">
        <f t="shared" si="52"/>
        <v>2028</v>
      </c>
      <c r="P117" s="327">
        <f t="shared" si="52"/>
        <v>2029</v>
      </c>
      <c r="Q117" s="327">
        <f t="shared" si="52"/>
        <v>2030</v>
      </c>
      <c r="R117" s="327">
        <f t="shared" si="52"/>
        <v>2031</v>
      </c>
      <c r="S117" s="327">
        <f t="shared" si="52"/>
        <v>2032</v>
      </c>
      <c r="T117" s="327">
        <f t="shared" si="52"/>
        <v>2033</v>
      </c>
      <c r="U117" s="327">
        <f t="shared" si="52"/>
        <v>2034</v>
      </c>
      <c r="V117" s="327">
        <f t="shared" si="52"/>
        <v>2035</v>
      </c>
      <c r="W117" s="206"/>
    </row>
    <row r="118" spans="1:23">
      <c r="A118" s="143" t="str">
        <f>A101</f>
        <v xml:space="preserve">TOTAL ENABLEMENT COST </v>
      </c>
      <c r="B118" s="147"/>
      <c r="C118" s="148">
        <f>C101</f>
        <v>921910.75755722541</v>
      </c>
      <c r="D118" s="148">
        <f t="shared" ref="D118:V118" si="53">D101</f>
        <v>3743006.5239084973</v>
      </c>
      <c r="E118" s="148">
        <f t="shared" si="53"/>
        <v>3843496.8498501461</v>
      </c>
      <c r="F118" s="148">
        <f t="shared" si="53"/>
        <v>3941154.837833032</v>
      </c>
      <c r="G118" s="148">
        <f t="shared" si="53"/>
        <v>4049814.1256082281</v>
      </c>
      <c r="H118" s="148">
        <f t="shared" si="53"/>
        <v>3159412.1697711479</v>
      </c>
      <c r="I118" s="148">
        <f t="shared" si="53"/>
        <v>243447.39363104681</v>
      </c>
      <c r="J118" s="148">
        <f t="shared" si="53"/>
        <v>240194.79984277702</v>
      </c>
      <c r="K118" s="148">
        <f t="shared" si="53"/>
        <v>239365.61816047196</v>
      </c>
      <c r="L118" s="148">
        <f t="shared" si="53"/>
        <v>237996.2188093678</v>
      </c>
      <c r="M118" s="148">
        <f t="shared" si="53"/>
        <v>227896.79129139317</v>
      </c>
      <c r="N118" s="148">
        <f t="shared" si="53"/>
        <v>235860.64334608323</v>
      </c>
      <c r="O118" s="148">
        <f t="shared" si="53"/>
        <v>245501.2076243753</v>
      </c>
      <c r="P118" s="148">
        <f t="shared" si="53"/>
        <v>246913.9837261404</v>
      </c>
      <c r="Q118" s="148">
        <f t="shared" si="53"/>
        <v>241321.95205685816</v>
      </c>
      <c r="R118" s="148">
        <f t="shared" si="53"/>
        <v>244021.07887987819</v>
      </c>
      <c r="S118" s="148">
        <f t="shared" si="53"/>
        <v>246750.39477414839</v>
      </c>
      <c r="T118" s="148">
        <f t="shared" si="53"/>
        <v>249510.23739703928</v>
      </c>
      <c r="U118" s="148">
        <f t="shared" si="53"/>
        <v>252300.94818250791</v>
      </c>
      <c r="V118" s="148">
        <f t="shared" si="53"/>
        <v>255122.8723833829</v>
      </c>
      <c r="W118" s="148"/>
    </row>
    <row r="119" spans="1:23">
      <c r="A119" s="143" t="str">
        <f>A113</f>
        <v>TOTAL IMPLEMENTATION COST</v>
      </c>
      <c r="B119" s="147"/>
      <c r="C119" s="148">
        <f>C113</f>
        <v>-78771.007540696679</v>
      </c>
      <c r="D119" s="148">
        <f t="shared" ref="D119:V119" si="54">D113</f>
        <v>-398585.47190480452</v>
      </c>
      <c r="E119" s="148">
        <f t="shared" si="54"/>
        <v>-726986.15153717867</v>
      </c>
      <c r="F119" s="148">
        <f t="shared" si="54"/>
        <v>-1063731.0424120729</v>
      </c>
      <c r="G119" s="148">
        <f t="shared" si="54"/>
        <v>-1409760.1308153542</v>
      </c>
      <c r="H119" s="148">
        <f t="shared" si="54"/>
        <v>-1679710.424603703</v>
      </c>
      <c r="I119" s="148">
        <f t="shared" si="54"/>
        <v>-1700511.3495547099</v>
      </c>
      <c r="J119" s="148">
        <f t="shared" si="54"/>
        <v>-1721034.3624760308</v>
      </c>
      <c r="K119" s="148">
        <f t="shared" si="54"/>
        <v>-1741486.5274589658</v>
      </c>
      <c r="L119" s="148">
        <f t="shared" si="54"/>
        <v>-1761821.6865758449</v>
      </c>
      <c r="M119" s="148">
        <f t="shared" si="54"/>
        <v>-1781293.9182622186</v>
      </c>
      <c r="N119" s="148">
        <f t="shared" si="54"/>
        <v>-1801446.6069723458</v>
      </c>
      <c r="O119" s="148">
        <f t="shared" si="54"/>
        <v>-1822423.0163682734</v>
      </c>
      <c r="P119" s="148">
        <f t="shared" si="54"/>
        <v>-1843520.1378787442</v>
      </c>
      <c r="Q119" s="148">
        <f t="shared" si="54"/>
        <v>-1864139.4582949358</v>
      </c>
      <c r="R119" s="148">
        <f t="shared" si="54"/>
        <v>-1884989.4007508277</v>
      </c>
      <c r="S119" s="148">
        <f t="shared" si="54"/>
        <v>-1906072.5446973483</v>
      </c>
      <c r="T119" s="148">
        <f t="shared" si="54"/>
        <v>-1927391.4984359513</v>
      </c>
      <c r="U119" s="148">
        <f t="shared" si="54"/>
        <v>-1948948.8994413037</v>
      </c>
      <c r="V119" s="148">
        <f t="shared" si="54"/>
        <v>-1970747.4146875776</v>
      </c>
      <c r="W119" s="148"/>
    </row>
    <row r="120" spans="1:23">
      <c r="A120" s="149" t="s">
        <v>226</v>
      </c>
      <c r="B120" s="147"/>
      <c r="C120" s="150">
        <f t="shared" ref="C120:V120" si="55">SUM(C118:C119)</f>
        <v>843139.75001652876</v>
      </c>
      <c r="D120" s="150">
        <f t="shared" si="55"/>
        <v>3344421.0520036928</v>
      </c>
      <c r="E120" s="150">
        <f t="shared" si="55"/>
        <v>3116510.6983129676</v>
      </c>
      <c r="F120" s="150">
        <f t="shared" si="55"/>
        <v>2877423.7954209591</v>
      </c>
      <c r="G120" s="150">
        <f t="shared" si="55"/>
        <v>2640053.994792874</v>
      </c>
      <c r="H120" s="150">
        <f t="shared" si="55"/>
        <v>1479701.7451674449</v>
      </c>
      <c r="I120" s="150">
        <f t="shared" si="55"/>
        <v>-1457063.955923663</v>
      </c>
      <c r="J120" s="150">
        <f t="shared" si="55"/>
        <v>-1480839.5626332539</v>
      </c>
      <c r="K120" s="150">
        <f t="shared" si="55"/>
        <v>-1502120.9092984938</v>
      </c>
      <c r="L120" s="150">
        <f t="shared" si="55"/>
        <v>-1523825.467766477</v>
      </c>
      <c r="M120" s="150">
        <f t="shared" si="55"/>
        <v>-1553397.1269708255</v>
      </c>
      <c r="N120" s="150">
        <f t="shared" si="55"/>
        <v>-1565585.9636262627</v>
      </c>
      <c r="O120" s="150">
        <f t="shared" si="55"/>
        <v>-1576921.8087438981</v>
      </c>
      <c r="P120" s="150">
        <f t="shared" si="55"/>
        <v>-1596606.1541526038</v>
      </c>
      <c r="Q120" s="150">
        <f t="shared" si="55"/>
        <v>-1622817.5062380775</v>
      </c>
      <c r="R120" s="150">
        <f t="shared" si="55"/>
        <v>-1640968.3218709496</v>
      </c>
      <c r="S120" s="150">
        <f t="shared" si="55"/>
        <v>-1659322.1499231998</v>
      </c>
      <c r="T120" s="150">
        <f t="shared" si="55"/>
        <v>-1677881.261038912</v>
      </c>
      <c r="U120" s="150">
        <f t="shared" si="55"/>
        <v>-1696647.9512587958</v>
      </c>
      <c r="V120" s="150">
        <f t="shared" si="55"/>
        <v>-1715624.5423041948</v>
      </c>
      <c r="W120" s="150"/>
    </row>
  </sheetData>
  <mergeCells count="15">
    <mergeCell ref="B105:B106"/>
    <mergeCell ref="A105:A106"/>
    <mergeCell ref="C105:W105"/>
    <mergeCell ref="A117:B117"/>
    <mergeCell ref="A1:W1"/>
    <mergeCell ref="C4:W4"/>
    <mergeCell ref="C57:W57"/>
    <mergeCell ref="A69:A70"/>
    <mergeCell ref="B69:B70"/>
    <mergeCell ref="C69:W69"/>
    <mergeCell ref="B81:B82"/>
    <mergeCell ref="C81:W81"/>
    <mergeCell ref="B93:B94"/>
    <mergeCell ref="A93:A94"/>
    <mergeCell ref="C93:W93"/>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theme="9" tint="-0.249977111117893"/>
    <pageSetUpPr fitToPage="1"/>
  </sheetPr>
  <dimension ref="A1:Y57"/>
  <sheetViews>
    <sheetView tabSelected="1" workbookViewId="0">
      <selection activeCell="C23" sqref="C23"/>
    </sheetView>
  </sheetViews>
  <sheetFormatPr defaultRowHeight="15"/>
  <cols>
    <col min="1" max="2" width="9.140625" style="70"/>
    <col min="3" max="3" width="35.5703125" bestFit="1" customWidth="1"/>
    <col min="4" max="4" width="33.140625" customWidth="1"/>
    <col min="5" max="5" width="33.28515625" bestFit="1" customWidth="1"/>
    <col min="6" max="6" width="27.42578125" bestFit="1" customWidth="1"/>
    <col min="7" max="7" width="40.85546875" bestFit="1" customWidth="1"/>
    <col min="8" max="8" width="16" bestFit="1" customWidth="1"/>
    <col min="9" max="9" width="30.7109375" bestFit="1" customWidth="1"/>
    <col min="10" max="10" width="29.28515625" style="70" bestFit="1" customWidth="1"/>
    <col min="11" max="12" width="37.42578125" bestFit="1" customWidth="1"/>
    <col min="13" max="13" width="22.7109375" bestFit="1" customWidth="1"/>
    <col min="14" max="14" width="22.28515625" bestFit="1" customWidth="1"/>
    <col min="15" max="15" width="20.42578125" bestFit="1" customWidth="1"/>
    <col min="16" max="16" width="17.7109375" bestFit="1" customWidth="1"/>
    <col min="17" max="17" width="17.7109375" style="70" customWidth="1"/>
    <col min="18" max="18" width="18.42578125" customWidth="1"/>
    <col min="19" max="19" width="20.28515625" customWidth="1"/>
    <col min="20" max="20" width="34.5703125" customWidth="1"/>
    <col min="21" max="21" width="15" bestFit="1" customWidth="1"/>
  </cols>
  <sheetData>
    <row r="1" spans="1:24">
      <c r="C1" s="275"/>
      <c r="D1" s="275"/>
      <c r="E1" s="70"/>
      <c r="F1" s="70"/>
      <c r="G1" s="70"/>
      <c r="H1" s="70"/>
      <c r="I1" s="70"/>
      <c r="J1" s="289" t="s">
        <v>177</v>
      </c>
      <c r="K1" s="289"/>
      <c r="L1" s="289" t="s">
        <v>177</v>
      </c>
      <c r="Q1" s="297" t="s">
        <v>414</v>
      </c>
      <c r="R1" s="297" t="s">
        <v>496</v>
      </c>
      <c r="S1" s="297" t="s">
        <v>415</v>
      </c>
      <c r="T1" s="392"/>
      <c r="U1" s="383"/>
      <c r="V1" s="383"/>
      <c r="W1" s="383"/>
      <c r="X1" s="383"/>
    </row>
    <row r="2" spans="1:24">
      <c r="A2" s="305" t="s">
        <v>10</v>
      </c>
      <c r="B2" s="305" t="s">
        <v>412</v>
      </c>
      <c r="C2" s="275" t="s">
        <v>214</v>
      </c>
      <c r="D2" s="275" t="s">
        <v>356</v>
      </c>
      <c r="E2" s="275" t="s">
        <v>374</v>
      </c>
      <c r="F2" s="275" t="s">
        <v>375</v>
      </c>
      <c r="G2" s="275" t="s">
        <v>378</v>
      </c>
      <c r="H2" s="275" t="s">
        <v>379</v>
      </c>
      <c r="I2" s="275" t="s">
        <v>382</v>
      </c>
      <c r="J2" s="312" t="s">
        <v>408</v>
      </c>
      <c r="K2" s="360" t="s">
        <v>495</v>
      </c>
      <c r="L2" s="312" t="s">
        <v>407</v>
      </c>
      <c r="M2" s="297" t="s">
        <v>384</v>
      </c>
      <c r="N2" s="297" t="s">
        <v>384</v>
      </c>
      <c r="O2" s="297" t="s">
        <v>494</v>
      </c>
      <c r="P2" s="297" t="s">
        <v>391</v>
      </c>
      <c r="Q2" s="297" t="s">
        <v>413</v>
      </c>
      <c r="R2" s="297" t="s">
        <v>413</v>
      </c>
      <c r="S2" s="297" t="s">
        <v>413</v>
      </c>
      <c r="T2" s="392"/>
      <c r="U2" s="392"/>
      <c r="V2" s="392"/>
      <c r="W2" s="392"/>
      <c r="X2" s="383"/>
    </row>
    <row r="3" spans="1:24">
      <c r="A3" s="305">
        <v>3</v>
      </c>
      <c r="B3" s="305" t="s">
        <v>385</v>
      </c>
      <c r="C3" s="2" t="s">
        <v>316</v>
      </c>
      <c r="D3" s="304">
        <f>CostByType_Details!B91</f>
        <v>-12.801495436350621</v>
      </c>
      <c r="E3" s="294">
        <v>1</v>
      </c>
      <c r="F3" s="294">
        <v>1</v>
      </c>
      <c r="G3" s="2" t="s">
        <v>376</v>
      </c>
      <c r="H3" s="2" t="s">
        <v>380</v>
      </c>
      <c r="I3" s="2" t="s">
        <v>381</v>
      </c>
      <c r="J3" s="295">
        <f>'Ag-Ind-Capacity-Base'!I59</f>
        <v>557.00757114508804</v>
      </c>
      <c r="K3" s="295">
        <f>'Ag-Ind-Capacity-Base'!L59</f>
        <v>577.08995514045023</v>
      </c>
      <c r="L3" s="296">
        <f>'Ag-Ind-Capacity-Base'!V59</f>
        <v>645.52420134275189</v>
      </c>
      <c r="M3" s="6">
        <f>J3/J$23</f>
        <v>0.14120957915216442</v>
      </c>
      <c r="N3" s="6">
        <f>L3/K$23</f>
        <v>0.14096240571566893</v>
      </c>
      <c r="O3" s="292">
        <f t="shared" ref="O3:O21" si="0">$J3*E3</f>
        <v>557.00757114508804</v>
      </c>
      <c r="P3" s="292">
        <f t="shared" ref="P3:P21" si="1">$J3*F3</f>
        <v>557.00757114508804</v>
      </c>
      <c r="Q3" s="319">
        <f>$D3*J3*1000</f>
        <v>-7130529.8800265882</v>
      </c>
      <c r="R3" s="319">
        <f>$D3*K3*1000</f>
        <v>-7387614.4270942574</v>
      </c>
      <c r="S3" s="319">
        <f>$D3*L3*1000</f>
        <v>-8263675.1175431181</v>
      </c>
      <c r="T3" s="383"/>
      <c r="U3" s="383"/>
      <c r="V3" s="383"/>
      <c r="W3" s="383"/>
      <c r="X3" s="383"/>
    </row>
    <row r="4" spans="1:24">
      <c r="A4" s="305">
        <v>6</v>
      </c>
      <c r="B4" s="305" t="s">
        <v>385</v>
      </c>
      <c r="C4" s="2" t="s">
        <v>324</v>
      </c>
      <c r="D4" s="304">
        <f>CostByType_Details!B140</f>
        <v>-2.89634952270971</v>
      </c>
      <c r="E4" s="294">
        <v>1</v>
      </c>
      <c r="F4" s="294">
        <v>1</v>
      </c>
      <c r="G4" s="2" t="s">
        <v>377</v>
      </c>
      <c r="H4" s="2" t="s">
        <v>380</v>
      </c>
      <c r="I4" s="2" t="s">
        <v>381</v>
      </c>
      <c r="J4" s="295">
        <f>'Ag-Ind-Capacity-Smart'!I85</f>
        <v>557.00757114508804</v>
      </c>
      <c r="K4" s="295">
        <f>'Ag-Ind-Capacity-Smart'!L85</f>
        <v>577.08995514045023</v>
      </c>
      <c r="L4" s="296">
        <f>'Ag-Ind-Capacity-Smart'!V85</f>
        <v>645.52420134275189</v>
      </c>
      <c r="M4" s="6">
        <f t="shared" ref="M4:M21" si="2">J4/J$23+M3</f>
        <v>0.28241915830432884</v>
      </c>
      <c r="N4" s="6">
        <f t="shared" ref="N4:N21" si="3">L4/K$23+N3</f>
        <v>0.28192481143133785</v>
      </c>
      <c r="O4" s="292">
        <f t="shared" si="0"/>
        <v>557.00757114508804</v>
      </c>
      <c r="P4" s="292">
        <f t="shared" si="1"/>
        <v>557.00757114508804</v>
      </c>
      <c r="Q4" s="319">
        <f t="shared" ref="Q4:R21" si="4">$D4*J4*1000</f>
        <v>-1613288.6128317704</v>
      </c>
      <c r="R4" s="319">
        <f t="shared" si="4"/>
        <v>-1671454.216131611</v>
      </c>
      <c r="S4" s="319">
        <f t="shared" ref="S4:S21" si="5">$D4*L4*1000</f>
        <v>-1869663.7124566461</v>
      </c>
    </row>
    <row r="5" spans="1:24">
      <c r="A5" s="305">
        <v>6</v>
      </c>
      <c r="B5" s="305" t="s">
        <v>385</v>
      </c>
      <c r="C5" s="2" t="s">
        <v>327</v>
      </c>
      <c r="D5" s="304">
        <f>CostByType_Details!B142</f>
        <v>2.8162842750556054</v>
      </c>
      <c r="E5" s="294">
        <v>0.9</v>
      </c>
      <c r="F5" s="294">
        <v>1</v>
      </c>
      <c r="G5" s="2" t="s">
        <v>377</v>
      </c>
      <c r="H5" s="2" t="s">
        <v>380</v>
      </c>
      <c r="I5" s="2" t="s">
        <v>381</v>
      </c>
      <c r="J5" s="295">
        <f>'Ag-Ind-Capacity-Smart'!I87</f>
        <v>278.50378557254402</v>
      </c>
      <c r="K5" s="295">
        <f>'Ag-Ind-Capacity-Smart'!L87</f>
        <v>288.54497757022511</v>
      </c>
      <c r="L5" s="296">
        <f>'Ag-Ind-Capacity-Smart'!V87</f>
        <v>322.76210067137595</v>
      </c>
      <c r="M5" s="6">
        <f t="shared" si="2"/>
        <v>0.35302394788041103</v>
      </c>
      <c r="N5" s="6">
        <f t="shared" si="3"/>
        <v>0.35240601428917229</v>
      </c>
      <c r="O5" s="292">
        <f t="shared" si="0"/>
        <v>250.65340701528962</v>
      </c>
      <c r="P5" s="292">
        <f t="shared" si="1"/>
        <v>278.50378557254402</v>
      </c>
      <c r="Q5" s="319">
        <f t="shared" si="4"/>
        <v>784345.83185141394</v>
      </c>
      <c r="R5" s="319">
        <f t="shared" si="4"/>
        <v>812624.68297729734</v>
      </c>
      <c r="S5" s="319">
        <f>$D5*L5*1000</f>
        <v>908989.82870471035</v>
      </c>
    </row>
    <row r="6" spans="1:24">
      <c r="A6" s="305">
        <v>2</v>
      </c>
      <c r="B6" s="305" t="s">
        <v>385</v>
      </c>
      <c r="C6" s="293" t="s">
        <v>306</v>
      </c>
      <c r="D6" s="304">
        <f>CostByType_Details!B79</f>
        <v>3.8790081167624422</v>
      </c>
      <c r="E6" s="18">
        <v>0.2</v>
      </c>
      <c r="F6" s="294">
        <v>1</v>
      </c>
      <c r="G6" s="2" t="s">
        <v>376</v>
      </c>
      <c r="H6" s="2" t="s">
        <v>4</v>
      </c>
      <c r="I6" s="2" t="s">
        <v>375</v>
      </c>
      <c r="J6" s="295">
        <f>'Com-Capacity-Base'!I57</f>
        <v>46.998706438364039</v>
      </c>
      <c r="K6" s="295">
        <f>'Com-Capacity-Base'!L57</f>
        <v>48.693200586873004</v>
      </c>
      <c r="L6" s="296">
        <f>'Com-Capacity-Base'!V57</f>
        <v>54.467486636487443</v>
      </c>
      <c r="M6" s="6">
        <f t="shared" si="2"/>
        <v>0.36493880846877602</v>
      </c>
      <c r="N6" s="6">
        <f t="shared" si="3"/>
        <v>0.36430001908960363</v>
      </c>
      <c r="O6" s="292">
        <f t="shared" si="0"/>
        <v>9.3997412876728088</v>
      </c>
      <c r="P6" s="292">
        <f t="shared" si="1"/>
        <v>46.998706438364039</v>
      </c>
      <c r="Q6" s="319">
        <f t="shared" si="4"/>
        <v>182308.36375174936</v>
      </c>
      <c r="R6" s="319">
        <f t="shared" si="4"/>
        <v>188881.32030762211</v>
      </c>
      <c r="S6" s="319">
        <f t="shared" si="5"/>
        <v>211279.82276258463</v>
      </c>
    </row>
    <row r="7" spans="1:24">
      <c r="A7" s="305">
        <v>2</v>
      </c>
      <c r="B7" s="305" t="s">
        <v>385</v>
      </c>
      <c r="C7" s="293" t="s">
        <v>305</v>
      </c>
      <c r="D7" s="304">
        <f>CostByType_Details!B78</f>
        <v>11.146941807761703</v>
      </c>
      <c r="E7" s="18">
        <v>0.2</v>
      </c>
      <c r="F7" s="294">
        <v>1</v>
      </c>
      <c r="G7" s="2" t="s">
        <v>376</v>
      </c>
      <c r="H7" s="2" t="s">
        <v>4</v>
      </c>
      <c r="I7" s="2" t="s">
        <v>375</v>
      </c>
      <c r="J7" s="295">
        <f>'Com-Capacity-Base'!I56</f>
        <v>17.546183736989242</v>
      </c>
      <c r="K7" s="295">
        <f>'Com-Capacity-Base'!L56</f>
        <v>18.178794885765921</v>
      </c>
      <c r="L7" s="296">
        <f>'Com-Capacity-Base'!V56</f>
        <v>20.334528344288646</v>
      </c>
      <c r="M7" s="6">
        <f t="shared" si="2"/>
        <v>0.3693870230884323</v>
      </c>
      <c r="N7" s="6">
        <f t="shared" si="3"/>
        <v>0.36874044754843133</v>
      </c>
      <c r="O7" s="292">
        <f t="shared" si="0"/>
        <v>3.5092367473978485</v>
      </c>
      <c r="P7" s="292">
        <f t="shared" si="1"/>
        <v>17.546183736989242</v>
      </c>
      <c r="Q7" s="319">
        <f t="shared" si="4"/>
        <v>195586.28906451387</v>
      </c>
      <c r="R7" s="319">
        <f t="shared" si="4"/>
        <v>202637.96872686877</v>
      </c>
      <c r="S7" s="319">
        <f t="shared" si="5"/>
        <v>226667.80414206648</v>
      </c>
    </row>
    <row r="8" spans="1:24">
      <c r="A8" s="305">
        <v>1</v>
      </c>
      <c r="B8" s="305" t="s">
        <v>386</v>
      </c>
      <c r="C8" s="91" t="s">
        <v>239</v>
      </c>
      <c r="D8" s="304">
        <f>CostByType_Details!B66</f>
        <v>27.888866341245944</v>
      </c>
      <c r="E8" s="294">
        <v>1</v>
      </c>
      <c r="F8" s="18">
        <v>0</v>
      </c>
      <c r="G8" s="2" t="s">
        <v>376</v>
      </c>
      <c r="H8" s="2" t="s">
        <v>3</v>
      </c>
      <c r="I8" s="2" t="s">
        <v>374</v>
      </c>
      <c r="J8" s="295">
        <f>'Res-Capacity-Base'!I84</f>
        <v>279.77242002533995</v>
      </c>
      <c r="K8" s="295">
        <f>'Res-Capacity-Base'!L84</f>
        <v>290.72481788492996</v>
      </c>
      <c r="L8" s="296">
        <f>'Res-Capacity-Base'!V84</f>
        <v>325.3987690913562</v>
      </c>
      <c r="M8" s="6">
        <f t="shared" si="2"/>
        <v>0.44031343008312335</v>
      </c>
      <c r="N8" s="6">
        <f t="shared" si="3"/>
        <v>0.4397974167722391</v>
      </c>
      <c r="O8" s="292">
        <f t="shared" si="0"/>
        <v>279.77242002533995</v>
      </c>
      <c r="P8" s="292">
        <f t="shared" si="1"/>
        <v>0</v>
      </c>
      <c r="Q8" s="319">
        <f t="shared" si="4"/>
        <v>7802535.628053626</v>
      </c>
      <c r="R8" s="319">
        <f t="shared" si="4"/>
        <v>8107985.58807588</v>
      </c>
      <c r="S8" s="319">
        <f t="shared" si="5"/>
        <v>9075002.778794786</v>
      </c>
    </row>
    <row r="9" spans="1:24">
      <c r="A9" s="305">
        <v>6</v>
      </c>
      <c r="B9" s="305" t="s">
        <v>386</v>
      </c>
      <c r="C9" s="2" t="s">
        <v>325</v>
      </c>
      <c r="D9" s="304">
        <f>CostByType_Details!B141</f>
        <v>28.723299484134781</v>
      </c>
      <c r="E9" s="18">
        <v>1</v>
      </c>
      <c r="F9" s="18">
        <v>1</v>
      </c>
      <c r="G9" s="2" t="s">
        <v>377</v>
      </c>
      <c r="H9" s="2" t="s">
        <v>380</v>
      </c>
      <c r="I9" s="2" t="s">
        <v>381</v>
      </c>
      <c r="J9" s="295">
        <f>'Ag-Ind-Capacity-Smart'!I86</f>
        <v>139.25189278627201</v>
      </c>
      <c r="K9" s="295">
        <f>'Ag-Ind-Capacity-Smart'!L86</f>
        <v>144.27248878511256</v>
      </c>
      <c r="L9" s="296">
        <f>'Ag-Ind-Capacity-Smart'!V86</f>
        <v>161.38105033568797</v>
      </c>
      <c r="M9" s="6">
        <f t="shared" si="2"/>
        <v>0.47561582487116444</v>
      </c>
      <c r="N9" s="6">
        <f t="shared" si="3"/>
        <v>0.47503801820115632</v>
      </c>
      <c r="O9" s="292">
        <f t="shared" si="0"/>
        <v>139.25189278627201</v>
      </c>
      <c r="P9" s="292">
        <f t="shared" si="1"/>
        <v>139.25189278627201</v>
      </c>
      <c r="Q9" s="319">
        <f t="shared" si="4"/>
        <v>3999773.8202327187</v>
      </c>
      <c r="R9" s="319">
        <f t="shared" si="4"/>
        <v>4143981.902696264</v>
      </c>
      <c r="S9" s="319">
        <f t="shared" si="5"/>
        <v>4635396.2398561956</v>
      </c>
    </row>
    <row r="10" spans="1:24">
      <c r="A10" s="305">
        <v>1</v>
      </c>
      <c r="B10" s="305" t="s">
        <v>386</v>
      </c>
      <c r="C10" s="107" t="s">
        <v>285</v>
      </c>
      <c r="D10" s="304">
        <f>CostByType_Details!B64</f>
        <v>47.063324955098665</v>
      </c>
      <c r="E10" s="18">
        <v>0</v>
      </c>
      <c r="F10" s="294">
        <v>1</v>
      </c>
      <c r="G10" s="2" t="s">
        <v>376</v>
      </c>
      <c r="H10" s="2" t="s">
        <v>3</v>
      </c>
      <c r="I10" s="2" t="s">
        <v>375</v>
      </c>
      <c r="J10" s="295">
        <f>'Res-Capacity-Base'!I82</f>
        <v>102.32011181699997</v>
      </c>
      <c r="K10" s="295">
        <f>'Res-Capacity-Base'!L82</f>
        <v>106.32569097149998</v>
      </c>
      <c r="L10" s="296">
        <f>'Res-Capacity-Base'!V82</f>
        <v>119.00686434898083</v>
      </c>
      <c r="M10" s="6">
        <f t="shared" si="2"/>
        <v>0.50155547215239937</v>
      </c>
      <c r="N10" s="6">
        <f t="shared" si="3"/>
        <v>0.50102541551393864</v>
      </c>
      <c r="O10" s="292">
        <f t="shared" si="0"/>
        <v>0</v>
      </c>
      <c r="P10" s="292">
        <f t="shared" si="1"/>
        <v>102.32011181699997</v>
      </c>
      <c r="Q10" s="319">
        <f t="shared" si="4"/>
        <v>4815524.6718855007</v>
      </c>
      <c r="R10" s="319">
        <f t="shared" si="4"/>
        <v>5004040.5452671042</v>
      </c>
      <c r="S10" s="319">
        <f t="shared" si="5"/>
        <v>5600858.7287434312</v>
      </c>
    </row>
    <row r="11" spans="1:24">
      <c r="A11" s="305">
        <v>1</v>
      </c>
      <c r="B11" s="305" t="s">
        <v>386</v>
      </c>
      <c r="C11" s="107" t="s">
        <v>215</v>
      </c>
      <c r="D11" s="304">
        <f>CostByType_Details!B67</f>
        <v>48.858484036950806</v>
      </c>
      <c r="E11" s="294">
        <v>1</v>
      </c>
      <c r="F11" s="294">
        <v>1</v>
      </c>
      <c r="G11" s="2" t="s">
        <v>376</v>
      </c>
      <c r="H11" s="2" t="s">
        <v>3</v>
      </c>
      <c r="I11" s="2" t="s">
        <v>381</v>
      </c>
      <c r="J11" s="295">
        <f>'Res-Capacity-Base'!I85</f>
        <v>483.24327095285997</v>
      </c>
      <c r="K11" s="295">
        <f>'Res-Capacity-Base'!L85</f>
        <v>502.16104907396993</v>
      </c>
      <c r="L11" s="296">
        <f>'Res-Capacity-Base'!V85</f>
        <v>562.05241933961531</v>
      </c>
      <c r="M11" s="6">
        <f t="shared" si="2"/>
        <v>0.62406472059777485</v>
      </c>
      <c r="N11" s="6">
        <f t="shared" si="3"/>
        <v>0.62376018053687932</v>
      </c>
      <c r="O11" s="292">
        <f t="shared" si="0"/>
        <v>483.24327095285997</v>
      </c>
      <c r="P11" s="292">
        <f t="shared" si="1"/>
        <v>483.24327095285997</v>
      </c>
      <c r="Q11" s="319">
        <f t="shared" si="4"/>
        <v>23610533.639814202</v>
      </c>
      <c r="R11" s="319">
        <f t="shared" si="4"/>
        <v>24534827.60015903</v>
      </c>
      <c r="S11" s="319">
        <f t="shared" si="5"/>
        <v>27461029.158234175</v>
      </c>
    </row>
    <row r="12" spans="1:24">
      <c r="A12" s="305">
        <v>5</v>
      </c>
      <c r="B12" s="305" t="s">
        <v>386</v>
      </c>
      <c r="C12" s="2" t="s">
        <v>347</v>
      </c>
      <c r="D12" s="304">
        <f>CostByType_Details!B124</f>
        <v>54.737778125855897</v>
      </c>
      <c r="E12" s="18">
        <v>1</v>
      </c>
      <c r="F12" s="18">
        <v>1</v>
      </c>
      <c r="G12" s="2" t="s">
        <v>377</v>
      </c>
      <c r="H12" s="2" t="s">
        <v>4</v>
      </c>
      <c r="I12" s="2" t="s">
        <v>381</v>
      </c>
      <c r="J12" s="295">
        <f>'Com-Capacity-Smart'!I71</f>
        <v>171.06808856875804</v>
      </c>
      <c r="K12" s="295">
        <f>'Com-Capacity-Smart'!L71</f>
        <v>177.23578757674082</v>
      </c>
      <c r="L12" s="295">
        <f>'Com-Capacity-Smart'!V71</f>
        <v>198.25330384928387</v>
      </c>
      <c r="M12" s="6">
        <f t="shared" si="2"/>
        <v>0.66743298710714927</v>
      </c>
      <c r="N12" s="6">
        <f t="shared" si="3"/>
        <v>0.66705253517446483</v>
      </c>
      <c r="O12" s="292">
        <f t="shared" si="0"/>
        <v>171.06808856875804</v>
      </c>
      <c r="P12" s="292">
        <f t="shared" si="1"/>
        <v>171.06808856875804</v>
      </c>
      <c r="Q12" s="319">
        <f t="shared" si="4"/>
        <v>9363887.0764909424</v>
      </c>
      <c r="R12" s="319">
        <f t="shared" si="4"/>
        <v>9701493.2163369674</v>
      </c>
      <c r="S12" s="319">
        <f t="shared" si="5"/>
        <v>10851945.358819993</v>
      </c>
    </row>
    <row r="13" spans="1:24">
      <c r="A13" s="305">
        <v>6</v>
      </c>
      <c r="B13" s="305" t="s">
        <v>386</v>
      </c>
      <c r="C13" s="2" t="s">
        <v>326</v>
      </c>
      <c r="D13" s="304">
        <f>CostByType_Details!B139</f>
        <v>54.737778125855911</v>
      </c>
      <c r="E13" s="294">
        <v>0</v>
      </c>
      <c r="F13" s="18">
        <v>1</v>
      </c>
      <c r="G13" s="2" t="s">
        <v>377</v>
      </c>
      <c r="H13" s="2" t="s">
        <v>380</v>
      </c>
      <c r="I13" s="2" t="s">
        <v>375</v>
      </c>
      <c r="J13" s="295">
        <f>'Ag-Ind-Capacity-Smart'!I84</f>
        <v>4.9147726865743069</v>
      </c>
      <c r="K13" s="295">
        <f>'Ag-Ind-Capacity-Smart'!L84</f>
        <v>5.0919701924157375</v>
      </c>
      <c r="L13" s="296">
        <f>'Ag-Ind-Capacity-Smart'!V84</f>
        <v>5.6958017765536937</v>
      </c>
      <c r="M13" s="6">
        <f t="shared" si="2"/>
        <v>0.66867895398202126</v>
      </c>
      <c r="N13" s="6">
        <f t="shared" si="3"/>
        <v>0.66829632110725012</v>
      </c>
      <c r="O13" s="292">
        <f t="shared" si="0"/>
        <v>0</v>
      </c>
      <c r="P13" s="292">
        <f t="shared" si="1"/>
        <v>4.9147726865743069</v>
      </c>
      <c r="Q13" s="319">
        <f t="shared" si="4"/>
        <v>269023.73685672123</v>
      </c>
      <c r="R13" s="319">
        <f t="shared" si="4"/>
        <v>278723.1346159245</v>
      </c>
      <c r="S13" s="319">
        <f t="shared" si="5"/>
        <v>311775.53389385203</v>
      </c>
    </row>
    <row r="14" spans="1:24">
      <c r="A14" s="305">
        <v>5</v>
      </c>
      <c r="B14" s="305" t="s">
        <v>386</v>
      </c>
      <c r="C14" s="2" t="s">
        <v>312</v>
      </c>
      <c r="D14" s="304">
        <f>CostByType_Details!B123</f>
        <v>55.124745458356394</v>
      </c>
      <c r="E14" s="18">
        <v>0.2</v>
      </c>
      <c r="F14" s="294">
        <v>1</v>
      </c>
      <c r="G14" s="2" t="s">
        <v>377</v>
      </c>
      <c r="H14" s="2" t="s">
        <v>4</v>
      </c>
      <c r="I14" s="2" t="s">
        <v>375</v>
      </c>
      <c r="J14" s="295">
        <f>'Com-Capacity-Smart'!I70</f>
        <v>219.32729671236555</v>
      </c>
      <c r="K14" s="295">
        <f>'Com-Capacity-Smart'!L70</f>
        <v>227.23493607207402</v>
      </c>
      <c r="L14" s="295">
        <f>'Com-Capacity-Smart'!V70</f>
        <v>254.18160430360808</v>
      </c>
      <c r="M14" s="6">
        <f t="shared" si="2"/>
        <v>0.7242816367277245</v>
      </c>
      <c r="N14" s="6">
        <f t="shared" si="3"/>
        <v>0.72380167684259655</v>
      </c>
      <c r="O14" s="292">
        <f t="shared" si="0"/>
        <v>43.865459342473116</v>
      </c>
      <c r="P14" s="292">
        <f t="shared" si="1"/>
        <v>219.32729671236555</v>
      </c>
      <c r="Q14" s="319">
        <f t="shared" si="4"/>
        <v>12090361.403338559</v>
      </c>
      <c r="R14" s="319">
        <f t="shared" si="4"/>
        <v>12526268.010218969</v>
      </c>
      <c r="S14" s="319">
        <f t="shared" si="5"/>
        <v>14011696.237433061</v>
      </c>
    </row>
    <row r="15" spans="1:24">
      <c r="A15" s="305">
        <v>1</v>
      </c>
      <c r="B15" s="305" t="s">
        <v>386</v>
      </c>
      <c r="C15" s="91" t="s">
        <v>286</v>
      </c>
      <c r="D15" s="304">
        <f>CostByType_Details!B65</f>
        <v>61.154496295103471</v>
      </c>
      <c r="E15" s="18">
        <v>0</v>
      </c>
      <c r="F15" s="294">
        <v>1</v>
      </c>
      <c r="G15" s="2" t="s">
        <v>376</v>
      </c>
      <c r="H15" s="2" t="s">
        <v>3</v>
      </c>
      <c r="I15" s="2" t="s">
        <v>375</v>
      </c>
      <c r="J15" s="295">
        <f>'Res-Capacity-Base'!I83</f>
        <v>4.6044050317649994</v>
      </c>
      <c r="K15" s="295">
        <f>'Res-Capacity-Base'!L83</f>
        <v>4.7846560937174987</v>
      </c>
      <c r="L15" s="296">
        <f>'Res-Capacity-Base'!V83</f>
        <v>5.3553088957041384</v>
      </c>
      <c r="M15" s="6">
        <f t="shared" si="2"/>
        <v>0.72544892085538004</v>
      </c>
      <c r="N15" s="6">
        <f t="shared" si="3"/>
        <v>0.72497110972167178</v>
      </c>
      <c r="O15" s="292">
        <f t="shared" si="0"/>
        <v>0</v>
      </c>
      <c r="P15" s="292">
        <f t="shared" si="1"/>
        <v>4.6044050317649994</v>
      </c>
      <c r="Q15" s="319">
        <f t="shared" si="4"/>
        <v>281580.07045622845</v>
      </c>
      <c r="R15" s="319">
        <f t="shared" si="4"/>
        <v>292603.23335659102</v>
      </c>
      <c r="S15" s="319">
        <f t="shared" si="5"/>
        <v>327501.21802147338</v>
      </c>
    </row>
    <row r="16" spans="1:24">
      <c r="A16" s="305">
        <v>3</v>
      </c>
      <c r="B16" s="305" t="s">
        <v>386</v>
      </c>
      <c r="C16" s="2" t="s">
        <v>323</v>
      </c>
      <c r="D16" s="304">
        <f>CostByType_Details!B90</f>
        <v>75.655865942112143</v>
      </c>
      <c r="E16" s="294">
        <v>0</v>
      </c>
      <c r="F16" s="18">
        <v>1</v>
      </c>
      <c r="G16" s="2" t="s">
        <v>376</v>
      </c>
      <c r="H16" s="2" t="s">
        <v>380</v>
      </c>
      <c r="I16" s="2" t="s">
        <v>375</v>
      </c>
      <c r="J16" s="295">
        <f>'Ag-Ind-Capacity-Base'!I58</f>
        <v>9.8295453731486138</v>
      </c>
      <c r="K16" s="295">
        <f>'Ag-Ind-Capacity-Base'!L58</f>
        <v>10.183940384831475</v>
      </c>
      <c r="L16" s="296">
        <f>'Ag-Ind-Capacity-Base'!V58</f>
        <v>11.391603553107387</v>
      </c>
      <c r="M16" s="6">
        <f t="shared" si="2"/>
        <v>0.72794085460512414</v>
      </c>
      <c r="N16" s="6">
        <f t="shared" si="3"/>
        <v>0.72745868158724236</v>
      </c>
      <c r="O16" s="292">
        <f t="shared" si="0"/>
        <v>0</v>
      </c>
      <c r="P16" s="292">
        <f t="shared" si="1"/>
        <v>9.8295453731486138</v>
      </c>
      <c r="Q16" s="319">
        <f t="shared" si="4"/>
        <v>743662.76702284021</v>
      </c>
      <c r="R16" s="319">
        <f t="shared" si="4"/>
        <v>770474.82851727202</v>
      </c>
      <c r="S16" s="319">
        <f t="shared" si="5"/>
        <v>861841.63127958088</v>
      </c>
    </row>
    <row r="17" spans="1:25">
      <c r="A17" s="305">
        <v>5</v>
      </c>
      <c r="B17" s="305" t="s">
        <v>388</v>
      </c>
      <c r="C17" s="2" t="s">
        <v>311</v>
      </c>
      <c r="D17" s="304">
        <f>CostByType_Details!B122</f>
        <v>89.045790879359203</v>
      </c>
      <c r="E17" s="18">
        <v>0.2</v>
      </c>
      <c r="F17" s="294">
        <v>1</v>
      </c>
      <c r="G17" s="2" t="s">
        <v>377</v>
      </c>
      <c r="H17" s="2" t="s">
        <v>4</v>
      </c>
      <c r="I17" s="2" t="s">
        <v>375</v>
      </c>
      <c r="J17" s="295">
        <f>'Com-Capacity-Smart'!I69</f>
        <v>20.470547693154121</v>
      </c>
      <c r="K17" s="295">
        <f>'Com-Capacity-Smart'!L69</f>
        <v>21.208594033393574</v>
      </c>
      <c r="L17" s="295">
        <f>'Com-Capacity-Smart'!V69</f>
        <v>23.723616401670085</v>
      </c>
      <c r="M17" s="6">
        <f t="shared" si="2"/>
        <v>0.73313043832805647</v>
      </c>
      <c r="N17" s="6">
        <f t="shared" si="3"/>
        <v>0.7326391814558747</v>
      </c>
      <c r="O17" s="292">
        <f t="shared" si="0"/>
        <v>4.0941095386308239</v>
      </c>
      <c r="P17" s="292">
        <f t="shared" si="1"/>
        <v>20.470547693154121</v>
      </c>
      <c r="Q17" s="319">
        <f t="shared" si="4"/>
        <v>1822816.1090705507</v>
      </c>
      <c r="R17" s="319">
        <f t="shared" si="4"/>
        <v>1888536.0291427893</v>
      </c>
      <c r="S17" s="319">
        <f t="shared" si="5"/>
        <v>2112488.1850052509</v>
      </c>
    </row>
    <row r="18" spans="1:25">
      <c r="A18" s="305">
        <v>4</v>
      </c>
      <c r="B18" s="305" t="s">
        <v>388</v>
      </c>
      <c r="C18" s="2" t="s">
        <v>328</v>
      </c>
      <c r="D18" s="304">
        <f>CostByType_Details!B109</f>
        <v>152.09804593591335</v>
      </c>
      <c r="E18" s="294">
        <v>1</v>
      </c>
      <c r="F18" s="294">
        <v>1</v>
      </c>
      <c r="G18" s="2" t="s">
        <v>377</v>
      </c>
      <c r="H18" s="2" t="s">
        <v>3</v>
      </c>
      <c r="I18" s="2" t="s">
        <v>381</v>
      </c>
      <c r="J18" s="295">
        <f>'Res-Capacity-Smart'!I85</f>
        <v>53.69369677253998</v>
      </c>
      <c r="K18" s="295">
        <f>'Res-Capacity-Smart'!L85</f>
        <v>55.795672119329978</v>
      </c>
      <c r="L18" s="296">
        <f>'Res-Capacity-Smart'!V85</f>
        <v>62.450268815512793</v>
      </c>
      <c r="M18" s="6">
        <f t="shared" si="2"/>
        <v>0.74674257704420932</v>
      </c>
      <c r="N18" s="6">
        <f t="shared" si="3"/>
        <v>0.7462763775695348</v>
      </c>
      <c r="O18" s="292">
        <f t="shared" si="0"/>
        <v>53.69369677253998</v>
      </c>
      <c r="P18" s="292">
        <f t="shared" si="1"/>
        <v>53.69369677253998</v>
      </c>
      <c r="Q18" s="319">
        <f t="shared" si="4"/>
        <v>8166706.3581787879</v>
      </c>
      <c r="R18" s="319">
        <f t="shared" si="4"/>
        <v>8486412.7010310106</v>
      </c>
      <c r="S18" s="319">
        <f t="shared" si="5"/>
        <v>9498563.8550120015</v>
      </c>
    </row>
    <row r="19" spans="1:25">
      <c r="A19" s="305">
        <v>4</v>
      </c>
      <c r="B19" s="305" t="s">
        <v>388</v>
      </c>
      <c r="C19" s="2" t="s">
        <v>282</v>
      </c>
      <c r="D19" s="304">
        <f>CostByType_Details!B106</f>
        <v>153.08506177241881</v>
      </c>
      <c r="E19" s="18">
        <v>0</v>
      </c>
      <c r="F19" s="294">
        <v>1</v>
      </c>
      <c r="G19" s="2" t="s">
        <v>377</v>
      </c>
      <c r="H19" s="2" t="s">
        <v>3</v>
      </c>
      <c r="I19" s="2" t="s">
        <v>375</v>
      </c>
      <c r="J19" s="295">
        <f>'Res-Capacity-Smart'!I82</f>
        <v>238.74692757299991</v>
      </c>
      <c r="K19" s="295">
        <f>'Res-Capacity-Smart'!L82</f>
        <v>248.09327893349993</v>
      </c>
      <c r="L19" s="296">
        <f>'Res-Capacity-Smart'!V82</f>
        <v>277.68268348095523</v>
      </c>
      <c r="M19" s="6">
        <f t="shared" si="2"/>
        <v>0.80726842070042426</v>
      </c>
      <c r="N19" s="6">
        <f t="shared" si="3"/>
        <v>0.806913637966027</v>
      </c>
      <c r="O19" s="292">
        <f t="shared" si="0"/>
        <v>0</v>
      </c>
      <c r="P19" s="292">
        <f t="shared" si="1"/>
        <v>238.74692757299991</v>
      </c>
      <c r="Q19" s="319">
        <f t="shared" si="4"/>
        <v>36548588.155487895</v>
      </c>
      <c r="R19" s="319">
        <f t="shared" si="4"/>
        <v>37979374.930856764</v>
      </c>
      <c r="S19" s="319">
        <f t="shared" si="5"/>
        <v>42509070.753813051</v>
      </c>
    </row>
    <row r="20" spans="1:25">
      <c r="A20" s="305">
        <v>4</v>
      </c>
      <c r="B20" s="305" t="s">
        <v>388</v>
      </c>
      <c r="C20" s="2" t="s">
        <v>283</v>
      </c>
      <c r="D20" s="304">
        <f>CostByType_Details!B107</f>
        <v>153.08506177241884</v>
      </c>
      <c r="E20" s="18">
        <v>0</v>
      </c>
      <c r="F20" s="294">
        <v>1</v>
      </c>
      <c r="G20" s="2" t="s">
        <v>377</v>
      </c>
      <c r="H20" s="2" t="s">
        <v>3</v>
      </c>
      <c r="I20" s="2" t="s">
        <v>375</v>
      </c>
      <c r="J20" s="295">
        <f>'Res-Capacity-Smart'!I83</f>
        <v>107.43611740784996</v>
      </c>
      <c r="K20" s="295">
        <f>'Res-Capacity-Smart'!L83</f>
        <v>111.64197552007499</v>
      </c>
      <c r="L20" s="296">
        <f>'Res-Capacity-Smart'!V83</f>
        <v>124.95720756642989</v>
      </c>
      <c r="M20" s="6">
        <f t="shared" si="2"/>
        <v>0.83450505034572098</v>
      </c>
      <c r="N20" s="6">
        <f t="shared" si="3"/>
        <v>0.83420040514444849</v>
      </c>
      <c r="O20" s="292">
        <f t="shared" si="0"/>
        <v>0</v>
      </c>
      <c r="P20" s="292">
        <f t="shared" si="1"/>
        <v>107.43611740784996</v>
      </c>
      <c r="Q20" s="319">
        <f t="shared" si="4"/>
        <v>16446864.669969557</v>
      </c>
      <c r="R20" s="319">
        <f t="shared" si="4"/>
        <v>17090718.718885552</v>
      </c>
      <c r="S20" s="319">
        <f t="shared" si="5"/>
        <v>19129081.839215882</v>
      </c>
    </row>
    <row r="21" spans="1:25">
      <c r="A21" s="305">
        <v>4</v>
      </c>
      <c r="B21" s="305" t="s">
        <v>388</v>
      </c>
      <c r="C21" s="2" t="s">
        <v>284</v>
      </c>
      <c r="D21" s="304">
        <f>CostByType_Details!B108</f>
        <v>153.08506177241887</v>
      </c>
      <c r="E21" s="294">
        <v>1</v>
      </c>
      <c r="F21" s="18">
        <v>0</v>
      </c>
      <c r="G21" s="2" t="s">
        <v>377</v>
      </c>
      <c r="H21" s="2" t="s">
        <v>3</v>
      </c>
      <c r="I21" s="2" t="s">
        <v>374</v>
      </c>
      <c r="J21" s="295">
        <f>'Res-Capacity-Smart'!I84</f>
        <v>652.80231339245984</v>
      </c>
      <c r="K21" s="295">
        <f>'Res-Capacity-Smart'!L84</f>
        <v>678.35790839816991</v>
      </c>
      <c r="L21" s="296">
        <f>'Res-Capacity-Smart'!V84</f>
        <v>759.26379454649782</v>
      </c>
      <c r="M21" s="6">
        <f t="shared" si="2"/>
        <v>1</v>
      </c>
      <c r="N21" s="6">
        <f t="shared" si="3"/>
        <v>1</v>
      </c>
      <c r="O21" s="292">
        <f t="shared" si="0"/>
        <v>652.80231339245984</v>
      </c>
      <c r="P21" s="292">
        <f t="shared" si="1"/>
        <v>0</v>
      </c>
      <c r="Q21" s="319">
        <f t="shared" si="4"/>
        <v>99934282.470862657</v>
      </c>
      <c r="R21" s="319">
        <f t="shared" si="4"/>
        <v>103846462.31094271</v>
      </c>
      <c r="S21" s="319">
        <f t="shared" si="5"/>
        <v>116231944.88971177</v>
      </c>
    </row>
    <row r="22" spans="1:25">
      <c r="K22" s="292"/>
    </row>
    <row r="23" spans="1:25">
      <c r="D23" s="70"/>
      <c r="J23" s="292">
        <f>SUM(J3:J21)</f>
        <v>3944.5452248311608</v>
      </c>
      <c r="K23" s="292">
        <f>SUM(L3:L21)</f>
        <v>4579.4068146426189</v>
      </c>
    </row>
    <row r="24" spans="1:25">
      <c r="C24" s="2" t="s">
        <v>416</v>
      </c>
      <c r="D24" s="320">
        <v>2021</v>
      </c>
      <c r="E24" s="320">
        <v>2025</v>
      </c>
      <c r="F24" s="320">
        <v>2035</v>
      </c>
      <c r="G24" s="298" t="s">
        <v>387</v>
      </c>
      <c r="H24" s="298" t="s">
        <v>389</v>
      </c>
      <c r="I24" s="320" t="s">
        <v>497</v>
      </c>
      <c r="J24" s="320" t="s">
        <v>498</v>
      </c>
      <c r="K24" s="320" t="s">
        <v>508</v>
      </c>
      <c r="L24" s="320" t="s">
        <v>503</v>
      </c>
      <c r="M24" s="320" t="s">
        <v>504</v>
      </c>
      <c r="N24" s="320" t="s">
        <v>507</v>
      </c>
      <c r="O24" s="320" t="s">
        <v>505</v>
      </c>
      <c r="P24" s="320" t="s">
        <v>506</v>
      </c>
      <c r="Y24" s="70"/>
    </row>
    <row r="25" spans="1:25">
      <c r="C25" s="298" t="s">
        <v>385</v>
      </c>
      <c r="D25" s="378">
        <f>SUMIF($B$3:$B$21,$C25,Q$3:Q$21)/SUMIF($B$3:$B$21,$C25,J$3:J$21)/1000</f>
        <v>-5.2033259726394308</v>
      </c>
      <c r="E25" s="378">
        <f>SUMIF($B$3:$B$21,$C25,R$3:R$21)/SUMIF($B$3:$B$21,$C25,K$3:K$21)/1000</f>
        <v>-5.2033259726394316</v>
      </c>
      <c r="F25" s="378">
        <f>SUMIF($B$3:$B$21,$C25,S$3:S$21)/SUMIF($B$3:$B$21,$C25,L$3:L$21)/1000</f>
        <v>-5.2033259726394308</v>
      </c>
      <c r="G25" s="294">
        <f>SUMIF($B$3:$B$21,$C25,J$3:J$21)/$J$23</f>
        <v>0.3693870230884323</v>
      </c>
      <c r="H25" s="299">
        <f>STDEV(D3:D8)</f>
        <v>13.761945533811764</v>
      </c>
      <c r="I25" s="378">
        <f>MAX($D$35:$D$39)</f>
        <v>11.146941807761703</v>
      </c>
      <c r="J25" s="378">
        <f>MIN($D$35:$D$39)</f>
        <v>-12.801495436350621</v>
      </c>
      <c r="K25" s="295">
        <f>SetupForRPM!$B30*SUMIF($B$3:$B$21,$C25,J$3:J$21)</f>
        <v>1376.5375332925782</v>
      </c>
      <c r="L25" s="295">
        <f>SetupForRPM!$B30*SUMIF($B$3:$B$21,$C25,K$3:K$21)</f>
        <v>1426.1672991336056</v>
      </c>
      <c r="M25" s="295">
        <f>SetupForRPM!$B30*SUMIF($B$3:$B$21,$C25,L$3:L$21)</f>
        <v>1595.2894320094545</v>
      </c>
      <c r="N25" s="295">
        <f>SetupForRPM!$D30*SUMIF($B$3:$B$21,$C25,J$3:J$21)</f>
        <v>1457.0638180380736</v>
      </c>
      <c r="O25" s="295">
        <f>SetupForRPM!$D30*SUMIF($B$3:$B$21,$C25,K$3:K$21)</f>
        <v>1509.5968833237646</v>
      </c>
      <c r="P25" s="295">
        <f>SetupForRPM!$D30*SUMIF($B$3:$B$21,$C25,L$3:L$21)</f>
        <v>1688.6125183376562</v>
      </c>
      <c r="Q25" s="291"/>
      <c r="Y25" s="70"/>
    </row>
    <row r="26" spans="1:25">
      <c r="C26" s="300" t="s">
        <v>386</v>
      </c>
      <c r="D26" s="378">
        <f>SUMIF($B$3:$B$21,$C26,Q$3:Q$21)/SUMIF($B$3:$B$21,$C26,J$3:J$21)/1000</f>
        <v>44.527657964054306</v>
      </c>
      <c r="E26" s="378">
        <f t="shared" ref="E26:E27" si="6">SUMIF($B$3:$B$21,$C26,R$3:R$21)/SUMIF($B$3:$B$21,$C26,K$3:K$21)/1000</f>
        <v>44.522966763577273</v>
      </c>
      <c r="F26" s="378">
        <f>SUMIF($B$3:$B$21,$C26,S$3:S$21)/SUMIF($B$3:$B$21,$C26,L$3:L$21)/1000</f>
        <v>44.522007811838186</v>
      </c>
      <c r="G26" s="294">
        <f>SUMIF($B$3:$B$21,$C26,J$3:J$21)/$J$23</f>
        <v>0.35855383151669185</v>
      </c>
      <c r="H26" s="299">
        <f>STDEV(D9:D15)</f>
        <v>10.47362675285644</v>
      </c>
      <c r="I26" s="378">
        <f>MAX($D$40:$D$48)</f>
        <v>75.655865942112143</v>
      </c>
      <c r="J26" s="378">
        <f>MIN($D$40:$D$48)</f>
        <v>27.888866341245944</v>
      </c>
      <c r="K26" s="295">
        <f>SetupForRPM!$B31*SUMIF($B$3:$B$21,$C26,J$3:J$21)</f>
        <v>1118.031456247234</v>
      </c>
      <c r="L26" s="295">
        <f>SetupForRPM!$B31*SUMIF($B$3:$B$21,$C26,K$3:K$21)</f>
        <v>1160.4683713328466</v>
      </c>
      <c r="M26" s="295">
        <f>SetupForRPM!$B31*SUMIF($B$3:$B$21,$C26,L$3:L$21)</f>
        <v>1298.5700863623201</v>
      </c>
      <c r="N26" s="295">
        <f>SetupForRPM!$D31*SUMIF($B$3:$B$21,$C26,J$3:J$21)</f>
        <v>1129.5400528644482</v>
      </c>
      <c r="O26" s="295">
        <f>SetupForRPM!$D31*SUMIF($B$3:$B$21,$C26,K$3:K$21)</f>
        <v>1172.413797642705</v>
      </c>
      <c r="P26" s="295">
        <f>SetupForRPM!$D31*SUMIF($B$3:$B$21,$C26,L$3:L$21)</f>
        <v>1311.937079946998</v>
      </c>
      <c r="Q26" s="291"/>
      <c r="Y26" s="70"/>
    </row>
    <row r="27" spans="1:25">
      <c r="C27" s="300" t="s">
        <v>388</v>
      </c>
      <c r="D27" s="378">
        <f>SUMIF($B$3:$B$21,$C27,Q$3:Q$21)/SUMIF($B$3:$B$21,$C27,J$3:J$21)/1000</f>
        <v>151.81411550874975</v>
      </c>
      <c r="E27" s="378">
        <f t="shared" si="6"/>
        <v>151.81768004074598</v>
      </c>
      <c r="F27" s="378">
        <f>SUMIF($B$3:$B$21,$C27,S$3:S$21)/SUMIF($B$3:$B$21,$C27,L$3:L$21)/1000</f>
        <v>151.81840772895487</v>
      </c>
      <c r="G27" s="294">
        <f>SUMIF($B$3:$B$21,$C27,J$3:J$21)/$J$23</f>
        <v>0.2720591453948758</v>
      </c>
      <c r="H27" s="299">
        <f>STDEV(D16:D21)</f>
        <v>36.647024522626239</v>
      </c>
      <c r="I27" s="378">
        <f>MAX($D$49:$D$53)</f>
        <v>153.08506177241887</v>
      </c>
      <c r="J27" s="378">
        <f>MIN($D$49:$D$53)</f>
        <v>89.045790879359203</v>
      </c>
      <c r="K27" s="295">
        <f>SetupForRPM!$B32*SUMIF($B$3:$B$21,$C27,J$3:J$21)</f>
        <v>710.78275286127439</v>
      </c>
      <c r="L27" s="295">
        <f>SetupForRPM!$B32*SUMIF($B$3:$B$21,$C27,K$3:K$21)</f>
        <v>738.56619636212247</v>
      </c>
      <c r="M27" s="295">
        <f>SetupForRPM!$B32*SUMIF($B$3:$B$21,$C27,L$3:L$21)</f>
        <v>826.64337685878832</v>
      </c>
      <c r="N27" s="295">
        <f>SetupForRPM!$D32*SUMIF($B$3:$B$21,$C27,J$3:J$21)</f>
        <v>420.6190267047611</v>
      </c>
      <c r="O27" s="295">
        <f>SetupForRPM!$D32*SUMIF($B$3:$B$21,$C27,K$3:K$21)</f>
        <v>437.06040055181933</v>
      </c>
      <c r="P27" s="295">
        <f>SetupForRPM!$D32*SUMIF($B$3:$B$21,$C27,L$3:L$21)</f>
        <v>489.18172424217863</v>
      </c>
      <c r="Q27" s="291"/>
      <c r="Y27" s="70"/>
    </row>
    <row r="28" spans="1:25">
      <c r="H28" s="377" t="s">
        <v>499</v>
      </c>
    </row>
    <row r="29" spans="1:25" s="70" customFormat="1">
      <c r="C29" s="2" t="s">
        <v>416</v>
      </c>
      <c r="D29" s="320">
        <v>2021</v>
      </c>
      <c r="E29" s="320">
        <v>2025</v>
      </c>
      <c r="F29" s="320">
        <v>2035</v>
      </c>
      <c r="G29" s="298" t="s">
        <v>387</v>
      </c>
      <c r="H29" s="298" t="s">
        <v>389</v>
      </c>
      <c r="I29" s="377"/>
    </row>
    <row r="30" spans="1:25" s="70" customFormat="1">
      <c r="C30" s="298" t="s">
        <v>374</v>
      </c>
      <c r="D30" s="301">
        <f>SUMIF($I$3:$I$21,$C30,Q$3:Q$21)/SUMIF($I$3:$I$21,$C30,J$3:J$21)/1000</f>
        <v>115.52620314306699</v>
      </c>
      <c r="E30" s="301">
        <f>SUMIF($I$3:$I$21,$C30,R$3:R$21)/SUMIF($I$3:$I$21,$C30,K$3:K$21)/1000</f>
        <v>115.52620314306699</v>
      </c>
      <c r="F30" s="301">
        <f>SUMIF($I$3:$I$21,$C30,S$3:S$21)/SUMIF($I$3:$I$21,$C30,L$3:L$21)/1000</f>
        <v>115.52620314306699</v>
      </c>
      <c r="G30" s="18">
        <f>SUMIF($I$3:$I$21,$C30,J$3:J$21)/$J$23</f>
        <v>0.23642135664897007</v>
      </c>
      <c r="H30" s="302">
        <f>STDEV(D8,D21)</f>
        <v>88.527078768138622</v>
      </c>
      <c r="I30" s="377"/>
    </row>
    <row r="31" spans="1:25" s="70" customFormat="1">
      <c r="C31" s="298" t="s">
        <v>381</v>
      </c>
      <c r="D31" s="301">
        <f>SUMIF($I$3:$I$21,$C31,Q$3:Q$21)/SUMIF($I$3:$I$21,$C31,J$3:J$21)/1000</f>
        <v>16.600512853301638</v>
      </c>
      <c r="E31" s="301">
        <f t="shared" ref="E31:E32" si="7">SUMIF($I$3:$I$21,$C31,R$3:R$21)/SUMIF($I$3:$I$21,$C31,K$3:K$21)/1000</f>
        <v>16.630970491553022</v>
      </c>
      <c r="F31" s="301">
        <f>SUMIF($I$3:$I$21,$C31,S$3:S$21)/SUMIF($I$3:$I$21,$C31,L$3:L$21)/1000</f>
        <v>16.63720488976675</v>
      </c>
      <c r="G31" s="18">
        <f>SUMIF($I$3:$I$21,$C31,J$3:J$21)/$J$23</f>
        <v>0.56781599633935487</v>
      </c>
      <c r="H31" s="303">
        <f>STDEV(D3,D4,D6,D9,D11,D14,D18)</f>
        <v>56.163687506838137</v>
      </c>
      <c r="I31" s="377"/>
    </row>
    <row r="32" spans="1:25" s="70" customFormat="1">
      <c r="C32" s="298" t="s">
        <v>375</v>
      </c>
      <c r="D32" s="301">
        <f>SUMIF($I$3:$I$21,$C32,Q$3:Q$21)/SUMIF($I$3:$I$21,$C32,J$3:J$21)/1000</f>
        <v>95.048987472232042</v>
      </c>
      <c r="E32" s="301">
        <f t="shared" si="7"/>
        <v>95.106983002807567</v>
      </c>
      <c r="F32" s="301">
        <f>SUMIF($I$3:$I$21,$C32,S$3:S$21)/SUMIF($I$3:$I$21,$C32,L$3:L$21)/1000</f>
        <v>95.118839363971617</v>
      </c>
      <c r="G32" s="18">
        <f>SUMIF($I$3:$I$21,$C32,J$3:J$21)/$J$23</f>
        <v>0.19576264701167501</v>
      </c>
      <c r="H32" s="302">
        <f>STDEV(D5,D7,D10,D12,D13,D15,D16,D17,D19,D20)</f>
        <v>50.824191117635458</v>
      </c>
      <c r="I32" s="377"/>
    </row>
    <row r="33" spans="2:8" s="70" customFormat="1">
      <c r="H33" s="377"/>
    </row>
    <row r="34" spans="2:8">
      <c r="B34" s="71" t="s">
        <v>412</v>
      </c>
      <c r="C34" s="265" t="s">
        <v>491</v>
      </c>
      <c r="D34" s="70" t="s">
        <v>490</v>
      </c>
      <c r="E34" s="70" t="s">
        <v>492</v>
      </c>
      <c r="F34" s="70" t="s">
        <v>493</v>
      </c>
    </row>
    <row r="35" spans="2:8">
      <c r="B35" s="361" t="s">
        <v>385</v>
      </c>
      <c r="C35" s="201" t="s">
        <v>477</v>
      </c>
      <c r="D35" s="362">
        <f t="shared" ref="D35:D53" si="8">D3</f>
        <v>-12.801495436350621</v>
      </c>
      <c r="E35" s="363">
        <f>VLOOKUP(B35,$C$25:$D$27,2)</f>
        <v>-5.2033259726394308</v>
      </c>
      <c r="F35" s="364">
        <f>M3</f>
        <v>0.14120957915216442</v>
      </c>
      <c r="G35" s="376">
        <f>F35/SUM($F$35:$F$39)</f>
        <v>0.38228083372154209</v>
      </c>
      <c r="H35" s="70"/>
    </row>
    <row r="36" spans="2:8">
      <c r="B36" s="361" t="s">
        <v>385</v>
      </c>
      <c r="C36" s="201" t="s">
        <v>478</v>
      </c>
      <c r="D36" s="362">
        <f t="shared" si="8"/>
        <v>-2.89634952270971</v>
      </c>
      <c r="E36" s="363">
        <f t="shared" ref="E36:E53" si="9">VLOOKUP(B36,$C$25:$D$27,2)</f>
        <v>-5.2033259726394308</v>
      </c>
      <c r="F36" s="365">
        <f>M4-M3</f>
        <v>0.14120957915216442</v>
      </c>
      <c r="G36" s="376">
        <f t="shared" ref="G36:G39" si="10">F36/SUM($F$35:$F$39)</f>
        <v>0.38228083372154209</v>
      </c>
    </row>
    <row r="37" spans="2:8">
      <c r="B37" s="361" t="s">
        <v>385</v>
      </c>
      <c r="C37" s="201" t="s">
        <v>487</v>
      </c>
      <c r="D37" s="362">
        <f t="shared" si="8"/>
        <v>2.8162842750556054</v>
      </c>
      <c r="E37" s="363">
        <f t="shared" si="9"/>
        <v>-5.2033259726394308</v>
      </c>
      <c r="F37" s="365">
        <f t="shared" ref="F37:F53" si="11">M5-M4</f>
        <v>7.0604789576082183E-2</v>
      </c>
      <c r="G37" s="376">
        <f t="shared" si="10"/>
        <v>0.19114041686077099</v>
      </c>
    </row>
    <row r="38" spans="2:8">
      <c r="B38" s="361" t="s">
        <v>385</v>
      </c>
      <c r="C38" s="201" t="s">
        <v>479</v>
      </c>
      <c r="D38" s="362">
        <f t="shared" si="8"/>
        <v>3.8790081167624422</v>
      </c>
      <c r="E38" s="363">
        <f t="shared" si="9"/>
        <v>-5.2033259726394308</v>
      </c>
      <c r="F38" s="365">
        <f t="shared" si="11"/>
        <v>1.1914860588364995E-2</v>
      </c>
      <c r="G38" s="376">
        <f t="shared" si="10"/>
        <v>3.2255763856416104E-2</v>
      </c>
    </row>
    <row r="39" spans="2:8">
      <c r="B39" s="361" t="s">
        <v>385</v>
      </c>
      <c r="C39" s="201" t="s">
        <v>471</v>
      </c>
      <c r="D39" s="362">
        <f t="shared" si="8"/>
        <v>11.146941807761703</v>
      </c>
      <c r="E39" s="363">
        <f t="shared" si="9"/>
        <v>-5.2033259726394308</v>
      </c>
      <c r="F39" s="365">
        <f t="shared" si="11"/>
        <v>4.4482146196562766E-3</v>
      </c>
      <c r="G39" s="376">
        <f t="shared" si="10"/>
        <v>1.2042151839728711E-2</v>
      </c>
    </row>
    <row r="40" spans="2:8">
      <c r="B40" s="366" t="s">
        <v>386</v>
      </c>
      <c r="C40" s="367" t="s">
        <v>484</v>
      </c>
      <c r="D40" s="368">
        <f t="shared" si="8"/>
        <v>27.888866341245944</v>
      </c>
      <c r="E40" s="369">
        <f t="shared" si="9"/>
        <v>44.527657964054306</v>
      </c>
      <c r="F40" s="370">
        <f t="shared" si="11"/>
        <v>7.0926406994691049E-2</v>
      </c>
      <c r="G40" s="376">
        <f>F40/SUM($F$40:$F$48)</f>
        <v>0.19781243640507351</v>
      </c>
    </row>
    <row r="41" spans="2:8">
      <c r="B41" s="366" t="s">
        <v>386</v>
      </c>
      <c r="C41" s="367" t="s">
        <v>483</v>
      </c>
      <c r="D41" s="368">
        <f t="shared" si="8"/>
        <v>28.723299484134781</v>
      </c>
      <c r="E41" s="369">
        <f t="shared" si="9"/>
        <v>44.527657964054306</v>
      </c>
      <c r="F41" s="370">
        <f t="shared" si="11"/>
        <v>3.5302394788041092E-2</v>
      </c>
      <c r="G41" s="376">
        <f t="shared" ref="G41:G48" si="12">F41/SUM($F$40:$F$48)</f>
        <v>9.8457725688527883E-2</v>
      </c>
    </row>
    <row r="42" spans="2:8">
      <c r="B42" s="366" t="s">
        <v>386</v>
      </c>
      <c r="C42" s="367" t="s">
        <v>472</v>
      </c>
      <c r="D42" s="368">
        <f t="shared" si="8"/>
        <v>47.063324955098665</v>
      </c>
      <c r="E42" s="369">
        <f t="shared" si="9"/>
        <v>44.527657964054306</v>
      </c>
      <c r="F42" s="370">
        <f t="shared" si="11"/>
        <v>2.5939647281234934E-2</v>
      </c>
      <c r="G42" s="376">
        <f t="shared" si="12"/>
        <v>7.2345196177404009E-2</v>
      </c>
    </row>
    <row r="43" spans="2:8">
      <c r="B43" s="366" t="s">
        <v>386</v>
      </c>
      <c r="C43" s="367" t="s">
        <v>488</v>
      </c>
      <c r="D43" s="368">
        <f t="shared" si="8"/>
        <v>48.858484036950806</v>
      </c>
      <c r="E43" s="369">
        <f t="shared" si="9"/>
        <v>44.527657964054306</v>
      </c>
      <c r="F43" s="370">
        <f t="shared" si="11"/>
        <v>0.12250924844537547</v>
      </c>
      <c r="G43" s="376">
        <f t="shared" si="12"/>
        <v>0.34167602651785434</v>
      </c>
    </row>
    <row r="44" spans="2:8">
      <c r="B44" s="366" t="s">
        <v>386</v>
      </c>
      <c r="C44" s="367" t="s">
        <v>473</v>
      </c>
      <c r="D44" s="368">
        <f t="shared" si="8"/>
        <v>54.737778125855897</v>
      </c>
      <c r="E44" s="369">
        <f t="shared" si="9"/>
        <v>44.527657964054306</v>
      </c>
      <c r="F44" s="370">
        <f t="shared" si="11"/>
        <v>4.336826650937442E-2</v>
      </c>
      <c r="G44" s="376">
        <f t="shared" si="12"/>
        <v>0.12095329263649351</v>
      </c>
    </row>
    <row r="45" spans="2:8">
      <c r="B45" s="366" t="s">
        <v>386</v>
      </c>
      <c r="C45" s="367" t="s">
        <v>485</v>
      </c>
      <c r="D45" s="368">
        <f t="shared" si="8"/>
        <v>54.737778125855911</v>
      </c>
      <c r="E45" s="369">
        <f t="shared" si="9"/>
        <v>44.527657964054306</v>
      </c>
      <c r="F45" s="370">
        <f t="shared" si="11"/>
        <v>1.2459668748719954E-3</v>
      </c>
      <c r="G45" s="376">
        <f t="shared" si="12"/>
        <v>3.4749785537126288E-3</v>
      </c>
    </row>
    <row r="46" spans="2:8">
      <c r="B46" s="366" t="s">
        <v>386</v>
      </c>
      <c r="C46" s="367" t="s">
        <v>480</v>
      </c>
      <c r="D46" s="368">
        <f t="shared" si="8"/>
        <v>55.124745458356394</v>
      </c>
      <c r="E46" s="369">
        <f t="shared" si="9"/>
        <v>44.527657964054306</v>
      </c>
      <c r="F46" s="370">
        <f t="shared" si="11"/>
        <v>5.5602682745703236E-2</v>
      </c>
      <c r="G46" s="376">
        <f t="shared" si="12"/>
        <v>0.15507485308552546</v>
      </c>
    </row>
    <row r="47" spans="2:8">
      <c r="B47" s="366" t="s">
        <v>386</v>
      </c>
      <c r="C47" s="367" t="s">
        <v>481</v>
      </c>
      <c r="D47" s="368">
        <f t="shared" si="8"/>
        <v>61.154496295103471</v>
      </c>
      <c r="E47" s="369">
        <f t="shared" si="9"/>
        <v>44.527657964054306</v>
      </c>
      <c r="F47" s="370">
        <f t="shared" si="11"/>
        <v>1.1672841276555435E-3</v>
      </c>
      <c r="G47" s="376">
        <f t="shared" si="12"/>
        <v>3.2555338279831006E-3</v>
      </c>
    </row>
    <row r="48" spans="2:8">
      <c r="B48" s="366" t="s">
        <v>386</v>
      </c>
      <c r="C48" s="367" t="s">
        <v>474</v>
      </c>
      <c r="D48" s="368">
        <f t="shared" si="8"/>
        <v>75.655865942112143</v>
      </c>
      <c r="E48" s="369">
        <f t="shared" si="9"/>
        <v>44.527657964054306</v>
      </c>
      <c r="F48" s="370">
        <f t="shared" si="11"/>
        <v>2.4919337497441019E-3</v>
      </c>
      <c r="G48" s="376">
        <f t="shared" si="12"/>
        <v>6.9499571074255672E-3</v>
      </c>
    </row>
    <row r="49" spans="2:7">
      <c r="B49" s="371" t="s">
        <v>388</v>
      </c>
      <c r="C49" s="372" t="s">
        <v>475</v>
      </c>
      <c r="D49" s="373">
        <f t="shared" si="8"/>
        <v>89.045790879359203</v>
      </c>
      <c r="E49" s="374">
        <f t="shared" si="9"/>
        <v>151.81411550874975</v>
      </c>
      <c r="F49" s="375">
        <f t="shared" si="11"/>
        <v>5.1895837229323227E-3</v>
      </c>
      <c r="G49" s="376">
        <f>F49/SUM($F$49:$F$53)</f>
        <v>1.9075204089904735E-2</v>
      </c>
    </row>
    <row r="50" spans="2:7">
      <c r="B50" s="371" t="s">
        <v>388</v>
      </c>
      <c r="C50" s="372" t="s">
        <v>489</v>
      </c>
      <c r="D50" s="373">
        <f t="shared" si="8"/>
        <v>152.09804593591335</v>
      </c>
      <c r="E50" s="374">
        <f t="shared" si="9"/>
        <v>151.81411550874975</v>
      </c>
      <c r="F50" s="375">
        <f t="shared" si="11"/>
        <v>1.3612138716152855E-2</v>
      </c>
      <c r="G50" s="376">
        <f t="shared" ref="G50:G53" si="13">F50/SUM($F$49:$F$53)</f>
        <v>5.0033747979306986E-2</v>
      </c>
    </row>
    <row r="51" spans="2:7">
      <c r="B51" s="371" t="s">
        <v>388</v>
      </c>
      <c r="C51" s="372" t="s">
        <v>476</v>
      </c>
      <c r="D51" s="373">
        <f t="shared" si="8"/>
        <v>153.08506177241881</v>
      </c>
      <c r="E51" s="374">
        <f t="shared" si="9"/>
        <v>151.81411550874975</v>
      </c>
      <c r="F51" s="375">
        <f t="shared" si="11"/>
        <v>6.0525843656214939E-2</v>
      </c>
      <c r="G51" s="376">
        <f t="shared" si="13"/>
        <v>0.22247310807495804</v>
      </c>
    </row>
    <row r="52" spans="2:7">
      <c r="B52" s="371" t="s">
        <v>388</v>
      </c>
      <c r="C52" s="372" t="s">
        <v>482</v>
      </c>
      <c r="D52" s="373">
        <f t="shared" si="8"/>
        <v>153.08506177241884</v>
      </c>
      <c r="E52" s="374">
        <f t="shared" si="9"/>
        <v>151.81411550874975</v>
      </c>
      <c r="F52" s="375">
        <f t="shared" si="11"/>
        <v>2.7236629645296717E-2</v>
      </c>
      <c r="G52" s="376">
        <f t="shared" si="13"/>
        <v>0.1001128986337311</v>
      </c>
    </row>
    <row r="53" spans="2:7">
      <c r="B53" s="371" t="s">
        <v>388</v>
      </c>
      <c r="C53" s="372" t="s">
        <v>486</v>
      </c>
      <c r="D53" s="373">
        <f t="shared" si="8"/>
        <v>153.08506177241887</v>
      </c>
      <c r="E53" s="374">
        <f t="shared" si="9"/>
        <v>151.81411550874975</v>
      </c>
      <c r="F53" s="375">
        <f t="shared" si="11"/>
        <v>0.16549494965427902</v>
      </c>
      <c r="G53" s="376">
        <f t="shared" si="13"/>
        <v>0.60830504122209916</v>
      </c>
    </row>
    <row r="55" spans="2:7">
      <c r="C55" s="2" t="s">
        <v>3</v>
      </c>
      <c r="D55" s="18">
        <f>SUMIF($H$3:$H$21,$C55,J$3:J$21)/$J$23</f>
        <v>0.48741214852090048</v>
      </c>
    </row>
    <row r="56" spans="2:7">
      <c r="C56" s="46" t="s">
        <v>4</v>
      </c>
      <c r="D56" s="18">
        <f>SUMIF($H$3:$H$21,$C56,J$3:J$21)/$J$23</f>
        <v>0.12052360818603117</v>
      </c>
    </row>
    <row r="57" spans="2:7">
      <c r="C57" s="2" t="s">
        <v>380</v>
      </c>
      <c r="D57" s="18">
        <f>SUMIF($H$3:$H$21,$C57,J$3:J$21)/$J$23</f>
        <v>0.39206424329306833</v>
      </c>
    </row>
  </sheetData>
  <autoFilter ref="A2:P21">
    <filterColumn colId="1"/>
    <sortState ref="A3:P21">
      <sortCondition ref="D2:D21"/>
    </sortState>
  </autoFilter>
  <sortState ref="C3:D21">
    <sortCondition ref="D3:D21"/>
  </sortState>
  <pageMargins left="0.7" right="0.7" top="0.75" bottom="0.75" header="0.3" footer="0.3"/>
  <pageSetup scale="33" fitToHeight="2" orientation="landscape" r:id="rId1"/>
  <drawing r:id="rId2"/>
</worksheet>
</file>

<file path=xl/worksheets/sheet4.xml><?xml version="1.0" encoding="utf-8"?>
<worksheet xmlns="http://schemas.openxmlformats.org/spreadsheetml/2006/main" xmlns:r="http://schemas.openxmlformats.org/officeDocument/2006/relationships">
  <sheetPr>
    <tabColor theme="9" tint="-0.249977111117893"/>
  </sheetPr>
  <dimension ref="A1:E18"/>
  <sheetViews>
    <sheetView zoomScale="75" zoomScaleNormal="75" workbookViewId="0">
      <selection activeCell="G74" sqref="G74"/>
    </sheetView>
  </sheetViews>
  <sheetFormatPr defaultRowHeight="15"/>
  <cols>
    <col min="1" max="1" width="57.140625" customWidth="1"/>
    <col min="2" max="2" width="20.85546875" bestFit="1" customWidth="1"/>
    <col min="3" max="4" width="18.85546875" bestFit="1" customWidth="1"/>
  </cols>
  <sheetData>
    <row r="1" spans="1:5" s="70" customFormat="1" ht="18.75">
      <c r="A1" s="277" t="s">
        <v>357</v>
      </c>
      <c r="B1" s="494" t="s">
        <v>358</v>
      </c>
      <c r="C1" s="494" t="s">
        <v>359</v>
      </c>
      <c r="D1" s="494" t="s">
        <v>360</v>
      </c>
    </row>
    <row r="2" spans="1:5" s="70" customFormat="1" ht="19.5" thickBot="1">
      <c r="A2" s="278" t="s">
        <v>361</v>
      </c>
      <c r="B2" s="495"/>
      <c r="C2" s="495"/>
      <c r="D2" s="495"/>
    </row>
    <row r="3" spans="1:5" s="70" customFormat="1" ht="18.75">
      <c r="A3" s="279" t="s">
        <v>362</v>
      </c>
      <c r="B3" s="280">
        <v>4</v>
      </c>
      <c r="C3" s="280">
        <v>4</v>
      </c>
      <c r="D3" s="281">
        <v>4</v>
      </c>
    </row>
    <row r="4" spans="1:5" s="70" customFormat="1" ht="19.5" thickBot="1">
      <c r="A4" s="282" t="s">
        <v>363</v>
      </c>
      <c r="B4" s="283">
        <v>1.64</v>
      </c>
      <c r="C4" s="283">
        <v>1.64</v>
      </c>
      <c r="D4" s="284">
        <v>1.64</v>
      </c>
    </row>
    <row r="6" spans="1:5" ht="18.75">
      <c r="A6" s="285" t="s">
        <v>364</v>
      </c>
      <c r="B6" s="70" t="s">
        <v>365</v>
      </c>
    </row>
    <row r="8" spans="1:5" ht="18.75">
      <c r="A8" s="285" t="s">
        <v>366</v>
      </c>
      <c r="B8">
        <v>2012</v>
      </c>
    </row>
    <row r="10" spans="1:5">
      <c r="A10" s="70" t="s">
        <v>411</v>
      </c>
      <c r="B10">
        <f>(1+0.01*AVERAGE(B3:D3))</f>
        <v>1.04</v>
      </c>
    </row>
    <row r="12" spans="1:5" ht="15.75" thickBot="1">
      <c r="C12" s="71" t="s">
        <v>525</v>
      </c>
    </row>
    <row r="13" spans="1:5" ht="15.75" thickBot="1">
      <c r="A13" s="354" t="s">
        <v>463</v>
      </c>
      <c r="B13" s="355">
        <v>4.0000000000000001E-3</v>
      </c>
      <c r="C13" s="70" t="s">
        <v>524</v>
      </c>
      <c r="E13" s="70"/>
    </row>
    <row r="14" spans="1:5" ht="15.75" thickBot="1">
      <c r="A14" s="354" t="s">
        <v>464</v>
      </c>
      <c r="B14" s="356">
        <v>26</v>
      </c>
      <c r="C14" s="70" t="s">
        <v>523</v>
      </c>
      <c r="D14" s="359">
        <v>1</v>
      </c>
      <c r="E14" s="70" t="s">
        <v>469</v>
      </c>
    </row>
    <row r="15" spans="1:5" ht="15.75" thickBot="1">
      <c r="A15" s="354" t="s">
        <v>465</v>
      </c>
      <c r="B15" s="357">
        <v>0.9</v>
      </c>
      <c r="C15" s="252" t="s">
        <v>524</v>
      </c>
    </row>
    <row r="16" spans="1:5" ht="15.75" thickBot="1">
      <c r="A16" s="354" t="s">
        <v>466</v>
      </c>
      <c r="B16" s="358">
        <v>4.7E-2</v>
      </c>
      <c r="C16" s="252" t="s">
        <v>524</v>
      </c>
    </row>
    <row r="17" spans="1:3" ht="15.75" thickBot="1">
      <c r="A17" s="354" t="s">
        <v>467</v>
      </c>
      <c r="B17" s="356">
        <v>31</v>
      </c>
      <c r="C17" s="252" t="s">
        <v>524</v>
      </c>
    </row>
    <row r="18" spans="1:3" ht="15.75" thickBot="1">
      <c r="A18" s="354" t="s">
        <v>468</v>
      </c>
      <c r="B18" s="357">
        <v>0.7</v>
      </c>
      <c r="C18" s="252" t="s">
        <v>524</v>
      </c>
    </row>
  </sheetData>
  <mergeCells count="3">
    <mergeCell ref="B1:B2"/>
    <mergeCell ref="C1:C2"/>
    <mergeCell ref="D1: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M22"/>
  <sheetViews>
    <sheetView workbookViewId="0">
      <selection activeCell="G74" sqref="G74"/>
    </sheetView>
  </sheetViews>
  <sheetFormatPr defaultRowHeight="15"/>
  <cols>
    <col min="1" max="1" width="35.5703125" bestFit="1" customWidth="1"/>
    <col min="2" max="2" width="40.42578125" bestFit="1" customWidth="1"/>
    <col min="3" max="3" width="16" style="70" bestFit="1" customWidth="1"/>
    <col min="4" max="4" width="15.140625" style="70" bestFit="1" customWidth="1"/>
    <col min="5" max="8" width="13.7109375" style="70" customWidth="1"/>
  </cols>
  <sheetData>
    <row r="1" spans="1:13" s="70" customFormat="1" ht="15.75" thickBot="1">
      <c r="D1" s="70" t="s">
        <v>399</v>
      </c>
      <c r="E1" s="70">
        <f>(31+28.25+31)*24</f>
        <v>2166</v>
      </c>
      <c r="F1" s="70">
        <f>(30+31+30)*24</f>
        <v>2184</v>
      </c>
      <c r="G1" s="70">
        <f>24*(31+31+30)</f>
        <v>2208</v>
      </c>
      <c r="H1" s="70">
        <f>24*(31+30+31)</f>
        <v>2208</v>
      </c>
    </row>
    <row r="2" spans="1:13" s="70" customFormat="1" ht="15.75" thickBot="1">
      <c r="E2" s="496" t="s">
        <v>400</v>
      </c>
      <c r="F2" s="497"/>
      <c r="G2" s="497"/>
      <c r="H2" s="498"/>
      <c r="I2" s="496" t="s">
        <v>455</v>
      </c>
      <c r="J2" s="497"/>
      <c r="K2" s="497"/>
      <c r="L2" s="498"/>
    </row>
    <row r="3" spans="1:13">
      <c r="C3" s="71" t="s">
        <v>405</v>
      </c>
      <c r="D3" s="71" t="s">
        <v>406</v>
      </c>
      <c r="E3" s="70" t="s">
        <v>394</v>
      </c>
      <c r="F3" s="70" t="s">
        <v>395</v>
      </c>
      <c r="G3" s="70" t="s">
        <v>396</v>
      </c>
      <c r="H3" s="70" t="s">
        <v>397</v>
      </c>
      <c r="I3" s="70" t="s">
        <v>394</v>
      </c>
      <c r="J3" s="70" t="s">
        <v>395</v>
      </c>
      <c r="K3" s="70" t="s">
        <v>396</v>
      </c>
      <c r="L3" s="70" t="s">
        <v>397</v>
      </c>
    </row>
    <row r="4" spans="1:13">
      <c r="A4" s="306" t="s">
        <v>323</v>
      </c>
      <c r="B4" s="70" t="s">
        <v>402</v>
      </c>
      <c r="C4" s="393">
        <f>VLOOKUP($A4,CostByType_Summary!$C$3:$P$21,12,FALSE)</f>
        <v>0.72745868158724236</v>
      </c>
      <c r="D4" s="393">
        <f>VLOOKUP($A4,CostByType_Summary!$C$3:$P$21,13, FALSE)</f>
        <v>0</v>
      </c>
      <c r="E4" s="393">
        <v>0</v>
      </c>
      <c r="F4" s="393">
        <v>0</v>
      </c>
      <c r="G4" s="393">
        <v>0</v>
      </c>
      <c r="H4" s="393">
        <v>0</v>
      </c>
      <c r="I4" s="393">
        <f t="shared" ref="I4:I22" si="0">$C4*E4/E$1</f>
        <v>0</v>
      </c>
      <c r="J4" s="393">
        <f t="shared" ref="J4:J22" si="1">$D4*F4/F$1</f>
        <v>0</v>
      </c>
      <c r="K4" s="393">
        <f t="shared" ref="K4:K22" si="2">$D4*G4/G$1</f>
        <v>0</v>
      </c>
      <c r="L4" s="393">
        <f t="shared" ref="L4:L5" si="3">$C4*H4/H$1</f>
        <v>0</v>
      </c>
      <c r="M4" s="70" t="s">
        <v>398</v>
      </c>
    </row>
    <row r="5" spans="1:13">
      <c r="A5" s="306" t="s">
        <v>316</v>
      </c>
      <c r="B5" s="70" t="s">
        <v>393</v>
      </c>
      <c r="C5" s="393">
        <f>VLOOKUP($A5,CostByType_Summary!$C$3:$P$21,12,FALSE)</f>
        <v>0.14096240571566893</v>
      </c>
      <c r="D5" s="393">
        <f>VLOOKUP($A5,CostByType_Summary!$C$3:$P$21,13, FALSE)</f>
        <v>557.00757114508804</v>
      </c>
      <c r="E5" s="393">
        <v>30</v>
      </c>
      <c r="F5" s="393">
        <v>0</v>
      </c>
      <c r="G5" s="393">
        <v>30</v>
      </c>
      <c r="H5" s="393">
        <v>0</v>
      </c>
      <c r="I5" s="393">
        <f t="shared" si="0"/>
        <v>1.9523878907987385E-3</v>
      </c>
      <c r="J5" s="393">
        <f t="shared" si="1"/>
        <v>0</v>
      </c>
      <c r="K5" s="393">
        <f t="shared" si="2"/>
        <v>7.5680376514278267</v>
      </c>
      <c r="L5" s="393">
        <f t="shared" si="3"/>
        <v>0</v>
      </c>
    </row>
    <row r="6" spans="1:13">
      <c r="A6" s="307" t="s">
        <v>306</v>
      </c>
      <c r="B6" s="70" t="s">
        <v>401</v>
      </c>
      <c r="C6" s="393">
        <f>VLOOKUP($A6,CostByType_Summary!$C$3:$P$21,12,FALSE)</f>
        <v>0.36430001908960363</v>
      </c>
      <c r="D6" s="393">
        <f>VLOOKUP($A6,CostByType_Summary!$C$3:$P$21,13, FALSE)</f>
        <v>9.3997412876728088</v>
      </c>
      <c r="E6" s="393">
        <v>0</v>
      </c>
      <c r="F6" s="393">
        <v>0</v>
      </c>
      <c r="G6" s="393">
        <v>50</v>
      </c>
      <c r="H6" s="393">
        <v>0</v>
      </c>
      <c r="I6" s="393">
        <f t="shared" si="0"/>
        <v>0</v>
      </c>
      <c r="J6" s="393">
        <f t="shared" si="1"/>
        <v>0</v>
      </c>
      <c r="K6" s="393">
        <f t="shared" si="2"/>
        <v>0.21285646031867772</v>
      </c>
      <c r="L6" s="393">
        <f t="shared" ref="L6:L22" si="4">$C6*H6/H$1</f>
        <v>0</v>
      </c>
    </row>
    <row r="7" spans="1:13">
      <c r="A7" s="306" t="s">
        <v>327</v>
      </c>
      <c r="B7" s="70" t="s">
        <v>403</v>
      </c>
      <c r="C7" s="393">
        <f>VLOOKUP($A7,CostByType_Summary!$C$3:$P$21,12,FALSE)</f>
        <v>0.35240601428917229</v>
      </c>
      <c r="D7" s="393">
        <f>VLOOKUP($A7,CostByType_Summary!$C$3:$P$21,13, FALSE)</f>
        <v>250.65340701528962</v>
      </c>
      <c r="E7" s="393">
        <v>0</v>
      </c>
      <c r="F7" s="393">
        <v>0</v>
      </c>
      <c r="G7" s="393">
        <v>0</v>
      </c>
      <c r="H7" s="393">
        <v>0</v>
      </c>
      <c r="I7" s="393">
        <f t="shared" si="0"/>
        <v>0</v>
      </c>
      <c r="J7" s="393">
        <f t="shared" si="1"/>
        <v>0</v>
      </c>
      <c r="K7" s="393">
        <f t="shared" si="2"/>
        <v>0</v>
      </c>
      <c r="L7" s="393">
        <f t="shared" si="4"/>
        <v>0</v>
      </c>
      <c r="M7" s="70" t="s">
        <v>398</v>
      </c>
    </row>
    <row r="8" spans="1:13">
      <c r="A8" s="307" t="s">
        <v>305</v>
      </c>
      <c r="B8" s="70" t="s">
        <v>401</v>
      </c>
      <c r="C8" s="393">
        <f>VLOOKUP($A8,CostByType_Summary!$C$3:$P$21,12,FALSE)</f>
        <v>0.36874044754843133</v>
      </c>
      <c r="D8" s="393">
        <f>VLOOKUP($A8,CostByType_Summary!$C$3:$P$21,13, FALSE)</f>
        <v>3.5092367473978485</v>
      </c>
      <c r="E8" s="393">
        <v>0</v>
      </c>
      <c r="F8" s="393">
        <v>0</v>
      </c>
      <c r="G8" s="393">
        <v>50</v>
      </c>
      <c r="H8" s="393">
        <v>0</v>
      </c>
      <c r="I8" s="393">
        <f t="shared" si="0"/>
        <v>0</v>
      </c>
      <c r="J8" s="393">
        <f t="shared" si="1"/>
        <v>0</v>
      </c>
      <c r="K8" s="393">
        <f t="shared" si="2"/>
        <v>7.9466411852306351E-2</v>
      </c>
      <c r="L8" s="393">
        <f t="shared" si="4"/>
        <v>0</v>
      </c>
    </row>
    <row r="9" spans="1:13">
      <c r="A9" s="306" t="s">
        <v>324</v>
      </c>
      <c r="B9" s="70" t="s">
        <v>393</v>
      </c>
      <c r="C9" s="393">
        <f>VLOOKUP($A9,CostByType_Summary!$C$3:$P$21,12,FALSE)</f>
        <v>0.28192481143133785</v>
      </c>
      <c r="D9" s="393">
        <f>VLOOKUP($A9,CostByType_Summary!$C$3:$P$21,13, FALSE)</f>
        <v>557.00757114508804</v>
      </c>
      <c r="E9" s="393">
        <v>30</v>
      </c>
      <c r="F9" s="393">
        <v>0</v>
      </c>
      <c r="G9" s="393">
        <v>30</v>
      </c>
      <c r="H9" s="393">
        <v>0</v>
      </c>
      <c r="I9" s="393">
        <f t="shared" si="0"/>
        <v>3.9047757815974769E-3</v>
      </c>
      <c r="J9" s="393">
        <f t="shared" si="1"/>
        <v>0</v>
      </c>
      <c r="K9" s="393">
        <f t="shared" si="2"/>
        <v>7.5680376514278267</v>
      </c>
      <c r="L9" s="393">
        <f t="shared" si="4"/>
        <v>0</v>
      </c>
    </row>
    <row r="10" spans="1:13">
      <c r="A10" s="308" t="s">
        <v>239</v>
      </c>
      <c r="B10" s="70" t="s">
        <v>404</v>
      </c>
      <c r="C10" s="393">
        <f>VLOOKUP($A10,CostByType_Summary!$C$3:$P$21,12,FALSE)</f>
        <v>0.4397974167722391</v>
      </c>
      <c r="D10" s="393">
        <f>VLOOKUP($A10,CostByType_Summary!$C$3:$P$21,13, FALSE)</f>
        <v>279.77242002533995</v>
      </c>
      <c r="E10" s="393">
        <v>50</v>
      </c>
      <c r="F10" s="393">
        <v>0</v>
      </c>
      <c r="G10" s="393">
        <v>0</v>
      </c>
      <c r="H10" s="393">
        <v>0</v>
      </c>
      <c r="I10" s="393">
        <f t="shared" si="0"/>
        <v>1.01522949393407E-2</v>
      </c>
      <c r="J10" s="393">
        <f t="shared" si="1"/>
        <v>0</v>
      </c>
      <c r="K10" s="393">
        <f t="shared" si="2"/>
        <v>0</v>
      </c>
      <c r="L10" s="393">
        <f t="shared" si="4"/>
        <v>0</v>
      </c>
    </row>
    <row r="11" spans="1:13">
      <c r="A11" s="309" t="s">
        <v>285</v>
      </c>
      <c r="B11" s="70" t="s">
        <v>401</v>
      </c>
      <c r="C11" s="393">
        <f>VLOOKUP($A11,CostByType_Summary!$C$3:$P$21,12,FALSE)</f>
        <v>0.50102541551393864</v>
      </c>
      <c r="D11" s="393">
        <f>VLOOKUP($A11,CostByType_Summary!$C$3:$P$21,13, FALSE)</f>
        <v>0</v>
      </c>
      <c r="E11" s="393">
        <v>0</v>
      </c>
      <c r="F11" s="393">
        <v>0</v>
      </c>
      <c r="G11" s="393">
        <v>50</v>
      </c>
      <c r="H11" s="393">
        <v>0</v>
      </c>
      <c r="I11" s="393">
        <f t="shared" si="0"/>
        <v>0</v>
      </c>
      <c r="J11" s="393">
        <f t="shared" si="1"/>
        <v>0</v>
      </c>
      <c r="K11" s="393">
        <f t="shared" si="2"/>
        <v>0</v>
      </c>
      <c r="L11" s="393">
        <f t="shared" si="4"/>
        <v>0</v>
      </c>
    </row>
    <row r="12" spans="1:13">
      <c r="A12" s="309" t="s">
        <v>215</v>
      </c>
      <c r="B12" s="70" t="s">
        <v>403</v>
      </c>
      <c r="C12" s="393">
        <f>VLOOKUP($A12,CostByType_Summary!$C$3:$P$21,12,FALSE)</f>
        <v>0.62376018053687932</v>
      </c>
      <c r="D12" s="393">
        <f>VLOOKUP($A12,CostByType_Summary!$C$3:$P$21,13, FALSE)</f>
        <v>483.24327095285997</v>
      </c>
      <c r="E12" s="393">
        <v>0</v>
      </c>
      <c r="F12" s="393">
        <v>0</v>
      </c>
      <c r="G12" s="393">
        <v>0</v>
      </c>
      <c r="H12" s="393">
        <v>0</v>
      </c>
      <c r="I12" s="393">
        <f t="shared" si="0"/>
        <v>0</v>
      </c>
      <c r="J12" s="393">
        <f t="shared" si="1"/>
        <v>0</v>
      </c>
      <c r="K12" s="393">
        <f t="shared" si="2"/>
        <v>0</v>
      </c>
      <c r="L12" s="393">
        <f t="shared" si="4"/>
        <v>0</v>
      </c>
      <c r="M12" s="70" t="s">
        <v>398</v>
      </c>
    </row>
    <row r="13" spans="1:13">
      <c r="A13" s="306" t="s">
        <v>312</v>
      </c>
      <c r="B13" s="70" t="s">
        <v>401</v>
      </c>
      <c r="C13" s="393">
        <f>VLOOKUP($A13,CostByType_Summary!$C$3:$P$21,12,FALSE)</f>
        <v>0.72380167684259655</v>
      </c>
      <c r="D13" s="393">
        <f>VLOOKUP($A13,CostByType_Summary!$C$3:$P$21,13, FALSE)</f>
        <v>43.865459342473116</v>
      </c>
      <c r="E13" s="393">
        <v>0</v>
      </c>
      <c r="F13" s="393">
        <v>0</v>
      </c>
      <c r="G13" s="393">
        <v>50</v>
      </c>
      <c r="H13" s="393">
        <v>0</v>
      </c>
      <c r="I13" s="393">
        <f t="shared" si="0"/>
        <v>0</v>
      </c>
      <c r="J13" s="393">
        <f t="shared" si="1"/>
        <v>0</v>
      </c>
      <c r="K13" s="393">
        <f t="shared" si="2"/>
        <v>0.99333014815382958</v>
      </c>
      <c r="L13" s="393">
        <f t="shared" si="4"/>
        <v>0</v>
      </c>
    </row>
    <row r="14" spans="1:13">
      <c r="A14" s="306" t="s">
        <v>347</v>
      </c>
      <c r="B14" s="70" t="s">
        <v>393</v>
      </c>
      <c r="C14" s="393">
        <f>VLOOKUP($A14,CostByType_Summary!$C$3:$P$21,12,FALSE)</f>
        <v>0.66705253517446483</v>
      </c>
      <c r="D14" s="393">
        <f>VLOOKUP($A14,CostByType_Summary!$C$3:$P$21,13, FALSE)</f>
        <v>171.06808856875804</v>
      </c>
      <c r="E14" s="393">
        <v>30</v>
      </c>
      <c r="F14" s="393">
        <v>0</v>
      </c>
      <c r="G14" s="393">
        <v>30</v>
      </c>
      <c r="H14" s="393">
        <v>0</v>
      </c>
      <c r="I14" s="393">
        <f t="shared" si="0"/>
        <v>9.2389547808097629E-3</v>
      </c>
      <c r="J14" s="393">
        <f t="shared" si="1"/>
        <v>0</v>
      </c>
      <c r="K14" s="393">
        <f t="shared" si="2"/>
        <v>2.3242946816407342</v>
      </c>
      <c r="L14" s="393">
        <f t="shared" si="4"/>
        <v>0</v>
      </c>
    </row>
    <row r="15" spans="1:13">
      <c r="A15" s="308" t="s">
        <v>286</v>
      </c>
      <c r="B15" s="70" t="s">
        <v>401</v>
      </c>
      <c r="C15" s="393">
        <f>VLOOKUP($A15,CostByType_Summary!$C$3:$P$21,12,FALSE)</f>
        <v>0.72497110972167178</v>
      </c>
      <c r="D15" s="393">
        <f>VLOOKUP($A15,CostByType_Summary!$C$3:$P$21,13, FALSE)</f>
        <v>0</v>
      </c>
      <c r="E15" s="393">
        <v>0</v>
      </c>
      <c r="F15" s="393">
        <v>0</v>
      </c>
      <c r="G15" s="393">
        <v>50</v>
      </c>
      <c r="H15" s="393">
        <v>0</v>
      </c>
      <c r="I15" s="393">
        <f t="shared" si="0"/>
        <v>0</v>
      </c>
      <c r="J15" s="393">
        <f t="shared" si="1"/>
        <v>0</v>
      </c>
      <c r="K15" s="393">
        <f t="shared" si="2"/>
        <v>0</v>
      </c>
      <c r="L15" s="393">
        <f t="shared" si="4"/>
        <v>0</v>
      </c>
    </row>
    <row r="16" spans="1:13">
      <c r="A16" s="306" t="s">
        <v>325</v>
      </c>
      <c r="B16" s="70" t="s">
        <v>393</v>
      </c>
      <c r="C16" s="393">
        <f>VLOOKUP($A16,CostByType_Summary!$C$3:$P$21,12,FALSE)</f>
        <v>0.47503801820115632</v>
      </c>
      <c r="D16" s="393">
        <f>VLOOKUP($A16,CostByType_Summary!$C$3:$P$21,13, FALSE)</f>
        <v>139.25189278627201</v>
      </c>
      <c r="E16" s="393">
        <v>30</v>
      </c>
      <c r="F16" s="393">
        <v>0</v>
      </c>
      <c r="G16" s="393">
        <v>30</v>
      </c>
      <c r="H16" s="393">
        <v>0</v>
      </c>
      <c r="I16" s="393">
        <f t="shared" si="0"/>
        <v>6.5794739363041034E-3</v>
      </c>
      <c r="J16" s="393">
        <f t="shared" si="1"/>
        <v>0</v>
      </c>
      <c r="K16" s="393">
        <f t="shared" si="2"/>
        <v>1.8920094128569567</v>
      </c>
      <c r="L16" s="393">
        <f t="shared" si="4"/>
        <v>0</v>
      </c>
    </row>
    <row r="17" spans="1:13">
      <c r="A17" s="306" t="s">
        <v>311</v>
      </c>
      <c r="B17" s="70" t="s">
        <v>401</v>
      </c>
      <c r="C17" s="393">
        <f>VLOOKUP($A17,CostByType_Summary!$C$3:$P$21,12,FALSE)</f>
        <v>0.7326391814558747</v>
      </c>
      <c r="D17" s="393">
        <f>VLOOKUP($A17,CostByType_Summary!$C$3:$P$21,13, FALSE)</f>
        <v>4.0941095386308239</v>
      </c>
      <c r="E17" s="393">
        <v>0</v>
      </c>
      <c r="F17" s="393">
        <v>0</v>
      </c>
      <c r="G17" s="393">
        <v>50</v>
      </c>
      <c r="H17" s="393">
        <v>0</v>
      </c>
      <c r="I17" s="393">
        <f t="shared" si="0"/>
        <v>0</v>
      </c>
      <c r="J17" s="393">
        <f t="shared" si="1"/>
        <v>0</v>
      </c>
      <c r="K17" s="393">
        <f t="shared" si="2"/>
        <v>9.2710813827690766E-2</v>
      </c>
      <c r="L17" s="393">
        <f t="shared" si="4"/>
        <v>0</v>
      </c>
      <c r="M17" s="70"/>
    </row>
    <row r="18" spans="1:13">
      <c r="A18" s="306" t="s">
        <v>284</v>
      </c>
      <c r="B18" s="70" t="s">
        <v>404</v>
      </c>
      <c r="C18" s="393">
        <f>VLOOKUP($A18,CostByType_Summary!$C$3:$P$21,12,FALSE)</f>
        <v>1</v>
      </c>
      <c r="D18" s="393">
        <f>VLOOKUP($A18,CostByType_Summary!$C$3:$P$21,13, FALSE)</f>
        <v>652.80231339245984</v>
      </c>
      <c r="E18" s="393">
        <v>50</v>
      </c>
      <c r="F18" s="393">
        <v>0</v>
      </c>
      <c r="G18" s="393">
        <v>0</v>
      </c>
      <c r="H18" s="393">
        <v>0</v>
      </c>
      <c r="I18" s="393">
        <f t="shared" si="0"/>
        <v>2.3084025854108958E-2</v>
      </c>
      <c r="J18" s="393">
        <f t="shared" si="1"/>
        <v>0</v>
      </c>
      <c r="K18" s="393">
        <f t="shared" si="2"/>
        <v>0</v>
      </c>
      <c r="L18" s="393">
        <f t="shared" si="4"/>
        <v>0</v>
      </c>
    </row>
    <row r="19" spans="1:13">
      <c r="A19" s="306" t="s">
        <v>282</v>
      </c>
      <c r="B19" s="70" t="s">
        <v>401</v>
      </c>
      <c r="C19" s="393">
        <f>VLOOKUP($A19,CostByType_Summary!$C$3:$P$21,12,FALSE)</f>
        <v>0.806913637966027</v>
      </c>
      <c r="D19" s="393">
        <f>VLOOKUP($A19,CostByType_Summary!$C$3:$P$21,13, FALSE)</f>
        <v>0</v>
      </c>
      <c r="E19" s="393">
        <v>0</v>
      </c>
      <c r="F19" s="393">
        <v>0</v>
      </c>
      <c r="G19" s="393">
        <v>50</v>
      </c>
      <c r="H19" s="393">
        <v>0</v>
      </c>
      <c r="I19" s="393">
        <f t="shared" si="0"/>
        <v>0</v>
      </c>
      <c r="J19" s="393">
        <f t="shared" si="1"/>
        <v>0</v>
      </c>
      <c r="K19" s="393">
        <f t="shared" si="2"/>
        <v>0</v>
      </c>
      <c r="L19" s="393">
        <f t="shared" si="4"/>
        <v>0</v>
      </c>
    </row>
    <row r="20" spans="1:13">
      <c r="A20" s="306" t="s">
        <v>328</v>
      </c>
      <c r="B20" s="70" t="s">
        <v>402</v>
      </c>
      <c r="C20" s="393">
        <f>VLOOKUP($A20,CostByType_Summary!$C$3:$P$21,12,FALSE)</f>
        <v>0.7462763775695348</v>
      </c>
      <c r="D20" s="393">
        <f>VLOOKUP($A20,CostByType_Summary!$C$3:$P$21,13, FALSE)</f>
        <v>53.69369677253998</v>
      </c>
      <c r="E20" s="393">
        <v>0</v>
      </c>
      <c r="F20" s="393">
        <v>0</v>
      </c>
      <c r="G20" s="393">
        <v>0</v>
      </c>
      <c r="H20" s="393">
        <v>0</v>
      </c>
      <c r="I20" s="393">
        <f t="shared" si="0"/>
        <v>0</v>
      </c>
      <c r="J20" s="393">
        <f t="shared" si="1"/>
        <v>0</v>
      </c>
      <c r="K20" s="393">
        <f t="shared" si="2"/>
        <v>0</v>
      </c>
      <c r="L20" s="393">
        <f t="shared" si="4"/>
        <v>0</v>
      </c>
      <c r="M20" s="70" t="s">
        <v>398</v>
      </c>
    </row>
    <row r="21" spans="1:13">
      <c r="A21" s="306" t="s">
        <v>283</v>
      </c>
      <c r="B21" s="70" t="s">
        <v>401</v>
      </c>
      <c r="C21" s="393">
        <f>VLOOKUP($A21,CostByType_Summary!$C$3:$P$21,12,FALSE)</f>
        <v>0.83420040514444849</v>
      </c>
      <c r="D21" s="393">
        <f>VLOOKUP($A21,CostByType_Summary!$C$3:$P$21,13, FALSE)</f>
        <v>0</v>
      </c>
      <c r="E21" s="393">
        <v>0</v>
      </c>
      <c r="F21" s="393">
        <v>0</v>
      </c>
      <c r="G21" s="393">
        <v>50</v>
      </c>
      <c r="H21" s="393">
        <v>0</v>
      </c>
      <c r="I21" s="393">
        <f t="shared" si="0"/>
        <v>0</v>
      </c>
      <c r="J21" s="393">
        <f t="shared" si="1"/>
        <v>0</v>
      </c>
      <c r="K21" s="393">
        <f t="shared" si="2"/>
        <v>0</v>
      </c>
      <c r="L21" s="393">
        <f t="shared" si="4"/>
        <v>0</v>
      </c>
    </row>
    <row r="22" spans="1:13">
      <c r="A22" s="306" t="s">
        <v>326</v>
      </c>
      <c r="B22" s="70" t="s">
        <v>402</v>
      </c>
      <c r="C22" s="393">
        <f>VLOOKUP($A22,CostByType_Summary!$C$3:$P$21,12,FALSE)</f>
        <v>0.66829632110725012</v>
      </c>
      <c r="D22" s="393">
        <f>VLOOKUP($A22,CostByType_Summary!$C$3:$P$21,13, FALSE)</f>
        <v>0</v>
      </c>
      <c r="E22" s="393">
        <v>0</v>
      </c>
      <c r="F22" s="393">
        <v>0</v>
      </c>
      <c r="G22" s="393">
        <v>0</v>
      </c>
      <c r="H22" s="393">
        <v>0</v>
      </c>
      <c r="I22" s="393">
        <f t="shared" si="0"/>
        <v>0</v>
      </c>
      <c r="J22" s="393">
        <f t="shared" si="1"/>
        <v>0</v>
      </c>
      <c r="K22" s="393">
        <f t="shared" si="2"/>
        <v>0</v>
      </c>
      <c r="L22" s="393">
        <f t="shared" si="4"/>
        <v>0</v>
      </c>
      <c r="M22" s="70" t="s">
        <v>398</v>
      </c>
    </row>
  </sheetData>
  <mergeCells count="2">
    <mergeCell ref="I2:L2"/>
    <mergeCell ref="E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249977111117893"/>
  </sheetPr>
  <dimension ref="A1:AZ142"/>
  <sheetViews>
    <sheetView topLeftCell="A23" workbookViewId="0">
      <pane xSplit="1" ySplit="2" topLeftCell="B25" activePane="bottomRight" state="frozen"/>
      <selection activeCell="G74" sqref="G74"/>
      <selection pane="topRight" activeCell="G74" sqref="G74"/>
      <selection pane="bottomLeft" activeCell="G74" sqref="G74"/>
      <selection pane="bottomRight" activeCell="G74" sqref="G74"/>
    </sheetView>
  </sheetViews>
  <sheetFormatPr defaultRowHeight="15"/>
  <cols>
    <col min="1" max="1" width="46.42578125" bestFit="1" customWidth="1"/>
    <col min="2" max="2" width="37" bestFit="1" customWidth="1"/>
    <col min="3" max="3" width="35.5703125" bestFit="1" customWidth="1"/>
    <col min="4" max="4" width="33.42578125" customWidth="1"/>
    <col min="5" max="5" width="22.5703125" customWidth="1"/>
    <col min="6" max="6" width="17" bestFit="1" customWidth="1"/>
    <col min="7" max="7" width="14.140625" bestFit="1" customWidth="1"/>
    <col min="8" max="8" width="12.7109375" bestFit="1" customWidth="1"/>
    <col min="9" max="9" width="16.140625" bestFit="1" customWidth="1"/>
    <col min="10" max="12" width="16.28515625" bestFit="1" customWidth="1"/>
    <col min="13" max="13" width="15.7109375" bestFit="1" customWidth="1"/>
    <col min="14" max="15" width="13.85546875" bestFit="1" customWidth="1"/>
    <col min="16" max="22" width="11.85546875" bestFit="1" customWidth="1"/>
    <col min="23" max="24" width="11.5703125" bestFit="1" customWidth="1"/>
    <col min="31" max="31" width="9.140625" style="70"/>
    <col min="33" max="33" width="9.140625" style="70"/>
    <col min="35" max="35" width="9.140625" style="70"/>
    <col min="50" max="50" width="31.28515625" bestFit="1" customWidth="1"/>
  </cols>
  <sheetData>
    <row r="1" spans="1:15">
      <c r="A1" s="70"/>
      <c r="B1" s="70"/>
      <c r="C1" s="326"/>
      <c r="D1" s="326"/>
      <c r="E1" s="70"/>
      <c r="F1" s="70"/>
      <c r="G1" s="70"/>
      <c r="H1" s="70"/>
      <c r="I1" s="70"/>
      <c r="J1" s="289" t="s">
        <v>177</v>
      </c>
      <c r="K1" s="289" t="s">
        <v>177</v>
      </c>
      <c r="L1" s="70"/>
      <c r="M1" s="70"/>
      <c r="N1" s="297" t="s">
        <v>414</v>
      </c>
      <c r="O1" s="297" t="s">
        <v>415</v>
      </c>
    </row>
    <row r="2" spans="1:15">
      <c r="A2" s="305" t="s">
        <v>10</v>
      </c>
      <c r="B2" s="305" t="s">
        <v>412</v>
      </c>
      <c r="C2" s="326" t="s">
        <v>214</v>
      </c>
      <c r="D2" s="326" t="s">
        <v>356</v>
      </c>
      <c r="E2" s="326" t="s">
        <v>374</v>
      </c>
      <c r="F2" s="326" t="s">
        <v>375</v>
      </c>
      <c r="G2" s="326" t="s">
        <v>378</v>
      </c>
      <c r="H2" s="326" t="s">
        <v>379</v>
      </c>
      <c r="I2" s="326" t="s">
        <v>382</v>
      </c>
      <c r="J2" s="326" t="s">
        <v>408</v>
      </c>
      <c r="K2" s="326" t="s">
        <v>407</v>
      </c>
      <c r="L2" s="297" t="s">
        <v>390</v>
      </c>
      <c r="M2" s="297" t="s">
        <v>391</v>
      </c>
      <c r="N2" s="297" t="s">
        <v>413</v>
      </c>
      <c r="O2" s="297" t="s">
        <v>413</v>
      </c>
    </row>
    <row r="3" spans="1:15">
      <c r="A3" s="305">
        <v>3</v>
      </c>
      <c r="B3" s="305" t="s">
        <v>385</v>
      </c>
      <c r="C3" s="2" t="s">
        <v>316</v>
      </c>
      <c r="D3" s="304">
        <f>CostByType_Details!B91</f>
        <v>-12.801495436350621</v>
      </c>
      <c r="E3" s="294">
        <v>1</v>
      </c>
      <c r="F3" s="294">
        <v>1</v>
      </c>
      <c r="G3" s="2" t="s">
        <v>376</v>
      </c>
      <c r="H3" s="2" t="s">
        <v>380</v>
      </c>
      <c r="I3" s="2" t="s">
        <v>381</v>
      </c>
      <c r="J3" s="295">
        <f>'Ag-Ind-Capacity-Base'!I59</f>
        <v>557.00757114508804</v>
      </c>
      <c r="K3" s="296">
        <f>'Ag-Ind-Capacity-Base'!V59</f>
        <v>645.52420134275189</v>
      </c>
      <c r="L3" s="292">
        <f t="shared" ref="L3:L21" si="0">$J3*E3</f>
        <v>557.00757114508804</v>
      </c>
      <c r="M3" s="292">
        <f t="shared" ref="M3:M21" si="1">$J3*F3</f>
        <v>557.00757114508804</v>
      </c>
      <c r="N3" s="319">
        <f>$D3*J3*1000</f>
        <v>-7130529.8800265882</v>
      </c>
      <c r="O3" s="319">
        <f>$D3*K3*1000</f>
        <v>-8263675.1175431181</v>
      </c>
    </row>
    <row r="4" spans="1:15">
      <c r="A4" s="305">
        <v>6</v>
      </c>
      <c r="B4" s="305" t="s">
        <v>385</v>
      </c>
      <c r="C4" s="2" t="s">
        <v>324</v>
      </c>
      <c r="D4" s="304">
        <f>CostByType_Details!B140</f>
        <v>-2.89634952270971</v>
      </c>
      <c r="E4" s="294">
        <v>1</v>
      </c>
      <c r="F4" s="294">
        <v>1</v>
      </c>
      <c r="G4" s="2" t="s">
        <v>377</v>
      </c>
      <c r="H4" s="2" t="s">
        <v>380</v>
      </c>
      <c r="I4" s="2" t="s">
        <v>381</v>
      </c>
      <c r="J4" s="295">
        <f>'Ag-Ind-Capacity-Smart'!I85</f>
        <v>557.00757114508804</v>
      </c>
      <c r="K4" s="296">
        <f>'Ag-Ind-Capacity-Smart'!V85</f>
        <v>645.52420134275189</v>
      </c>
      <c r="L4" s="292">
        <f t="shared" si="0"/>
        <v>557.00757114508804</v>
      </c>
      <c r="M4" s="292">
        <f t="shared" si="1"/>
        <v>557.00757114508804</v>
      </c>
      <c r="N4" s="319">
        <f t="shared" ref="N4:N21" si="2">$D4*J4*1000</f>
        <v>-1613288.6128317704</v>
      </c>
      <c r="O4" s="319">
        <f t="shared" ref="O4:O21" si="3">$D4*K4*1000</f>
        <v>-1869663.7124566461</v>
      </c>
    </row>
    <row r="5" spans="1:15">
      <c r="A5" s="305">
        <v>6</v>
      </c>
      <c r="B5" s="305" t="s">
        <v>385</v>
      </c>
      <c r="C5" s="2" t="s">
        <v>327</v>
      </c>
      <c r="D5" s="304">
        <f>CostByType_Details!B142</f>
        <v>2.8162842750556054</v>
      </c>
      <c r="E5" s="294">
        <v>0.9</v>
      </c>
      <c r="F5" s="294">
        <v>1</v>
      </c>
      <c r="G5" s="2" t="s">
        <v>377</v>
      </c>
      <c r="H5" s="2" t="s">
        <v>380</v>
      </c>
      <c r="I5" s="2" t="s">
        <v>381</v>
      </c>
      <c r="J5" s="295">
        <f>'Ag-Ind-Capacity-Smart'!I87</f>
        <v>278.50378557254402</v>
      </c>
      <c r="K5" s="296">
        <f>'Ag-Ind-Capacity-Smart'!V87</f>
        <v>322.76210067137595</v>
      </c>
      <c r="L5" s="292">
        <f t="shared" si="0"/>
        <v>250.65340701528962</v>
      </c>
      <c r="M5" s="292">
        <f t="shared" si="1"/>
        <v>278.50378557254402</v>
      </c>
      <c r="N5" s="319">
        <f t="shared" si="2"/>
        <v>784345.83185141394</v>
      </c>
      <c r="O5" s="319">
        <f t="shared" si="3"/>
        <v>908989.82870471035</v>
      </c>
    </row>
    <row r="6" spans="1:15">
      <c r="A6" s="305">
        <v>2</v>
      </c>
      <c r="B6" s="305" t="s">
        <v>385</v>
      </c>
      <c r="C6" s="293" t="s">
        <v>306</v>
      </c>
      <c r="D6" s="304">
        <f>CostByType_Details!B79</f>
        <v>3.8790081167624422</v>
      </c>
      <c r="E6" s="18">
        <v>0.2</v>
      </c>
      <c r="F6" s="294">
        <v>1</v>
      </c>
      <c r="G6" s="2" t="s">
        <v>376</v>
      </c>
      <c r="H6" s="2" t="s">
        <v>4</v>
      </c>
      <c r="I6" s="2" t="s">
        <v>375</v>
      </c>
      <c r="J6" s="295">
        <f>'Com-Capacity-Base'!I57</f>
        <v>46.998706438364039</v>
      </c>
      <c r="K6" s="296">
        <f>'Com-Capacity-Base'!V57</f>
        <v>54.467486636487443</v>
      </c>
      <c r="L6" s="292">
        <f t="shared" si="0"/>
        <v>9.3997412876728088</v>
      </c>
      <c r="M6" s="292">
        <f t="shared" si="1"/>
        <v>46.998706438364039</v>
      </c>
      <c r="N6" s="319">
        <f t="shared" si="2"/>
        <v>182308.36375174936</v>
      </c>
      <c r="O6" s="319">
        <f t="shared" si="3"/>
        <v>211279.82276258463</v>
      </c>
    </row>
    <row r="7" spans="1:15">
      <c r="A7" s="305">
        <v>2</v>
      </c>
      <c r="B7" s="305" t="s">
        <v>385</v>
      </c>
      <c r="C7" s="293" t="s">
        <v>305</v>
      </c>
      <c r="D7" s="304">
        <f>CostByType_Details!B78</f>
        <v>11.146941807761703</v>
      </c>
      <c r="E7" s="18">
        <v>0.2</v>
      </c>
      <c r="F7" s="294">
        <v>1</v>
      </c>
      <c r="G7" s="2" t="s">
        <v>376</v>
      </c>
      <c r="H7" s="2" t="s">
        <v>4</v>
      </c>
      <c r="I7" s="2" t="s">
        <v>375</v>
      </c>
      <c r="J7" s="295">
        <f>'Com-Capacity-Base'!I56</f>
        <v>17.546183736989242</v>
      </c>
      <c r="K7" s="296">
        <f>'Com-Capacity-Base'!V56</f>
        <v>20.334528344288646</v>
      </c>
      <c r="L7" s="292">
        <f t="shared" si="0"/>
        <v>3.5092367473978485</v>
      </c>
      <c r="M7" s="292">
        <f t="shared" si="1"/>
        <v>17.546183736989242</v>
      </c>
      <c r="N7" s="319">
        <f t="shared" si="2"/>
        <v>195586.28906451387</v>
      </c>
      <c r="O7" s="319">
        <f t="shared" si="3"/>
        <v>226667.80414206648</v>
      </c>
    </row>
    <row r="8" spans="1:15">
      <c r="A8" s="305">
        <v>6</v>
      </c>
      <c r="B8" s="305" t="s">
        <v>386</v>
      </c>
      <c r="C8" s="2" t="s">
        <v>325</v>
      </c>
      <c r="D8" s="304">
        <f>CostByType_Details!B141</f>
        <v>28.723299484134781</v>
      </c>
      <c r="E8" s="18">
        <v>1</v>
      </c>
      <c r="F8" s="18">
        <v>1</v>
      </c>
      <c r="G8" s="2" t="s">
        <v>377</v>
      </c>
      <c r="H8" s="2" t="s">
        <v>380</v>
      </c>
      <c r="I8" s="2" t="s">
        <v>381</v>
      </c>
      <c r="J8" s="295">
        <f>'Ag-Ind-Capacity-Smart'!I86</f>
        <v>139.25189278627201</v>
      </c>
      <c r="K8" s="296">
        <f>'Ag-Ind-Capacity-Smart'!V86</f>
        <v>161.38105033568797</v>
      </c>
      <c r="L8" s="292">
        <f t="shared" si="0"/>
        <v>139.25189278627201</v>
      </c>
      <c r="M8" s="292">
        <f t="shared" si="1"/>
        <v>139.25189278627201</v>
      </c>
      <c r="N8" s="319">
        <f t="shared" si="2"/>
        <v>3999773.8202327187</v>
      </c>
      <c r="O8" s="319">
        <f t="shared" si="3"/>
        <v>4635396.2398561956</v>
      </c>
    </row>
    <row r="9" spans="1:15">
      <c r="A9" s="305">
        <v>1</v>
      </c>
      <c r="B9" s="305" t="s">
        <v>386</v>
      </c>
      <c r="C9" s="91" t="s">
        <v>239</v>
      </c>
      <c r="D9" s="304">
        <f>CostByType_Details!B66</f>
        <v>27.888866341245944</v>
      </c>
      <c r="E9" s="294">
        <v>1</v>
      </c>
      <c r="F9" s="18">
        <v>0</v>
      </c>
      <c r="G9" s="2" t="s">
        <v>376</v>
      </c>
      <c r="H9" s="2" t="s">
        <v>3</v>
      </c>
      <c r="I9" s="2" t="s">
        <v>374</v>
      </c>
      <c r="J9" s="295">
        <f>'Res-Capacity-Base'!I84</f>
        <v>279.77242002533995</v>
      </c>
      <c r="K9" s="296">
        <f>'Res-Capacity-Base'!V84</f>
        <v>325.3987690913562</v>
      </c>
      <c r="L9" s="292">
        <f t="shared" si="0"/>
        <v>279.77242002533995</v>
      </c>
      <c r="M9" s="292">
        <f t="shared" si="1"/>
        <v>0</v>
      </c>
      <c r="N9" s="319">
        <f t="shared" si="2"/>
        <v>7802535.628053626</v>
      </c>
      <c r="O9" s="319">
        <f t="shared" si="3"/>
        <v>9075002.778794786</v>
      </c>
    </row>
    <row r="10" spans="1:15">
      <c r="A10" s="305">
        <v>1</v>
      </c>
      <c r="B10" s="305" t="s">
        <v>386</v>
      </c>
      <c r="C10" s="107" t="s">
        <v>285</v>
      </c>
      <c r="D10" s="304">
        <f>CostByType_Details!B64</f>
        <v>47.063324955098665</v>
      </c>
      <c r="E10" s="18">
        <v>0</v>
      </c>
      <c r="F10" s="294">
        <v>1</v>
      </c>
      <c r="G10" s="2" t="s">
        <v>376</v>
      </c>
      <c r="H10" s="2" t="s">
        <v>3</v>
      </c>
      <c r="I10" s="2" t="s">
        <v>375</v>
      </c>
      <c r="J10" s="295">
        <f>'Res-Capacity-Base'!I82</f>
        <v>102.32011181699997</v>
      </c>
      <c r="K10" s="296">
        <f>'Res-Capacity-Base'!V82</f>
        <v>119.00686434898083</v>
      </c>
      <c r="L10" s="292">
        <f t="shared" si="0"/>
        <v>0</v>
      </c>
      <c r="M10" s="292">
        <f t="shared" si="1"/>
        <v>102.32011181699997</v>
      </c>
      <c r="N10" s="319">
        <f t="shared" si="2"/>
        <v>4815524.6718855007</v>
      </c>
      <c r="O10" s="319">
        <f t="shared" si="3"/>
        <v>5600858.7287434312</v>
      </c>
    </row>
    <row r="11" spans="1:15">
      <c r="A11" s="305">
        <v>1</v>
      </c>
      <c r="B11" s="305" t="s">
        <v>386</v>
      </c>
      <c r="C11" s="107" t="s">
        <v>215</v>
      </c>
      <c r="D11" s="304">
        <f>CostByType_Details!B67</f>
        <v>48.858484036950806</v>
      </c>
      <c r="E11" s="294">
        <v>1</v>
      </c>
      <c r="F11" s="294">
        <v>1</v>
      </c>
      <c r="G11" s="2" t="s">
        <v>376</v>
      </c>
      <c r="H11" s="2" t="s">
        <v>3</v>
      </c>
      <c r="I11" s="2" t="s">
        <v>381</v>
      </c>
      <c r="J11" s="295">
        <f>'Res-Capacity-Base'!I85</f>
        <v>483.24327095285997</v>
      </c>
      <c r="K11" s="296">
        <f>'Res-Capacity-Base'!V85</f>
        <v>562.05241933961531</v>
      </c>
      <c r="L11" s="292">
        <f t="shared" si="0"/>
        <v>483.24327095285997</v>
      </c>
      <c r="M11" s="292">
        <f t="shared" si="1"/>
        <v>483.24327095285997</v>
      </c>
      <c r="N11" s="319">
        <f t="shared" si="2"/>
        <v>23610533.639814202</v>
      </c>
      <c r="O11" s="319">
        <f t="shared" si="3"/>
        <v>27461029.158234175</v>
      </c>
    </row>
    <row r="12" spans="1:15">
      <c r="A12" s="305">
        <v>6</v>
      </c>
      <c r="B12" s="305" t="s">
        <v>386</v>
      </c>
      <c r="C12" s="2" t="s">
        <v>326</v>
      </c>
      <c r="D12" s="304">
        <f>CostByType_Details!B139</f>
        <v>54.737778125855911</v>
      </c>
      <c r="E12" s="294">
        <v>0</v>
      </c>
      <c r="F12" s="18">
        <v>1</v>
      </c>
      <c r="G12" s="2" t="s">
        <v>377</v>
      </c>
      <c r="H12" s="2" t="s">
        <v>380</v>
      </c>
      <c r="I12" s="2" t="s">
        <v>375</v>
      </c>
      <c r="J12" s="295">
        <f>'Ag-Ind-Capacity-Smart'!I84</f>
        <v>4.9147726865743069</v>
      </c>
      <c r="K12" s="296">
        <f>'Ag-Ind-Capacity-Smart'!V84</f>
        <v>5.6958017765536937</v>
      </c>
      <c r="L12" s="292">
        <f t="shared" si="0"/>
        <v>0</v>
      </c>
      <c r="M12" s="292">
        <f t="shared" si="1"/>
        <v>4.9147726865743069</v>
      </c>
      <c r="N12" s="319">
        <f t="shared" si="2"/>
        <v>269023.73685672123</v>
      </c>
      <c r="O12" s="319">
        <f t="shared" si="3"/>
        <v>311775.53389385203</v>
      </c>
    </row>
    <row r="13" spans="1:15">
      <c r="A13" s="305">
        <v>5</v>
      </c>
      <c r="B13" s="305" t="s">
        <v>386</v>
      </c>
      <c r="C13" s="2" t="s">
        <v>347</v>
      </c>
      <c r="D13" s="304">
        <f>CostByType_Details!B124</f>
        <v>54.737778125855897</v>
      </c>
      <c r="E13" s="18">
        <v>1</v>
      </c>
      <c r="F13" s="18">
        <v>1</v>
      </c>
      <c r="G13" s="2" t="s">
        <v>377</v>
      </c>
      <c r="H13" s="2" t="s">
        <v>4</v>
      </c>
      <c r="I13" s="2" t="s">
        <v>381</v>
      </c>
      <c r="J13" s="295">
        <f>'Com-Capacity-Smart'!I71</f>
        <v>171.06808856875804</v>
      </c>
      <c r="K13" s="295">
        <f>'Com-Capacity-Smart'!V71</f>
        <v>198.25330384928387</v>
      </c>
      <c r="L13" s="292">
        <f t="shared" si="0"/>
        <v>171.06808856875804</v>
      </c>
      <c r="M13" s="292">
        <f t="shared" si="1"/>
        <v>171.06808856875804</v>
      </c>
      <c r="N13" s="319">
        <f t="shared" si="2"/>
        <v>9363887.0764909424</v>
      </c>
      <c r="O13" s="319">
        <f t="shared" si="3"/>
        <v>10851945.358819993</v>
      </c>
    </row>
    <row r="14" spans="1:15">
      <c r="A14" s="305">
        <v>5</v>
      </c>
      <c r="B14" s="305" t="s">
        <v>386</v>
      </c>
      <c r="C14" s="2" t="s">
        <v>312</v>
      </c>
      <c r="D14" s="304">
        <f>CostByType_Details!B123</f>
        <v>55.124745458356394</v>
      </c>
      <c r="E14" s="18">
        <v>0.2</v>
      </c>
      <c r="F14" s="294">
        <v>1</v>
      </c>
      <c r="G14" s="2" t="s">
        <v>377</v>
      </c>
      <c r="H14" s="2" t="s">
        <v>4</v>
      </c>
      <c r="I14" s="2" t="s">
        <v>375</v>
      </c>
      <c r="J14" s="295">
        <f>'Com-Capacity-Smart'!I70</f>
        <v>219.32729671236555</v>
      </c>
      <c r="K14" s="295">
        <f>'Com-Capacity-Smart'!V70</f>
        <v>254.18160430360808</v>
      </c>
      <c r="L14" s="292">
        <f t="shared" si="0"/>
        <v>43.865459342473116</v>
      </c>
      <c r="M14" s="292">
        <f t="shared" si="1"/>
        <v>219.32729671236555</v>
      </c>
      <c r="N14" s="319">
        <f t="shared" si="2"/>
        <v>12090361.403338559</v>
      </c>
      <c r="O14" s="319">
        <f t="shared" si="3"/>
        <v>14011696.237433061</v>
      </c>
    </row>
    <row r="15" spans="1:15">
      <c r="A15" s="305">
        <v>1</v>
      </c>
      <c r="B15" s="305" t="s">
        <v>386</v>
      </c>
      <c r="C15" s="91" t="s">
        <v>286</v>
      </c>
      <c r="D15" s="304">
        <f>CostByType_Details!B65</f>
        <v>61.154496295103471</v>
      </c>
      <c r="E15" s="18">
        <v>0</v>
      </c>
      <c r="F15" s="294">
        <v>1</v>
      </c>
      <c r="G15" s="2" t="s">
        <v>376</v>
      </c>
      <c r="H15" s="2" t="s">
        <v>3</v>
      </c>
      <c r="I15" s="2" t="s">
        <v>375</v>
      </c>
      <c r="J15" s="295">
        <f>'Res-Capacity-Base'!I83</f>
        <v>4.6044050317649994</v>
      </c>
      <c r="K15" s="296">
        <f>'Res-Capacity-Base'!V83</f>
        <v>5.3553088957041384</v>
      </c>
      <c r="L15" s="292">
        <f t="shared" si="0"/>
        <v>0</v>
      </c>
      <c r="M15" s="292">
        <f t="shared" si="1"/>
        <v>4.6044050317649994</v>
      </c>
      <c r="N15" s="319">
        <f t="shared" si="2"/>
        <v>281580.07045622845</v>
      </c>
      <c r="O15" s="319">
        <f t="shared" si="3"/>
        <v>327501.21802147338</v>
      </c>
    </row>
    <row r="16" spans="1:15">
      <c r="A16" s="305">
        <v>3</v>
      </c>
      <c r="B16" s="305" t="s">
        <v>386</v>
      </c>
      <c r="C16" s="2" t="s">
        <v>323</v>
      </c>
      <c r="D16" s="304">
        <f>CostByType_Details!B90</f>
        <v>75.655865942112143</v>
      </c>
      <c r="E16" s="294">
        <v>0</v>
      </c>
      <c r="F16" s="18">
        <v>1</v>
      </c>
      <c r="G16" s="2" t="s">
        <v>376</v>
      </c>
      <c r="H16" s="2" t="s">
        <v>380</v>
      </c>
      <c r="I16" s="2" t="s">
        <v>375</v>
      </c>
      <c r="J16" s="295">
        <f>'Ag-Ind-Capacity-Base'!I58</f>
        <v>9.8295453731486138</v>
      </c>
      <c r="K16" s="296">
        <f>'Ag-Ind-Capacity-Base'!V58</f>
        <v>11.391603553107387</v>
      </c>
      <c r="L16" s="292">
        <f t="shared" si="0"/>
        <v>0</v>
      </c>
      <c r="M16" s="292">
        <f t="shared" si="1"/>
        <v>9.8295453731486138</v>
      </c>
      <c r="N16" s="319">
        <f t="shared" si="2"/>
        <v>743662.76702284021</v>
      </c>
      <c r="O16" s="319">
        <f t="shared" si="3"/>
        <v>861841.63127958088</v>
      </c>
    </row>
    <row r="17" spans="1:52">
      <c r="A17" s="305">
        <v>5</v>
      </c>
      <c r="B17" s="305" t="s">
        <v>388</v>
      </c>
      <c r="C17" s="2" t="s">
        <v>311</v>
      </c>
      <c r="D17" s="304">
        <f>CostByType_Details!B122</f>
        <v>89.045790879359203</v>
      </c>
      <c r="E17" s="18">
        <v>0.2</v>
      </c>
      <c r="F17" s="294">
        <v>1</v>
      </c>
      <c r="G17" s="2" t="s">
        <v>377</v>
      </c>
      <c r="H17" s="2" t="s">
        <v>4</v>
      </c>
      <c r="I17" s="2" t="s">
        <v>375</v>
      </c>
      <c r="J17" s="295">
        <f>'Com-Capacity-Smart'!I69</f>
        <v>20.470547693154121</v>
      </c>
      <c r="K17" s="295">
        <f>'Com-Capacity-Smart'!V69</f>
        <v>23.723616401670085</v>
      </c>
      <c r="L17" s="292">
        <f t="shared" si="0"/>
        <v>4.0941095386308239</v>
      </c>
      <c r="M17" s="292">
        <f t="shared" si="1"/>
        <v>20.470547693154121</v>
      </c>
      <c r="N17" s="319">
        <f t="shared" si="2"/>
        <v>1822816.1090705507</v>
      </c>
      <c r="O17" s="319">
        <f t="shared" si="3"/>
        <v>2112488.1850052509</v>
      </c>
    </row>
    <row r="18" spans="1:52">
      <c r="A18" s="305">
        <v>4</v>
      </c>
      <c r="B18" s="305" t="s">
        <v>388</v>
      </c>
      <c r="C18" s="2" t="s">
        <v>328</v>
      </c>
      <c r="D18" s="304">
        <f>CostByType_Details!B109</f>
        <v>152.09804593591335</v>
      </c>
      <c r="E18" s="294">
        <v>1</v>
      </c>
      <c r="F18" s="294">
        <v>1</v>
      </c>
      <c r="G18" s="2" t="s">
        <v>377</v>
      </c>
      <c r="H18" s="2" t="s">
        <v>3</v>
      </c>
      <c r="I18" s="2" t="s">
        <v>381</v>
      </c>
      <c r="J18" s="295">
        <f>'Res-Capacity-Smart'!I85</f>
        <v>53.69369677253998</v>
      </c>
      <c r="K18" s="296">
        <f>'Res-Capacity-Smart'!V85</f>
        <v>62.450268815512793</v>
      </c>
      <c r="L18" s="292">
        <f t="shared" si="0"/>
        <v>53.69369677253998</v>
      </c>
      <c r="M18" s="292">
        <f t="shared" si="1"/>
        <v>53.69369677253998</v>
      </c>
      <c r="N18" s="319">
        <f t="shared" si="2"/>
        <v>8166706.3581787879</v>
      </c>
      <c r="O18" s="319">
        <f t="shared" si="3"/>
        <v>9498563.8550120015</v>
      </c>
    </row>
    <row r="19" spans="1:52">
      <c r="A19" s="305">
        <v>4</v>
      </c>
      <c r="B19" s="305" t="s">
        <v>388</v>
      </c>
      <c r="C19" s="2" t="s">
        <v>282</v>
      </c>
      <c r="D19" s="304">
        <f>CostByType_Details!B106</f>
        <v>153.08506177241881</v>
      </c>
      <c r="E19" s="18">
        <v>0</v>
      </c>
      <c r="F19" s="294">
        <v>1</v>
      </c>
      <c r="G19" s="2" t="s">
        <v>377</v>
      </c>
      <c r="H19" s="2" t="s">
        <v>3</v>
      </c>
      <c r="I19" s="2" t="s">
        <v>375</v>
      </c>
      <c r="J19" s="295">
        <f>'Res-Capacity-Smart'!I82</f>
        <v>238.74692757299991</v>
      </c>
      <c r="K19" s="296">
        <f>'Res-Capacity-Smart'!V82</f>
        <v>277.68268348095523</v>
      </c>
      <c r="L19" s="292">
        <f t="shared" si="0"/>
        <v>0</v>
      </c>
      <c r="M19" s="292">
        <f t="shared" si="1"/>
        <v>238.74692757299991</v>
      </c>
      <c r="N19" s="319">
        <f t="shared" si="2"/>
        <v>36548588.155487895</v>
      </c>
      <c r="O19" s="319">
        <f t="shared" si="3"/>
        <v>42509070.753813051</v>
      </c>
    </row>
    <row r="20" spans="1:52">
      <c r="A20" s="305">
        <v>4</v>
      </c>
      <c r="B20" s="305" t="s">
        <v>388</v>
      </c>
      <c r="C20" s="2" t="s">
        <v>283</v>
      </c>
      <c r="D20" s="304">
        <f>CostByType_Details!B107</f>
        <v>153.08506177241884</v>
      </c>
      <c r="E20" s="18">
        <v>0</v>
      </c>
      <c r="F20" s="294">
        <v>1</v>
      </c>
      <c r="G20" s="2" t="s">
        <v>377</v>
      </c>
      <c r="H20" s="2" t="s">
        <v>3</v>
      </c>
      <c r="I20" s="2" t="s">
        <v>375</v>
      </c>
      <c r="J20" s="295">
        <f>'Res-Capacity-Smart'!I83</f>
        <v>107.43611740784996</v>
      </c>
      <c r="K20" s="296">
        <f>'Res-Capacity-Smart'!V83</f>
        <v>124.95720756642989</v>
      </c>
      <c r="L20" s="292">
        <f t="shared" si="0"/>
        <v>0</v>
      </c>
      <c r="M20" s="292">
        <f t="shared" si="1"/>
        <v>107.43611740784996</v>
      </c>
      <c r="N20" s="319">
        <f t="shared" si="2"/>
        <v>16446864.669969557</v>
      </c>
      <c r="O20" s="319">
        <f t="shared" si="3"/>
        <v>19129081.839215882</v>
      </c>
    </row>
    <row r="21" spans="1:52">
      <c r="A21" s="305">
        <v>4</v>
      </c>
      <c r="B21" s="305" t="s">
        <v>388</v>
      </c>
      <c r="C21" s="2" t="s">
        <v>284</v>
      </c>
      <c r="D21" s="304">
        <f>CostByType_Details!B108</f>
        <v>153.08506177241887</v>
      </c>
      <c r="E21" s="294">
        <v>1</v>
      </c>
      <c r="F21" s="18">
        <v>0</v>
      </c>
      <c r="G21" s="2" t="s">
        <v>377</v>
      </c>
      <c r="H21" s="2" t="s">
        <v>3</v>
      </c>
      <c r="I21" s="2" t="s">
        <v>374</v>
      </c>
      <c r="J21" s="295">
        <f>'Res-Capacity-Smart'!I84</f>
        <v>652.80231339245984</v>
      </c>
      <c r="K21" s="296">
        <f>'Res-Capacity-Smart'!V84</f>
        <v>759.26379454649782</v>
      </c>
      <c r="L21" s="292">
        <f t="shared" si="0"/>
        <v>652.80231339245984</v>
      </c>
      <c r="M21" s="292">
        <f t="shared" si="1"/>
        <v>0</v>
      </c>
      <c r="N21" s="319">
        <f t="shared" si="2"/>
        <v>99934282.470862657</v>
      </c>
      <c r="O21" s="319">
        <f t="shared" si="3"/>
        <v>116231944.88971177</v>
      </c>
    </row>
    <row r="22" spans="1:52">
      <c r="Z22" s="349">
        <v>5</v>
      </c>
      <c r="AA22" s="349">
        <v>6</v>
      </c>
      <c r="AB22" s="349">
        <v>7</v>
      </c>
      <c r="AC22" s="349">
        <v>8</v>
      </c>
    </row>
    <row r="23" spans="1:52" s="70" customFormat="1">
      <c r="A23" s="287" t="s">
        <v>419</v>
      </c>
      <c r="E23" s="70" t="s">
        <v>457</v>
      </c>
      <c r="Z23" s="70">
        <f>EnergyCalculations!E1</f>
        <v>2166</v>
      </c>
      <c r="AA23" s="70">
        <f>EnergyCalculations!F1</f>
        <v>2184</v>
      </c>
      <c r="AB23" s="70">
        <f>EnergyCalculations!G1</f>
        <v>2208</v>
      </c>
      <c r="AC23" s="70">
        <f>EnergyCalculations!H1</f>
        <v>2208</v>
      </c>
      <c r="AD23" s="70" t="s">
        <v>458</v>
      </c>
      <c r="AQ23" s="70" t="s">
        <v>459</v>
      </c>
    </row>
    <row r="24" spans="1:52" ht="45">
      <c r="A24" s="287" t="s">
        <v>385</v>
      </c>
      <c r="B24" s="341" t="s">
        <v>461</v>
      </c>
      <c r="C24" s="341" t="s">
        <v>462</v>
      </c>
      <c r="D24" s="341" t="s">
        <v>425</v>
      </c>
      <c r="E24" s="341" t="s">
        <v>426</v>
      </c>
      <c r="F24" s="341" t="s">
        <v>439</v>
      </c>
      <c r="G24" s="341" t="s">
        <v>427</v>
      </c>
      <c r="H24" s="341" t="s">
        <v>440</v>
      </c>
      <c r="I24" s="341" t="s">
        <v>428</v>
      </c>
      <c r="J24" s="341" t="s">
        <v>441</v>
      </c>
      <c r="K24" s="341" t="s">
        <v>429</v>
      </c>
      <c r="L24" s="341" t="s">
        <v>442</v>
      </c>
      <c r="M24" s="341" t="s">
        <v>430</v>
      </c>
      <c r="N24" s="341" t="s">
        <v>443</v>
      </c>
      <c r="O24" s="341" t="s">
        <v>431</v>
      </c>
      <c r="P24" s="341" t="s">
        <v>444</v>
      </c>
      <c r="Q24" s="341" t="s">
        <v>432</v>
      </c>
      <c r="R24" s="341" t="s">
        <v>445</v>
      </c>
      <c r="S24" s="341" t="s">
        <v>433</v>
      </c>
      <c r="T24" s="341" t="s">
        <v>446</v>
      </c>
      <c r="U24" s="341" t="s">
        <v>434</v>
      </c>
      <c r="V24" s="341" t="s">
        <v>447</v>
      </c>
      <c r="W24" s="341" t="s">
        <v>435</v>
      </c>
      <c r="X24" s="341" t="s">
        <v>448</v>
      </c>
      <c r="Y24" s="347" t="s">
        <v>450</v>
      </c>
      <c r="Z24" s="341" t="s">
        <v>394</v>
      </c>
      <c r="AA24" s="341" t="s">
        <v>395</v>
      </c>
      <c r="AB24" s="341" t="s">
        <v>396</v>
      </c>
      <c r="AC24" s="341" t="s">
        <v>397</v>
      </c>
      <c r="AD24" s="341" t="s">
        <v>426</v>
      </c>
      <c r="AE24" s="341" t="s">
        <v>439</v>
      </c>
      <c r="AF24" s="341" t="s">
        <v>427</v>
      </c>
      <c r="AG24" s="341" t="s">
        <v>440</v>
      </c>
      <c r="AH24" s="341" t="s">
        <v>428</v>
      </c>
      <c r="AI24" s="341" t="s">
        <v>441</v>
      </c>
      <c r="AJ24" s="341" t="s">
        <v>429</v>
      </c>
      <c r="AK24" s="341" t="s">
        <v>430</v>
      </c>
      <c r="AL24" s="341" t="s">
        <v>431</v>
      </c>
      <c r="AM24" s="341" t="s">
        <v>432</v>
      </c>
      <c r="AN24" s="341" t="s">
        <v>433</v>
      </c>
      <c r="AO24" s="341" t="s">
        <v>434</v>
      </c>
      <c r="AP24" s="341" t="s">
        <v>435</v>
      </c>
      <c r="AQ24" s="341" t="s">
        <v>394</v>
      </c>
      <c r="AR24" s="341" t="s">
        <v>395</v>
      </c>
      <c r="AS24" s="341" t="s">
        <v>396</v>
      </c>
      <c r="AT24" s="341" t="s">
        <v>397</v>
      </c>
      <c r="AU24" s="341"/>
      <c r="AV24" s="341"/>
      <c r="AW24" s="341"/>
      <c r="AX24" s="341"/>
      <c r="AY24" s="341"/>
      <c r="AZ24" s="341"/>
    </row>
    <row r="25" spans="1:52">
      <c r="A25" s="2" t="s">
        <v>316</v>
      </c>
      <c r="B25" s="274">
        <f>B85</f>
        <v>-12.801495436350621</v>
      </c>
      <c r="C25" s="274">
        <f>B88</f>
        <v>0</v>
      </c>
      <c r="D25" s="345" t="s">
        <v>449</v>
      </c>
      <c r="E25" s="345">
        <f>C91/1000</f>
        <v>25.801678770555743</v>
      </c>
      <c r="F25" s="345">
        <f t="shared" ref="F25:X25" si="4">D91/1000</f>
        <v>130.55786170292248</v>
      </c>
      <c r="G25" s="345">
        <f t="shared" si="4"/>
        <v>238.12648508924923</v>
      </c>
      <c r="H25" s="345">
        <f t="shared" si="4"/>
        <v>348.42827978815484</v>
      </c>
      <c r="I25" s="345">
        <f t="shared" si="4"/>
        <v>461.77114111485594</v>
      </c>
      <c r="J25" s="345">
        <f t="shared" si="4"/>
        <v>550.19416605516278</v>
      </c>
      <c r="K25" s="345">
        <f t="shared" si="4"/>
        <v>557.00757114508804</v>
      </c>
      <c r="L25" s="345">
        <f t="shared" si="4"/>
        <v>563.72994531970176</v>
      </c>
      <c r="M25" s="345">
        <f t="shared" si="4"/>
        <v>570.4291130405087</v>
      </c>
      <c r="N25" s="345">
        <f t="shared" si="4"/>
        <v>577.08995514045023</v>
      </c>
      <c r="O25" s="345">
        <f t="shared" si="4"/>
        <v>583.46814278338582</v>
      </c>
      <c r="P25" s="345">
        <f t="shared" si="4"/>
        <v>590.0692161566451</v>
      </c>
      <c r="Q25" s="345">
        <f t="shared" si="4"/>
        <v>596.9401017005905</v>
      </c>
      <c r="R25" s="345">
        <f t="shared" si="4"/>
        <v>603.85052685816288</v>
      </c>
      <c r="S25" s="345">
        <f t="shared" si="4"/>
        <v>610.60444684034508</v>
      </c>
      <c r="T25" s="345">
        <f t="shared" si="4"/>
        <v>617.43390776038677</v>
      </c>
      <c r="U25" s="345">
        <f t="shared" si="4"/>
        <v>624.33975452514289</v>
      </c>
      <c r="V25" s="345">
        <f t="shared" si="4"/>
        <v>631.32284149154475</v>
      </c>
      <c r="W25" s="345">
        <f t="shared" si="4"/>
        <v>638.38403257229595</v>
      </c>
      <c r="X25" s="345">
        <f t="shared" si="4"/>
        <v>645.52420134275189</v>
      </c>
      <c r="Y25" s="348">
        <f>SUM(E25:X25)</f>
        <v>10165.073369197902</v>
      </c>
      <c r="Z25" s="6">
        <f>VLOOKUP(CostByType_Details!$A25,EnergyCalculations!$A$4:$H$22,CostByType_Details!Z$22,TRUE)/Z$23</f>
        <v>1.3850415512465374E-2</v>
      </c>
      <c r="AA25" s="6">
        <f>VLOOKUP(CostByType_Details!$A25,EnergyCalculations!$A$4:$H$22,CostByType_Details!AA$22,TRUE)/AA$23</f>
        <v>0</v>
      </c>
      <c r="AB25" s="6">
        <f>VLOOKUP(CostByType_Details!$A25,EnergyCalculations!$A$4:$H$22,CostByType_Details!AB$22,TRUE)/AB$23</f>
        <v>1.358695652173913E-2</v>
      </c>
      <c r="AC25" s="6">
        <f>VLOOKUP(CostByType_Details!$A25,EnergyCalculations!$A$4:$H$22,CostByType_Details!AC$22,TRUE)/AC$23</f>
        <v>0</v>
      </c>
      <c r="AD25" s="345">
        <f>E25</f>
        <v>25.801678770555743</v>
      </c>
      <c r="AE25" s="345">
        <f>F25-E25</f>
        <v>104.75618293236674</v>
      </c>
      <c r="AF25" s="345">
        <f t="shared" ref="AF25:AI29" si="5">G25-F25</f>
        <v>107.56862338632675</v>
      </c>
      <c r="AG25" s="345">
        <f t="shared" si="5"/>
        <v>110.30179469890561</v>
      </c>
      <c r="AH25" s="345">
        <f t="shared" si="5"/>
        <v>113.3428613267011</v>
      </c>
      <c r="AI25" s="345">
        <f t="shared" si="5"/>
        <v>88.423024940306846</v>
      </c>
      <c r="AJ25" s="345">
        <f>L25-J25</f>
        <v>13.535779264538974</v>
      </c>
      <c r="AK25" s="345">
        <f>N25-L25</f>
        <v>13.360009820748473</v>
      </c>
      <c r="AL25" s="345">
        <f>P25-N25</f>
        <v>12.979261016194869</v>
      </c>
      <c r="AM25" s="345">
        <f>R25-P25</f>
        <v>13.781310701517782</v>
      </c>
      <c r="AN25" s="345">
        <f>T25-R25</f>
        <v>13.583380902223894</v>
      </c>
      <c r="AO25" s="345">
        <f>V25-T25</f>
        <v>13.888933731157977</v>
      </c>
      <c r="AP25" s="345">
        <f>X25-V25</f>
        <v>14.201359851207144</v>
      </c>
      <c r="AQ25" s="6">
        <v>1</v>
      </c>
      <c r="AR25" s="6">
        <v>0</v>
      </c>
      <c r="AS25" s="6">
        <v>1</v>
      </c>
      <c r="AT25" s="6">
        <v>0</v>
      </c>
    </row>
    <row r="26" spans="1:52">
      <c r="A26" s="2" t="s">
        <v>324</v>
      </c>
      <c r="B26" s="274">
        <f>B130</f>
        <v>-4.8005607886314818</v>
      </c>
      <c r="C26" s="274">
        <f>B135</f>
        <v>1.9042112659217718</v>
      </c>
      <c r="D26" s="345" t="s">
        <v>449</v>
      </c>
      <c r="E26" s="345">
        <f>C140/1000</f>
        <v>25.801678770555743</v>
      </c>
      <c r="F26" s="345">
        <f t="shared" ref="F26:X26" si="6">D140/1000</f>
        <v>130.55786170292248</v>
      </c>
      <c r="G26" s="345">
        <f t="shared" si="6"/>
        <v>238.12648508924923</v>
      </c>
      <c r="H26" s="345">
        <f t="shared" si="6"/>
        <v>348.42827978815484</v>
      </c>
      <c r="I26" s="345">
        <f t="shared" si="6"/>
        <v>461.77114111485594</v>
      </c>
      <c r="J26" s="345">
        <f t="shared" si="6"/>
        <v>550.19416605516278</v>
      </c>
      <c r="K26" s="345">
        <f t="shared" si="6"/>
        <v>557.00757114508804</v>
      </c>
      <c r="L26" s="345">
        <f t="shared" si="6"/>
        <v>563.72994531970176</v>
      </c>
      <c r="M26" s="345">
        <f t="shared" si="6"/>
        <v>570.4291130405087</v>
      </c>
      <c r="N26" s="345">
        <f t="shared" si="6"/>
        <v>577.08995514045023</v>
      </c>
      <c r="O26" s="345">
        <f t="shared" si="6"/>
        <v>583.46814278338582</v>
      </c>
      <c r="P26" s="345">
        <f t="shared" si="6"/>
        <v>590.0692161566451</v>
      </c>
      <c r="Q26" s="345">
        <f t="shared" si="6"/>
        <v>596.9401017005905</v>
      </c>
      <c r="R26" s="345">
        <f t="shared" si="6"/>
        <v>603.85052685816288</v>
      </c>
      <c r="S26" s="345">
        <f t="shared" si="6"/>
        <v>610.60444684034508</v>
      </c>
      <c r="T26" s="345">
        <f t="shared" si="6"/>
        <v>617.43390776038677</v>
      </c>
      <c r="U26" s="345">
        <f t="shared" si="6"/>
        <v>624.33975452514289</v>
      </c>
      <c r="V26" s="345">
        <f t="shared" si="6"/>
        <v>631.32284149154475</v>
      </c>
      <c r="W26" s="345">
        <f t="shared" si="6"/>
        <v>638.38403257229595</v>
      </c>
      <c r="X26" s="345">
        <f t="shared" si="6"/>
        <v>645.52420134275189</v>
      </c>
      <c r="Y26" s="348">
        <f t="shared" ref="Y26:Y30" si="7">SUM(E26:X26)</f>
        <v>10165.073369197902</v>
      </c>
      <c r="Z26" s="6">
        <f>VLOOKUP(CostByType_Details!$A26,EnergyCalculations!$A$4:$H$22,CostByType_Details!Z$22,TRUE)/Z$23</f>
        <v>1.3850415512465374E-2</v>
      </c>
      <c r="AA26" s="6">
        <f>VLOOKUP(CostByType_Details!$A26,EnergyCalculations!$A$4:$H$22,CostByType_Details!AA$22,TRUE)/AA$23</f>
        <v>0</v>
      </c>
      <c r="AB26" s="6">
        <f>VLOOKUP(CostByType_Details!$A26,EnergyCalculations!$A$4:$H$22,CostByType_Details!AB$22,TRUE)/AB$23</f>
        <v>1.358695652173913E-2</v>
      </c>
      <c r="AC26" s="6">
        <f>VLOOKUP(CostByType_Details!$A26,EnergyCalculations!$A$4:$H$22,CostByType_Details!AC$22,TRUE)/AC$23</f>
        <v>0</v>
      </c>
      <c r="AD26" s="345">
        <f t="shared" ref="AD26:AD29" si="8">E26</f>
        <v>25.801678770555743</v>
      </c>
      <c r="AE26" s="345">
        <f t="shared" ref="AE26:AE29" si="9">F26-E26</f>
        <v>104.75618293236674</v>
      </c>
      <c r="AF26" s="345">
        <f t="shared" si="5"/>
        <v>107.56862338632675</v>
      </c>
      <c r="AG26" s="345">
        <f t="shared" si="5"/>
        <v>110.30179469890561</v>
      </c>
      <c r="AH26" s="345">
        <f t="shared" si="5"/>
        <v>113.3428613267011</v>
      </c>
      <c r="AI26" s="345">
        <f t="shared" si="5"/>
        <v>88.423024940306846</v>
      </c>
      <c r="AJ26" s="345">
        <f t="shared" ref="AJ26:AJ29" si="10">L26-J26</f>
        <v>13.535779264538974</v>
      </c>
      <c r="AK26" s="345">
        <f t="shared" ref="AK26:AK29" si="11">N26-L26</f>
        <v>13.360009820748473</v>
      </c>
      <c r="AL26" s="345">
        <f t="shared" ref="AL26:AL29" si="12">P26-N26</f>
        <v>12.979261016194869</v>
      </c>
      <c r="AM26" s="345">
        <f t="shared" ref="AM26:AM29" si="13">R26-P26</f>
        <v>13.781310701517782</v>
      </c>
      <c r="AN26" s="345">
        <f t="shared" ref="AN26:AN29" si="14">T26-R26</f>
        <v>13.583380902223894</v>
      </c>
      <c r="AO26" s="345">
        <f t="shared" ref="AO26:AO29" si="15">V26-T26</f>
        <v>13.888933731157977</v>
      </c>
      <c r="AP26" s="345">
        <f t="shared" ref="AP26:AP29" si="16">X26-V26</f>
        <v>14.201359851207144</v>
      </c>
      <c r="AQ26" s="6">
        <v>1</v>
      </c>
      <c r="AR26" s="6">
        <v>0</v>
      </c>
      <c r="AS26" s="6">
        <v>1</v>
      </c>
      <c r="AT26" s="6">
        <v>0</v>
      </c>
    </row>
    <row r="27" spans="1:52">
      <c r="A27" s="2" t="s">
        <v>327</v>
      </c>
      <c r="B27" s="274">
        <f>B132</f>
        <v>-4.8005607886314818</v>
      </c>
      <c r="C27" s="274">
        <f>B137</f>
        <v>7.6168450636870872</v>
      </c>
      <c r="D27" s="345" t="s">
        <v>449</v>
      </c>
      <c r="E27" s="345">
        <f>C142/1000</f>
        <v>12.900839385277871</v>
      </c>
      <c r="F27" s="345">
        <f t="shared" ref="F27:X27" si="17">D142/1000</f>
        <v>65.27893085146124</v>
      </c>
      <c r="G27" s="345">
        <f t="shared" si="17"/>
        <v>119.06324254462461</v>
      </c>
      <c r="H27" s="345">
        <f t="shared" si="17"/>
        <v>174.21413989407742</v>
      </c>
      <c r="I27" s="345">
        <f t="shared" si="17"/>
        <v>230.88557055742797</v>
      </c>
      <c r="J27" s="345">
        <f t="shared" si="17"/>
        <v>275.09708302758139</v>
      </c>
      <c r="K27" s="345">
        <f t="shared" si="17"/>
        <v>278.50378557254402</v>
      </c>
      <c r="L27" s="345">
        <f t="shared" si="17"/>
        <v>281.86497265985088</v>
      </c>
      <c r="M27" s="345">
        <f t="shared" si="17"/>
        <v>285.21455652025435</v>
      </c>
      <c r="N27" s="345">
        <f t="shared" si="17"/>
        <v>288.54497757022511</v>
      </c>
      <c r="O27" s="345">
        <f t="shared" si="17"/>
        <v>291.73407139169291</v>
      </c>
      <c r="P27" s="345">
        <f t="shared" si="17"/>
        <v>295.03460807832255</v>
      </c>
      <c r="Q27" s="345">
        <f t="shared" si="17"/>
        <v>298.47005085029525</v>
      </c>
      <c r="R27" s="345">
        <f t="shared" si="17"/>
        <v>301.92526342908144</v>
      </c>
      <c r="S27" s="345">
        <f t="shared" si="17"/>
        <v>305.30222342017254</v>
      </c>
      <c r="T27" s="345">
        <f t="shared" si="17"/>
        <v>308.71695388019339</v>
      </c>
      <c r="U27" s="345">
        <f t="shared" si="17"/>
        <v>312.16987726257145</v>
      </c>
      <c r="V27" s="345">
        <f t="shared" si="17"/>
        <v>315.66142074577238</v>
      </c>
      <c r="W27" s="345">
        <f t="shared" si="17"/>
        <v>319.19201628614798</v>
      </c>
      <c r="X27" s="345">
        <f t="shared" si="17"/>
        <v>322.76210067137595</v>
      </c>
      <c r="Y27" s="348">
        <f t="shared" si="7"/>
        <v>5082.5366845989511</v>
      </c>
      <c r="Z27" s="6">
        <f>VLOOKUP(CostByType_Details!$A27,EnergyCalculations!$A$4:$H$22,CostByType_Details!Z$22,TRUE)/Z$23</f>
        <v>0</v>
      </c>
      <c r="AA27" s="6">
        <f>VLOOKUP(CostByType_Details!$A27,EnergyCalculations!$A$4:$H$22,CostByType_Details!AA$22,TRUE)/AA$23</f>
        <v>0</v>
      </c>
      <c r="AB27" s="6">
        <f>VLOOKUP(CostByType_Details!$A27,EnergyCalculations!$A$4:$H$22,CostByType_Details!AB$22,TRUE)/AB$23</f>
        <v>2.2644927536231884E-2</v>
      </c>
      <c r="AC27" s="6">
        <f>VLOOKUP(CostByType_Details!$A27,EnergyCalculations!$A$4:$H$22,CostByType_Details!AC$22,TRUE)/AC$23</f>
        <v>0</v>
      </c>
      <c r="AD27" s="345">
        <f t="shared" si="8"/>
        <v>12.900839385277871</v>
      </c>
      <c r="AE27" s="345">
        <f t="shared" si="9"/>
        <v>52.378091466183371</v>
      </c>
      <c r="AF27" s="345">
        <f t="shared" si="5"/>
        <v>53.784311693163374</v>
      </c>
      <c r="AG27" s="345">
        <f t="shared" si="5"/>
        <v>55.150897349452805</v>
      </c>
      <c r="AH27" s="345">
        <f t="shared" si="5"/>
        <v>56.671430663350549</v>
      </c>
      <c r="AI27" s="345">
        <f t="shared" si="5"/>
        <v>44.211512470153423</v>
      </c>
      <c r="AJ27" s="345">
        <f t="shared" si="10"/>
        <v>6.7678896322694868</v>
      </c>
      <c r="AK27" s="345">
        <f t="shared" si="11"/>
        <v>6.6800049103742367</v>
      </c>
      <c r="AL27" s="345">
        <f t="shared" si="12"/>
        <v>6.4896305080974344</v>
      </c>
      <c r="AM27" s="345">
        <f t="shared" si="13"/>
        <v>6.890655350758891</v>
      </c>
      <c r="AN27" s="345">
        <f t="shared" si="14"/>
        <v>6.7916904511119469</v>
      </c>
      <c r="AO27" s="345">
        <f t="shared" si="15"/>
        <v>6.9444668655789883</v>
      </c>
      <c r="AP27" s="345">
        <f t="shared" si="16"/>
        <v>7.100679925603572</v>
      </c>
      <c r="AQ27" s="6">
        <v>0.9</v>
      </c>
      <c r="AR27" s="6">
        <v>0</v>
      </c>
      <c r="AS27" s="6">
        <v>1</v>
      </c>
      <c r="AT27" s="6">
        <v>0</v>
      </c>
    </row>
    <row r="28" spans="1:52">
      <c r="A28" s="293" t="s">
        <v>306</v>
      </c>
      <c r="B28" s="274">
        <f>B73</f>
        <v>-12.801495436350617</v>
      </c>
      <c r="C28" s="274">
        <f>B76</f>
        <v>16.680503553113059</v>
      </c>
      <c r="D28" s="345" t="s">
        <v>449</v>
      </c>
      <c r="E28" s="345">
        <f>C79/1000</f>
        <v>3.6284531514876304</v>
      </c>
      <c r="F28" s="345">
        <f t="shared" ref="F28:X28" si="18">D79/1000</f>
        <v>16.524148682885361</v>
      </c>
      <c r="G28" s="345">
        <f t="shared" si="18"/>
        <v>26.789909384059765</v>
      </c>
      <c r="H28" s="345">
        <f t="shared" si="18"/>
        <v>34.299279158348327</v>
      </c>
      <c r="I28" s="345">
        <f t="shared" si="18"/>
        <v>38.962928741434354</v>
      </c>
      <c r="J28" s="345">
        <f t="shared" si="18"/>
        <v>46.423810795547659</v>
      </c>
      <c r="K28" s="345">
        <f t="shared" si="18"/>
        <v>46.998706438364039</v>
      </c>
      <c r="L28" s="345">
        <f t="shared" si="18"/>
        <v>47.565921152792427</v>
      </c>
      <c r="M28" s="345">
        <f t="shared" si="18"/>
        <v>48.131177772992949</v>
      </c>
      <c r="N28" s="345">
        <f t="shared" si="18"/>
        <v>48.693200586873004</v>
      </c>
      <c r="O28" s="345">
        <f t="shared" si="18"/>
        <v>49.231373825744555</v>
      </c>
      <c r="P28" s="345">
        <f t="shared" si="18"/>
        <v>49.788353525338451</v>
      </c>
      <c r="Q28" s="345">
        <f t="shared" si="18"/>
        <v>50.368099204535632</v>
      </c>
      <c r="R28" s="345">
        <f t="shared" si="18"/>
        <v>50.951181123291889</v>
      </c>
      <c r="S28" s="345">
        <f t="shared" si="18"/>
        <v>51.521057582777395</v>
      </c>
      <c r="T28" s="345">
        <f t="shared" si="18"/>
        <v>52.097307970637381</v>
      </c>
      <c r="U28" s="345">
        <f t="shared" si="18"/>
        <v>52.680003577696844</v>
      </c>
      <c r="V28" s="345">
        <f t="shared" si="18"/>
        <v>53.269216492151102</v>
      </c>
      <c r="W28" s="345">
        <f t="shared" si="18"/>
        <v>53.865019608484289</v>
      </c>
      <c r="X28" s="345">
        <f t="shared" si="18"/>
        <v>54.467486636487436</v>
      </c>
      <c r="Y28" s="348">
        <f t="shared" si="7"/>
        <v>876.25663541193057</v>
      </c>
      <c r="Z28" s="6">
        <f>VLOOKUP(CostByType_Details!$A28,EnergyCalculations!$A$4:$H$22,CostByType_Details!Z$22,TRUE)/Z$23</f>
        <v>0</v>
      </c>
      <c r="AA28" s="6">
        <f>VLOOKUP(CostByType_Details!$A28,EnergyCalculations!$A$4:$H$22,CostByType_Details!AA$22,TRUE)/AA$23</f>
        <v>0</v>
      </c>
      <c r="AB28" s="6">
        <f>VLOOKUP(CostByType_Details!$A28,EnergyCalculations!$A$4:$H$22,CostByType_Details!AB$22,TRUE)/AB$23</f>
        <v>2.2644927536231884E-2</v>
      </c>
      <c r="AC28" s="6">
        <f>VLOOKUP(CostByType_Details!$A28,EnergyCalculations!$A$4:$H$22,CostByType_Details!AC$22,TRUE)/AC$23</f>
        <v>0</v>
      </c>
      <c r="AD28" s="345">
        <f t="shared" si="8"/>
        <v>3.6284531514876304</v>
      </c>
      <c r="AE28" s="345">
        <f t="shared" si="9"/>
        <v>12.895695531397731</v>
      </c>
      <c r="AF28" s="345">
        <f t="shared" si="5"/>
        <v>10.265760701174404</v>
      </c>
      <c r="AG28" s="345">
        <f t="shared" si="5"/>
        <v>7.5093697742885617</v>
      </c>
      <c r="AH28" s="345">
        <f t="shared" si="5"/>
        <v>4.663649583086027</v>
      </c>
      <c r="AI28" s="345">
        <f t="shared" si="5"/>
        <v>7.4608820541133056</v>
      </c>
      <c r="AJ28" s="345">
        <f t="shared" si="10"/>
        <v>1.1421103572447677</v>
      </c>
      <c r="AK28" s="345">
        <f t="shared" si="11"/>
        <v>1.1272794340805774</v>
      </c>
      <c r="AL28" s="345">
        <f t="shared" si="12"/>
        <v>1.0951529384654464</v>
      </c>
      <c r="AM28" s="345">
        <f t="shared" si="13"/>
        <v>1.1628275979534379</v>
      </c>
      <c r="AN28" s="345">
        <f t="shared" si="14"/>
        <v>1.1461268473454922</v>
      </c>
      <c r="AO28" s="345">
        <f t="shared" si="15"/>
        <v>1.1719085215137213</v>
      </c>
      <c r="AP28" s="345">
        <f t="shared" si="16"/>
        <v>1.1982701443363339</v>
      </c>
      <c r="AQ28" s="6">
        <v>0.2</v>
      </c>
      <c r="AR28" s="6">
        <v>0</v>
      </c>
      <c r="AS28" s="6">
        <v>1</v>
      </c>
      <c r="AT28" s="6">
        <v>0</v>
      </c>
      <c r="AX28" s="71" t="s">
        <v>460</v>
      </c>
    </row>
    <row r="29" spans="1:52">
      <c r="A29" s="293" t="s">
        <v>305</v>
      </c>
      <c r="B29" s="274">
        <f>B72</f>
        <v>-12.801495436350617</v>
      </c>
      <c r="C29" s="274">
        <f>B75</f>
        <v>23.94843724411232</v>
      </c>
      <c r="D29" s="345" t="s">
        <v>449</v>
      </c>
      <c r="E29" s="345">
        <f>C78/1000</f>
        <v>1.3546225098887152</v>
      </c>
      <c r="F29" s="345">
        <f t="shared" ref="F29:X29" si="19">D78/1000</f>
        <v>6.1690155082772007</v>
      </c>
      <c r="G29" s="345">
        <f t="shared" si="19"/>
        <v>10.001566170048978</v>
      </c>
      <c r="H29" s="345">
        <f t="shared" si="19"/>
        <v>12.80506421911671</v>
      </c>
      <c r="I29" s="345">
        <f t="shared" si="19"/>
        <v>14.546160063468829</v>
      </c>
      <c r="J29" s="345">
        <f t="shared" si="19"/>
        <v>17.331556030337794</v>
      </c>
      <c r="K29" s="345">
        <f t="shared" si="19"/>
        <v>17.546183736989242</v>
      </c>
      <c r="L29" s="345">
        <f t="shared" si="19"/>
        <v>17.757943897042505</v>
      </c>
      <c r="M29" s="345">
        <f t="shared" si="19"/>
        <v>17.968973035250698</v>
      </c>
      <c r="N29" s="345">
        <f t="shared" si="19"/>
        <v>18.178794885765921</v>
      </c>
      <c r="O29" s="345">
        <f t="shared" si="19"/>
        <v>18.379712894944635</v>
      </c>
      <c r="P29" s="345">
        <f t="shared" si="19"/>
        <v>18.58765198279302</v>
      </c>
      <c r="Q29" s="345">
        <f t="shared" si="19"/>
        <v>18.804090369693306</v>
      </c>
      <c r="R29" s="345">
        <f t="shared" si="19"/>
        <v>19.021774286028972</v>
      </c>
      <c r="S29" s="345">
        <f t="shared" si="19"/>
        <v>19.234528164236895</v>
      </c>
      <c r="T29" s="345">
        <f t="shared" si="19"/>
        <v>19.449661642371289</v>
      </c>
      <c r="U29" s="345">
        <f t="shared" si="19"/>
        <v>19.667201335673489</v>
      </c>
      <c r="V29" s="345">
        <f t="shared" si="19"/>
        <v>19.887174157069744</v>
      </c>
      <c r="W29" s="345">
        <f t="shared" si="19"/>
        <v>20.109607320500803</v>
      </c>
      <c r="X29" s="345">
        <f t="shared" si="19"/>
        <v>20.334528344288646</v>
      </c>
      <c r="Y29" s="348">
        <f t="shared" si="7"/>
        <v>327.13581055378739</v>
      </c>
      <c r="Z29" s="6">
        <f>VLOOKUP(CostByType_Details!$A29,EnergyCalculations!$A$4:$H$22,CostByType_Details!Z$22,TRUE)/Z$23</f>
        <v>0</v>
      </c>
      <c r="AA29" s="6">
        <f>VLOOKUP(CostByType_Details!$A29,EnergyCalculations!$A$4:$H$22,CostByType_Details!AA$22,TRUE)/AA$23</f>
        <v>0</v>
      </c>
      <c r="AB29" s="6">
        <f>VLOOKUP(CostByType_Details!$A29,EnergyCalculations!$A$4:$H$22,CostByType_Details!AB$22,TRUE)/AB$23</f>
        <v>2.2644927536231884E-2</v>
      </c>
      <c r="AC29" s="6">
        <f>VLOOKUP(CostByType_Details!$A29,EnergyCalculations!$A$4:$H$22,CostByType_Details!AC$22,TRUE)/AC$23</f>
        <v>0</v>
      </c>
      <c r="AD29" s="345">
        <f t="shared" si="8"/>
        <v>1.3546225098887152</v>
      </c>
      <c r="AE29" s="345">
        <f t="shared" si="9"/>
        <v>4.8143929983884854</v>
      </c>
      <c r="AF29" s="345">
        <f t="shared" si="5"/>
        <v>3.8325506617717773</v>
      </c>
      <c r="AG29" s="345">
        <f t="shared" si="5"/>
        <v>2.8034980490677324</v>
      </c>
      <c r="AH29" s="345">
        <f t="shared" si="5"/>
        <v>1.7410958443521185</v>
      </c>
      <c r="AI29" s="345">
        <f t="shared" si="5"/>
        <v>2.7853959668689647</v>
      </c>
      <c r="AJ29" s="345">
        <f t="shared" si="10"/>
        <v>0.42638786670471163</v>
      </c>
      <c r="AK29" s="345">
        <f t="shared" si="11"/>
        <v>0.42085098872341575</v>
      </c>
      <c r="AL29" s="345">
        <f t="shared" si="12"/>
        <v>0.4088570970270986</v>
      </c>
      <c r="AM29" s="345">
        <f t="shared" si="13"/>
        <v>0.43412230323595224</v>
      </c>
      <c r="AN29" s="345">
        <f t="shared" si="14"/>
        <v>0.42788735634231756</v>
      </c>
      <c r="AO29" s="345">
        <f t="shared" si="15"/>
        <v>0.43751251469845442</v>
      </c>
      <c r="AP29" s="345">
        <f t="shared" si="16"/>
        <v>0.44735418721890241</v>
      </c>
      <c r="AQ29" s="6">
        <v>0.2</v>
      </c>
      <c r="AR29" s="6">
        <v>0</v>
      </c>
      <c r="AS29" s="6">
        <v>1</v>
      </c>
      <c r="AT29" s="6">
        <v>0</v>
      </c>
      <c r="AY29" s="70" t="s">
        <v>394</v>
      </c>
      <c r="AZ29" s="70" t="s">
        <v>396</v>
      </c>
    </row>
    <row r="30" spans="1:52">
      <c r="B30" s="350">
        <f>SUMPRODUCT(B25:B29,$Y$25:$Y$29)/$Y$30</f>
        <v>-8.2179823679721213</v>
      </c>
      <c r="C30" s="350">
        <f>SUMPRODUCT(C25:C29,$Y$25:$Y$29)/$Y$30</f>
        <v>3.0252444211478609</v>
      </c>
      <c r="E30" s="346">
        <f>SUM(E25:E29)</f>
        <v>69.487272587765702</v>
      </c>
      <c r="F30" s="346">
        <f t="shared" ref="F30:X30" si="20">SUM(F25:F29)</f>
        <v>349.08781844846879</v>
      </c>
      <c r="G30" s="346">
        <f t="shared" si="20"/>
        <v>632.10768827723177</v>
      </c>
      <c r="H30" s="346">
        <f t="shared" si="20"/>
        <v>918.17504284785218</v>
      </c>
      <c r="I30" s="346">
        <f t="shared" si="20"/>
        <v>1207.9369415920428</v>
      </c>
      <c r="J30" s="346">
        <f t="shared" si="20"/>
        <v>1439.2407819637926</v>
      </c>
      <c r="K30" s="346">
        <f t="shared" si="20"/>
        <v>1457.0638180380734</v>
      </c>
      <c r="L30" s="346">
        <f t="shared" si="20"/>
        <v>1474.6487283490894</v>
      </c>
      <c r="M30" s="346">
        <f t="shared" si="20"/>
        <v>1492.1729334095153</v>
      </c>
      <c r="N30" s="346">
        <f t="shared" si="20"/>
        <v>1509.5968833237644</v>
      </c>
      <c r="O30" s="346">
        <f t="shared" si="20"/>
        <v>1526.2814436791537</v>
      </c>
      <c r="P30" s="346">
        <f t="shared" si="20"/>
        <v>1543.549045899744</v>
      </c>
      <c r="Q30" s="346">
        <f t="shared" si="20"/>
        <v>1561.5224438257051</v>
      </c>
      <c r="R30" s="346">
        <f t="shared" si="20"/>
        <v>1579.599272554728</v>
      </c>
      <c r="S30" s="346">
        <f t="shared" si="20"/>
        <v>1597.266702847877</v>
      </c>
      <c r="T30" s="346">
        <f t="shared" si="20"/>
        <v>1615.1317390139754</v>
      </c>
      <c r="U30" s="346">
        <f t="shared" si="20"/>
        <v>1633.1965912262276</v>
      </c>
      <c r="V30" s="346">
        <f t="shared" si="20"/>
        <v>1651.4634943780827</v>
      </c>
      <c r="W30" s="346">
        <f t="shared" si="20"/>
        <v>1669.9347083597249</v>
      </c>
      <c r="X30" s="346">
        <f t="shared" si="20"/>
        <v>1688.6125183376557</v>
      </c>
      <c r="Y30" s="348">
        <f t="shared" si="7"/>
        <v>26616.07586896047</v>
      </c>
      <c r="Z30" s="352">
        <f>SUMPRODUCT($Y$25:$Y$29,Z25:Z29)/$Y30</f>
        <v>1.0579357420774142E-2</v>
      </c>
      <c r="AA30" s="352">
        <f t="shared" ref="AA30:AC30" si="21">SUMPRODUCT($Y$25:$Y$29,AA25:AA29)/$Y30</f>
        <v>0</v>
      </c>
      <c r="AB30" s="352">
        <f t="shared" si="21"/>
        <v>1.5726181107066188E-2</v>
      </c>
      <c r="AC30" s="352">
        <f t="shared" si="21"/>
        <v>0</v>
      </c>
      <c r="AD30" s="346">
        <f t="shared" ref="AD30:AP30" si="22">SUM(AD25:AD29)</f>
        <v>69.487272587765702</v>
      </c>
      <c r="AE30" s="346">
        <f t="shared" si="22"/>
        <v>279.60054586070305</v>
      </c>
      <c r="AF30" s="346">
        <f t="shared" si="22"/>
        <v>283.01986982876309</v>
      </c>
      <c r="AG30" s="346">
        <f t="shared" si="22"/>
        <v>286.06735457062035</v>
      </c>
      <c r="AH30" s="346">
        <f t="shared" si="22"/>
        <v>289.76189874419083</v>
      </c>
      <c r="AI30" s="346">
        <f t="shared" si="22"/>
        <v>231.3038403717494</v>
      </c>
      <c r="AJ30" s="346">
        <f t="shared" si="22"/>
        <v>35.40794638529691</v>
      </c>
      <c r="AK30" s="346">
        <f t="shared" si="22"/>
        <v>34.948154974675177</v>
      </c>
      <c r="AL30" s="346">
        <f t="shared" si="22"/>
        <v>33.952162575979713</v>
      </c>
      <c r="AM30" s="346">
        <f t="shared" si="22"/>
        <v>36.050226654983845</v>
      </c>
      <c r="AN30" s="346">
        <f t="shared" si="22"/>
        <v>35.532466459247544</v>
      </c>
      <c r="AO30" s="346">
        <f t="shared" si="22"/>
        <v>36.331755364107117</v>
      </c>
      <c r="AP30" s="346">
        <f t="shared" si="22"/>
        <v>37.1490239595731</v>
      </c>
      <c r="AQ30" s="352">
        <f>SUMPRODUCT($Y$25:$Y$29,AQ25:AQ29)/$Y30</f>
        <v>0.94473386563539596</v>
      </c>
      <c r="AR30" s="352">
        <f t="shared" ref="AR30:AT30" si="23">SUMPRODUCT($Y$25:$Y$29,AR25:AR29)/$Y30</f>
        <v>0</v>
      </c>
      <c r="AS30" s="352">
        <f t="shared" si="23"/>
        <v>1.0000000000000002</v>
      </c>
      <c r="AT30" s="352">
        <f t="shared" si="23"/>
        <v>0</v>
      </c>
      <c r="AX30" t="s">
        <v>272</v>
      </c>
      <c r="AY30">
        <v>1</v>
      </c>
      <c r="AZ30" s="70">
        <v>0</v>
      </c>
    </row>
    <row r="31" spans="1:52">
      <c r="A31" s="287" t="s">
        <v>386</v>
      </c>
      <c r="Y31" s="349"/>
      <c r="Z31" s="345"/>
      <c r="AQ31" s="345"/>
      <c r="AR31" s="70"/>
      <c r="AS31" s="70"/>
      <c r="AT31" s="70"/>
      <c r="AX31" t="s">
        <v>263</v>
      </c>
      <c r="AY31">
        <v>1</v>
      </c>
      <c r="AZ31" s="70">
        <v>1</v>
      </c>
    </row>
    <row r="32" spans="1:52">
      <c r="A32" s="2" t="s">
        <v>325</v>
      </c>
      <c r="B32" s="274">
        <f>B131</f>
        <v>19.202243154525924</v>
      </c>
      <c r="C32" s="274">
        <f>B136</f>
        <v>9.5210563296088573</v>
      </c>
      <c r="D32" s="345" t="s">
        <v>449</v>
      </c>
      <c r="E32" s="345">
        <f>C141/1000</f>
        <v>6.4504196926389348</v>
      </c>
      <c r="F32" s="345">
        <f t="shared" ref="F32:X32" si="24">D141/1000</f>
        <v>32.63946542573062</v>
      </c>
      <c r="G32" s="345">
        <f t="shared" si="24"/>
        <v>59.531621272312314</v>
      </c>
      <c r="H32" s="345">
        <f t="shared" si="24"/>
        <v>87.10706994703871</v>
      </c>
      <c r="I32" s="345">
        <f t="shared" si="24"/>
        <v>115.44278527871398</v>
      </c>
      <c r="J32" s="345">
        <f t="shared" si="24"/>
        <v>137.5485415137907</v>
      </c>
      <c r="K32" s="345">
        <f t="shared" si="24"/>
        <v>139.25189278627201</v>
      </c>
      <c r="L32" s="345">
        <f t="shared" si="24"/>
        <v>140.93248632992544</v>
      </c>
      <c r="M32" s="345">
        <f t="shared" si="24"/>
        <v>142.60727826012715</v>
      </c>
      <c r="N32" s="345">
        <f t="shared" si="24"/>
        <v>144.27248878511256</v>
      </c>
      <c r="O32" s="345">
        <f t="shared" si="24"/>
        <v>145.86703569584648</v>
      </c>
      <c r="P32" s="345">
        <f t="shared" si="24"/>
        <v>147.51730403916127</v>
      </c>
      <c r="Q32" s="345">
        <f t="shared" si="24"/>
        <v>149.23502542514763</v>
      </c>
      <c r="R32" s="345">
        <f t="shared" si="24"/>
        <v>150.96263171454072</v>
      </c>
      <c r="S32" s="345">
        <f t="shared" si="24"/>
        <v>152.65111171008627</v>
      </c>
      <c r="T32" s="345">
        <f t="shared" si="24"/>
        <v>154.35847694009669</v>
      </c>
      <c r="U32" s="345">
        <f t="shared" si="24"/>
        <v>156.08493863128572</v>
      </c>
      <c r="V32" s="345">
        <f t="shared" si="24"/>
        <v>157.83071037288619</v>
      </c>
      <c r="W32" s="345">
        <f t="shared" si="24"/>
        <v>159.59600814307399</v>
      </c>
      <c r="X32" s="345">
        <f t="shared" si="24"/>
        <v>161.38105033568797</v>
      </c>
      <c r="Y32" s="348">
        <f t="shared" ref="Y32:Y41" si="25">SUM(E32:X32)</f>
        <v>2541.2683422994755</v>
      </c>
      <c r="Z32" s="6">
        <f>VLOOKUP(CostByType_Details!$A32,EnergyCalculations!$A$4:$H$22,CostByType_Details!Z$22,TRUE)/Z$23</f>
        <v>1.3850415512465374E-2</v>
      </c>
      <c r="AA32" s="6">
        <f>VLOOKUP(CostByType_Details!$A32,EnergyCalculations!$A$4:$H$22,CostByType_Details!AA$22,TRUE)/AA$23</f>
        <v>0</v>
      </c>
      <c r="AB32" s="6">
        <f>VLOOKUP(CostByType_Details!$A32,EnergyCalculations!$A$4:$H$22,CostByType_Details!AB$22,TRUE)/AB$23</f>
        <v>1.358695652173913E-2</v>
      </c>
      <c r="AC32" s="6">
        <f>VLOOKUP(CostByType_Details!$A32,EnergyCalculations!$A$4:$H$22,CostByType_Details!AC$22,TRUE)/AC$23</f>
        <v>0</v>
      </c>
      <c r="AD32" s="345">
        <f t="shared" ref="AD32:AD40" si="26">E32</f>
        <v>6.4504196926389348</v>
      </c>
      <c r="AE32" s="345">
        <f t="shared" ref="AE32" si="27">F32-E32</f>
        <v>26.189045733091685</v>
      </c>
      <c r="AF32" s="345">
        <f t="shared" ref="AF32" si="28">G32-F32</f>
        <v>26.892155846581694</v>
      </c>
      <c r="AG32" s="345">
        <f t="shared" ref="AG32" si="29">H32-G32</f>
        <v>27.575448674726395</v>
      </c>
      <c r="AH32" s="345">
        <f t="shared" ref="AH32" si="30">I32-H32</f>
        <v>28.335715331675274</v>
      </c>
      <c r="AI32" s="345">
        <f t="shared" ref="AI32" si="31">J32-I32</f>
        <v>22.105756235076711</v>
      </c>
      <c r="AJ32" s="345">
        <f t="shared" ref="AJ32:AJ40" si="32">L32-J32</f>
        <v>3.3839448161347434</v>
      </c>
      <c r="AK32" s="345">
        <f t="shared" ref="AK32:AK40" si="33">N32-L32</f>
        <v>3.3400024551871184</v>
      </c>
      <c r="AL32" s="345">
        <f t="shared" ref="AL32:AL40" si="34">P32-N32</f>
        <v>3.2448152540487172</v>
      </c>
      <c r="AM32" s="345">
        <f t="shared" ref="AM32:AM40" si="35">R32-P32</f>
        <v>3.4453276753794455</v>
      </c>
      <c r="AN32" s="345">
        <f t="shared" ref="AN32:AN40" si="36">T32-R32</f>
        <v>3.3958452255559735</v>
      </c>
      <c r="AO32" s="345">
        <f t="shared" ref="AO32:AO40" si="37">V32-T32</f>
        <v>3.4722334327894941</v>
      </c>
      <c r="AP32" s="345">
        <f t="shared" ref="AP32:AP40" si="38">X32-V32</f>
        <v>3.550339962801786</v>
      </c>
      <c r="AQ32" s="6">
        <v>1</v>
      </c>
      <c r="AR32" s="6">
        <v>0</v>
      </c>
      <c r="AS32" s="6">
        <v>1</v>
      </c>
      <c r="AT32" s="6">
        <v>0</v>
      </c>
      <c r="AX32" t="s">
        <v>271</v>
      </c>
      <c r="AY32">
        <v>0</v>
      </c>
      <c r="AZ32" s="70">
        <v>1</v>
      </c>
    </row>
    <row r="33" spans="1:52">
      <c r="A33" s="91" t="s">
        <v>239</v>
      </c>
      <c r="B33" s="274">
        <f>B56</f>
        <v>-5.6159771313808884</v>
      </c>
      <c r="C33" s="274">
        <f>B61</f>
        <v>33.504843472626831</v>
      </c>
      <c r="D33" s="345" t="s">
        <v>449</v>
      </c>
      <c r="E33" s="345">
        <f>C66/1000</f>
        <v>21.419064523704378</v>
      </c>
      <c r="F33" s="345">
        <f t="shared" ref="F33:X33" si="39">D66/1000</f>
        <v>97.83598711333218</v>
      </c>
      <c r="G33" s="345">
        <f t="shared" si="39"/>
        <v>158.84054286422855</v>
      </c>
      <c r="H33" s="345">
        <f t="shared" si="39"/>
        <v>203.65010278381524</v>
      </c>
      <c r="I33" s="345">
        <f t="shared" si="39"/>
        <v>231.49549352907454</v>
      </c>
      <c r="J33" s="345">
        <f t="shared" si="39"/>
        <v>276.07226153066995</v>
      </c>
      <c r="K33" s="345">
        <f t="shared" si="39"/>
        <v>279.77242002533995</v>
      </c>
      <c r="L33" s="345">
        <f t="shared" si="39"/>
        <v>283.45273223008502</v>
      </c>
      <c r="M33" s="345">
        <f t="shared" si="39"/>
        <v>287.09784764718751</v>
      </c>
      <c r="N33" s="345">
        <f t="shared" si="39"/>
        <v>290.72481788492996</v>
      </c>
      <c r="O33" s="345">
        <f t="shared" si="39"/>
        <v>294.31100197174504</v>
      </c>
      <c r="P33" s="345">
        <f t="shared" si="39"/>
        <v>297.83578406769004</v>
      </c>
      <c r="Q33" s="345">
        <f t="shared" si="39"/>
        <v>301.28450221979995</v>
      </c>
      <c r="R33" s="345">
        <f t="shared" si="39"/>
        <v>304.67485607847755</v>
      </c>
      <c r="S33" s="345">
        <f t="shared" si="39"/>
        <v>308.03483296278</v>
      </c>
      <c r="T33" s="345">
        <f t="shared" si="39"/>
        <v>311.43186392108242</v>
      </c>
      <c r="U33" s="345">
        <f t="shared" si="39"/>
        <v>314.86635758845802</v>
      </c>
      <c r="V33" s="345">
        <f t="shared" si="39"/>
        <v>318.33872710643766</v>
      </c>
      <c r="W33" s="345">
        <f t="shared" si="39"/>
        <v>321.84939017270796</v>
      </c>
      <c r="X33" s="345">
        <f t="shared" si="39"/>
        <v>325.3987690913562</v>
      </c>
      <c r="Y33" s="348">
        <f t="shared" si="25"/>
        <v>5228.3873553129024</v>
      </c>
      <c r="Z33" s="6">
        <f>VLOOKUP(CostByType_Details!$A33,EnergyCalculations!$A$4:$H$22,CostByType_Details!Z$22,TRUE)/Z$23</f>
        <v>0</v>
      </c>
      <c r="AA33" s="6">
        <f>VLOOKUP(CostByType_Details!$A33,EnergyCalculations!$A$4:$H$22,CostByType_Details!AA$22,TRUE)/AA$23</f>
        <v>0</v>
      </c>
      <c r="AB33" s="6">
        <f>VLOOKUP(CostByType_Details!$A33,EnergyCalculations!$A$4:$H$22,CostByType_Details!AB$22,TRUE)/AB$23</f>
        <v>2.2644927536231884E-2</v>
      </c>
      <c r="AC33" s="6">
        <f>VLOOKUP(CostByType_Details!$A33,EnergyCalculations!$A$4:$H$22,CostByType_Details!AC$22,TRUE)/AC$23</f>
        <v>0</v>
      </c>
      <c r="AD33" s="345">
        <f t="shared" si="26"/>
        <v>21.419064523704378</v>
      </c>
      <c r="AE33" s="345">
        <f t="shared" ref="AE33:AE40" si="40">F33-E33</f>
        <v>76.416922589627802</v>
      </c>
      <c r="AF33" s="345">
        <f t="shared" ref="AF33:AF40" si="41">G33-F33</f>
        <v>61.004555750896373</v>
      </c>
      <c r="AG33" s="345">
        <f t="shared" ref="AG33:AG40" si="42">H33-G33</f>
        <v>44.80955991958669</v>
      </c>
      <c r="AH33" s="345">
        <f t="shared" ref="AH33:AH40" si="43">I33-H33</f>
        <v>27.845390745259294</v>
      </c>
      <c r="AI33" s="345">
        <f t="shared" ref="AI33:AI40" si="44">J33-I33</f>
        <v>44.576768001595411</v>
      </c>
      <c r="AJ33" s="345">
        <f t="shared" si="32"/>
        <v>7.3804706994150706</v>
      </c>
      <c r="AK33" s="345">
        <f t="shared" si="33"/>
        <v>7.2720856548449433</v>
      </c>
      <c r="AL33" s="345">
        <f t="shared" si="34"/>
        <v>7.1109661827600803</v>
      </c>
      <c r="AM33" s="345">
        <f t="shared" si="35"/>
        <v>6.839072010787504</v>
      </c>
      <c r="AN33" s="345">
        <f t="shared" si="36"/>
        <v>6.7570078426048781</v>
      </c>
      <c r="AO33" s="345">
        <f t="shared" si="37"/>
        <v>6.9068631853552347</v>
      </c>
      <c r="AP33" s="345">
        <f t="shared" si="38"/>
        <v>7.0600419849185414</v>
      </c>
      <c r="AQ33" s="6">
        <v>1</v>
      </c>
      <c r="AR33" s="6">
        <v>0</v>
      </c>
      <c r="AS33" s="6">
        <v>0</v>
      </c>
      <c r="AT33" s="6">
        <v>0</v>
      </c>
      <c r="AX33" t="s">
        <v>281</v>
      </c>
      <c r="AY33">
        <v>0</v>
      </c>
      <c r="AZ33" s="70">
        <v>1</v>
      </c>
    </row>
    <row r="34" spans="1:52">
      <c r="A34" s="107" t="s">
        <v>285</v>
      </c>
      <c r="B34" s="274">
        <f>B54</f>
        <v>-5.6159771313808902</v>
      </c>
      <c r="C34" s="274">
        <f>B59</f>
        <v>52.679302086479552</v>
      </c>
      <c r="D34" s="345" t="s">
        <v>449</v>
      </c>
      <c r="E34" s="345">
        <f>C64/1000</f>
        <v>7.8335136711562487</v>
      </c>
      <c r="F34" s="345">
        <f t="shared" ref="F34:X34" si="45">D64/1000</f>
        <v>35.78118650957812</v>
      </c>
      <c r="G34" s="345">
        <f t="shared" si="45"/>
        <v>58.09215256267499</v>
      </c>
      <c r="H34" s="345">
        <f t="shared" si="45"/>
        <v>74.480183881228115</v>
      </c>
      <c r="I34" s="345">
        <f t="shared" si="45"/>
        <v>84.663973599974994</v>
      </c>
      <c r="J34" s="345">
        <f t="shared" si="45"/>
        <v>100.96686680849997</v>
      </c>
      <c r="K34" s="345">
        <f t="shared" si="45"/>
        <v>102.32011181699997</v>
      </c>
      <c r="L34" s="345">
        <f t="shared" si="45"/>
        <v>103.66609851674998</v>
      </c>
      <c r="M34" s="345">
        <f t="shared" si="45"/>
        <v>104.99921282812498</v>
      </c>
      <c r="N34" s="345">
        <f t="shared" si="45"/>
        <v>106.32569097149998</v>
      </c>
      <c r="O34" s="345">
        <f t="shared" si="45"/>
        <v>107.63725254974995</v>
      </c>
      <c r="P34" s="345">
        <f t="shared" si="45"/>
        <v>108.92635780949999</v>
      </c>
      <c r="Q34" s="345">
        <f t="shared" si="45"/>
        <v>110.18764448999997</v>
      </c>
      <c r="R34" s="345">
        <f t="shared" si="45"/>
        <v>111.42758581762497</v>
      </c>
      <c r="S34" s="345">
        <f t="shared" si="45"/>
        <v>112.65641748899999</v>
      </c>
      <c r="T34" s="345">
        <f t="shared" si="45"/>
        <v>113.89880080708343</v>
      </c>
      <c r="U34" s="345">
        <f t="shared" si="45"/>
        <v>115.15488522043916</v>
      </c>
      <c r="V34" s="345">
        <f t="shared" si="45"/>
        <v>116.42482182576087</v>
      </c>
      <c r="W34" s="345">
        <f t="shared" si="45"/>
        <v>117.70876338604781</v>
      </c>
      <c r="X34" s="345">
        <f t="shared" si="45"/>
        <v>119.00686434898083</v>
      </c>
      <c r="Y34" s="348">
        <f t="shared" si="25"/>
        <v>1912.1583849106744</v>
      </c>
      <c r="Z34" s="6">
        <f>VLOOKUP(CostByType_Details!$A34,EnergyCalculations!$A$4:$H$22,CostByType_Details!Z$22,TRUE)/Z$23</f>
        <v>0</v>
      </c>
      <c r="AA34" s="6">
        <f>VLOOKUP(CostByType_Details!$A34,EnergyCalculations!$A$4:$H$22,CostByType_Details!AA$22,TRUE)/AA$23</f>
        <v>0</v>
      </c>
      <c r="AB34" s="6">
        <f>VLOOKUP(CostByType_Details!$A34,EnergyCalculations!$A$4:$H$22,CostByType_Details!AB$22,TRUE)/AB$23</f>
        <v>0</v>
      </c>
      <c r="AC34" s="6">
        <f>VLOOKUP(CostByType_Details!$A34,EnergyCalculations!$A$4:$H$22,CostByType_Details!AC$22,TRUE)/AC$23</f>
        <v>0</v>
      </c>
      <c r="AD34" s="345">
        <f t="shared" si="26"/>
        <v>7.8335136711562487</v>
      </c>
      <c r="AE34" s="345">
        <f t="shared" si="40"/>
        <v>27.947672838421873</v>
      </c>
      <c r="AF34" s="345">
        <f t="shared" si="41"/>
        <v>22.31096605309687</v>
      </c>
      <c r="AG34" s="345">
        <f t="shared" si="42"/>
        <v>16.388031318553125</v>
      </c>
      <c r="AH34" s="345">
        <f t="shared" si="43"/>
        <v>10.18378971874688</v>
      </c>
      <c r="AI34" s="345">
        <f t="shared" si="44"/>
        <v>16.302893208524978</v>
      </c>
      <c r="AJ34" s="345">
        <f t="shared" si="32"/>
        <v>2.6992317082500108</v>
      </c>
      <c r="AK34" s="345">
        <f t="shared" si="33"/>
        <v>2.6595924547499976</v>
      </c>
      <c r="AL34" s="345">
        <f t="shared" si="34"/>
        <v>2.6006668380000093</v>
      </c>
      <c r="AM34" s="345">
        <f t="shared" si="35"/>
        <v>2.5012280081249827</v>
      </c>
      <c r="AN34" s="345">
        <f t="shared" si="36"/>
        <v>2.4712149894584599</v>
      </c>
      <c r="AO34" s="345">
        <f t="shared" si="37"/>
        <v>2.5260210186774401</v>
      </c>
      <c r="AP34" s="345">
        <f t="shared" si="38"/>
        <v>2.582042523219954</v>
      </c>
      <c r="AQ34" s="6">
        <v>0</v>
      </c>
      <c r="AR34" s="6">
        <v>0</v>
      </c>
      <c r="AS34" s="6">
        <v>1</v>
      </c>
      <c r="AT34" s="6">
        <v>0</v>
      </c>
      <c r="AX34" t="s">
        <v>274</v>
      </c>
      <c r="AY34">
        <v>0.2</v>
      </c>
      <c r="AZ34" s="70">
        <v>1</v>
      </c>
    </row>
    <row r="35" spans="1:52">
      <c r="A35" s="107" t="s">
        <v>215</v>
      </c>
      <c r="B35" s="274">
        <f>B57</f>
        <v>-5.6159771313808902</v>
      </c>
      <c r="C35" s="274">
        <f>B62</f>
        <v>54.474461168331693</v>
      </c>
      <c r="D35" s="345" t="s">
        <v>449</v>
      </c>
      <c r="E35" s="345">
        <f>C67/1000</f>
        <v>22.197939597293626</v>
      </c>
      <c r="F35" s="345">
        <f t="shared" ref="F35:X35" si="46">D67/1000</f>
        <v>112.65962152444311</v>
      </c>
      <c r="G35" s="345">
        <f t="shared" si="46"/>
        <v>205.77070325593235</v>
      </c>
      <c r="H35" s="345">
        <f t="shared" si="46"/>
        <v>301.5079443812329</v>
      </c>
      <c r="I35" s="345">
        <f t="shared" si="46"/>
        <v>399.85585245931048</v>
      </c>
      <c r="J35" s="345">
        <f t="shared" si="46"/>
        <v>476.85208809842987</v>
      </c>
      <c r="K35" s="345">
        <f t="shared" si="46"/>
        <v>483.24327095285997</v>
      </c>
      <c r="L35" s="345">
        <f t="shared" si="46"/>
        <v>489.60017385196483</v>
      </c>
      <c r="M35" s="345">
        <f t="shared" si="46"/>
        <v>495.89628229968741</v>
      </c>
      <c r="N35" s="345">
        <f t="shared" si="46"/>
        <v>502.16104907396993</v>
      </c>
      <c r="O35" s="345">
        <f t="shared" si="46"/>
        <v>508.35536704210494</v>
      </c>
      <c r="P35" s="345">
        <f t="shared" si="46"/>
        <v>514.44362702600995</v>
      </c>
      <c r="Q35" s="345">
        <f t="shared" si="46"/>
        <v>520.40050383419998</v>
      </c>
      <c r="R35" s="345">
        <f t="shared" si="46"/>
        <v>526.25656959009746</v>
      </c>
      <c r="S35" s="345">
        <f t="shared" si="46"/>
        <v>532.06016602661998</v>
      </c>
      <c r="T35" s="345">
        <f t="shared" si="46"/>
        <v>537.9277649545968</v>
      </c>
      <c r="U35" s="345">
        <f t="shared" si="46"/>
        <v>543.86007219824546</v>
      </c>
      <c r="V35" s="345">
        <f t="shared" si="46"/>
        <v>549.85780136566495</v>
      </c>
      <c r="W35" s="345">
        <f t="shared" si="46"/>
        <v>555.92167393467719</v>
      </c>
      <c r="X35" s="345">
        <f t="shared" si="46"/>
        <v>562.05241933961531</v>
      </c>
      <c r="Y35" s="348">
        <f t="shared" si="25"/>
        <v>8840.8808908069586</v>
      </c>
      <c r="Z35" s="6">
        <f>VLOOKUP(CostByType_Details!$A35,EnergyCalculations!$A$4:$H$22,CostByType_Details!Z$22,TRUE)/Z$23</f>
        <v>0</v>
      </c>
      <c r="AA35" s="6">
        <f>VLOOKUP(CostByType_Details!$A35,EnergyCalculations!$A$4:$H$22,CostByType_Details!AA$22,TRUE)/AA$23</f>
        <v>0</v>
      </c>
      <c r="AB35" s="6">
        <f>VLOOKUP(CostByType_Details!$A35,EnergyCalculations!$A$4:$H$22,CostByType_Details!AB$22,TRUE)/AB$23</f>
        <v>2.2644927536231884E-2</v>
      </c>
      <c r="AC35" s="6">
        <f>VLOOKUP(CostByType_Details!$A35,EnergyCalculations!$A$4:$H$22,CostByType_Details!AC$22,TRUE)/AC$23</f>
        <v>0</v>
      </c>
      <c r="AD35" s="345">
        <f t="shared" si="26"/>
        <v>22.197939597293626</v>
      </c>
      <c r="AE35" s="345">
        <f t="shared" si="40"/>
        <v>90.461681927149485</v>
      </c>
      <c r="AF35" s="345">
        <f t="shared" si="41"/>
        <v>93.111081731489236</v>
      </c>
      <c r="AG35" s="345">
        <f t="shared" si="42"/>
        <v>95.737241125300557</v>
      </c>
      <c r="AH35" s="345">
        <f t="shared" si="43"/>
        <v>98.34790807807758</v>
      </c>
      <c r="AI35" s="345">
        <f t="shared" si="44"/>
        <v>76.996235639119391</v>
      </c>
      <c r="AJ35" s="345">
        <f t="shared" si="32"/>
        <v>12.748085753534951</v>
      </c>
      <c r="AK35" s="345">
        <f t="shared" si="33"/>
        <v>12.560875222005109</v>
      </c>
      <c r="AL35" s="345">
        <f t="shared" si="34"/>
        <v>12.282577952040015</v>
      </c>
      <c r="AM35" s="345">
        <f t="shared" si="35"/>
        <v>11.812942564087507</v>
      </c>
      <c r="AN35" s="345">
        <f t="shared" si="36"/>
        <v>11.67119536449934</v>
      </c>
      <c r="AO35" s="345">
        <f t="shared" si="37"/>
        <v>11.930036411068158</v>
      </c>
      <c r="AP35" s="345">
        <f t="shared" si="38"/>
        <v>12.194617973950358</v>
      </c>
      <c r="AQ35" s="6">
        <v>1</v>
      </c>
      <c r="AR35" s="6">
        <v>0</v>
      </c>
      <c r="AS35" s="6">
        <v>1</v>
      </c>
      <c r="AT35" s="6">
        <v>0</v>
      </c>
      <c r="AX35" t="s">
        <v>275</v>
      </c>
      <c r="AY35">
        <v>0.2</v>
      </c>
      <c r="AZ35" s="70">
        <v>1</v>
      </c>
    </row>
    <row r="36" spans="1:52">
      <c r="A36" s="2" t="s">
        <v>326</v>
      </c>
      <c r="B36" s="274">
        <f>B84</f>
        <v>-12.801495436350613</v>
      </c>
      <c r="C36" s="274">
        <f>B134</f>
        <v>59.53833891448739</v>
      </c>
      <c r="D36" s="345" t="s">
        <v>449</v>
      </c>
      <c r="E36" s="345">
        <f>C139/1000</f>
        <v>0.22766187150490355</v>
      </c>
      <c r="F36" s="345">
        <f t="shared" ref="F36:X36" si="47">D139/1000</f>
        <v>1.1519811326728455</v>
      </c>
      <c r="G36" s="345">
        <f t="shared" si="47"/>
        <v>2.1011160449051403</v>
      </c>
      <c r="H36" s="345">
        <f t="shared" si="47"/>
        <v>3.0743671746013659</v>
      </c>
      <c r="I36" s="345">
        <f t="shared" si="47"/>
        <v>4.0744512451310815</v>
      </c>
      <c r="J36" s="345">
        <f t="shared" si="47"/>
        <v>4.8546544063690842</v>
      </c>
      <c r="K36" s="345">
        <f t="shared" si="47"/>
        <v>4.9147726865743069</v>
      </c>
      <c r="L36" s="345">
        <f t="shared" si="47"/>
        <v>4.974087752820898</v>
      </c>
      <c r="M36" s="345">
        <f t="shared" si="47"/>
        <v>5.0331980562397822</v>
      </c>
      <c r="N36" s="345">
        <f t="shared" si="47"/>
        <v>5.0919701924157375</v>
      </c>
      <c r="O36" s="345">
        <f t="shared" si="47"/>
        <v>5.1482483186769343</v>
      </c>
      <c r="P36" s="345">
        <f t="shared" si="47"/>
        <v>5.2064930837351042</v>
      </c>
      <c r="Q36" s="345">
        <f t="shared" si="47"/>
        <v>5.2671185444169746</v>
      </c>
      <c r="R36" s="345">
        <f t="shared" si="47"/>
        <v>5.3280928840426141</v>
      </c>
      <c r="S36" s="345">
        <f t="shared" si="47"/>
        <v>5.3876862956501057</v>
      </c>
      <c r="T36" s="345">
        <f t="shared" si="47"/>
        <v>5.4479462449445881</v>
      </c>
      <c r="U36" s="345">
        <f t="shared" si="47"/>
        <v>5.5088801869865547</v>
      </c>
      <c r="V36" s="345">
        <f t="shared" si="47"/>
        <v>5.5704956602195121</v>
      </c>
      <c r="W36" s="345">
        <f t="shared" si="47"/>
        <v>5.6328002874026115</v>
      </c>
      <c r="X36" s="345">
        <f t="shared" si="47"/>
        <v>5.6958017765536937</v>
      </c>
      <c r="Y36" s="348">
        <f t="shared" si="25"/>
        <v>89.691823845863837</v>
      </c>
      <c r="Z36" s="351">
        <f>VLOOKUP(CostByType_Details!$A36,EnergyCalculations!$A$4:$H$22,CostByType_Details!Z$22,FALSE)/Z$23</f>
        <v>0</v>
      </c>
      <c r="AA36" s="351">
        <f>VLOOKUP(CostByType_Details!$A36,EnergyCalculations!$A$4:$H$22,CostByType_Details!AA$22,FALSE)/AA$23</f>
        <v>0</v>
      </c>
      <c r="AB36" s="351">
        <f>VLOOKUP(CostByType_Details!$A36,EnergyCalculations!$A$4:$H$22,CostByType_Details!AB$22,FALSE)/AB$23</f>
        <v>0</v>
      </c>
      <c r="AC36" s="351">
        <f>VLOOKUP(CostByType_Details!$A36,EnergyCalculations!$A$4:$H$22,CostByType_Details!AC$22,FALSE)/AC$23</f>
        <v>0</v>
      </c>
      <c r="AD36" s="345">
        <f t="shared" si="26"/>
        <v>0.22766187150490355</v>
      </c>
      <c r="AE36" s="345">
        <f t="shared" si="40"/>
        <v>0.92431926116794194</v>
      </c>
      <c r="AF36" s="345">
        <f t="shared" si="41"/>
        <v>0.94913491223229474</v>
      </c>
      <c r="AG36" s="345">
        <f t="shared" si="42"/>
        <v>0.97325112969622563</v>
      </c>
      <c r="AH36" s="345">
        <f t="shared" si="43"/>
        <v>1.0000840705297156</v>
      </c>
      <c r="AI36" s="345">
        <f t="shared" si="44"/>
        <v>0.78020316123800271</v>
      </c>
      <c r="AJ36" s="345">
        <f t="shared" si="32"/>
        <v>0.1194333464518138</v>
      </c>
      <c r="AK36" s="345">
        <f t="shared" si="33"/>
        <v>0.11788243959483946</v>
      </c>
      <c r="AL36" s="345">
        <f t="shared" si="34"/>
        <v>0.11452289131936677</v>
      </c>
      <c r="AM36" s="345">
        <f t="shared" si="35"/>
        <v>0.12159980030750983</v>
      </c>
      <c r="AN36" s="345">
        <f t="shared" si="36"/>
        <v>0.11985336090197407</v>
      </c>
      <c r="AO36" s="345">
        <f t="shared" si="37"/>
        <v>0.12254941527492402</v>
      </c>
      <c r="AP36" s="345">
        <f t="shared" si="38"/>
        <v>0.12530611633418154</v>
      </c>
      <c r="AQ36" s="6">
        <v>0</v>
      </c>
      <c r="AR36" s="6">
        <v>0</v>
      </c>
      <c r="AS36" s="6">
        <v>1</v>
      </c>
      <c r="AT36" s="6">
        <v>0</v>
      </c>
      <c r="AX36" t="s">
        <v>296</v>
      </c>
      <c r="AY36">
        <v>1</v>
      </c>
      <c r="AZ36" s="70">
        <v>1</v>
      </c>
    </row>
    <row r="37" spans="1:52">
      <c r="A37" s="2" t="s">
        <v>347</v>
      </c>
      <c r="B37" s="274">
        <f>B116</f>
        <v>-4.8005607886314792</v>
      </c>
      <c r="C37" s="274">
        <f>B120</f>
        <v>59.538338914487376</v>
      </c>
      <c r="D37" s="345" t="s">
        <v>449</v>
      </c>
      <c r="E37" s="345">
        <f>C124/1000</f>
        <v>7.9242080319844801</v>
      </c>
      <c r="F37" s="345">
        <f t="shared" ref="F37:X37" si="48">D124/1000</f>
        <v>40.096912512748638</v>
      </c>
      <c r="G37" s="345">
        <f t="shared" si="48"/>
        <v>73.13337331855395</v>
      </c>
      <c r="H37" s="345">
        <f t="shared" si="48"/>
        <v>107.0092453216122</v>
      </c>
      <c r="I37" s="345">
        <f t="shared" si="48"/>
        <v>141.81908928874574</v>
      </c>
      <c r="J37" s="345">
        <f t="shared" si="48"/>
        <v>168.97555653551834</v>
      </c>
      <c r="K37" s="345">
        <f t="shared" si="48"/>
        <v>171.06808856875804</v>
      </c>
      <c r="L37" s="345">
        <f t="shared" si="48"/>
        <v>173.13266319981921</v>
      </c>
      <c r="M37" s="345">
        <f t="shared" si="48"/>
        <v>175.190110667982</v>
      </c>
      <c r="N37" s="345">
        <f t="shared" si="48"/>
        <v>177.23578757674082</v>
      </c>
      <c r="O37" s="345">
        <f t="shared" si="48"/>
        <v>179.19465568757599</v>
      </c>
      <c r="P37" s="345">
        <f t="shared" si="48"/>
        <v>181.22197643322426</v>
      </c>
      <c r="Q37" s="345">
        <f t="shared" si="48"/>
        <v>183.33216185558953</v>
      </c>
      <c r="R37" s="345">
        <f t="shared" si="48"/>
        <v>185.45449067864863</v>
      </c>
      <c r="S37" s="345">
        <f t="shared" si="48"/>
        <v>187.52875365378748</v>
      </c>
      <c r="T37" s="345">
        <f t="shared" si="48"/>
        <v>189.62621675136216</v>
      </c>
      <c r="U37" s="345">
        <f t="shared" si="48"/>
        <v>191.74713945904986</v>
      </c>
      <c r="V37" s="345">
        <f t="shared" si="48"/>
        <v>193.89178416683356</v>
      </c>
      <c r="W37" s="345">
        <f t="shared" si="48"/>
        <v>196.06041619946393</v>
      </c>
      <c r="X37" s="345">
        <f t="shared" si="48"/>
        <v>198.25330384928387</v>
      </c>
      <c r="Y37" s="348">
        <f t="shared" si="25"/>
        <v>3121.8959337572824</v>
      </c>
      <c r="Z37" s="6">
        <f>VLOOKUP(CostByType_Details!$A37,EnergyCalculations!$A$4:$H$22,CostByType_Details!Z$22,TRUE)/Z$23</f>
        <v>0</v>
      </c>
      <c r="AA37" s="6">
        <f>VLOOKUP(CostByType_Details!$A37,EnergyCalculations!$A$4:$H$22,CostByType_Details!AA$22,TRUE)/AA$23</f>
        <v>0</v>
      </c>
      <c r="AB37" s="6">
        <f>VLOOKUP(CostByType_Details!$A37,EnergyCalculations!$A$4:$H$22,CostByType_Details!AB$22,TRUE)/AB$23</f>
        <v>2.2644927536231884E-2</v>
      </c>
      <c r="AC37" s="6">
        <f>VLOOKUP(CostByType_Details!$A37,EnergyCalculations!$A$4:$H$22,CostByType_Details!AC$22,TRUE)/AC$23</f>
        <v>0</v>
      </c>
      <c r="AD37" s="345">
        <f t="shared" si="26"/>
        <v>7.9242080319844801</v>
      </c>
      <c r="AE37" s="345">
        <f t="shared" si="40"/>
        <v>32.17270448076416</v>
      </c>
      <c r="AF37" s="345">
        <f t="shared" si="41"/>
        <v>33.036460805805312</v>
      </c>
      <c r="AG37" s="345">
        <f t="shared" si="42"/>
        <v>33.875872003058248</v>
      </c>
      <c r="AH37" s="345">
        <f t="shared" si="43"/>
        <v>34.809843967133546</v>
      </c>
      <c r="AI37" s="345">
        <f t="shared" si="44"/>
        <v>27.156467246772593</v>
      </c>
      <c r="AJ37" s="345">
        <f t="shared" si="32"/>
        <v>4.1571066643008692</v>
      </c>
      <c r="AK37" s="345">
        <f t="shared" si="33"/>
        <v>4.1031243769216132</v>
      </c>
      <c r="AL37" s="345">
        <f t="shared" si="34"/>
        <v>3.9861888564834373</v>
      </c>
      <c r="AM37" s="345">
        <f t="shared" si="35"/>
        <v>4.2325142454243689</v>
      </c>
      <c r="AN37" s="345">
        <f t="shared" si="36"/>
        <v>4.1717260727135397</v>
      </c>
      <c r="AO37" s="345">
        <f t="shared" si="37"/>
        <v>4.265567415471395</v>
      </c>
      <c r="AP37" s="345">
        <f t="shared" si="38"/>
        <v>4.3615196824503073</v>
      </c>
      <c r="AQ37" s="6">
        <v>1</v>
      </c>
      <c r="AR37" s="6">
        <v>0</v>
      </c>
      <c r="AS37" s="6">
        <v>1</v>
      </c>
      <c r="AT37" s="6">
        <v>0</v>
      </c>
      <c r="AX37" t="s">
        <v>264</v>
      </c>
      <c r="AY37">
        <v>0</v>
      </c>
      <c r="AZ37" s="70">
        <v>1</v>
      </c>
    </row>
    <row r="38" spans="1:52">
      <c r="A38" s="2" t="s">
        <v>312</v>
      </c>
      <c r="B38" s="274">
        <f>B115</f>
        <v>-4.8005607886314818</v>
      </c>
      <c r="C38" s="274">
        <f>B119</f>
        <v>59.925306246987873</v>
      </c>
      <c r="D38" s="345" t="s">
        <v>449</v>
      </c>
      <c r="E38" s="345">
        <f>C123/1000</f>
        <v>7.2569063029752607</v>
      </c>
      <c r="F38" s="345">
        <f t="shared" ref="F38:X38" si="49">D123/1000</f>
        <v>40.3923634470531</v>
      </c>
      <c r="G38" s="345">
        <f t="shared" si="49"/>
        <v>80.369728152179277</v>
      </c>
      <c r="H38" s="345">
        <f t="shared" si="49"/>
        <v>127.3973225881509</v>
      </c>
      <c r="I38" s="345">
        <f t="shared" si="49"/>
        <v>181.8270007933603</v>
      </c>
      <c r="J38" s="345">
        <f t="shared" si="49"/>
        <v>216.64445037922238</v>
      </c>
      <c r="K38" s="345">
        <f t="shared" si="49"/>
        <v>219.32729671236555</v>
      </c>
      <c r="L38" s="345">
        <f t="shared" si="49"/>
        <v>221.97429871303132</v>
      </c>
      <c r="M38" s="345">
        <f t="shared" si="49"/>
        <v>224.61216294063371</v>
      </c>
      <c r="N38" s="345">
        <f t="shared" si="49"/>
        <v>227.23493607207402</v>
      </c>
      <c r="O38" s="345">
        <f t="shared" si="49"/>
        <v>229.74641118680793</v>
      </c>
      <c r="P38" s="345">
        <f t="shared" si="49"/>
        <v>232.34564978491275</v>
      </c>
      <c r="Q38" s="345">
        <f t="shared" si="49"/>
        <v>235.0511296211663</v>
      </c>
      <c r="R38" s="345">
        <f t="shared" si="49"/>
        <v>237.77217857536209</v>
      </c>
      <c r="S38" s="345">
        <f t="shared" si="49"/>
        <v>240.43160205296115</v>
      </c>
      <c r="T38" s="345">
        <f t="shared" si="49"/>
        <v>243.12077052964108</v>
      </c>
      <c r="U38" s="345">
        <f t="shared" si="49"/>
        <v>245.84001669591862</v>
      </c>
      <c r="V38" s="345">
        <f t="shared" si="49"/>
        <v>248.58967696337183</v>
      </c>
      <c r="W38" s="345">
        <f t="shared" si="49"/>
        <v>251.37009150626002</v>
      </c>
      <c r="X38" s="345">
        <f t="shared" si="49"/>
        <v>254.18160430360808</v>
      </c>
      <c r="Y38" s="348">
        <f t="shared" si="25"/>
        <v>3965.485597321056</v>
      </c>
      <c r="Z38" s="6">
        <f>VLOOKUP(CostByType_Details!$A38,EnergyCalculations!$A$4:$H$22,CostByType_Details!Z$22,TRUE)/Z$23</f>
        <v>0</v>
      </c>
      <c r="AA38" s="6">
        <f>VLOOKUP(CostByType_Details!$A38,EnergyCalculations!$A$4:$H$22,CostByType_Details!AA$22,TRUE)/AA$23</f>
        <v>0</v>
      </c>
      <c r="AB38" s="6">
        <f>VLOOKUP(CostByType_Details!$A38,EnergyCalculations!$A$4:$H$22,CostByType_Details!AB$22,TRUE)/AB$23</f>
        <v>2.2644927536231884E-2</v>
      </c>
      <c r="AC38" s="6">
        <f>VLOOKUP(CostByType_Details!$A38,EnergyCalculations!$A$4:$H$22,CostByType_Details!AC$22,TRUE)/AC$23</f>
        <v>0</v>
      </c>
      <c r="AD38" s="345">
        <f t="shared" si="26"/>
        <v>7.2569063029752607</v>
      </c>
      <c r="AE38" s="345">
        <f t="shared" si="40"/>
        <v>33.13545714407784</v>
      </c>
      <c r="AF38" s="345">
        <f t="shared" si="41"/>
        <v>39.977364705126178</v>
      </c>
      <c r="AG38" s="345">
        <f t="shared" si="42"/>
        <v>47.027594435971622</v>
      </c>
      <c r="AH38" s="345">
        <f t="shared" si="43"/>
        <v>54.429678205209399</v>
      </c>
      <c r="AI38" s="345">
        <f t="shared" si="44"/>
        <v>34.817449585862079</v>
      </c>
      <c r="AJ38" s="345">
        <f t="shared" si="32"/>
        <v>5.3298483338089397</v>
      </c>
      <c r="AK38" s="345">
        <f t="shared" si="33"/>
        <v>5.260637359042704</v>
      </c>
      <c r="AL38" s="345">
        <f t="shared" si="34"/>
        <v>5.1107137128387308</v>
      </c>
      <c r="AM38" s="345">
        <f t="shared" si="35"/>
        <v>5.4265287904493391</v>
      </c>
      <c r="AN38" s="345">
        <f t="shared" si="36"/>
        <v>5.3485919542789873</v>
      </c>
      <c r="AO38" s="345">
        <f t="shared" si="37"/>
        <v>5.4689064337307514</v>
      </c>
      <c r="AP38" s="345">
        <f t="shared" si="38"/>
        <v>5.5919273402362535</v>
      </c>
      <c r="AQ38" s="6">
        <v>0.2</v>
      </c>
      <c r="AR38" s="6">
        <v>0</v>
      </c>
      <c r="AS38" s="6">
        <v>1</v>
      </c>
      <c r="AT38" s="6">
        <v>0</v>
      </c>
      <c r="AX38" t="s">
        <v>248</v>
      </c>
      <c r="AY38">
        <v>1</v>
      </c>
      <c r="AZ38" s="70">
        <v>1</v>
      </c>
    </row>
    <row r="39" spans="1:52">
      <c r="A39" s="91" t="s">
        <v>286</v>
      </c>
      <c r="B39" s="274">
        <f>B55</f>
        <v>-5.6159771313808902</v>
      </c>
      <c r="C39" s="274">
        <f>B60</f>
        <v>66.770473426484358</v>
      </c>
      <c r="D39" s="345" t="s">
        <v>449</v>
      </c>
      <c r="E39" s="345">
        <f>C65/1000</f>
        <v>0.35250811520203124</v>
      </c>
      <c r="F39" s="345">
        <f t="shared" ref="F39:X39" si="50">D65/1000</f>
        <v>1.6101533929310152</v>
      </c>
      <c r="G39" s="345">
        <f t="shared" si="50"/>
        <v>2.6141468653203757</v>
      </c>
      <c r="H39" s="345">
        <f t="shared" si="50"/>
        <v>3.3516082746552662</v>
      </c>
      <c r="I39" s="345">
        <f t="shared" si="50"/>
        <v>3.8098788119988751</v>
      </c>
      <c r="J39" s="345">
        <f t="shared" si="50"/>
        <v>4.5435090063824992</v>
      </c>
      <c r="K39" s="345">
        <f t="shared" si="50"/>
        <v>4.6044050317649994</v>
      </c>
      <c r="L39" s="345">
        <f t="shared" si="50"/>
        <v>4.6649744332537493</v>
      </c>
      <c r="M39" s="345">
        <f t="shared" si="50"/>
        <v>4.7249645772656255</v>
      </c>
      <c r="N39" s="345">
        <f t="shared" si="50"/>
        <v>4.7846560937174987</v>
      </c>
      <c r="O39" s="345">
        <f t="shared" si="50"/>
        <v>4.8436763647387489</v>
      </c>
      <c r="P39" s="345">
        <f t="shared" si="50"/>
        <v>4.9016861014274991</v>
      </c>
      <c r="Q39" s="345">
        <f t="shared" si="50"/>
        <v>4.9584440020500002</v>
      </c>
      <c r="R39" s="345">
        <f t="shared" si="50"/>
        <v>5.0142413617931245</v>
      </c>
      <c r="S39" s="345">
        <f t="shared" si="50"/>
        <v>5.0695387870049995</v>
      </c>
      <c r="T39" s="345">
        <f t="shared" si="50"/>
        <v>5.1254460363187553</v>
      </c>
      <c r="U39" s="345">
        <f t="shared" si="50"/>
        <v>5.1819698349197623</v>
      </c>
      <c r="V39" s="345">
        <f t="shared" si="50"/>
        <v>5.2391169821592394</v>
      </c>
      <c r="W39" s="345">
        <f t="shared" si="50"/>
        <v>5.296894352372151</v>
      </c>
      <c r="X39" s="345">
        <f t="shared" si="50"/>
        <v>5.3553088957041384</v>
      </c>
      <c r="Y39" s="348">
        <f t="shared" si="25"/>
        <v>86.04712732098038</v>
      </c>
      <c r="Z39" s="6">
        <f>VLOOKUP(CostByType_Details!$A39,EnergyCalculations!$A$4:$H$22,CostByType_Details!Z$22,TRUE)/Z$23</f>
        <v>1.3850415512465374E-2</v>
      </c>
      <c r="AA39" s="6">
        <f>VLOOKUP(CostByType_Details!$A39,EnergyCalculations!$A$4:$H$22,CostByType_Details!AA$22,TRUE)/AA$23</f>
        <v>0</v>
      </c>
      <c r="AB39" s="6">
        <f>VLOOKUP(CostByType_Details!$A39,EnergyCalculations!$A$4:$H$22,CostByType_Details!AB$22,TRUE)/AB$23</f>
        <v>1.358695652173913E-2</v>
      </c>
      <c r="AC39" s="6">
        <f>VLOOKUP(CostByType_Details!$A39,EnergyCalculations!$A$4:$H$22,CostByType_Details!AC$22,TRUE)/AC$23</f>
        <v>0</v>
      </c>
      <c r="AD39" s="345">
        <f t="shared" si="26"/>
        <v>0.35250811520203124</v>
      </c>
      <c r="AE39" s="345">
        <f t="shared" si="40"/>
        <v>1.2576452777289839</v>
      </c>
      <c r="AF39" s="345">
        <f t="shared" si="41"/>
        <v>1.0039934723893604</v>
      </c>
      <c r="AG39" s="345">
        <f t="shared" si="42"/>
        <v>0.73746140933489057</v>
      </c>
      <c r="AH39" s="345">
        <f t="shared" si="43"/>
        <v>0.4582705373436089</v>
      </c>
      <c r="AI39" s="345">
        <f t="shared" si="44"/>
        <v>0.73363019438362409</v>
      </c>
      <c r="AJ39" s="345">
        <f t="shared" si="32"/>
        <v>0.12146542687125006</v>
      </c>
      <c r="AK39" s="345">
        <f t="shared" si="33"/>
        <v>0.1196816604637494</v>
      </c>
      <c r="AL39" s="345">
        <f t="shared" si="34"/>
        <v>0.11703000771000038</v>
      </c>
      <c r="AM39" s="345">
        <f t="shared" si="35"/>
        <v>0.11255526036562546</v>
      </c>
      <c r="AN39" s="345">
        <f t="shared" si="36"/>
        <v>0.11120467452563076</v>
      </c>
      <c r="AO39" s="345">
        <f t="shared" si="37"/>
        <v>0.11367094584048409</v>
      </c>
      <c r="AP39" s="345">
        <f t="shared" si="38"/>
        <v>0.11619191354489899</v>
      </c>
      <c r="AQ39" s="6">
        <v>0</v>
      </c>
      <c r="AR39" s="6">
        <v>0</v>
      </c>
      <c r="AS39" s="6">
        <v>1</v>
      </c>
      <c r="AT39" s="6">
        <v>0</v>
      </c>
      <c r="AX39" t="s">
        <v>249</v>
      </c>
      <c r="AY39">
        <v>1</v>
      </c>
      <c r="AZ39" s="70">
        <v>1</v>
      </c>
    </row>
    <row r="40" spans="1:52">
      <c r="A40" s="2" t="s">
        <v>323</v>
      </c>
      <c r="B40" s="274">
        <f>B84</f>
        <v>-12.801495436350613</v>
      </c>
      <c r="C40" s="274">
        <f>B87</f>
        <v>88.45736137846275</v>
      </c>
      <c r="D40" s="345" t="s">
        <v>449</v>
      </c>
      <c r="E40" s="345">
        <f>C90/1000</f>
        <v>0.4553237430098071</v>
      </c>
      <c r="F40" s="345">
        <f t="shared" ref="F40:X40" si="51">D90/1000</f>
        <v>2.303962265345691</v>
      </c>
      <c r="G40" s="345">
        <f t="shared" si="51"/>
        <v>4.2022320898102805</v>
      </c>
      <c r="H40" s="345">
        <f t="shared" si="51"/>
        <v>6.1487343492027318</v>
      </c>
      <c r="I40" s="345">
        <f t="shared" si="51"/>
        <v>8.148902490262163</v>
      </c>
      <c r="J40" s="345">
        <f t="shared" si="51"/>
        <v>9.7093088127381684</v>
      </c>
      <c r="K40" s="345">
        <f t="shared" si="51"/>
        <v>9.8295453731486138</v>
      </c>
      <c r="L40" s="345">
        <f t="shared" si="51"/>
        <v>9.948175505641796</v>
      </c>
      <c r="M40" s="345">
        <f t="shared" si="51"/>
        <v>10.066396112479564</v>
      </c>
      <c r="N40" s="345">
        <f t="shared" si="51"/>
        <v>10.183940384831475</v>
      </c>
      <c r="O40" s="345">
        <f t="shared" si="51"/>
        <v>10.296496637353869</v>
      </c>
      <c r="P40" s="345">
        <f t="shared" si="51"/>
        <v>10.412986167470208</v>
      </c>
      <c r="Q40" s="345">
        <f t="shared" si="51"/>
        <v>10.534237088833949</v>
      </c>
      <c r="R40" s="345">
        <f t="shared" si="51"/>
        <v>10.656185768085228</v>
      </c>
      <c r="S40" s="345">
        <f t="shared" si="51"/>
        <v>10.775372591300211</v>
      </c>
      <c r="T40" s="345">
        <f t="shared" si="51"/>
        <v>10.895892489889176</v>
      </c>
      <c r="U40" s="345">
        <f t="shared" si="51"/>
        <v>11.017760373973109</v>
      </c>
      <c r="V40" s="345">
        <f t="shared" si="51"/>
        <v>11.140991320439024</v>
      </c>
      <c r="W40" s="345">
        <f t="shared" si="51"/>
        <v>11.265600574805223</v>
      </c>
      <c r="X40" s="345">
        <f t="shared" si="51"/>
        <v>11.391603553107387</v>
      </c>
      <c r="Y40" s="348">
        <f t="shared" si="25"/>
        <v>179.38364769172767</v>
      </c>
      <c r="Z40" s="6">
        <f>VLOOKUP(CostByType_Details!$A40,EnergyCalculations!$A$4:$H$22,CostByType_Details!Z$22,TRUE)/Z$23</f>
        <v>0</v>
      </c>
      <c r="AA40" s="6">
        <f>VLOOKUP(CostByType_Details!$A40,EnergyCalculations!$A$4:$H$22,CostByType_Details!AA$22,TRUE)/AA$23</f>
        <v>0</v>
      </c>
      <c r="AB40" s="6">
        <f>VLOOKUP(CostByType_Details!$A40,EnergyCalculations!$A$4:$H$22,CostByType_Details!AB$22,TRUE)/AB$23</f>
        <v>0</v>
      </c>
      <c r="AC40" s="6">
        <f>VLOOKUP(CostByType_Details!$A40,EnergyCalculations!$A$4:$H$22,CostByType_Details!AC$22,TRUE)/AC$23</f>
        <v>0</v>
      </c>
      <c r="AD40" s="345">
        <f t="shared" si="26"/>
        <v>0.4553237430098071</v>
      </c>
      <c r="AE40" s="345">
        <f t="shared" si="40"/>
        <v>1.8486385223358839</v>
      </c>
      <c r="AF40" s="345">
        <f t="shared" si="41"/>
        <v>1.8982698244645895</v>
      </c>
      <c r="AG40" s="345">
        <f t="shared" si="42"/>
        <v>1.9465022593924513</v>
      </c>
      <c r="AH40" s="345">
        <f t="shared" si="43"/>
        <v>2.0001681410594312</v>
      </c>
      <c r="AI40" s="345">
        <f t="shared" si="44"/>
        <v>1.5604063224760054</v>
      </c>
      <c r="AJ40" s="345">
        <f t="shared" si="32"/>
        <v>0.23886669290362761</v>
      </c>
      <c r="AK40" s="345">
        <f t="shared" si="33"/>
        <v>0.23576487918967892</v>
      </c>
      <c r="AL40" s="345">
        <f t="shared" si="34"/>
        <v>0.22904578263873354</v>
      </c>
      <c r="AM40" s="345">
        <f t="shared" si="35"/>
        <v>0.24319960061501966</v>
      </c>
      <c r="AN40" s="345">
        <f t="shared" si="36"/>
        <v>0.23970672180394814</v>
      </c>
      <c r="AO40" s="345">
        <f t="shared" si="37"/>
        <v>0.24509883054984805</v>
      </c>
      <c r="AP40" s="345">
        <f t="shared" si="38"/>
        <v>0.25061223266836308</v>
      </c>
      <c r="AQ40" s="6">
        <v>0</v>
      </c>
      <c r="AR40" s="6">
        <v>0</v>
      </c>
      <c r="AS40" s="6">
        <v>1</v>
      </c>
      <c r="AT40" s="6">
        <v>0</v>
      </c>
      <c r="AX40" t="s">
        <v>206</v>
      </c>
      <c r="AY40">
        <v>0.9</v>
      </c>
      <c r="AZ40" s="70">
        <v>1</v>
      </c>
    </row>
    <row r="41" spans="1:52">
      <c r="B41" s="350">
        <f>SUMPRODUCT(B32:B40,$Y$32:$Y$40)/$Y$41</f>
        <v>-3.0388554516953969</v>
      </c>
      <c r="C41" s="350">
        <f>SUMPRODUCT(C32:C40,$Y$32:$Y$40)/$Y$41</f>
        <v>47.454440724524716</v>
      </c>
      <c r="E41" s="346">
        <f>SUM(E32:E40)</f>
        <v>74.117545549469682</v>
      </c>
      <c r="F41" s="346">
        <f t="shared" ref="F41:X41" si="52">SUM(F32:F40)</f>
        <v>364.47163332383536</v>
      </c>
      <c r="G41" s="346">
        <f t="shared" si="52"/>
        <v>644.65561642591729</v>
      </c>
      <c r="H41" s="346">
        <f t="shared" si="52"/>
        <v>913.72657870153739</v>
      </c>
      <c r="I41" s="346">
        <f t="shared" si="52"/>
        <v>1171.1374274965722</v>
      </c>
      <c r="J41" s="346">
        <f t="shared" si="52"/>
        <v>1396.1672370916208</v>
      </c>
      <c r="K41" s="346">
        <f t="shared" si="52"/>
        <v>1414.3318039540836</v>
      </c>
      <c r="L41" s="346">
        <f t="shared" si="52"/>
        <v>1432.3456905332921</v>
      </c>
      <c r="M41" s="346">
        <f t="shared" si="52"/>
        <v>1450.2274533897278</v>
      </c>
      <c r="N41" s="346">
        <f t="shared" si="52"/>
        <v>1468.0153370352923</v>
      </c>
      <c r="O41" s="346">
        <f t="shared" si="52"/>
        <v>1485.4001454545999</v>
      </c>
      <c r="P41" s="346">
        <f t="shared" si="52"/>
        <v>1502.811864513131</v>
      </c>
      <c r="Q41" s="346">
        <f t="shared" si="52"/>
        <v>1520.2507670812042</v>
      </c>
      <c r="R41" s="346">
        <f t="shared" si="52"/>
        <v>1537.5468324686724</v>
      </c>
      <c r="S41" s="346">
        <f t="shared" si="52"/>
        <v>1554.5954815691905</v>
      </c>
      <c r="T41" s="346">
        <f t="shared" si="52"/>
        <v>1571.8331786750152</v>
      </c>
      <c r="U41" s="346">
        <f t="shared" si="52"/>
        <v>1589.2620201892762</v>
      </c>
      <c r="V41" s="346">
        <f t="shared" si="52"/>
        <v>1606.8841257637728</v>
      </c>
      <c r="W41" s="346">
        <f t="shared" si="52"/>
        <v>1624.7016385568108</v>
      </c>
      <c r="X41" s="346">
        <f t="shared" si="52"/>
        <v>1642.7167254938975</v>
      </c>
      <c r="Y41" s="348">
        <f t="shared" si="25"/>
        <v>25965.199103266918</v>
      </c>
      <c r="Z41" s="352">
        <f>SUMPRODUCT($Y$32:$Y$40,Z32:Z40)/$Y41</f>
        <v>1.4014685884689759E-3</v>
      </c>
      <c r="AA41" s="352">
        <f t="shared" ref="AA41:AC41" si="53">SUMPRODUCT($Y$32:$Y$40,AA32:AA40)/$Y41</f>
        <v>0</v>
      </c>
      <c r="AB41" s="352">
        <f t="shared" si="53"/>
        <v>1.982607643874933E-2</v>
      </c>
      <c r="AC41" s="352">
        <f t="shared" si="53"/>
        <v>0</v>
      </c>
      <c r="AD41" s="346">
        <f>SUM(AD32:AD40)</f>
        <v>74.117545549469682</v>
      </c>
      <c r="AE41" s="346">
        <f t="shared" ref="AE41:AP41" si="54">SUM(AE32:AE40)</f>
        <v>290.35408777436572</v>
      </c>
      <c r="AF41" s="346">
        <f t="shared" si="54"/>
        <v>280.18398310208192</v>
      </c>
      <c r="AG41" s="346">
        <f t="shared" si="54"/>
        <v>269.07096227562022</v>
      </c>
      <c r="AH41" s="346">
        <f t="shared" si="54"/>
        <v>257.41084879503472</v>
      </c>
      <c r="AI41" s="346">
        <f t="shared" si="54"/>
        <v>225.02980959504882</v>
      </c>
      <c r="AJ41" s="346">
        <f t="shared" si="54"/>
        <v>36.17845344167128</v>
      </c>
      <c r="AK41" s="346">
        <f t="shared" si="54"/>
        <v>35.66964650199975</v>
      </c>
      <c r="AL41" s="346">
        <f t="shared" si="54"/>
        <v>34.796527477839092</v>
      </c>
      <c r="AM41" s="346">
        <f t="shared" si="54"/>
        <v>34.7349679555413</v>
      </c>
      <c r="AN41" s="346">
        <f t="shared" si="54"/>
        <v>34.286346206342728</v>
      </c>
      <c r="AO41" s="346">
        <f t="shared" si="54"/>
        <v>35.050947088757731</v>
      </c>
      <c r="AP41" s="346">
        <f t="shared" si="54"/>
        <v>35.832599730124642</v>
      </c>
      <c r="AQ41" s="352">
        <f>SUMPRODUCT($Y$32:$Y$40,AQ32:AQ40)/$Y41</f>
        <v>0.79050153091482855</v>
      </c>
      <c r="AR41" s="352">
        <f t="shared" ref="AR41:AT41" si="55">SUMPRODUCT($Y$32:$Y$40,AR32:AR40)/$Y41</f>
        <v>0</v>
      </c>
      <c r="AS41" s="352">
        <f t="shared" si="55"/>
        <v>0.79863865728435457</v>
      </c>
      <c r="AT41" s="352">
        <f t="shared" si="55"/>
        <v>0</v>
      </c>
    </row>
    <row r="42" spans="1:52">
      <c r="A42" s="287" t="s">
        <v>388</v>
      </c>
      <c r="Y42" s="349"/>
      <c r="Z42" s="345"/>
      <c r="AQ42" s="345"/>
      <c r="AR42" s="70"/>
      <c r="AS42" s="70"/>
      <c r="AT42" s="70"/>
    </row>
    <row r="43" spans="1:52">
      <c r="A43" s="2" t="s">
        <v>311</v>
      </c>
      <c r="B43" s="274">
        <f>B114</f>
        <v>-4.8005607886314809</v>
      </c>
      <c r="C43" s="274">
        <f>B119</f>
        <v>59.925306246987873</v>
      </c>
      <c r="D43" s="345" t="s">
        <v>449</v>
      </c>
      <c r="E43" s="345">
        <f>C122/1000</f>
        <v>0.67731125494435762</v>
      </c>
      <c r="F43" s="345">
        <f t="shared" ref="F43:X43" si="56">D122/1000</f>
        <v>3.769953921724956</v>
      </c>
      <c r="G43" s="345">
        <f t="shared" si="56"/>
        <v>7.5011746275367344</v>
      </c>
      <c r="H43" s="345">
        <f t="shared" si="56"/>
        <v>11.890416774894083</v>
      </c>
      <c r="I43" s="345">
        <f t="shared" si="56"/>
        <v>16.970520074046963</v>
      </c>
      <c r="J43" s="345">
        <f t="shared" si="56"/>
        <v>20.220148702060754</v>
      </c>
      <c r="K43" s="345">
        <f t="shared" si="56"/>
        <v>20.470547693154121</v>
      </c>
      <c r="L43" s="345">
        <f t="shared" si="56"/>
        <v>20.717601213216259</v>
      </c>
      <c r="M43" s="345">
        <f t="shared" si="56"/>
        <v>20.963801874459147</v>
      </c>
      <c r="N43" s="345">
        <f t="shared" si="56"/>
        <v>21.208594033393574</v>
      </c>
      <c r="O43" s="345">
        <f t="shared" si="56"/>
        <v>21.442998377435408</v>
      </c>
      <c r="P43" s="345">
        <f t="shared" si="56"/>
        <v>21.685593979925191</v>
      </c>
      <c r="Q43" s="345">
        <f t="shared" si="56"/>
        <v>21.938105431308855</v>
      </c>
      <c r="R43" s="345">
        <f t="shared" si="56"/>
        <v>22.192070000367131</v>
      </c>
      <c r="S43" s="345">
        <f t="shared" si="56"/>
        <v>22.440282858276376</v>
      </c>
      <c r="T43" s="345">
        <f t="shared" si="56"/>
        <v>22.691271916099833</v>
      </c>
      <c r="U43" s="345">
        <f t="shared" si="56"/>
        <v>22.945068224952404</v>
      </c>
      <c r="V43" s="345">
        <f t="shared" si="56"/>
        <v>23.201703183248039</v>
      </c>
      <c r="W43" s="345">
        <f t="shared" si="56"/>
        <v>23.46120854058427</v>
      </c>
      <c r="X43" s="345">
        <f t="shared" si="56"/>
        <v>23.723616401670085</v>
      </c>
      <c r="Y43" s="348">
        <f t="shared" ref="Y43:Y48" si="57">SUM(E43:X43)</f>
        <v>370.11198908329851</v>
      </c>
      <c r="Z43" s="6">
        <f>VLOOKUP(CostByType_Details!$A43,EnergyCalculations!$A$4:$H$22,CostByType_Details!Z$22,TRUE)/Z$23</f>
        <v>0</v>
      </c>
      <c r="AA43" s="6">
        <f>VLOOKUP(CostByType_Details!$A43,EnergyCalculations!$A$4:$H$22,CostByType_Details!AA$22,TRUE)/AA$23</f>
        <v>0</v>
      </c>
      <c r="AB43" s="6">
        <f>VLOOKUP(CostByType_Details!$A43,EnergyCalculations!$A$4:$H$22,CostByType_Details!AB$22,TRUE)/AB$23</f>
        <v>0</v>
      </c>
      <c r="AC43" s="6">
        <f>VLOOKUP(CostByType_Details!$A43,EnergyCalculations!$A$4:$H$22,CostByType_Details!AC$22,TRUE)/AC$23</f>
        <v>0</v>
      </c>
      <c r="AD43" s="345">
        <f t="shared" ref="AD43:AD47" si="58">E43</f>
        <v>0.67731125494435762</v>
      </c>
      <c r="AE43" s="345">
        <f t="shared" ref="AE43" si="59">F43-E43</f>
        <v>3.0926426667805984</v>
      </c>
      <c r="AF43" s="345">
        <f t="shared" ref="AF43" si="60">G43-F43</f>
        <v>3.7312207058117783</v>
      </c>
      <c r="AG43" s="345">
        <f t="shared" ref="AG43" si="61">H43-G43</f>
        <v>4.3892421473573489</v>
      </c>
      <c r="AH43" s="345">
        <f t="shared" ref="AH43" si="62">I43-H43</f>
        <v>5.0801032991528796</v>
      </c>
      <c r="AI43" s="345">
        <f t="shared" ref="AI43" si="63">J43-I43</f>
        <v>3.2496286280137916</v>
      </c>
      <c r="AJ43" s="345">
        <f t="shared" ref="AJ43:AJ47" si="64">L43-J43</f>
        <v>0.4974525111555046</v>
      </c>
      <c r="AK43" s="345">
        <f t="shared" ref="AK43:AK47" si="65">N43-L43</f>
        <v>0.49099282017731483</v>
      </c>
      <c r="AL43" s="345">
        <f t="shared" ref="AL43:AL47" si="66">P43-N43</f>
        <v>0.47699994653161681</v>
      </c>
      <c r="AM43" s="345">
        <f t="shared" ref="AM43:AM47" si="67">R43-P43</f>
        <v>0.50647602044194073</v>
      </c>
      <c r="AN43" s="345">
        <f t="shared" ref="AN43:AN47" si="68">T43-R43</f>
        <v>0.49920191573270145</v>
      </c>
      <c r="AO43" s="345">
        <f t="shared" ref="AO43:AO47" si="69">V43-T43</f>
        <v>0.5104312671482063</v>
      </c>
      <c r="AP43" s="345">
        <f t="shared" ref="AP43:AP47" si="70">X43-V43</f>
        <v>0.5219132184220463</v>
      </c>
      <c r="AQ43" s="6">
        <v>0.2</v>
      </c>
      <c r="AR43" s="6">
        <v>0</v>
      </c>
      <c r="AS43" s="6">
        <v>1</v>
      </c>
      <c r="AT43" s="6">
        <v>0</v>
      </c>
    </row>
    <row r="44" spans="1:52">
      <c r="A44" s="2" t="s">
        <v>328</v>
      </c>
      <c r="B44" s="274">
        <f>B99</f>
        <v>-0.80009346477191357</v>
      </c>
      <c r="C44" s="274">
        <f>B104</f>
        <v>152.89813940068527</v>
      </c>
      <c r="D44" s="345" t="s">
        <v>449</v>
      </c>
      <c r="E44" s="345">
        <f>C109/1000</f>
        <v>2.4664377330326239</v>
      </c>
      <c r="F44" s="345">
        <f t="shared" ref="F44:X44" si="71">D109/1000</f>
        <v>12.51773572493812</v>
      </c>
      <c r="G44" s="345">
        <f t="shared" si="71"/>
        <v>22.863411472881367</v>
      </c>
      <c r="H44" s="345">
        <f t="shared" si="71"/>
        <v>33.500882709025873</v>
      </c>
      <c r="I44" s="345">
        <f t="shared" si="71"/>
        <v>44.428428051034487</v>
      </c>
      <c r="J44" s="345">
        <f t="shared" si="71"/>
        <v>52.983565344269977</v>
      </c>
      <c r="K44" s="345">
        <f t="shared" si="71"/>
        <v>53.69369677253998</v>
      </c>
      <c r="L44" s="345">
        <f t="shared" si="71"/>
        <v>54.400019316884979</v>
      </c>
      <c r="M44" s="345">
        <f t="shared" si="71"/>
        <v>55.099586922187477</v>
      </c>
      <c r="N44" s="345">
        <f t="shared" si="71"/>
        <v>55.795672119329978</v>
      </c>
      <c r="O44" s="345">
        <f t="shared" si="71"/>
        <v>56.483929671344981</v>
      </c>
      <c r="P44" s="345">
        <f t="shared" si="71"/>
        <v>57.160403002889979</v>
      </c>
      <c r="Q44" s="345">
        <f t="shared" si="71"/>
        <v>57.822278203799968</v>
      </c>
      <c r="R44" s="345">
        <f t="shared" si="71"/>
        <v>58.472952176677488</v>
      </c>
      <c r="S44" s="345">
        <f t="shared" si="71"/>
        <v>59.11779622517998</v>
      </c>
      <c r="T44" s="345">
        <f t="shared" si="71"/>
        <v>59.769751661621846</v>
      </c>
      <c r="U44" s="345">
        <f t="shared" si="71"/>
        <v>60.428896910916158</v>
      </c>
      <c r="V44" s="345">
        <f t="shared" si="71"/>
        <v>61.095311262851652</v>
      </c>
      <c r="W44" s="345">
        <f t="shared" si="71"/>
        <v>61.769074881630793</v>
      </c>
      <c r="X44" s="345">
        <f t="shared" si="71"/>
        <v>62.450268815512793</v>
      </c>
      <c r="Y44" s="348">
        <f t="shared" si="57"/>
        <v>982.3200989785505</v>
      </c>
      <c r="Z44" s="6">
        <f>VLOOKUP(CostByType_Details!$A44,EnergyCalculations!$A$4:$H$22,CostByType_Details!Z$22,TRUE)/Z$23</f>
        <v>0</v>
      </c>
      <c r="AA44" s="6">
        <f>VLOOKUP(CostByType_Details!$A44,EnergyCalculations!$A$4:$H$22,CostByType_Details!AA$22,TRUE)/AA$23</f>
        <v>0</v>
      </c>
      <c r="AB44" s="6">
        <f>VLOOKUP(CostByType_Details!$A44,EnergyCalculations!$A$4:$H$22,CostByType_Details!AB$22,TRUE)/AB$23</f>
        <v>0</v>
      </c>
      <c r="AC44" s="6">
        <f>VLOOKUP(CostByType_Details!$A44,EnergyCalculations!$A$4:$H$22,CostByType_Details!AC$22,TRUE)/AC$23</f>
        <v>0</v>
      </c>
      <c r="AD44" s="345">
        <f t="shared" si="58"/>
        <v>2.4664377330326239</v>
      </c>
      <c r="AE44" s="345">
        <f t="shared" ref="AE44:AE47" si="72">F44-E44</f>
        <v>10.051297991905496</v>
      </c>
      <c r="AF44" s="345">
        <f t="shared" ref="AF44:AF47" si="73">G44-F44</f>
        <v>10.345675747943247</v>
      </c>
      <c r="AG44" s="345">
        <f t="shared" ref="AG44:AG47" si="74">H44-G44</f>
        <v>10.637471236144506</v>
      </c>
      <c r="AH44" s="345">
        <f t="shared" ref="AH44:AH47" si="75">I44-H44</f>
        <v>10.927545342008614</v>
      </c>
      <c r="AI44" s="345">
        <f t="shared" ref="AI44:AI47" si="76">J44-I44</f>
        <v>8.5551372932354894</v>
      </c>
      <c r="AJ44" s="345">
        <f t="shared" si="64"/>
        <v>1.4164539726150025</v>
      </c>
      <c r="AK44" s="345">
        <f t="shared" si="65"/>
        <v>1.3956528024449995</v>
      </c>
      <c r="AL44" s="345">
        <f t="shared" si="66"/>
        <v>1.3647308835600001</v>
      </c>
      <c r="AM44" s="345">
        <f t="shared" si="67"/>
        <v>1.3125491737875095</v>
      </c>
      <c r="AN44" s="345">
        <f t="shared" si="68"/>
        <v>1.2967994849443585</v>
      </c>
      <c r="AO44" s="345">
        <f t="shared" si="69"/>
        <v>1.3255596012298057</v>
      </c>
      <c r="AP44" s="345">
        <f t="shared" si="70"/>
        <v>1.3549575526611406</v>
      </c>
      <c r="AQ44" s="6">
        <v>1</v>
      </c>
      <c r="AR44" s="6">
        <v>0</v>
      </c>
      <c r="AS44" s="6">
        <v>1</v>
      </c>
      <c r="AT44" s="6">
        <v>0</v>
      </c>
    </row>
    <row r="45" spans="1:52">
      <c r="A45" s="2" t="s">
        <v>282</v>
      </c>
      <c r="B45" s="274">
        <f>B96</f>
        <v>-0.80009346477191345</v>
      </c>
      <c r="C45" s="274">
        <f>B101</f>
        <v>153.88515523719073</v>
      </c>
      <c r="D45" s="345" t="s">
        <v>449</v>
      </c>
      <c r="E45" s="345">
        <f>C106/1000</f>
        <v>7.8335136711562487</v>
      </c>
      <c r="F45" s="345">
        <f t="shared" ref="F45:X47" si="77">D106/1000</f>
        <v>43.732561289484366</v>
      </c>
      <c r="G45" s="345">
        <f t="shared" si="77"/>
        <v>87.138228844012474</v>
      </c>
      <c r="H45" s="345">
        <f t="shared" si="77"/>
        <v>138.32034149370935</v>
      </c>
      <c r="I45" s="345">
        <f t="shared" si="77"/>
        <v>197.54927173327496</v>
      </c>
      <c r="J45" s="345">
        <f t="shared" si="77"/>
        <v>235.5893558864999</v>
      </c>
      <c r="K45" s="345">
        <f t="shared" si="77"/>
        <v>238.74692757299991</v>
      </c>
      <c r="L45" s="345">
        <f t="shared" si="77"/>
        <v>241.88756320574996</v>
      </c>
      <c r="M45" s="345">
        <f t="shared" si="77"/>
        <v>244.99816326562498</v>
      </c>
      <c r="N45" s="345">
        <f t="shared" si="77"/>
        <v>248.09327893349993</v>
      </c>
      <c r="O45" s="345">
        <f t="shared" si="77"/>
        <v>251.15358928274992</v>
      </c>
      <c r="P45" s="345">
        <f t="shared" si="77"/>
        <v>254.16150155549994</v>
      </c>
      <c r="Q45" s="345">
        <f t="shared" si="77"/>
        <v>257.10450380999998</v>
      </c>
      <c r="R45" s="345">
        <f t="shared" si="77"/>
        <v>259.9977002411249</v>
      </c>
      <c r="S45" s="345">
        <f t="shared" si="77"/>
        <v>262.86497414099995</v>
      </c>
      <c r="T45" s="345">
        <f t="shared" si="77"/>
        <v>265.76386854986134</v>
      </c>
      <c r="U45" s="345">
        <f t="shared" si="77"/>
        <v>268.69473218102468</v>
      </c>
      <c r="V45" s="345">
        <f t="shared" si="77"/>
        <v>271.65791759344205</v>
      </c>
      <c r="W45" s="345">
        <f t="shared" si="77"/>
        <v>274.65378123411153</v>
      </c>
      <c r="X45" s="345">
        <f t="shared" si="77"/>
        <v>277.68268348095523</v>
      </c>
      <c r="Y45" s="348">
        <f t="shared" si="57"/>
        <v>4327.6244579657814</v>
      </c>
      <c r="Z45" s="6">
        <f>VLOOKUP(CostByType_Details!$A45,EnergyCalculations!$A$4:$H$22,CostByType_Details!Z$22,TRUE)/Z$23</f>
        <v>0</v>
      </c>
      <c r="AA45" s="6">
        <f>VLOOKUP(CostByType_Details!$A45,EnergyCalculations!$A$4:$H$22,CostByType_Details!AA$22,TRUE)/AA$23</f>
        <v>0</v>
      </c>
      <c r="AB45" s="6">
        <f>VLOOKUP(CostByType_Details!$A45,EnergyCalculations!$A$4:$H$22,CostByType_Details!AB$22,TRUE)/AB$23</f>
        <v>0</v>
      </c>
      <c r="AC45" s="6">
        <f>VLOOKUP(CostByType_Details!$A45,EnergyCalculations!$A$4:$H$22,CostByType_Details!AC$22,TRUE)/AC$23</f>
        <v>0</v>
      </c>
      <c r="AD45" s="345">
        <f t="shared" si="58"/>
        <v>7.8335136711562487</v>
      </c>
      <c r="AE45" s="345">
        <f t="shared" si="72"/>
        <v>35.899047618328119</v>
      </c>
      <c r="AF45" s="345">
        <f t="shared" si="73"/>
        <v>43.405667554528108</v>
      </c>
      <c r="AG45" s="345">
        <f t="shared" si="74"/>
        <v>51.182112649696876</v>
      </c>
      <c r="AH45" s="345">
        <f t="shared" si="75"/>
        <v>59.228930239565614</v>
      </c>
      <c r="AI45" s="345">
        <f t="shared" si="76"/>
        <v>38.040084153224939</v>
      </c>
      <c r="AJ45" s="345">
        <f t="shared" si="64"/>
        <v>6.2982073192500536</v>
      </c>
      <c r="AK45" s="345">
        <f t="shared" si="65"/>
        <v>6.2057157277499755</v>
      </c>
      <c r="AL45" s="345">
        <f t="shared" si="66"/>
        <v>6.0682226220000075</v>
      </c>
      <c r="AM45" s="345">
        <f t="shared" si="67"/>
        <v>5.8361986856249644</v>
      </c>
      <c r="AN45" s="345">
        <f t="shared" si="68"/>
        <v>5.7661683087364395</v>
      </c>
      <c r="AO45" s="345">
        <f t="shared" si="69"/>
        <v>5.8940490435807078</v>
      </c>
      <c r="AP45" s="345">
        <f t="shared" si="70"/>
        <v>6.0247658875131833</v>
      </c>
      <c r="AQ45" s="6">
        <v>0</v>
      </c>
      <c r="AR45" s="6">
        <v>0</v>
      </c>
      <c r="AS45" s="6">
        <v>1</v>
      </c>
      <c r="AT45" s="6">
        <v>0</v>
      </c>
    </row>
    <row r="46" spans="1:52">
      <c r="A46" s="2" t="s">
        <v>283</v>
      </c>
      <c r="B46" s="274">
        <f t="shared" ref="B46:B47" si="78">B97</f>
        <v>-0.80009346477191368</v>
      </c>
      <c r="C46" s="274">
        <f t="shared" ref="C46:C47" si="79">B102</f>
        <v>153.88515523719076</v>
      </c>
      <c r="D46" s="345" t="s">
        <v>449</v>
      </c>
      <c r="E46" s="345">
        <f t="shared" ref="E46:E47" si="80">C107/1000</f>
        <v>3.525081152020312</v>
      </c>
      <c r="F46" s="345">
        <f t="shared" si="77"/>
        <v>19.67965258026797</v>
      </c>
      <c r="G46" s="345">
        <f t="shared" si="77"/>
        <v>39.212202979805625</v>
      </c>
      <c r="H46" s="345">
        <f t="shared" si="77"/>
        <v>62.244153672169205</v>
      </c>
      <c r="I46" s="345">
        <f t="shared" si="77"/>
        <v>88.897172279973745</v>
      </c>
      <c r="J46" s="345">
        <f t="shared" si="77"/>
        <v>106.01521014892498</v>
      </c>
      <c r="K46" s="345">
        <f t="shared" si="77"/>
        <v>107.43611740784996</v>
      </c>
      <c r="L46" s="345">
        <f t="shared" si="77"/>
        <v>108.8494034425875</v>
      </c>
      <c r="M46" s="345">
        <f t="shared" si="77"/>
        <v>110.24917346953124</v>
      </c>
      <c r="N46" s="345">
        <f t="shared" si="77"/>
        <v>111.64197552007499</v>
      </c>
      <c r="O46" s="345">
        <f t="shared" si="77"/>
        <v>113.01911517723748</v>
      </c>
      <c r="P46" s="345">
        <f t="shared" si="77"/>
        <v>114.37267569997499</v>
      </c>
      <c r="Q46" s="345">
        <f t="shared" si="77"/>
        <v>115.69702671449998</v>
      </c>
      <c r="R46" s="345">
        <f t="shared" si="77"/>
        <v>116.99896510850623</v>
      </c>
      <c r="S46" s="345">
        <f t="shared" si="77"/>
        <v>118.28923836344998</v>
      </c>
      <c r="T46" s="345">
        <f t="shared" si="77"/>
        <v>119.5937408474376</v>
      </c>
      <c r="U46" s="345">
        <f t="shared" si="77"/>
        <v>120.9126294814611</v>
      </c>
      <c r="V46" s="345">
        <f t="shared" si="77"/>
        <v>122.24606291704892</v>
      </c>
      <c r="W46" s="345">
        <f t="shared" si="77"/>
        <v>123.59420155535022</v>
      </c>
      <c r="X46" s="345">
        <f t="shared" si="77"/>
        <v>124.95720756642989</v>
      </c>
      <c r="Y46" s="348">
        <f t="shared" si="57"/>
        <v>1947.4310060846021</v>
      </c>
      <c r="Z46" s="6">
        <f>VLOOKUP(CostByType_Details!$A46,EnergyCalculations!$A$4:$H$22,CostByType_Details!Z$22,TRUE)/Z$23</f>
        <v>1.3850415512465374E-2</v>
      </c>
      <c r="AA46" s="6">
        <f>VLOOKUP(CostByType_Details!$A46,EnergyCalculations!$A$4:$H$22,CostByType_Details!AA$22,TRUE)/AA$23</f>
        <v>0</v>
      </c>
      <c r="AB46" s="6">
        <f>VLOOKUP(CostByType_Details!$A46,EnergyCalculations!$A$4:$H$22,CostByType_Details!AB$22,TRUE)/AB$23</f>
        <v>1.358695652173913E-2</v>
      </c>
      <c r="AC46" s="6">
        <f>VLOOKUP(CostByType_Details!$A46,EnergyCalculations!$A$4:$H$22,CostByType_Details!AC$22,TRUE)/AC$23</f>
        <v>0</v>
      </c>
      <c r="AD46" s="345">
        <f t="shared" si="58"/>
        <v>3.525081152020312</v>
      </c>
      <c r="AE46" s="345">
        <f t="shared" si="72"/>
        <v>16.154571428247657</v>
      </c>
      <c r="AF46" s="345">
        <f t="shared" si="73"/>
        <v>19.532550399537655</v>
      </c>
      <c r="AG46" s="345">
        <f t="shared" si="74"/>
        <v>23.03195069236358</v>
      </c>
      <c r="AH46" s="345">
        <f t="shared" si="75"/>
        <v>26.65301860780454</v>
      </c>
      <c r="AI46" s="345">
        <f t="shared" si="76"/>
        <v>17.118037868951234</v>
      </c>
      <c r="AJ46" s="345">
        <f t="shared" si="64"/>
        <v>2.8341932936625227</v>
      </c>
      <c r="AK46" s="345">
        <f t="shared" si="65"/>
        <v>2.7925720774874918</v>
      </c>
      <c r="AL46" s="345">
        <f t="shared" si="66"/>
        <v>2.7307001798999977</v>
      </c>
      <c r="AM46" s="345">
        <f t="shared" si="67"/>
        <v>2.6262894085312354</v>
      </c>
      <c r="AN46" s="345">
        <f t="shared" si="68"/>
        <v>2.594775738931375</v>
      </c>
      <c r="AO46" s="345">
        <f t="shared" si="69"/>
        <v>2.6523220696113157</v>
      </c>
      <c r="AP46" s="345">
        <f t="shared" si="70"/>
        <v>2.7111446493809694</v>
      </c>
      <c r="AQ46" s="6">
        <v>0</v>
      </c>
      <c r="AR46" s="6">
        <v>0</v>
      </c>
      <c r="AS46" s="6">
        <v>1</v>
      </c>
      <c r="AT46" s="6">
        <v>0</v>
      </c>
    </row>
    <row r="47" spans="1:52">
      <c r="A47" s="2" t="s">
        <v>284</v>
      </c>
      <c r="B47" s="274">
        <f t="shared" si="78"/>
        <v>-0.80009346477191345</v>
      </c>
      <c r="C47" s="274">
        <f t="shared" si="79"/>
        <v>153.88515523719079</v>
      </c>
      <c r="D47" s="345" t="s">
        <v>449</v>
      </c>
      <c r="E47" s="345">
        <f t="shared" si="80"/>
        <v>21.419064523704378</v>
      </c>
      <c r="F47" s="345">
        <f t="shared" si="77"/>
        <v>119.57731758296158</v>
      </c>
      <c r="G47" s="345">
        <f t="shared" si="77"/>
        <v>238.26081429634277</v>
      </c>
      <c r="H47" s="345">
        <f t="shared" si="77"/>
        <v>378.20733374137103</v>
      </c>
      <c r="I47" s="345">
        <f t="shared" si="77"/>
        <v>540.15615156784054</v>
      </c>
      <c r="J47" s="345">
        <f t="shared" si="77"/>
        <v>644.16861023822992</v>
      </c>
      <c r="K47" s="345">
        <f t="shared" si="77"/>
        <v>652.80231339245984</v>
      </c>
      <c r="L47" s="345">
        <f t="shared" si="77"/>
        <v>661.38970853686499</v>
      </c>
      <c r="M47" s="345">
        <f t="shared" si="77"/>
        <v>669.89497784343746</v>
      </c>
      <c r="N47" s="345">
        <f t="shared" si="77"/>
        <v>678.35790839816991</v>
      </c>
      <c r="O47" s="345">
        <f t="shared" si="77"/>
        <v>686.725671267405</v>
      </c>
      <c r="P47" s="345">
        <f t="shared" si="77"/>
        <v>694.95016282461006</v>
      </c>
      <c r="Q47" s="345">
        <f t="shared" si="77"/>
        <v>702.99717184619999</v>
      </c>
      <c r="R47" s="345">
        <f t="shared" si="77"/>
        <v>710.90799751644749</v>
      </c>
      <c r="S47" s="345">
        <f t="shared" si="77"/>
        <v>718.74794357982</v>
      </c>
      <c r="T47" s="345">
        <f t="shared" si="77"/>
        <v>726.67434914919227</v>
      </c>
      <c r="U47" s="345">
        <f t="shared" si="77"/>
        <v>734.68816770640194</v>
      </c>
      <c r="V47" s="345">
        <f t="shared" si="77"/>
        <v>742.79036324835465</v>
      </c>
      <c r="W47" s="345">
        <f t="shared" si="77"/>
        <v>750.98191040298514</v>
      </c>
      <c r="X47" s="345">
        <f t="shared" si="77"/>
        <v>759.26379454649782</v>
      </c>
      <c r="Y47" s="348">
        <f t="shared" si="57"/>
        <v>11832.961732209294</v>
      </c>
      <c r="Z47" s="6">
        <f>VLOOKUP(CostByType_Details!$A47,EnergyCalculations!$A$4:$H$22,CostByType_Details!Z$22,TRUE)/Z$23</f>
        <v>2.3084025854108958E-2</v>
      </c>
      <c r="AA47" s="6">
        <f>VLOOKUP(CostByType_Details!$A47,EnergyCalculations!$A$4:$H$22,CostByType_Details!AA$22,TRUE)/AA$23</f>
        <v>0</v>
      </c>
      <c r="AB47" s="6">
        <f>VLOOKUP(CostByType_Details!$A47,EnergyCalculations!$A$4:$H$22,CostByType_Details!AB$22,TRUE)/AB$23</f>
        <v>0</v>
      </c>
      <c r="AC47" s="6">
        <f>VLOOKUP(CostByType_Details!$A47,EnergyCalculations!$A$4:$H$22,CostByType_Details!AC$22,TRUE)/AC$23</f>
        <v>0</v>
      </c>
      <c r="AD47" s="345">
        <f t="shared" si="58"/>
        <v>21.419064523704378</v>
      </c>
      <c r="AE47" s="345">
        <f t="shared" si="72"/>
        <v>98.158253059257206</v>
      </c>
      <c r="AF47" s="345">
        <f t="shared" si="73"/>
        <v>118.68349671338119</v>
      </c>
      <c r="AG47" s="345">
        <f t="shared" si="74"/>
        <v>139.94651944502826</v>
      </c>
      <c r="AH47" s="345">
        <f t="shared" si="75"/>
        <v>161.94881782646951</v>
      </c>
      <c r="AI47" s="345">
        <f t="shared" si="76"/>
        <v>104.01245867038938</v>
      </c>
      <c r="AJ47" s="345">
        <f t="shared" si="64"/>
        <v>17.22109829863507</v>
      </c>
      <c r="AK47" s="345">
        <f t="shared" si="65"/>
        <v>16.968199861304925</v>
      </c>
      <c r="AL47" s="345">
        <f t="shared" si="66"/>
        <v>16.592254426440149</v>
      </c>
      <c r="AM47" s="345">
        <f t="shared" si="67"/>
        <v>15.957834691837434</v>
      </c>
      <c r="AN47" s="345">
        <f t="shared" si="68"/>
        <v>15.766351632744772</v>
      </c>
      <c r="AO47" s="345">
        <f t="shared" si="69"/>
        <v>16.116014099162385</v>
      </c>
      <c r="AP47" s="345">
        <f t="shared" si="70"/>
        <v>16.473431298143169</v>
      </c>
      <c r="AQ47" s="6">
        <v>1</v>
      </c>
      <c r="AR47" s="6">
        <v>0</v>
      </c>
      <c r="AS47" s="6">
        <v>0</v>
      </c>
      <c r="AT47" s="6">
        <v>0</v>
      </c>
    </row>
    <row r="48" spans="1:52">
      <c r="B48" s="350">
        <f>SUMPRODUCT(B43:B47,$Y$43:$Y$47)/$Y$48</f>
        <v>-0.87617705857101835</v>
      </c>
      <c r="C48" s="350">
        <f>SUMPRODUCT(C43:C47,$Y$43:$Y$47)/$Y$48</f>
        <v>152.04834090799957</v>
      </c>
      <c r="E48" s="346">
        <f>SUM(E43:E47)</f>
        <v>35.921408334857922</v>
      </c>
      <c r="F48" s="346">
        <f t="shared" ref="F48:X48" si="81">SUM(F43:F47)</f>
        <v>199.27722109937702</v>
      </c>
      <c r="G48" s="346">
        <f t="shared" si="81"/>
        <v>394.97583222057898</v>
      </c>
      <c r="H48" s="346">
        <f t="shared" si="81"/>
        <v>624.16312839116949</v>
      </c>
      <c r="I48" s="346">
        <f t="shared" si="81"/>
        <v>888.00154370617065</v>
      </c>
      <c r="J48" s="346">
        <f t="shared" si="81"/>
        <v>1058.9768903199856</v>
      </c>
      <c r="K48" s="346">
        <f t="shared" si="81"/>
        <v>1073.1496028390038</v>
      </c>
      <c r="L48" s="346">
        <f t="shared" si="81"/>
        <v>1087.2442957153037</v>
      </c>
      <c r="M48" s="346">
        <f t="shared" si="81"/>
        <v>1101.2057033752403</v>
      </c>
      <c r="N48" s="346">
        <f t="shared" si="81"/>
        <v>1115.0974290044683</v>
      </c>
      <c r="O48" s="346">
        <f t="shared" si="81"/>
        <v>1128.8253037761729</v>
      </c>
      <c r="P48" s="346">
        <f t="shared" si="81"/>
        <v>1142.3303370629001</v>
      </c>
      <c r="Q48" s="346">
        <f t="shared" si="81"/>
        <v>1155.5590860058087</v>
      </c>
      <c r="R48" s="346">
        <f t="shared" si="81"/>
        <v>1168.5696850431232</v>
      </c>
      <c r="S48" s="346">
        <f t="shared" si="81"/>
        <v>1181.4602351677263</v>
      </c>
      <c r="T48" s="346">
        <f t="shared" si="81"/>
        <v>1194.4929821242129</v>
      </c>
      <c r="U48" s="346">
        <f t="shared" si="81"/>
        <v>1207.6694945047561</v>
      </c>
      <c r="V48" s="346">
        <f t="shared" si="81"/>
        <v>1220.9913582049453</v>
      </c>
      <c r="W48" s="346">
        <f t="shared" si="81"/>
        <v>1234.460176614662</v>
      </c>
      <c r="X48" s="346">
        <f t="shared" si="81"/>
        <v>1248.0775708110659</v>
      </c>
      <c r="Y48" s="348">
        <f t="shared" si="57"/>
        <v>19460.449284321534</v>
      </c>
      <c r="Z48" s="352">
        <f>SUMPRODUCT($Y$43:$Y$47,Z43:Z47)/$Y48</f>
        <v>1.5422312136181239E-2</v>
      </c>
      <c r="AA48" s="352">
        <f t="shared" ref="AA48:AC48" si="82">SUMPRODUCT($Y$43:$Y$47,AA43:AA47)/$Y48</f>
        <v>0</v>
      </c>
      <c r="AB48" s="352">
        <f t="shared" si="82"/>
        <v>1.3596633881456999E-3</v>
      </c>
      <c r="AC48" s="352">
        <f t="shared" si="82"/>
        <v>0</v>
      </c>
      <c r="AD48" s="346">
        <f t="shared" ref="AD48:AP48" si="83">SUM(AD43:AD47)</f>
        <v>35.921408334857922</v>
      </c>
      <c r="AE48" s="346">
        <f t="shared" si="83"/>
        <v>163.3558127645191</v>
      </c>
      <c r="AF48" s="346">
        <f t="shared" si="83"/>
        <v>195.69861112120196</v>
      </c>
      <c r="AG48" s="346">
        <f t="shared" si="83"/>
        <v>229.18729617059057</v>
      </c>
      <c r="AH48" s="346">
        <f t="shared" si="83"/>
        <v>263.83841531500116</v>
      </c>
      <c r="AI48" s="346">
        <f t="shared" si="83"/>
        <v>170.97534661381485</v>
      </c>
      <c r="AJ48" s="346">
        <f t="shared" si="83"/>
        <v>28.267405395318153</v>
      </c>
      <c r="AK48" s="346">
        <f t="shared" si="83"/>
        <v>27.853133289164706</v>
      </c>
      <c r="AL48" s="346">
        <f t="shared" si="83"/>
        <v>27.232908058431772</v>
      </c>
      <c r="AM48" s="346">
        <f t="shared" si="83"/>
        <v>26.239347980223084</v>
      </c>
      <c r="AN48" s="346">
        <f t="shared" si="83"/>
        <v>25.923297081089647</v>
      </c>
      <c r="AO48" s="346">
        <f t="shared" si="83"/>
        <v>26.49837608073242</v>
      </c>
      <c r="AP48" s="346">
        <f t="shared" si="83"/>
        <v>27.086212606120508</v>
      </c>
      <c r="AQ48" s="352">
        <f>SUMPRODUCT($Y$43:$Y$47,AQ43:AQ47)/$Y48</f>
        <v>0.66233333263219552</v>
      </c>
      <c r="AR48" s="352">
        <f t="shared" ref="AR48:AT48" si="84">SUMPRODUCT($Y$43:$Y$47,AR43:AR47)/$Y48</f>
        <v>0</v>
      </c>
      <c r="AS48" s="352">
        <f t="shared" si="84"/>
        <v>0.39194817348114253</v>
      </c>
      <c r="AT48" s="352">
        <f t="shared" si="84"/>
        <v>0</v>
      </c>
    </row>
    <row r="51" spans="1:23">
      <c r="A51" s="287" t="s">
        <v>421</v>
      </c>
    </row>
    <row r="52" spans="1:23" s="70" customFormat="1">
      <c r="A52" s="478" t="s">
        <v>214</v>
      </c>
      <c r="B52" s="474" t="s">
        <v>418</v>
      </c>
      <c r="C52" s="463" t="s">
        <v>417</v>
      </c>
      <c r="D52" s="463"/>
      <c r="E52" s="463"/>
      <c r="F52" s="463"/>
      <c r="G52" s="463"/>
      <c r="H52" s="463"/>
      <c r="I52" s="463"/>
      <c r="J52" s="463"/>
      <c r="K52" s="463"/>
      <c r="L52" s="463"/>
      <c r="M52" s="463"/>
      <c r="N52" s="463"/>
      <c r="O52" s="463"/>
      <c r="P52" s="463"/>
      <c r="Q52" s="463"/>
      <c r="R52" s="463"/>
      <c r="S52" s="463"/>
      <c r="T52" s="463"/>
      <c r="U52" s="463"/>
      <c r="V52" s="463"/>
      <c r="W52" s="463"/>
    </row>
    <row r="53" spans="1:23" s="76" customFormat="1" ht="12.75">
      <c r="A53" s="479"/>
      <c r="B53" s="480"/>
      <c r="C53" s="322">
        <v>2016</v>
      </c>
      <c r="D53" s="322">
        <v>2017</v>
      </c>
      <c r="E53" s="322">
        <v>2018</v>
      </c>
      <c r="F53" s="322">
        <v>2019</v>
      </c>
      <c r="G53" s="322">
        <v>2020</v>
      </c>
      <c r="H53" s="322">
        <v>2021</v>
      </c>
      <c r="I53" s="322">
        <v>2022</v>
      </c>
      <c r="J53" s="322">
        <v>2023</v>
      </c>
      <c r="K53" s="322">
        <v>2024</v>
      </c>
      <c r="L53" s="322">
        <v>2025</v>
      </c>
      <c r="M53" s="322">
        <v>2026</v>
      </c>
      <c r="N53" s="322">
        <v>2027</v>
      </c>
      <c r="O53" s="322">
        <v>2028</v>
      </c>
      <c r="P53" s="322">
        <v>2029</v>
      </c>
      <c r="Q53" s="322">
        <v>2030</v>
      </c>
      <c r="R53" s="322">
        <v>2031</v>
      </c>
      <c r="S53" s="322">
        <v>2032</v>
      </c>
      <c r="T53" s="322">
        <v>2033</v>
      </c>
      <c r="U53" s="322">
        <v>2034</v>
      </c>
      <c r="V53" s="322">
        <v>2035</v>
      </c>
      <c r="W53" s="322"/>
    </row>
    <row r="54" spans="1:23" s="76" customFormat="1" ht="12.75">
      <c r="A54" s="124" t="s">
        <v>285</v>
      </c>
      <c r="B54" s="337">
        <f>(1-'7thPlanAssumptions'!$B$4*0.01)^($C$53-'7thPlanAssumptions'!$B$8)*SUM(C54:W54)/(NPV('7thPlanAssumptions'!$B$3*0.01,'Res-Capacity-Base'!D82:W82)+'Res-Capacity-Base'!C82)/1000</f>
        <v>-5.6159771313808902</v>
      </c>
      <c r="C54" s="286">
        <f>('Res-Capacity-Base'!C106)*(1+0.01*'7thPlanAssumptions'!$B$3)^($C$53-C$53)</f>
        <v>-47001.082026937496</v>
      </c>
      <c r="D54" s="286">
        <f>('Res-Capacity-Base'!D106)*(1+0.01*'7thPlanAssumptions'!$B$3)^($C$53-D$53)</f>
        <v>-206429.922170643</v>
      </c>
      <c r="E54" s="286">
        <f>('Res-Capacity-Base'!E106)*(1+0.01*'7thPlanAssumptions'!$B$3)^($C$53-E$53)</f>
        <v>-322256.76347637747</v>
      </c>
      <c r="F54" s="286">
        <f>('Res-Capacity-Base'!F106)*(1+0.01*'7thPlanAssumptions'!$B$3)^($C$53-F$53)</f>
        <v>-397275.67358131177</v>
      </c>
      <c r="G54" s="286">
        <f>('Res-Capacity-Base'!G106)*(1+0.01*'7thPlanAssumptions'!$B$3)^($C$53-G$53)</f>
        <v>-434226.71677493205</v>
      </c>
      <c r="H54" s="286">
        <f>('Res-Capacity-Base'!H106)*(1+0.01*'7thPlanAssumptions'!$B$3)^($C$53-H$53)</f>
        <v>-497924.42828680319</v>
      </c>
      <c r="I54" s="286">
        <f>('Res-Capacity-Base'!I106)*(1+0.01*'7thPlanAssumptions'!$B$3)^($C$53-I$53)</f>
        <v>-485190.42385984684</v>
      </c>
      <c r="J54" s="286">
        <f>('Res-Capacity-Base'!J106)*(1+0.01*'7thPlanAssumptions'!$B$3)^($C$53-J$53)</f>
        <v>-472666.2893282299</v>
      </c>
      <c r="K54" s="286">
        <f>('Res-Capacity-Base'!K106)*(1+0.01*'7thPlanAssumptions'!$B$3)^($C$53-K$53)</f>
        <v>-460331.37807857734</v>
      </c>
      <c r="L54" s="286">
        <f>('Res-Capacity-Base'!L106)*(1+0.01*'7thPlanAssumptions'!$B$3)^($C$53-L$53)</f>
        <v>-448218.12076697819</v>
      </c>
      <c r="M54" s="286">
        <f>('Res-Capacity-Base'!M106)*(1+0.01*'7thPlanAssumptions'!$B$3)^($C$53-M$53)</f>
        <v>-436295.22632078623</v>
      </c>
      <c r="N54" s="286">
        <f>('Res-Capacity-Base'!N106)*(1+0.01*'7thPlanAssumptions'!$B$3)^($C$53-N$53)</f>
        <v>-424538.90986613301</v>
      </c>
      <c r="O54" s="286">
        <f>('Res-Capacity-Base'!O106)*(1+0.01*'7thPlanAssumptions'!$B$3)^($C$53-O$53)</f>
        <v>-412937.26589178661</v>
      </c>
      <c r="P54" s="286">
        <f>('Res-Capacity-Base'!P106)*(1+0.01*'7thPlanAssumptions'!$B$3)^($C$53-P$53)</f>
        <v>-401523.12313568115</v>
      </c>
      <c r="Q54" s="286">
        <f>('Res-Capacity-Base'!Q106)*(1+0.01*'7thPlanAssumptions'!$B$3)^($C$53-Q$53)</f>
        <v>-390337.64411920914</v>
      </c>
      <c r="R54" s="286">
        <f>('Res-Capacity-Base'!R106)*(1+0.01*'7thPlanAssumptions'!$B$3)^($C$53-R$53)</f>
        <v>-379463.76593870111</v>
      </c>
      <c r="S54" s="286">
        <f>('Res-Capacity-Base'!S106)*(1+0.01*'7thPlanAssumptions'!$B$3)^($C$53-S$53)</f>
        <v>-368892.8081361425</v>
      </c>
      <c r="T54" s="286">
        <f>('Res-Capacity-Base'!T106)*(1+0.01*'7thPlanAssumptions'!$B$3)^($C$53-T$53)</f>
        <v>-358616.33207042929</v>
      </c>
      <c r="U54" s="286">
        <f>('Res-Capacity-Base'!U106)*(1+0.01*'7thPlanAssumptions'!$B$3)^($C$53-U$53)</f>
        <v>-348626.13418092328</v>
      </c>
      <c r="V54" s="286">
        <f>('Res-Capacity-Base'!V106)*(1+0.01*'7thPlanAssumptions'!$B$3)^($C$53-V$53)</f>
        <v>-338914.23943867016</v>
      </c>
      <c r="W54" s="286"/>
    </row>
    <row r="55" spans="1:23" s="76" customFormat="1" ht="12.75">
      <c r="A55" s="85" t="s">
        <v>286</v>
      </c>
      <c r="B55" s="337">
        <f>(1-'7thPlanAssumptions'!$B$4*0.01)^($C$53-'7thPlanAssumptions'!$B$8)*SUM(C55:W55)/(NPV('7thPlanAssumptions'!$B$3*0.01,'Res-Capacity-Base'!D83:W83)+'Res-Capacity-Base'!C83)/1000</f>
        <v>-5.6159771313808902</v>
      </c>
      <c r="C55" s="286">
        <f>('Res-Capacity-Base'!C107)*(1+0.01*'7thPlanAssumptions'!$B$3)^($C$53-C$53)</f>
        <v>-2115.0486912121874</v>
      </c>
      <c r="D55" s="286">
        <f>('Res-Capacity-Base'!D107)*(1+0.01*'7thPlanAssumptions'!$B$3)^($C$53-D$53)</f>
        <v>-9289.3464976789346</v>
      </c>
      <c r="E55" s="286">
        <f>('Res-Capacity-Base'!E107)*(1+0.01*'7thPlanAssumptions'!$B$3)^($C$53-E$53)</f>
        <v>-14501.554356436995</v>
      </c>
      <c r="F55" s="286">
        <f>('Res-Capacity-Base'!F107)*(1+0.01*'7thPlanAssumptions'!$B$3)^($C$53-F$53)</f>
        <v>-17877.405311159037</v>
      </c>
      <c r="G55" s="286">
        <f>('Res-Capacity-Base'!G107)*(1+0.01*'7thPlanAssumptions'!$B$3)^($C$53-G$53)</f>
        <v>-19540.202254871947</v>
      </c>
      <c r="H55" s="286">
        <f>('Res-Capacity-Base'!H107)*(1+0.01*'7thPlanAssumptions'!$B$3)^($C$53-H$53)</f>
        <v>-22406.59927290614</v>
      </c>
      <c r="I55" s="286">
        <f>('Res-Capacity-Base'!I107)*(1+0.01*'7thPlanAssumptions'!$B$3)^($C$53-I$53)</f>
        <v>-21833.56907369311</v>
      </c>
      <c r="J55" s="286">
        <f>('Res-Capacity-Base'!J107)*(1+0.01*'7thPlanAssumptions'!$B$3)^($C$53-J$53)</f>
        <v>-21269.983019770341</v>
      </c>
      <c r="K55" s="286">
        <f>('Res-Capacity-Base'!K107)*(1+0.01*'7thPlanAssumptions'!$B$3)^($C$53-K$53)</f>
        <v>-20714.912013535988</v>
      </c>
      <c r="L55" s="286">
        <f>('Res-Capacity-Base'!L107)*(1+0.01*'7thPlanAssumptions'!$B$3)^($C$53-L$53)</f>
        <v>-20169.815434514017</v>
      </c>
      <c r="M55" s="286">
        <f>('Res-Capacity-Base'!M107)*(1+0.01*'7thPlanAssumptions'!$B$3)^($C$53-M$53)</f>
        <v>-19633.28518443539</v>
      </c>
      <c r="N55" s="286">
        <f>('Res-Capacity-Base'!N107)*(1+0.01*'7thPlanAssumptions'!$B$3)^($C$53-N$53)</f>
        <v>-19104.250943975985</v>
      </c>
      <c r="O55" s="286">
        <f>('Res-Capacity-Base'!O107)*(1+0.01*'7thPlanAssumptions'!$B$3)^($C$53-O$53)</f>
        <v>-18582.176965130402</v>
      </c>
      <c r="P55" s="286">
        <f>('Res-Capacity-Base'!P107)*(1+0.01*'7thPlanAssumptions'!$B$3)^($C$53-P$53)</f>
        <v>-18068.540541105653</v>
      </c>
      <c r="Q55" s="286">
        <f>('Res-Capacity-Base'!Q107)*(1+0.01*'7thPlanAssumptions'!$B$3)^($C$53-Q$53)</f>
        <v>-17565.193985364414</v>
      </c>
      <c r="R55" s="286">
        <f>('Res-Capacity-Base'!R107)*(1+0.01*'7thPlanAssumptions'!$B$3)^($C$53-R$53)</f>
        <v>-17075.869467241551</v>
      </c>
      <c r="S55" s="286">
        <f>('Res-Capacity-Base'!S107)*(1+0.01*'7thPlanAssumptions'!$B$3)^($C$53-S$53)</f>
        <v>-16600.176366126416</v>
      </c>
      <c r="T55" s="286">
        <f>('Res-Capacity-Base'!T107)*(1+0.01*'7thPlanAssumptions'!$B$3)^($C$53-T$53)</f>
        <v>-16137.73494316932</v>
      </c>
      <c r="U55" s="286">
        <f>('Res-Capacity-Base'!U107)*(1+0.01*'7thPlanAssumptions'!$B$3)^($C$53-U$53)</f>
        <v>-15688.176038141546</v>
      </c>
      <c r="V55" s="286">
        <f>('Res-Capacity-Base'!V107)*(1+0.01*'7thPlanAssumptions'!$B$3)^($C$53-V$53)</f>
        <v>-15251.140774740161</v>
      </c>
      <c r="W55" s="286"/>
    </row>
    <row r="56" spans="1:23" s="76" customFormat="1" ht="12.75">
      <c r="A56" s="85" t="s">
        <v>239</v>
      </c>
      <c r="B56" s="337">
        <f>(1-'7thPlanAssumptions'!$B$4*0.01)^($C$53-'7thPlanAssumptions'!$B$8)*SUM(C56:W56)/(NPV('7thPlanAssumptions'!$B$3*0.01,'Res-Capacity-Base'!D84:W84)+'Res-Capacity-Base'!C84)/1000</f>
        <v>-5.6159771313808884</v>
      </c>
      <c r="C56" s="286">
        <f>('Res-Capacity-Base'!C108)*(1+0.01*'7thPlanAssumptions'!$B$3)^($C$53-C$53)</f>
        <v>-128514.38714222627</v>
      </c>
      <c r="D56" s="286">
        <f>('Res-Capacity-Base'!D108)*(1+0.01*'7thPlanAssumptions'!$B$3)^($C$53-D$53)</f>
        <v>-564438.38719230099</v>
      </c>
      <c r="E56" s="286">
        <f>('Res-Capacity-Base'!E108)*(1+0.01*'7thPlanAssumptions'!$B$3)^($C$53-E$53)</f>
        <v>-881142.06470540981</v>
      </c>
      <c r="F56" s="286">
        <f>('Res-Capacity-Base'!F108)*(1+0.01*'7thPlanAssumptions'!$B$3)^($C$53-F$53)</f>
        <v>-1086265.1989066158</v>
      </c>
      <c r="G56" s="286">
        <f>('Res-Capacity-Base'!G108)*(1+0.01*'7thPlanAssumptions'!$B$3)^($C$53-G$53)</f>
        <v>-1187299.9084388858</v>
      </c>
      <c r="H56" s="286">
        <f>('Res-Capacity-Base'!H108)*(1+0.01*'7thPlanAssumptions'!$B$3)^($C$53-H$53)</f>
        <v>-1361467.6510584876</v>
      </c>
      <c r="I56" s="286">
        <f>('Res-Capacity-Base'!I108)*(1+0.01*'7thPlanAssumptions'!$B$3)^($C$53-I$53)</f>
        <v>-1326649.2446682102</v>
      </c>
      <c r="J56" s="286">
        <f>('Res-Capacity-Base'!J108)*(1+0.01*'7thPlanAssumptions'!$B$3)^($C$53-J$53)</f>
        <v>-1292404.6825346171</v>
      </c>
      <c r="K56" s="286">
        <f>('Res-Capacity-Base'!K108)*(1+0.01*'7thPlanAssumptions'!$B$3)^($C$53-K$53)</f>
        <v>-1258677.5109177104</v>
      </c>
      <c r="L56" s="286">
        <f>('Res-Capacity-Base'!L108)*(1+0.01*'7thPlanAssumptions'!$B$3)^($C$53-L$53)</f>
        <v>-1225556.4044971375</v>
      </c>
      <c r="M56" s="286">
        <f>('Res-Capacity-Base'!M108)*(1+0.01*'7thPlanAssumptions'!$B$3)^($C$53-M$53)</f>
        <v>-1192955.8045399792</v>
      </c>
      <c r="N56" s="286">
        <f>('Res-Capacity-Base'!N108)*(1+0.01*'7thPlanAssumptions'!$B$3)^($C$53-N$53)</f>
        <v>-1160810.6764053984</v>
      </c>
      <c r="O56" s="286">
        <f>('Res-Capacity-Base'!O108)*(1+0.01*'7thPlanAssumptions'!$B$3)^($C$53-O$53)</f>
        <v>-1129088.4670241138</v>
      </c>
      <c r="P56" s="286">
        <f>('Res-Capacity-Base'!P108)*(1+0.01*'7thPlanAssumptions'!$B$3)^($C$53-P$53)</f>
        <v>-1097878.939545277</v>
      </c>
      <c r="Q56" s="286">
        <f>('Res-Capacity-Base'!Q108)*(1+0.01*'7thPlanAssumptions'!$B$3)^($C$53-Q$53)</f>
        <v>-1067294.6440630949</v>
      </c>
      <c r="R56" s="286">
        <f>('Res-Capacity-Base'!R108)*(1+0.01*'7thPlanAssumptions'!$B$3)^($C$53-R$53)</f>
        <v>-1037562.3542952486</v>
      </c>
      <c r="S56" s="286">
        <f>('Res-Capacity-Base'!S108)*(1+0.01*'7thPlanAssumptions'!$B$3)^($C$53-S$53)</f>
        <v>-1008658.3353893958</v>
      </c>
      <c r="T56" s="286">
        <f>('Res-Capacity-Base'!T108)*(1+0.01*'7thPlanAssumptions'!$B$3)^($C$53-T$53)</f>
        <v>-980559.51368971693</v>
      </c>
      <c r="U56" s="286">
        <f>('Res-Capacity-Base'!U108)*(1+0.01*'7thPlanAssumptions'!$B$3)^($C$53-U$53)</f>
        <v>-953243.45831755328</v>
      </c>
      <c r="V56" s="286">
        <f>('Res-Capacity-Base'!V108)*(1+0.01*'7thPlanAssumptions'!$B$3)^($C$53-V$53)</f>
        <v>-926688.36326516396</v>
      </c>
      <c r="W56" s="286"/>
    </row>
    <row r="57" spans="1:23" s="76" customFormat="1" ht="12.75">
      <c r="A57" s="166" t="s">
        <v>215</v>
      </c>
      <c r="B57" s="337">
        <f>(1-'7thPlanAssumptions'!$B$4*0.01)^($C$53-'7thPlanAssumptions'!$B$8)*SUM(C57:W57)/(NPV('7thPlanAssumptions'!$B$3*0.01,'Res-Capacity-Base'!D85:W85)+'Res-Capacity-Base'!C85)/1000</f>
        <v>-5.6159771313808902</v>
      </c>
      <c r="C57" s="286">
        <f>('Res-Capacity-Base'!C109)*(1+0.01*'7thPlanAssumptions'!$B$3)^($C$53-C$53)</f>
        <v>-133187.63758376177</v>
      </c>
      <c r="D57" s="286">
        <f>('Res-Capacity-Base'!D109)*(1+0.01*'7thPlanAssumptions'!$B$3)^($C$53-D$53)</f>
        <v>-649959.35494871018</v>
      </c>
      <c r="E57" s="286">
        <f>('Res-Capacity-Base'!E109)*(1+0.01*'7thPlanAssumptions'!$B$3)^($C$53-E$53)</f>
        <v>-1141479.4929138257</v>
      </c>
      <c r="F57" s="286">
        <f>('Res-Capacity-Base'!F109)*(1+0.01*'7thPlanAssumptions'!$B$3)^($C$53-F$53)</f>
        <v>-1608236.7879916127</v>
      </c>
      <c r="G57" s="286">
        <f>('Res-Capacity-Base'!G109)*(1+0.01*'7thPlanAssumptions'!$B$3)^($C$53-G$53)</f>
        <v>-2050790.7509398935</v>
      </c>
      <c r="H57" s="286">
        <f>('Res-Capacity-Base'!H109)*(1+0.01*'7thPlanAssumptions'!$B$3)^($C$53-H$53)</f>
        <v>-2351625.942737387</v>
      </c>
      <c r="I57" s="286">
        <f>('Res-Capacity-Base'!I109)*(1+0.01*'7thPlanAssumptions'!$B$3)^($C$53-I$53)</f>
        <v>-2291485.0589723629</v>
      </c>
      <c r="J57" s="286">
        <f>('Res-Capacity-Base'!J109)*(1+0.01*'7thPlanAssumptions'!$B$3)^($C$53-J$53)</f>
        <v>-2232335.3607416106</v>
      </c>
      <c r="K57" s="286">
        <f>('Res-Capacity-Base'!K109)*(1+0.01*'7thPlanAssumptions'!$B$3)^($C$53-K$53)</f>
        <v>-2174079.3370396816</v>
      </c>
      <c r="L57" s="286">
        <f>('Res-Capacity-Base'!L109)*(1+0.01*'7thPlanAssumptions'!$B$3)^($C$53-L$53)</f>
        <v>-2116870.1532223285</v>
      </c>
      <c r="M57" s="286">
        <f>('Res-Capacity-Base'!M109)*(1+0.01*'7thPlanAssumptions'!$B$3)^($C$53-M$53)</f>
        <v>-2060560.0260236</v>
      </c>
      <c r="N57" s="286">
        <f>('Res-Capacity-Base'!N109)*(1+0.01*'7thPlanAssumptions'!$B$3)^($C$53-N$53)</f>
        <v>-2005036.6228820514</v>
      </c>
      <c r="O57" s="286">
        <f>('Res-Capacity-Base'!O109)*(1+0.01*'7thPlanAssumptions'!$B$3)^($C$53-O$53)</f>
        <v>-1950243.7157689242</v>
      </c>
      <c r="P57" s="286">
        <f>('Res-Capacity-Base'!P109)*(1+0.01*'7thPlanAssumptions'!$B$3)^($C$53-P$53)</f>
        <v>-1896336.3501236602</v>
      </c>
      <c r="Q57" s="286">
        <f>('Res-Capacity-Base'!Q109)*(1+0.01*'7thPlanAssumptions'!$B$3)^($C$53-Q$53)</f>
        <v>-1843508.9306544368</v>
      </c>
      <c r="R57" s="286">
        <f>('Res-Capacity-Base'!R109)*(1+0.01*'7thPlanAssumptions'!$B$3)^($C$53-R$53)</f>
        <v>-1792153.1574190652</v>
      </c>
      <c r="S57" s="286">
        <f>('Res-Capacity-Base'!S109)*(1+0.01*'7thPlanAssumptions'!$B$3)^($C$53-S$53)</f>
        <v>-1742228.0338544101</v>
      </c>
      <c r="T57" s="286">
        <f>('Res-Capacity-Base'!T109)*(1+0.01*'7thPlanAssumptions'!$B$3)^($C$53-T$53)</f>
        <v>-1693693.705464056</v>
      </c>
      <c r="U57" s="286">
        <f>('Res-Capacity-Base'!U109)*(1+0.01*'7thPlanAssumptions'!$B$3)^($C$53-U$53)</f>
        <v>-1646511.4280030462</v>
      </c>
      <c r="V57" s="286">
        <f>('Res-Capacity-Base'!V109)*(1+0.01*'7thPlanAssumptions'!$B$3)^($C$53-V$53)</f>
        <v>-1600643.5365489195</v>
      </c>
      <c r="W57" s="286"/>
    </row>
    <row r="58" spans="1:23" s="76" customFormat="1" ht="12.75">
      <c r="A58" s="85"/>
      <c r="C58" s="463" t="s">
        <v>420</v>
      </c>
      <c r="D58" s="463"/>
      <c r="E58" s="463"/>
      <c r="F58" s="463"/>
      <c r="G58" s="463"/>
      <c r="H58" s="463"/>
      <c r="I58" s="463"/>
      <c r="J58" s="463"/>
      <c r="K58" s="463"/>
      <c r="L58" s="463"/>
      <c r="M58" s="463"/>
      <c r="N58" s="463"/>
      <c r="O58" s="463"/>
      <c r="P58" s="463"/>
      <c r="Q58" s="463"/>
      <c r="R58" s="463"/>
      <c r="S58" s="463"/>
      <c r="T58" s="463"/>
      <c r="U58" s="463"/>
      <c r="V58" s="463"/>
      <c r="W58" s="463"/>
    </row>
    <row r="59" spans="1:23" s="76" customFormat="1" ht="12.75">
      <c r="A59" s="124" t="s">
        <v>285</v>
      </c>
      <c r="B59" s="337">
        <f>(1-'7thPlanAssumptions'!$B$4*0.01)^($C$53-'7thPlanAssumptions'!$B$8)*SUM(C59:W59)/(NPV('7thPlanAssumptions'!$B$3*0.01,'Res-Capacity-Base'!D82:W82)+'Res-Capacity-Base'!C82)/1000</f>
        <v>52.679302086479552</v>
      </c>
      <c r="C59" s="286">
        <f>'Res-Capacity-Base'!C94*(1+0.01*'7thPlanAssumptions'!$B$3)^($C$53-C$53)</f>
        <v>1484244.6955874998</v>
      </c>
      <c r="D59" s="286">
        <f>'Res-Capacity-Base'!D94*(1+0.01*'7thPlanAssumptions'!$B$3)^($C$53-D$53)</f>
        <v>5091681.2863521622</v>
      </c>
      <c r="E59" s="286">
        <f>'Res-Capacity-Base'!E94*(1+0.01*'7thPlanAssumptions'!$B$3)^($C$53-E$53)</f>
        <v>3908414.3272709404</v>
      </c>
      <c r="F59" s="286">
        <f>'Res-Capacity-Base'!F94*(1+0.01*'7thPlanAssumptions'!$B$3)^($C$53-F$53)</f>
        <v>2760423.1897222702</v>
      </c>
      <c r="G59" s="286">
        <f>'Res-Capacity-Base'!G94*(1+0.01*'7thPlanAssumptions'!$B$3)^($C$53-G$53)</f>
        <v>1649396.1092495217</v>
      </c>
      <c r="H59" s="286">
        <f>'Res-Capacity-Base'!H94*(1+0.01*'7thPlanAssumptions'!$B$3)^($C$53-H$53)+C59</f>
        <v>4023152.2454865854</v>
      </c>
      <c r="I59" s="286">
        <f>'Res-Capacity-Base'!I94*(1+0.01*'7thPlanAssumptions'!$B$3)^($C$53-I$53)+D59</f>
        <v>5294321.3428533049</v>
      </c>
      <c r="J59" s="286">
        <f>'Res-Capacity-Base'!J94*(1+0.01*'7thPlanAssumptions'!$B$3)^($C$53-J$53)+E59</f>
        <v>4102215.4520132109</v>
      </c>
      <c r="K59" s="286">
        <f>'Res-Capacity-Base'!K94*(1+0.01*'7thPlanAssumptions'!$B$3)^($C$53-K$53)+F59</f>
        <v>2944988.2870954736</v>
      </c>
      <c r="L59" s="286">
        <f>'Res-Capacity-Base'!L94*(1+0.01*'7thPlanAssumptions'!$B$3)^($C$53-L$53)+G59</f>
        <v>1825979.131083932</v>
      </c>
      <c r="M59" s="286">
        <f>'Res-Capacity-Base'!M94*(1+0.01*'7thPlanAssumptions'!$B$3)^($C$53-M$53)+H59</f>
        <v>4191034.2679553991</v>
      </c>
      <c r="N59" s="286">
        <f>'Res-Capacity-Base'!N94*(1+0.01*'7thPlanAssumptions'!$B$3)^($C$53-N$53)+I59</f>
        <v>5452982.4746344369</v>
      </c>
      <c r="O59" s="286">
        <f>'Res-Capacity-Base'!O94*(1+0.01*'7thPlanAssumptions'!$B$3)^($C$53-O$53)+J59</f>
        <v>4251482.0510413032</v>
      </c>
      <c r="P59" s="286">
        <f>'Res-Capacity-Base'!P94*(1+0.01*'7thPlanAssumptions'!$B$3)^($C$53-P$53)+K59</f>
        <v>3086084.9116700217</v>
      </c>
      <c r="Q59" s="286">
        <f>'Res-Capacity-Base'!Q94*(1+0.01*'7thPlanAssumptions'!$B$3)^($C$53-Q$53)+L59</f>
        <v>1960433.3845747113</v>
      </c>
      <c r="R59" s="286">
        <f>'Res-Capacity-Base'!R94*(1+0.01*'7thPlanAssumptions'!$B$3)^($C$53-R$53)+M59</f>
        <v>4321742.9458007449</v>
      </c>
      <c r="S59" s="286">
        <f>'Res-Capacity-Base'!S94*(1+0.01*'7thPlanAssumptions'!$B$3)^($C$53-S$53)+N59</f>
        <v>5580049.9196613766</v>
      </c>
      <c r="T59" s="286">
        <f>'Res-Capacity-Base'!T94*(1+0.01*'7thPlanAssumptions'!$B$3)^($C$53-T$53)+O59</f>
        <v>4375009.6993339323</v>
      </c>
      <c r="U59" s="286">
        <f>'Res-Capacity-Base'!U94*(1+0.01*'7thPlanAssumptions'!$B$3)^($C$53-U$53)+P59</f>
        <v>3206171.3735444425</v>
      </c>
      <c r="V59" s="286">
        <f>'Res-Capacity-Base'!V94*(1+0.01*'7thPlanAssumptions'!$B$3)^($C$53-V$53)+Q59</f>
        <v>2077174.523298203</v>
      </c>
      <c r="W59" s="286"/>
    </row>
    <row r="60" spans="1:23" s="76" customFormat="1" ht="12.75">
      <c r="A60" s="85" t="s">
        <v>286</v>
      </c>
      <c r="B60" s="337">
        <f>(1-'7thPlanAssumptions'!$B$4*0.01)^($C$53-'7thPlanAssumptions'!$B$8)*SUM(C60:W60)/(NPV('7thPlanAssumptions'!$B$3*0.01,'Res-Capacity-Base'!D83:W83)+'Res-Capacity-Base'!C83)/1000</f>
        <v>66.770473426484358</v>
      </c>
      <c r="C60" s="286">
        <f>'Res-Capacity-Base'!C95*(1+0.01*'7thPlanAssumptions'!$B$3)^($C$53-C$53)</f>
        <v>84656.919674249992</v>
      </c>
      <c r="D60" s="286">
        <f>'Res-Capacity-Base'!D95*(1+0.01*'7thPlanAssumptions'!$B$3)^($C$53-D$53)</f>
        <v>290414.41411045671</v>
      </c>
      <c r="E60" s="286">
        <f>'Res-Capacity-Base'!E95*(1+0.01*'7thPlanAssumptions'!$B$3)^($C$53-E$53)</f>
        <v>222924.37274063902</v>
      </c>
      <c r="F60" s="286">
        <f>'Res-Capacity-Base'!F95*(1+0.01*'7thPlanAssumptions'!$B$3)^($C$53-F$53)</f>
        <v>157446.359710085</v>
      </c>
      <c r="G60" s="286">
        <f>'Res-Capacity-Base'!G95*(1+0.01*'7thPlanAssumptions'!$B$3)^($C$53-G$53)</f>
        <v>94076.666972009698</v>
      </c>
      <c r="H60" s="286">
        <f>'Res-Capacity-Base'!H95*(1+0.01*'7thPlanAssumptions'!$B$3)^($C$53-H$53)+C60</f>
        <v>229468.68363145721</v>
      </c>
      <c r="I60" s="286">
        <f>'Res-Capacity-Base'!I95*(1+0.01*'7thPlanAssumptions'!$B$3)^($C$53-I$53)+D60</f>
        <v>301972.40251829964</v>
      </c>
      <c r="J60" s="286">
        <f>'Res-Capacity-Base'!J95*(1+0.01*'7thPlanAssumptions'!$B$3)^($C$53-J$53)+E60</f>
        <v>233978.21467038328</v>
      </c>
      <c r="K60" s="286">
        <f>'Res-Capacity-Base'!K95*(1+0.01*'7thPlanAssumptions'!$B$3)^($C$53-K$53)+F60</f>
        <v>167973.40600470471</v>
      </c>
      <c r="L60" s="286">
        <f>'Res-Capacity-Base'!L95*(1+0.01*'7thPlanAssumptions'!$B$3)^($C$53-L$53)+G60</f>
        <v>104148.43932849079</v>
      </c>
      <c r="M60" s="286">
        <f>'Res-Capacity-Base'!M95*(1+0.01*'7thPlanAssumptions'!$B$3)^($C$53-M$53)+H60</f>
        <v>239044.17676486386</v>
      </c>
      <c r="N60" s="286">
        <f>'Res-Capacity-Base'!N95*(1+0.01*'7thPlanAssumptions'!$B$3)^($C$53-N$53)+I60</f>
        <v>311021.96336803806</v>
      </c>
      <c r="O60" s="286">
        <f>'Res-Capacity-Base'!O95*(1+0.01*'7thPlanAssumptions'!$B$3)^($C$53-O$53)+J60</f>
        <v>242491.93920754138</v>
      </c>
      <c r="P60" s="286">
        <f>'Res-Capacity-Base'!P95*(1+0.01*'7thPlanAssumptions'!$B$3)^($C$53-P$53)+K60</f>
        <v>176021.139406364</v>
      </c>
      <c r="Q60" s="286">
        <f>'Res-Capacity-Base'!Q95*(1+0.01*'7thPlanAssumptions'!$B$3)^($C$53-Q$53)+L60</f>
        <v>111817.31156463156</v>
      </c>
      <c r="R60" s="286">
        <f>'Res-Capacity-Base'!R95*(1+0.01*'7thPlanAssumptions'!$B$3)^($C$53-R$53)+M60</f>
        <v>246499.412464191</v>
      </c>
      <c r="S60" s="286">
        <f>'Res-Capacity-Base'!S95*(1+0.01*'7thPlanAssumptions'!$B$3)^($C$53-S$53)+N60</f>
        <v>318269.51393624122</v>
      </c>
      <c r="T60" s="286">
        <f>'Res-Capacity-Base'!T95*(1+0.01*'7thPlanAssumptions'!$B$3)^($C$53-T$53)+O60</f>
        <v>249537.59025830613</v>
      </c>
      <c r="U60" s="286">
        <f>'Res-Capacity-Base'!U95*(1+0.01*'7thPlanAssumptions'!$B$3)^($C$53-U$53)+P60</f>
        <v>182870.51537994208</v>
      </c>
      <c r="V60" s="286">
        <f>'Res-Capacity-Base'!V95*(1+0.01*'7thPlanAssumptions'!$B$3)^($C$53-V$53)+Q60</f>
        <v>118475.88021774933</v>
      </c>
      <c r="W60" s="286"/>
    </row>
    <row r="61" spans="1:23" s="76" customFormat="1" ht="12.75">
      <c r="A61" s="85" t="s">
        <v>239</v>
      </c>
      <c r="B61" s="337">
        <f>(1-'7thPlanAssumptions'!$B$4*0.01)^($C$53-'7thPlanAssumptions'!$B$8)*SUM(C61:W61)/(NPV('7thPlanAssumptions'!$B$3*0.01,'Res-Capacity-Base'!D84:W84)+'Res-Capacity-Base'!C84)/1000</f>
        <v>33.504843472626831</v>
      </c>
      <c r="C61" s="286">
        <f>'Res-Capacity-Base'!C96*(1+0.01*'7thPlanAssumptions'!$B$3)^($C$53-C$53)</f>
        <v>2581172.2039455003</v>
      </c>
      <c r="D61" s="286">
        <f>'Res-Capacity-Base'!D96*(1+0.01*'7thPlanAssumptions'!$B$3)^($C$53-D$53)</f>
        <v>8854676.2179800458</v>
      </c>
      <c r="E61" s="286">
        <f>'Res-Capacity-Base'!E96*(1+0.01*'7thPlanAssumptions'!$B$3)^($C$53-E$53)</f>
        <v>6796918.6300921356</v>
      </c>
      <c r="F61" s="286">
        <f>'Res-Capacity-Base'!F96*(1+0.01*'7thPlanAssumptions'!$B$3)^($C$53-F$53)</f>
        <v>4800507.3756503463</v>
      </c>
      <c r="G61" s="286">
        <f>'Res-Capacity-Base'!G96*(1+0.01*'7thPlanAssumptions'!$B$3)^($C$53-G$53)</f>
        <v>2868378.3766567875</v>
      </c>
      <c r="H61" s="286">
        <f>'Res-Capacity-Base'!H96*(1+0.01*'7thPlanAssumptions'!$B$3)^($C$53-H$53)+C61</f>
        <v>6996453.3335795291</v>
      </c>
      <c r="I61" s="286">
        <f>'Res-Capacity-Base'!I96*(1+0.01*'7thPlanAssumptions'!$B$3)^($C$53-I$53)+D61</f>
        <v>9207076.9257620312</v>
      </c>
      <c r="J61" s="286">
        <f>'Res-Capacity-Base'!J96*(1+0.01*'7thPlanAssumptions'!$B$3)^($C$53-J$53)+E61</f>
        <v>7133948.0146439308</v>
      </c>
      <c r="K61" s="286">
        <f>'Res-Capacity-Base'!K96*(1+0.01*'7thPlanAssumptions'!$B$3)^($C$53-K$53)+F61</f>
        <v>5121474.868796506</v>
      </c>
      <c r="L61" s="286">
        <f>'Res-Capacity-Base'!L96*(1+0.01*'7thPlanAssumptions'!$B$3)^($C$53-L$53)+G61</f>
        <v>3175464.6603421494</v>
      </c>
      <c r="M61" s="286">
        <f>'Res-Capacity-Base'!M96*(1+0.01*'7thPlanAssumptions'!$B$3)^($C$53-M$53)+H61</f>
        <v>7288408.1650348324</v>
      </c>
      <c r="N61" s="286">
        <f>'Res-Capacity-Base'!N96*(1+0.01*'7thPlanAssumptions'!$B$3)^($C$53-N$53)+I61</f>
        <v>9482996.1892214064</v>
      </c>
      <c r="O61" s="286">
        <f>'Res-Capacity-Base'!O96*(1+0.01*'7thPlanAssumptions'!$B$3)^($C$53-O$53)+J61</f>
        <v>7393529.7382870652</v>
      </c>
      <c r="P61" s="286">
        <f>'Res-Capacity-Base'!P96*(1+0.01*'7thPlanAssumptions'!$B$3)^($C$53-P$53)+K61</f>
        <v>5366848.6178185325</v>
      </c>
      <c r="Q61" s="286">
        <f>'Res-Capacity-Base'!Q96*(1+0.01*'7thPlanAssumptions'!$B$3)^($C$53-Q$53)+L61</f>
        <v>3409287.0097461152</v>
      </c>
      <c r="R61" s="286">
        <f>'Res-Capacity-Base'!R96*(1+0.01*'7thPlanAssumptions'!$B$3)^($C$53-R$53)+M61</f>
        <v>7515716.7800306389</v>
      </c>
      <c r="S61" s="286">
        <f>'Res-Capacity-Base'!S96*(1+0.01*'7thPlanAssumptions'!$B$3)^($C$53-S$53)+N61</f>
        <v>9703972.5269539747</v>
      </c>
      <c r="T61" s="286">
        <f>'Res-Capacity-Base'!T96*(1+0.01*'7thPlanAssumptions'!$B$3)^($C$53-T$53)+O61</f>
        <v>7608350.2009369098</v>
      </c>
      <c r="U61" s="286">
        <f>'Res-Capacity-Base'!U96*(1+0.01*'7thPlanAssumptions'!$B$3)^($C$53-U$53)+P61</f>
        <v>5575684.6934210984</v>
      </c>
      <c r="V61" s="286">
        <f>'Res-Capacity-Base'!V96*(1+0.01*'7thPlanAssumptions'!$B$3)^($C$53-V$53)+Q61</f>
        <v>3612305.409088111</v>
      </c>
      <c r="W61" s="286"/>
    </row>
    <row r="62" spans="1:23" s="76" customFormat="1" ht="12.75">
      <c r="A62" s="166" t="s">
        <v>215</v>
      </c>
      <c r="B62" s="337">
        <f>(1-'7thPlanAssumptions'!$B$4*0.01)^($C$53-'7thPlanAssumptions'!$B$8)*SUM(C62:W62)/(NPV('7thPlanAssumptions'!$B$3*0.01,'Res-Capacity-Base'!D85:W85)+'Res-Capacity-Base'!C85)/1000</f>
        <v>54.474461168331693</v>
      </c>
      <c r="C62" s="286">
        <f>'Res-Capacity-Base'!C97*(1+0.01*'7thPlanAssumptions'!$B$3)^($C$53-C$53)</f>
        <v>4286498.6808567001</v>
      </c>
      <c r="D62" s="286">
        <f>'Res-Capacity-Base'!D97*(1+0.01*'7thPlanAssumptions'!$B$3)^($C$53-D$53)</f>
        <v>16796598.766314231</v>
      </c>
      <c r="E62" s="286">
        <f>'Res-Capacity-Base'!E97*(1+0.01*'7thPlanAssumptions'!$B$3)^($C$53-E$53)</f>
        <v>16623586.311987977</v>
      </c>
      <c r="F62" s="286">
        <f>'Res-Capacity-Base'!F97*(1+0.01*'7thPlanAssumptions'!$B$3)^($C$53-F$53)</f>
        <v>16435045.82750733</v>
      </c>
      <c r="G62" s="286">
        <f>'Res-Capacity-Base'!G97*(1+0.01*'7thPlanAssumptions'!$B$3)^($C$53-G$53)</f>
        <v>16233860.083559414</v>
      </c>
      <c r="H62" s="286">
        <f>'Res-Capacity-Base'!H97*(1+0.01*'7thPlanAssumptions'!$B$3)^($C$53-H$53)+C62</f>
        <v>16507107.021037631</v>
      </c>
      <c r="I62" s="286">
        <f>'Res-Capacity-Base'!I97*(1+0.01*'7thPlanAssumptions'!$B$3)^($C$53-I$53)+D62</f>
        <v>17771972.904939748</v>
      </c>
      <c r="J62" s="286">
        <f>'Res-Capacity-Base'!J97*(1+0.01*'7thPlanAssumptions'!$B$3)^($C$53-J$53)+E62</f>
        <v>17556415.725747414</v>
      </c>
      <c r="K62" s="286">
        <f>'Res-Capacity-Base'!K97*(1+0.01*'7thPlanAssumptions'!$B$3)^($C$53-K$53)+F62</f>
        <v>17323419.162863679</v>
      </c>
      <c r="L62" s="286">
        <f>'Res-Capacity-Base'!L97*(1+0.01*'7thPlanAssumptions'!$B$3)^($C$53-L$53)+G62</f>
        <v>17083813.028655723</v>
      </c>
      <c r="M62" s="286">
        <f>'Res-Capacity-Base'!M97*(1+0.01*'7thPlanAssumptions'!$B$3)^($C$53-M$53)+H62</f>
        <v>17315179.155854207</v>
      </c>
      <c r="N62" s="286">
        <f>'Res-Capacity-Base'!N97*(1+0.01*'7thPlanAssumptions'!$B$3)^($C$53-N$53)+I62</f>
        <v>18535661.819246247</v>
      </c>
      <c r="O62" s="286">
        <f>'Res-Capacity-Base'!O97*(1+0.01*'7thPlanAssumptions'!$B$3)^($C$53-O$53)+J62</f>
        <v>18274885.622402638</v>
      </c>
      <c r="P62" s="286">
        <f>'Res-Capacity-Base'!P97*(1+0.01*'7thPlanAssumptions'!$B$3)^($C$53-P$53)+K62</f>
        <v>18002564.24914917</v>
      </c>
      <c r="Q62" s="286">
        <f>'Res-Capacity-Base'!Q97*(1+0.01*'7thPlanAssumptions'!$B$3)^($C$53-Q$53)+L62</f>
        <v>17730986.168791335</v>
      </c>
      <c r="R62" s="286">
        <f>'Res-Capacity-Base'!R97*(1+0.01*'7thPlanAssumptions'!$B$3)^($C$53-R$53)+M62</f>
        <v>17944323.591883123</v>
      </c>
      <c r="S62" s="286">
        <f>'Res-Capacity-Base'!S97*(1+0.01*'7thPlanAssumptions'!$B$3)^($C$53-S$53)+N62</f>
        <v>19147279.787975926</v>
      </c>
      <c r="T62" s="286">
        <f>'Res-Capacity-Base'!T97*(1+0.01*'7thPlanAssumptions'!$B$3)^($C$53-T$53)+O62</f>
        <v>18869465.369517826</v>
      </c>
      <c r="U62" s="286">
        <f>'Res-Capacity-Base'!U97*(1+0.01*'7thPlanAssumptions'!$B$3)^($C$53-U$53)+P62</f>
        <v>18580580.418971378</v>
      </c>
      <c r="V62" s="286">
        <f>'Res-Capacity-Base'!V97*(1+0.01*'7thPlanAssumptions'!$B$3)^($C$53-V$53)+Q62</f>
        <v>18292900.183180422</v>
      </c>
      <c r="W62" s="286"/>
    </row>
    <row r="63" spans="1:23" s="76" customFormat="1" ht="12.75">
      <c r="B63" s="76" t="s">
        <v>331</v>
      </c>
      <c r="C63" s="489" t="s">
        <v>438</v>
      </c>
      <c r="D63" s="463"/>
      <c r="E63" s="463"/>
      <c r="F63" s="463"/>
      <c r="G63" s="463"/>
      <c r="H63" s="463"/>
      <c r="I63" s="463"/>
      <c r="J63" s="463"/>
      <c r="K63" s="463"/>
      <c r="L63" s="463"/>
      <c r="M63" s="463"/>
      <c r="N63" s="463"/>
      <c r="O63" s="463"/>
      <c r="P63" s="463"/>
      <c r="Q63" s="463"/>
      <c r="R63" s="463"/>
      <c r="S63" s="463"/>
      <c r="T63" s="463"/>
      <c r="U63" s="463"/>
      <c r="V63" s="463"/>
      <c r="W63" s="463"/>
    </row>
    <row r="64" spans="1:23" s="76" customFormat="1" ht="12.75">
      <c r="A64" s="124" t="s">
        <v>285</v>
      </c>
      <c r="B64" s="329">
        <f>B54+B59</f>
        <v>47.063324955098665</v>
      </c>
      <c r="C64" s="315">
        <f>'Res-Capacity-Base'!C82*1000</f>
        <v>7833.5136711562491</v>
      </c>
      <c r="D64" s="315">
        <f>'Res-Capacity-Base'!D82*1000</f>
        <v>35781.186509578118</v>
      </c>
      <c r="E64" s="315">
        <f>'Res-Capacity-Base'!E82*1000</f>
        <v>58092.152562674986</v>
      </c>
      <c r="F64" s="315">
        <f>'Res-Capacity-Base'!F82*1000</f>
        <v>74480.18388122812</v>
      </c>
      <c r="G64" s="315">
        <f>'Res-Capacity-Base'!G82*1000</f>
        <v>84663.973599974997</v>
      </c>
      <c r="H64" s="315">
        <f>'Res-Capacity-Base'!H82*1000</f>
        <v>100966.86680849997</v>
      </c>
      <c r="I64" s="315">
        <f>'Res-Capacity-Base'!I82*1000</f>
        <v>102320.11181699997</v>
      </c>
      <c r="J64" s="315">
        <f>'Res-Capacity-Base'!J82*1000</f>
        <v>103666.09851674999</v>
      </c>
      <c r="K64" s="315">
        <f>'Res-Capacity-Base'!K82*1000</f>
        <v>104999.21282812498</v>
      </c>
      <c r="L64" s="315">
        <f>'Res-Capacity-Base'!L82*1000</f>
        <v>106325.69097149998</v>
      </c>
      <c r="M64" s="315">
        <f>'Res-Capacity-Base'!M82*1000</f>
        <v>107637.25254974994</v>
      </c>
      <c r="N64" s="315">
        <f>'Res-Capacity-Base'!N82*1000</f>
        <v>108926.35780949998</v>
      </c>
      <c r="O64" s="315">
        <f>'Res-Capacity-Base'!O82*1000</f>
        <v>110187.64448999996</v>
      </c>
      <c r="P64" s="315">
        <f>'Res-Capacity-Base'!P82*1000</f>
        <v>111427.58581762497</v>
      </c>
      <c r="Q64" s="315">
        <f>'Res-Capacity-Base'!Q82*1000</f>
        <v>112656.41748899998</v>
      </c>
      <c r="R64" s="315">
        <f>'Res-Capacity-Base'!R82*1000</f>
        <v>113898.80080708343</v>
      </c>
      <c r="S64" s="315">
        <f>'Res-Capacity-Base'!S82*1000</f>
        <v>115154.88522043916</v>
      </c>
      <c r="T64" s="315">
        <f>'Res-Capacity-Base'!T82*1000</f>
        <v>116424.82182576087</v>
      </c>
      <c r="U64" s="315">
        <f>'Res-Capacity-Base'!U82*1000</f>
        <v>117708.76338604781</v>
      </c>
      <c r="V64" s="315">
        <f>'Res-Capacity-Base'!V82*1000</f>
        <v>119006.86434898083</v>
      </c>
      <c r="W64" s="315"/>
    </row>
    <row r="65" spans="1:23" s="76" customFormat="1" ht="12.75">
      <c r="A65" s="85" t="s">
        <v>286</v>
      </c>
      <c r="B65" s="329">
        <f>B55+B60</f>
        <v>61.154496295103471</v>
      </c>
      <c r="C65" s="315">
        <f>'Res-Capacity-Base'!C83*1000</f>
        <v>352.50811520203126</v>
      </c>
      <c r="D65" s="315">
        <f>'Res-Capacity-Base'!D83*1000</f>
        <v>1610.1533929310153</v>
      </c>
      <c r="E65" s="315">
        <f>'Res-Capacity-Base'!E83*1000</f>
        <v>2614.1468653203756</v>
      </c>
      <c r="F65" s="315">
        <f>'Res-Capacity-Base'!F83*1000</f>
        <v>3351.6082746552661</v>
      </c>
      <c r="G65" s="315">
        <f>'Res-Capacity-Base'!G83*1000</f>
        <v>3809.8788119988753</v>
      </c>
      <c r="H65" s="315">
        <f>'Res-Capacity-Base'!H83*1000</f>
        <v>4543.5090063824991</v>
      </c>
      <c r="I65" s="315">
        <f>'Res-Capacity-Base'!I83*1000</f>
        <v>4604.405031764999</v>
      </c>
      <c r="J65" s="315">
        <f>'Res-Capacity-Base'!J83*1000</f>
        <v>4664.9744332537493</v>
      </c>
      <c r="K65" s="315">
        <f>'Res-Capacity-Base'!K83*1000</f>
        <v>4724.9645772656258</v>
      </c>
      <c r="L65" s="315">
        <f>'Res-Capacity-Base'!L83*1000</f>
        <v>4784.6560937174991</v>
      </c>
      <c r="M65" s="315">
        <f>'Res-Capacity-Base'!M83*1000</f>
        <v>4843.6763647387488</v>
      </c>
      <c r="N65" s="315">
        <f>'Res-Capacity-Base'!N83*1000</f>
        <v>4901.6861014274991</v>
      </c>
      <c r="O65" s="315">
        <f>'Res-Capacity-Base'!O83*1000</f>
        <v>4958.4440020500006</v>
      </c>
      <c r="P65" s="315">
        <f>'Res-Capacity-Base'!P83*1000</f>
        <v>5014.2413617931243</v>
      </c>
      <c r="Q65" s="315">
        <f>'Res-Capacity-Base'!Q83*1000</f>
        <v>5069.5387870049999</v>
      </c>
      <c r="R65" s="315">
        <f>'Res-Capacity-Base'!R83*1000</f>
        <v>5125.4460363187554</v>
      </c>
      <c r="S65" s="315">
        <f>'Res-Capacity-Base'!S83*1000</f>
        <v>5181.9698349197624</v>
      </c>
      <c r="T65" s="315">
        <f>'Res-Capacity-Base'!T83*1000</f>
        <v>5239.1169821592393</v>
      </c>
      <c r="U65" s="315">
        <f>'Res-Capacity-Base'!U83*1000</f>
        <v>5296.8943523721509</v>
      </c>
      <c r="V65" s="315">
        <f>'Res-Capacity-Base'!V83*1000</f>
        <v>5355.3088957041382</v>
      </c>
      <c r="W65" s="315"/>
    </row>
    <row r="66" spans="1:23" s="76" customFormat="1" ht="12.75">
      <c r="A66" s="85" t="s">
        <v>239</v>
      </c>
      <c r="B66" s="329">
        <f>B56+B61</f>
        <v>27.888866341245944</v>
      </c>
      <c r="C66" s="315">
        <f>'Res-Capacity-Base'!C84*1000</f>
        <v>21419.064523704379</v>
      </c>
      <c r="D66" s="315">
        <f>'Res-Capacity-Base'!D84*1000</f>
        <v>97835.987113332187</v>
      </c>
      <c r="E66" s="315">
        <f>'Res-Capacity-Base'!E84*1000</f>
        <v>158840.54286422854</v>
      </c>
      <c r="F66" s="315">
        <f>'Res-Capacity-Base'!F84*1000</f>
        <v>203650.10278381524</v>
      </c>
      <c r="G66" s="315">
        <f>'Res-Capacity-Base'!G84*1000</f>
        <v>231495.49352907453</v>
      </c>
      <c r="H66" s="315">
        <f>'Res-Capacity-Base'!H84*1000</f>
        <v>276072.26153066993</v>
      </c>
      <c r="I66" s="315">
        <f>'Res-Capacity-Base'!I84*1000</f>
        <v>279772.42002533993</v>
      </c>
      <c r="J66" s="315">
        <f>'Res-Capacity-Base'!J84*1000</f>
        <v>283452.73223008501</v>
      </c>
      <c r="K66" s="315">
        <f>'Res-Capacity-Base'!K84*1000</f>
        <v>287097.84764718753</v>
      </c>
      <c r="L66" s="315">
        <f>'Res-Capacity-Base'!L84*1000</f>
        <v>290724.81788492994</v>
      </c>
      <c r="M66" s="315">
        <f>'Res-Capacity-Base'!M84*1000</f>
        <v>294311.00197174505</v>
      </c>
      <c r="N66" s="315">
        <f>'Res-Capacity-Base'!N84*1000</f>
        <v>297835.78406769002</v>
      </c>
      <c r="O66" s="315">
        <f>'Res-Capacity-Base'!O84*1000</f>
        <v>301284.50221979996</v>
      </c>
      <c r="P66" s="315">
        <f>'Res-Capacity-Base'!P84*1000</f>
        <v>304674.85607847752</v>
      </c>
      <c r="Q66" s="315">
        <f>'Res-Capacity-Base'!Q84*1000</f>
        <v>308034.83296278003</v>
      </c>
      <c r="R66" s="315">
        <f>'Res-Capacity-Base'!R84*1000</f>
        <v>311431.8639210824</v>
      </c>
      <c r="S66" s="315">
        <f>'Res-Capacity-Base'!S84*1000</f>
        <v>314866.35758845799</v>
      </c>
      <c r="T66" s="315">
        <f>'Res-Capacity-Base'!T84*1000</f>
        <v>318338.72710643767</v>
      </c>
      <c r="U66" s="315">
        <f>'Res-Capacity-Base'!U84*1000</f>
        <v>321849.39017270796</v>
      </c>
      <c r="V66" s="315">
        <f>'Res-Capacity-Base'!V84*1000</f>
        <v>325398.7690913562</v>
      </c>
      <c r="W66" s="315"/>
    </row>
    <row r="67" spans="1:23" s="76" customFormat="1" ht="12.75">
      <c r="A67" s="166" t="s">
        <v>215</v>
      </c>
      <c r="B67" s="329">
        <f>B57+B62</f>
        <v>48.858484036950806</v>
      </c>
      <c r="C67" s="315">
        <f>'Res-Capacity-Base'!C85*1000</f>
        <v>22197.939597293625</v>
      </c>
      <c r="D67" s="315">
        <f>'Res-Capacity-Base'!D85*1000</f>
        <v>112659.62152444311</v>
      </c>
      <c r="E67" s="315">
        <f>'Res-Capacity-Base'!E85*1000</f>
        <v>205770.70325593234</v>
      </c>
      <c r="F67" s="315">
        <f>'Res-Capacity-Base'!F85*1000</f>
        <v>301507.9443812329</v>
      </c>
      <c r="G67" s="315">
        <f>'Res-Capacity-Base'!G85*1000</f>
        <v>399855.8524593105</v>
      </c>
      <c r="H67" s="315">
        <f>'Res-Capacity-Base'!H85*1000</f>
        <v>476852.0880984299</v>
      </c>
      <c r="I67" s="315">
        <f>'Res-Capacity-Base'!I85*1000</f>
        <v>483243.27095285995</v>
      </c>
      <c r="J67" s="315">
        <f>'Res-Capacity-Base'!J85*1000</f>
        <v>489600.17385196482</v>
      </c>
      <c r="K67" s="315">
        <f>'Res-Capacity-Base'!K85*1000</f>
        <v>495896.28229968739</v>
      </c>
      <c r="L67" s="315">
        <f>'Res-Capacity-Base'!L85*1000</f>
        <v>502161.04907396995</v>
      </c>
      <c r="M67" s="315">
        <f>'Res-Capacity-Base'!M85*1000</f>
        <v>508355.36704210495</v>
      </c>
      <c r="N67" s="315">
        <f>'Res-Capacity-Base'!N85*1000</f>
        <v>514443.62702600996</v>
      </c>
      <c r="O67" s="315">
        <f>'Res-Capacity-Base'!O85*1000</f>
        <v>520400.50383419998</v>
      </c>
      <c r="P67" s="315">
        <f>'Res-Capacity-Base'!P85*1000</f>
        <v>526256.56959009741</v>
      </c>
      <c r="Q67" s="315">
        <f>'Res-Capacity-Base'!Q85*1000</f>
        <v>532060.16602661996</v>
      </c>
      <c r="R67" s="315">
        <f>'Res-Capacity-Base'!R85*1000</f>
        <v>537927.76495459676</v>
      </c>
      <c r="S67" s="315">
        <f>'Res-Capacity-Base'!S85*1000</f>
        <v>543860.07219824544</v>
      </c>
      <c r="T67" s="315">
        <f>'Res-Capacity-Base'!T85*1000</f>
        <v>549857.80136566493</v>
      </c>
      <c r="U67" s="315">
        <f>'Res-Capacity-Base'!U85*1000</f>
        <v>555921.67393467715</v>
      </c>
      <c r="V67" s="315">
        <f>'Res-Capacity-Base'!V85*1000</f>
        <v>562052.41933961527</v>
      </c>
      <c r="W67" s="315"/>
    </row>
    <row r="68" spans="1:23" s="76" customFormat="1" ht="12.75">
      <c r="A68" s="110"/>
      <c r="B68" s="338"/>
      <c r="C68" s="315"/>
      <c r="D68" s="315"/>
      <c r="E68" s="315"/>
      <c r="F68" s="315"/>
      <c r="G68" s="315"/>
      <c r="H68" s="315"/>
      <c r="I68" s="315"/>
      <c r="J68" s="315"/>
      <c r="K68" s="315"/>
      <c r="L68" s="315"/>
      <c r="M68" s="315"/>
      <c r="N68" s="315"/>
      <c r="O68" s="315"/>
      <c r="P68" s="315"/>
      <c r="Q68" s="315"/>
      <c r="R68" s="315"/>
      <c r="S68" s="315"/>
      <c r="T68" s="315"/>
      <c r="U68" s="315"/>
      <c r="V68" s="315"/>
      <c r="W68" s="315"/>
    </row>
    <row r="69" spans="1:23">
      <c r="A69" s="287" t="s">
        <v>422</v>
      </c>
    </row>
    <row r="70" spans="1:23" s="70" customFormat="1">
      <c r="A70" s="478" t="s">
        <v>214</v>
      </c>
      <c r="B70" s="478" t="s">
        <v>418</v>
      </c>
      <c r="C70" s="463" t="s">
        <v>417</v>
      </c>
      <c r="D70" s="463"/>
      <c r="E70" s="463"/>
      <c r="F70" s="463"/>
      <c r="G70" s="463"/>
      <c r="H70" s="463"/>
      <c r="I70" s="463"/>
      <c r="J70" s="463"/>
      <c r="K70" s="463"/>
      <c r="L70" s="463"/>
      <c r="M70" s="463"/>
      <c r="N70" s="463"/>
      <c r="O70" s="463"/>
      <c r="P70" s="463"/>
      <c r="Q70" s="463"/>
      <c r="R70" s="463"/>
      <c r="S70" s="463"/>
      <c r="T70" s="463"/>
      <c r="U70" s="463"/>
      <c r="V70" s="463"/>
      <c r="W70" s="463"/>
    </row>
    <row r="71" spans="1:23" s="76" customFormat="1" ht="12.75">
      <c r="A71" s="479"/>
      <c r="B71" s="479"/>
      <c r="C71" s="276">
        <v>2016</v>
      </c>
      <c r="D71" s="276">
        <v>2017</v>
      </c>
      <c r="E71" s="276">
        <v>2018</v>
      </c>
      <c r="F71" s="276">
        <v>2019</v>
      </c>
      <c r="G71" s="276">
        <v>2020</v>
      </c>
      <c r="H71" s="276">
        <v>2021</v>
      </c>
      <c r="I71" s="276">
        <v>2022</v>
      </c>
      <c r="J71" s="276">
        <v>2023</v>
      </c>
      <c r="K71" s="276">
        <v>2024</v>
      </c>
      <c r="L71" s="276">
        <v>2025</v>
      </c>
      <c r="M71" s="276">
        <v>2026</v>
      </c>
      <c r="N71" s="276">
        <v>2027</v>
      </c>
      <c r="O71" s="276">
        <v>2028</v>
      </c>
      <c r="P71" s="276">
        <v>2029</v>
      </c>
      <c r="Q71" s="276">
        <v>2030</v>
      </c>
      <c r="R71" s="276">
        <v>2031</v>
      </c>
      <c r="S71" s="276">
        <v>2032</v>
      </c>
      <c r="T71" s="276">
        <v>2033</v>
      </c>
      <c r="U71" s="276">
        <v>2034</v>
      </c>
      <c r="V71" s="276">
        <v>2035</v>
      </c>
      <c r="W71" s="276"/>
    </row>
    <row r="72" spans="1:23" s="76" customFormat="1" ht="12.75">
      <c r="A72" s="107" t="s">
        <v>305</v>
      </c>
      <c r="B72" s="337">
        <f>(1-'7thPlanAssumptions'!$B$4*0.01)^($C$71-'7thPlanAssumptions'!$B$8)*SUM(C72:W72)/(NPV('7thPlanAssumptions'!$B$3*0.01,'Com-Capacity-Base'!D56:W56)+'Com-Capacity-Base'!C56)/1000</f>
        <v>-12.801495436350617</v>
      </c>
      <c r="C72" s="286">
        <f>('Com-Capacity-Base'!C76)*(1+0.01*'7thPlanAssumptions'!$B$3)^('7thPlanAssumptions'!$B$8-C$71)</f>
        <v>-18526.991979457278</v>
      </c>
      <c r="D72" s="286">
        <f>('Com-Capacity-Base'!D76)*(1+0.01*'7thPlanAssumptions'!$B$3)^('7thPlanAssumptions'!$B$8-D$71)</f>
        <v>-81127.697092349597</v>
      </c>
      <c r="E72" s="286">
        <f>('Com-Capacity-Base'!E76)*(1+0.01*'7thPlanAssumptions'!$B$3)^('7thPlanAssumptions'!$B$8-E$71)</f>
        <v>-126470.12838785484</v>
      </c>
      <c r="F72" s="286">
        <f>('Com-Capacity-Base'!F76)*(1+0.01*'7thPlanAssumptions'!$B$3)^('7thPlanAssumptions'!$B$8-F$71)</f>
        <v>-155692.74238885051</v>
      </c>
      <c r="G72" s="286">
        <f>('Com-Capacity-Base'!G76)*(1+0.01*'7thPlanAssumptions'!$B$3)^('7thPlanAssumptions'!$B$8-G$71)</f>
        <v>-170059.78686028335</v>
      </c>
      <c r="H72" s="286">
        <f>('Com-Capacity-Base'!H76)*(1+0.01*'7thPlanAssumptions'!$B$3)^('7thPlanAssumptions'!$B$8-H$71)</f>
        <v>-194830.74198170597</v>
      </c>
      <c r="I72" s="286">
        <f>('Com-Capacity-Base'!I76)*(1+0.01*'7thPlanAssumptions'!$B$3)^('7thPlanAssumptions'!$B$8-I$71)</f>
        <v>-189657.16851750208</v>
      </c>
      <c r="J72" s="286">
        <f>('Com-Capacity-Base'!J76)*(1+0.01*'7thPlanAssumptions'!$B$3)^('7thPlanAssumptions'!$B$8-J$71)</f>
        <v>-184563.54782862589</v>
      </c>
      <c r="K72" s="286">
        <f>('Com-Capacity-Base'!K76)*(1+0.01*'7thPlanAssumptions'!$B$3)^('7thPlanAssumptions'!$B$8-K$71)</f>
        <v>-179573.88066882134</v>
      </c>
      <c r="L72" s="286">
        <f>('Com-Capacity-Base'!L76)*(1+0.01*'7thPlanAssumptions'!$B$3)^('7thPlanAssumptions'!$B$8-L$71)</f>
        <v>-174683.41000877801</v>
      </c>
      <c r="M72" s="286">
        <f>('Com-Capacity-Base'!M76)*(1+0.01*'7thPlanAssumptions'!$B$3)^('7thPlanAssumptions'!$B$8-M$71)</f>
        <v>-169821.21961998663</v>
      </c>
      <c r="N72" s="286">
        <f>('Com-Capacity-Base'!N76)*(1+0.01*'7thPlanAssumptions'!$B$3)^('7thPlanAssumptions'!$B$8-N$71)</f>
        <v>-165137.01335732773</v>
      </c>
      <c r="O72" s="286">
        <f>('Com-Capacity-Base'!O76)*(1+0.01*'7thPlanAssumptions'!$B$3)^('7thPlanAssumptions'!$B$8-O$71)</f>
        <v>-160634.52135543432</v>
      </c>
      <c r="P72" s="286">
        <f>('Com-Capacity-Base'!P76)*(1+0.01*'7thPlanAssumptions'!$B$3)^('7thPlanAssumptions'!$B$8-P$71)</f>
        <v>-156244.32011325494</v>
      </c>
      <c r="Q72" s="286">
        <f>('Com-Capacity-Base'!Q76)*(1+0.01*'7thPlanAssumptions'!$B$3)^('7thPlanAssumptions'!$B$8-Q$71)</f>
        <v>-151915.26394002436</v>
      </c>
      <c r="R72" s="286">
        <f>('Com-Capacity-Base'!R76)*(1+0.01*'7thPlanAssumptions'!$B$3)^('7thPlanAssumptions'!$B$8-R$71)</f>
        <v>-147706.15278199437</v>
      </c>
      <c r="S72" s="286">
        <f>('Com-Capacity-Base'!S76)*(1+0.01*'7thPlanAssumptions'!$B$3)^('7thPlanAssumptions'!$B$8-S$71)</f>
        <v>-143613.66332662394</v>
      </c>
      <c r="T72" s="286">
        <f>('Com-Capacity-Base'!T76)*(1+0.01*'7thPlanAssumptions'!$B$3)^('7thPlanAssumptions'!$B$8-T$71)</f>
        <v>-139634.56434028174</v>
      </c>
      <c r="U72" s="286">
        <f>('Com-Capacity-Base'!U76)*(1+0.01*'7thPlanAssumptions'!$B$3)^('7thPlanAssumptions'!$B$8-U$71)</f>
        <v>-135765.71411701935</v>
      </c>
      <c r="V72" s="286">
        <f>('Com-Capacity-Base'!V76)*(1+0.01*'7thPlanAssumptions'!$B$3)^('7thPlanAssumptions'!$B$8-V$71)</f>
        <v>-132004.05799803013</v>
      </c>
      <c r="W72" s="286"/>
    </row>
    <row r="73" spans="1:23" s="76" customFormat="1" ht="12.75">
      <c r="A73" s="91" t="s">
        <v>306</v>
      </c>
      <c r="B73" s="337">
        <f>(1-'7thPlanAssumptions'!$B$4*0.01)^($C$71-'7thPlanAssumptions'!$B$8)*SUM(C73:W73)/(NPV('7thPlanAssumptions'!$B$3*0.01,'Com-Capacity-Base'!D57:W57)+'Com-Capacity-Base'!C57)/1000</f>
        <v>-12.801495436350617</v>
      </c>
      <c r="C73" s="286">
        <f>('Com-Capacity-Base'!C77)*(1+0.01*'7thPlanAssumptions'!$B$3)^('7thPlanAssumptions'!$B$8-C$71)</f>
        <v>-49625.871373546281</v>
      </c>
      <c r="D73" s="286">
        <f>('Com-Capacity-Base'!D77)*(1+0.01*'7thPlanAssumptions'!$B$3)^('7thPlanAssumptions'!$B$8-D$71)</f>
        <v>-217306.331497365</v>
      </c>
      <c r="E73" s="286">
        <f>('Com-Capacity-Base'!E77)*(1+0.01*'7thPlanAssumptions'!$B$3)^('7thPlanAssumptions'!$B$8-E$71)</f>
        <v>-338759.27246746834</v>
      </c>
      <c r="F73" s="286">
        <f>('Com-Capacity-Base'!F77)*(1+0.01*'7thPlanAssumptions'!$B$3)^('7thPlanAssumptions'!$B$8-F$71)</f>
        <v>-417034.1313987067</v>
      </c>
      <c r="G73" s="286">
        <f>('Com-Capacity-Base'!G77)*(1+0.01*'7thPlanAssumptions'!$B$3)^('7thPlanAssumptions'!$B$8-G$71)</f>
        <v>-455517.28623290168</v>
      </c>
      <c r="H73" s="286">
        <f>('Com-Capacity-Base'!H77)*(1+0.01*'7thPlanAssumptions'!$B$3)^('7thPlanAssumptions'!$B$8-H$71)</f>
        <v>-521868.05887956958</v>
      </c>
      <c r="I73" s="286">
        <f>('Com-Capacity-Base'!I77)*(1+0.01*'7thPlanAssumptions'!$B$3)^('7thPlanAssumptions'!$B$8-I$71)</f>
        <v>-508010.27281473769</v>
      </c>
      <c r="J73" s="286">
        <f>('Com-Capacity-Base'!J77)*(1+0.01*'7thPlanAssumptions'!$B$3)^('7thPlanAssumptions'!$B$8-J$71)</f>
        <v>-494366.64596953365</v>
      </c>
      <c r="K73" s="286">
        <f>('Com-Capacity-Base'!K77)*(1+0.01*'7thPlanAssumptions'!$B$3)^('7thPlanAssumptions'!$B$8-K$71)</f>
        <v>-481001.46607720008</v>
      </c>
      <c r="L73" s="286">
        <f>('Com-Capacity-Base'!L77)*(1+0.01*'7thPlanAssumptions'!$B$3)^('7thPlanAssumptions'!$B$8-L$71)</f>
        <v>-467901.99109494116</v>
      </c>
      <c r="M73" s="286">
        <f>('Com-Capacity-Base'!M77)*(1+0.01*'7thPlanAssumptions'!$B$3)^('7thPlanAssumptions'!$B$8-M$71)</f>
        <v>-454878.26683924993</v>
      </c>
      <c r="N73" s="286">
        <f>('Com-Capacity-Base'!N77)*(1+0.01*'7thPlanAssumptions'!$B$3)^('7thPlanAssumptions'!$B$8-N$71)</f>
        <v>-442331.28577855643</v>
      </c>
      <c r="O73" s="286">
        <f>('Com-Capacity-Base'!O77)*(1+0.01*'7thPlanAssumptions'!$B$3)^('7thPlanAssumptions'!$B$8-O$71)</f>
        <v>-430271.03934491327</v>
      </c>
      <c r="P73" s="286">
        <f>('Com-Capacity-Base'!P77)*(1+0.01*'7thPlanAssumptions'!$B$3)^('7thPlanAssumptions'!$B$8-P$71)</f>
        <v>-418511.57173193287</v>
      </c>
      <c r="Q73" s="286">
        <f>('Com-Capacity-Base'!Q77)*(1+0.01*'7thPlanAssumptions'!$B$3)^('7thPlanAssumptions'!$B$8-Q$71)</f>
        <v>-406915.8855536367</v>
      </c>
      <c r="R73" s="286">
        <f>('Com-Capacity-Base'!R77)*(1+0.01*'7thPlanAssumptions'!$B$3)^('7thPlanAssumptions'!$B$8-R$71)</f>
        <v>-395641.48066605639</v>
      </c>
      <c r="S73" s="286">
        <f>('Com-Capacity-Base'!S77)*(1+0.01*'7thPlanAssumptions'!$B$3)^('7thPlanAssumptions'!$B$8-S$71)</f>
        <v>-384679.45533917123</v>
      </c>
      <c r="T73" s="286">
        <f>('Com-Capacity-Base'!T77)*(1+0.01*'7thPlanAssumptions'!$B$3)^('7thPlanAssumptions'!$B$8-T$71)</f>
        <v>-374021.15448289749</v>
      </c>
      <c r="U73" s="286">
        <f>('Com-Capacity-Base'!U77)*(1+0.01*'7thPlanAssumptions'!$B$3)^('7thPlanAssumptions'!$B$8-U$71)</f>
        <v>-363658.16281344462</v>
      </c>
      <c r="V73" s="286">
        <f>('Com-Capacity-Base'!V77)*(1+0.01*'7thPlanAssumptions'!$B$3)^('7thPlanAssumptions'!$B$8-V$71)</f>
        <v>-353582.29820900923</v>
      </c>
      <c r="W73" s="286"/>
    </row>
    <row r="74" spans="1:23" s="76" customFormat="1" ht="12.75">
      <c r="B74" s="339"/>
      <c r="C74" s="463" t="s">
        <v>420</v>
      </c>
      <c r="D74" s="463"/>
      <c r="E74" s="463"/>
      <c r="F74" s="463"/>
      <c r="G74" s="463"/>
      <c r="H74" s="463"/>
      <c r="I74" s="463"/>
      <c r="J74" s="463"/>
      <c r="K74" s="463"/>
      <c r="L74" s="463"/>
      <c r="M74" s="463"/>
      <c r="N74" s="463"/>
      <c r="O74" s="463"/>
      <c r="P74" s="463"/>
      <c r="Q74" s="463"/>
      <c r="R74" s="463"/>
      <c r="S74" s="463"/>
      <c r="T74" s="463"/>
      <c r="U74" s="463"/>
      <c r="V74" s="463"/>
      <c r="W74" s="463"/>
    </row>
    <row r="75" spans="1:23" s="76" customFormat="1" ht="12.75">
      <c r="A75" s="107" t="s">
        <v>305</v>
      </c>
      <c r="B75" s="337">
        <f>(1-'7thPlanAssumptions'!$B$4*0.01)^($C$71-'7thPlanAssumptions'!$B$8)*SUM(C75:W75)/(NPV('7thPlanAssumptions'!$B$3*0.01,'Com-Capacity-Base'!D56:W56)+'Com-Capacity-Base'!C56)/1000</f>
        <v>23.94843724411232</v>
      </c>
      <c r="C75" s="314">
        <f>'Com-Capacity-Base'!C66*(1+0.01*'7thPlanAssumptions'!$B$3)^('7thPlanAssumptions'!$B$8-C$71)</f>
        <v>116664.32919395092</v>
      </c>
      <c r="D75" s="314">
        <f>'Com-Capacity-Base'!D66*(1+0.01*'7thPlanAssumptions'!$B$3)^('7thPlanAssumptions'!$B$8-D$71)</f>
        <v>398683.25899827242</v>
      </c>
      <c r="E75" s="314">
        <f>'Com-Capacity-Base'!E66*(1+0.01*'7thPlanAssumptions'!$B$3)^('7thPlanAssumptions'!$B$8-E$71)</f>
        <v>305169.42966294667</v>
      </c>
      <c r="F75" s="314">
        <f>'Com-Capacity-Base'!F66*(1+0.01*'7thPlanAssumptions'!$B$3)^('7thPlanAssumptions'!$B$8-F$71)</f>
        <v>214644.63632056344</v>
      </c>
      <c r="G75" s="314">
        <f>'Com-Capacity-Base'!G66*(1+0.01*'7thPlanAssumptions'!$B$3)^('7thPlanAssumptions'!$B$8-G$71)</f>
        <v>128176.71055989372</v>
      </c>
      <c r="H75" s="314">
        <f>'Com-Capacity-Base'!H66*(1+0.01*'7thPlanAssumptions'!$B$3)^('7thPlanAssumptions'!$B$8-H$71)+C75</f>
        <v>313833.97039246629</v>
      </c>
      <c r="I75" s="314">
        <f>'Com-Capacity-Base'!I66*(1+0.01*'7thPlanAssumptions'!$B$3)^('7thPlanAssumptions'!$B$8-I$71)+D75</f>
        <v>413291.75646115257</v>
      </c>
      <c r="J75" s="314">
        <f>'Com-Capacity-Base'!J66*(1+0.01*'7thPlanAssumptions'!$B$3)^('7thPlanAssumptions'!$B$8-J$71)+E75</f>
        <v>319028.39095072239</v>
      </c>
      <c r="K75" s="314">
        <f>'Com-Capacity-Base'!K66*(1+0.01*'7thPlanAssumptions'!$B$3)^('7thPlanAssumptions'!$B$8-K$71)+F75</f>
        <v>227924.5579231462</v>
      </c>
      <c r="L75" s="314">
        <f>'Com-Capacity-Base'!L66*(1+0.01*'7thPlanAssumptions'!$B$3)^('7thPlanAssumptions'!$B$8-L$71)+G75</f>
        <v>140872.81421451908</v>
      </c>
      <c r="M75" s="314">
        <f>'Com-Capacity-Base'!M66*(1+0.01*'7thPlanAssumptions'!$B$3)^('7thPlanAssumptions'!$B$8-M$71)+H75</f>
        <v>325523.7217419222</v>
      </c>
      <c r="N75" s="314">
        <f>'Com-Capacity-Base'!N66*(1+0.01*'7thPlanAssumptions'!$B$3)^('7thPlanAssumptions'!$B$8-N$71)+I75</f>
        <v>424924.6888100077</v>
      </c>
      <c r="O75" s="314">
        <f>'Com-Capacity-Base'!O66*(1+0.01*'7thPlanAssumptions'!$B$3)^('7thPlanAssumptions'!$B$8-O$71)+J75</f>
        <v>330671.09926348506</v>
      </c>
      <c r="P75" s="314">
        <f>'Com-Capacity-Base'!P66*(1+0.01*'7thPlanAssumptions'!$B$3)^('7thPlanAssumptions'!$B$8-P$71)+K75</f>
        <v>239183.89267928273</v>
      </c>
      <c r="Q75" s="314">
        <f>'Com-Capacity-Base'!Q66*(1+0.01*'7thPlanAssumptions'!$B$3)^('7thPlanAssumptions'!$B$8-Q$71)+L75</f>
        <v>151453.90730959037</v>
      </c>
      <c r="R75" s="314">
        <f>'Com-Capacity-Base'!R66*(1+0.01*'7thPlanAssumptions'!$B$3)^('7thPlanAssumptions'!$B$8-R$71)+M75</f>
        <v>335811.6448430405</v>
      </c>
      <c r="S75" s="314">
        <f>'Com-Capacity-Base'!S66*(1+0.01*'7thPlanAssumptions'!$B$3)^('7thPlanAssumptions'!$B$8-S$71)+N75</f>
        <v>434927.56476843124</v>
      </c>
      <c r="T75" s="314">
        <f>'Com-Capacity-Base'!T66*(1+0.01*'7thPlanAssumptions'!$B$3)^('7thPlanAssumptions'!$B$8-T$71)+O75</f>
        <v>340396.82587090181</v>
      </c>
      <c r="U75" s="314">
        <f>'Com-Capacity-Base'!U66*(1+0.01*'7thPlanAssumptions'!$B$3)^('7thPlanAssumptions'!$B$8-U$71)+P75</f>
        <v>248640.14890352992</v>
      </c>
      <c r="V75" s="314">
        <f>'Com-Capacity-Base'!V66*(1+0.01*'7thPlanAssumptions'!$B$3)^('7thPlanAssumptions'!$B$8-V$71)+Q75</f>
        <v>160648.15935759892</v>
      </c>
      <c r="W75" s="314"/>
    </row>
    <row r="76" spans="1:23" s="76" customFormat="1" ht="12.75">
      <c r="A76" s="82" t="s">
        <v>306</v>
      </c>
      <c r="B76" s="337">
        <f>(1-'7thPlanAssumptions'!$B$4*0.01)^($C$71-'7thPlanAssumptions'!$B$8)*SUM(C76:W76)/(NPV('7thPlanAssumptions'!$B$3*0.01,'Com-Capacity-Base'!D57:W57)+'Com-Capacity-Base'!C57)/1000</f>
        <v>16.680503553113059</v>
      </c>
      <c r="C76" s="314">
        <f>'Com-Capacity-Base'!C67*(1+0.01*'7thPlanAssumptions'!$B$3)^('7thPlanAssumptions'!$B$8-C$71)</f>
        <v>217657.33058572933</v>
      </c>
      <c r="D76" s="314">
        <f>'Com-Capacity-Base'!D67*(1+0.01*'7thPlanAssumptions'!$B$3)^('7thPlanAssumptions'!$B$8-D$71)</f>
        <v>743812.05036991113</v>
      </c>
      <c r="E76" s="314">
        <f>'Com-Capacity-Base'!E67*(1+0.01*'7thPlanAssumptions'!$B$3)^('7thPlanAssumptions'!$B$8-E$71)</f>
        <v>569345.95086370653</v>
      </c>
      <c r="F76" s="314">
        <f>'Com-Capacity-Base'!F67*(1+0.01*'7thPlanAssumptions'!$B$3)^('7thPlanAssumptions'!$B$8-F$71)</f>
        <v>400456.41104582726</v>
      </c>
      <c r="G76" s="314">
        <f>'Com-Capacity-Base'!G67*(1+0.01*'7thPlanAssumptions'!$B$3)^('7thPlanAssumptions'!$B$8-G$71)</f>
        <v>239135.65402965245</v>
      </c>
      <c r="H76" s="314">
        <f>'Com-Capacity-Base'!H67*(1+0.01*'7thPlanAssumptions'!$B$3)^('7thPlanAssumptions'!$B$8-H$71)+C76</f>
        <v>585511.13879191468</v>
      </c>
      <c r="I76" s="314">
        <f>'Com-Capacity-Base'!I67*(1+0.01*'7thPlanAssumptions'!$B$3)^('7thPlanAssumptions'!$B$8-I$71)+D76</f>
        <v>771066.70981558308</v>
      </c>
      <c r="J76" s="314">
        <f>'Com-Capacity-Base'!J67*(1+0.01*'7thPlanAssumptions'!$B$3)^('7thPlanAssumptions'!$B$8-J$71)+E76</f>
        <v>595202.22192298959</v>
      </c>
      <c r="K76" s="314">
        <f>'Com-Capacity-Base'!K67*(1+0.01*'7thPlanAssumptions'!$B$3)^('7thPlanAssumptions'!$B$8-K$71)+F76</f>
        <v>425232.38418497425</v>
      </c>
      <c r="L76" s="314">
        <f>'Com-Capacity-Base'!L67*(1+0.01*'7thPlanAssumptions'!$B$3)^('7thPlanAssumptions'!$B$8-L$71)+G76</f>
        <v>262822.41457932664</v>
      </c>
      <c r="M76" s="314">
        <f>'Com-Capacity-Base'!M67*(1+0.01*'7thPlanAssumptions'!$B$3)^('7thPlanAssumptions'!$B$8-M$71)+H76</f>
        <v>607320.37638418318</v>
      </c>
      <c r="N76" s="314">
        <f>'Com-Capacity-Base'!N67*(1+0.01*'7thPlanAssumptions'!$B$3)^('7thPlanAssumptions'!$B$8-N$71)+I76</f>
        <v>792769.94180971582</v>
      </c>
      <c r="O76" s="314">
        <f>'Com-Capacity-Base'!O67*(1+0.01*'7thPlanAssumptions'!$B$3)^('7thPlanAssumptions'!$B$8-O$71)+J76</f>
        <v>616923.69265575579</v>
      </c>
      <c r="P76" s="314">
        <f>'Com-Capacity-Base'!P67*(1+0.01*'7thPlanAssumptions'!$B$3)^('7thPlanAssumptions'!$B$8-P$71)+K76</f>
        <v>446238.60574493045</v>
      </c>
      <c r="Q76" s="314">
        <f>'Com-Capacity-Base'!Q67*(1+0.01*'7thPlanAssumptions'!$B$3)^('7thPlanAssumptions'!$B$8-Q$71)+L76</f>
        <v>282563.25990595215</v>
      </c>
      <c r="R76" s="314">
        <f>'Com-Capacity-Base'!R67*(1+0.01*'7thPlanAssumptions'!$B$3)^('7thPlanAssumptions'!$B$8-R$71)+M76</f>
        <v>626514.2627668666</v>
      </c>
      <c r="S76" s="314">
        <f>'Com-Capacity-Base'!S67*(1+0.01*'7thPlanAssumptions'!$B$3)^('7thPlanAssumptions'!$B$8-S$71)+N76</f>
        <v>811432.02382170002</v>
      </c>
      <c r="T76" s="314">
        <f>'Com-Capacity-Base'!T67*(1+0.01*'7thPlanAssumptions'!$B$3)^('7thPlanAssumptions'!$B$8-T$71)+O76</f>
        <v>635068.70498302591</v>
      </c>
      <c r="U76" s="314">
        <f>'Com-Capacity-Base'!U67*(1+0.01*'7thPlanAssumptions'!$B$3)^('7thPlanAssumptions'!$B$8-U$71)+P76</f>
        <v>463880.87482001848</v>
      </c>
      <c r="V76" s="314">
        <f>'Com-Capacity-Base'!V67*(1+0.01*'7thPlanAssumptions'!$B$3)^('7thPlanAssumptions'!$B$8-V$71)+Q76</f>
        <v>299716.71521940088</v>
      </c>
      <c r="W76" s="314"/>
    </row>
    <row r="77" spans="1:23" s="76" customFormat="1" ht="12.75">
      <c r="A77" s="317"/>
      <c r="B77" s="339" t="s">
        <v>331</v>
      </c>
      <c r="C77" s="489" t="s">
        <v>438</v>
      </c>
      <c r="D77" s="463"/>
      <c r="E77" s="463"/>
      <c r="F77" s="463"/>
      <c r="G77" s="463"/>
      <c r="H77" s="463"/>
      <c r="I77" s="463"/>
      <c r="J77" s="463"/>
      <c r="K77" s="463"/>
      <c r="L77" s="463"/>
      <c r="M77" s="463"/>
      <c r="N77" s="463"/>
      <c r="O77" s="463"/>
      <c r="P77" s="463"/>
      <c r="Q77" s="463"/>
      <c r="R77" s="463"/>
      <c r="S77" s="463"/>
      <c r="T77" s="463"/>
      <c r="U77" s="463"/>
      <c r="V77" s="463"/>
      <c r="W77" s="463"/>
    </row>
    <row r="78" spans="1:23" s="76" customFormat="1" ht="12.75">
      <c r="A78" s="316" t="s">
        <v>305</v>
      </c>
      <c r="B78" s="329">
        <f>B72+B75</f>
        <v>11.146941807761703</v>
      </c>
      <c r="C78" s="315">
        <f>'Com-Capacity-Base'!C56*1000</f>
        <v>1354.6225098887153</v>
      </c>
      <c r="D78" s="315">
        <f>'Com-Capacity-Base'!D56*1000</f>
        <v>6169.0155082772008</v>
      </c>
      <c r="E78" s="315">
        <f>'Com-Capacity-Base'!E56*1000</f>
        <v>10001.566170048978</v>
      </c>
      <c r="F78" s="315">
        <f>'Com-Capacity-Base'!F56*1000</f>
        <v>12805.06421911671</v>
      </c>
      <c r="G78" s="315">
        <f>'Com-Capacity-Base'!G56*1000</f>
        <v>14546.160063468829</v>
      </c>
      <c r="H78" s="315">
        <f>'Com-Capacity-Base'!H56*1000</f>
        <v>17331.556030337793</v>
      </c>
      <c r="I78" s="315">
        <f>'Com-Capacity-Base'!I56*1000</f>
        <v>17546.183736989242</v>
      </c>
      <c r="J78" s="315">
        <f>'Com-Capacity-Base'!J56*1000</f>
        <v>17757.943897042504</v>
      </c>
      <c r="K78" s="315">
        <f>'Com-Capacity-Base'!K56*1000</f>
        <v>17968.973035250699</v>
      </c>
      <c r="L78" s="315">
        <f>'Com-Capacity-Base'!L56*1000</f>
        <v>18178.794885765921</v>
      </c>
      <c r="M78" s="315">
        <f>'Com-Capacity-Base'!M56*1000</f>
        <v>18379.712894944634</v>
      </c>
      <c r="N78" s="315">
        <f>'Com-Capacity-Base'!N56*1000</f>
        <v>18587.651982793021</v>
      </c>
      <c r="O78" s="315">
        <f>'Com-Capacity-Base'!O56*1000</f>
        <v>18804.090369693306</v>
      </c>
      <c r="P78" s="315">
        <f>'Com-Capacity-Base'!P56*1000</f>
        <v>19021.774286028973</v>
      </c>
      <c r="Q78" s="315">
        <f>'Com-Capacity-Base'!Q56*1000</f>
        <v>19234.528164236894</v>
      </c>
      <c r="R78" s="315">
        <f>'Com-Capacity-Base'!R56*1000</f>
        <v>19449.661642371288</v>
      </c>
      <c r="S78" s="315">
        <f>'Com-Capacity-Base'!S56*1000</f>
        <v>19667.20133567349</v>
      </c>
      <c r="T78" s="315">
        <f>'Com-Capacity-Base'!T56*1000</f>
        <v>19887.174157069745</v>
      </c>
      <c r="U78" s="315">
        <f>'Com-Capacity-Base'!U56*1000</f>
        <v>20109.607320500803</v>
      </c>
      <c r="V78" s="315">
        <f>'Com-Capacity-Base'!V56*1000</f>
        <v>20334.528344288647</v>
      </c>
      <c r="W78" s="315"/>
    </row>
    <row r="79" spans="1:23" s="76" customFormat="1" ht="12.75">
      <c r="A79" s="91" t="s">
        <v>306</v>
      </c>
      <c r="B79" s="329">
        <f>B73+B76</f>
        <v>3.8790081167624422</v>
      </c>
      <c r="C79" s="315">
        <f>'Com-Capacity-Base'!C57*1000</f>
        <v>3628.4531514876303</v>
      </c>
      <c r="D79" s="315">
        <f>'Com-Capacity-Base'!D57*1000</f>
        <v>16524.148682885359</v>
      </c>
      <c r="E79" s="315">
        <f>'Com-Capacity-Base'!E57*1000</f>
        <v>26789.909384059763</v>
      </c>
      <c r="F79" s="315">
        <f>'Com-Capacity-Base'!F57*1000</f>
        <v>34299.279158348327</v>
      </c>
      <c r="G79" s="315">
        <f>'Com-Capacity-Base'!G57*1000</f>
        <v>38962.928741434356</v>
      </c>
      <c r="H79" s="315">
        <f>'Com-Capacity-Base'!H57*1000</f>
        <v>46423.810795547659</v>
      </c>
      <c r="I79" s="315">
        <f>'Com-Capacity-Base'!I57*1000</f>
        <v>46998.706438364039</v>
      </c>
      <c r="J79" s="315">
        <f>'Com-Capacity-Base'!J57*1000</f>
        <v>47565.921152792427</v>
      </c>
      <c r="K79" s="315">
        <f>'Com-Capacity-Base'!K57*1000</f>
        <v>48131.177772992945</v>
      </c>
      <c r="L79" s="315">
        <f>'Com-Capacity-Base'!L57*1000</f>
        <v>48693.200586873005</v>
      </c>
      <c r="M79" s="315">
        <f>'Com-Capacity-Base'!M57*1000</f>
        <v>49231.373825744558</v>
      </c>
      <c r="N79" s="315">
        <f>'Com-Capacity-Base'!N57*1000</f>
        <v>49788.353525338454</v>
      </c>
      <c r="O79" s="315">
        <f>'Com-Capacity-Base'!O57*1000</f>
        <v>50368.099204535632</v>
      </c>
      <c r="P79" s="315">
        <f>'Com-Capacity-Base'!P57*1000</f>
        <v>50951.181123291892</v>
      </c>
      <c r="Q79" s="315">
        <f>'Com-Capacity-Base'!Q57*1000</f>
        <v>51521.057582777394</v>
      </c>
      <c r="R79" s="315">
        <f>'Com-Capacity-Base'!R57*1000</f>
        <v>52097.307970637383</v>
      </c>
      <c r="S79" s="315">
        <f>'Com-Capacity-Base'!S57*1000</f>
        <v>52680.003577696843</v>
      </c>
      <c r="T79" s="315">
        <f>'Com-Capacity-Base'!T57*1000</f>
        <v>53269.216492151099</v>
      </c>
      <c r="U79" s="315">
        <f>'Com-Capacity-Base'!U57*1000</f>
        <v>53865.01960848429</v>
      </c>
      <c r="V79" s="315">
        <f>'Com-Capacity-Base'!V57*1000</f>
        <v>54467.48663648744</v>
      </c>
      <c r="W79" s="315"/>
    </row>
    <row r="81" spans="1:23">
      <c r="A81" s="287" t="s">
        <v>423</v>
      </c>
    </row>
    <row r="82" spans="1:23" s="70" customFormat="1">
      <c r="A82" s="478" t="s">
        <v>214</v>
      </c>
      <c r="B82" s="478" t="s">
        <v>418</v>
      </c>
      <c r="C82" s="463" t="s">
        <v>417</v>
      </c>
      <c r="D82" s="463"/>
      <c r="E82" s="463"/>
      <c r="F82" s="463"/>
      <c r="G82" s="463"/>
      <c r="H82" s="463"/>
      <c r="I82" s="463"/>
      <c r="J82" s="463"/>
      <c r="K82" s="463"/>
      <c r="L82" s="463"/>
      <c r="M82" s="463"/>
      <c r="N82" s="463"/>
      <c r="O82" s="463"/>
      <c r="P82" s="463"/>
      <c r="Q82" s="463"/>
      <c r="R82" s="463"/>
      <c r="S82" s="463"/>
      <c r="T82" s="463"/>
      <c r="U82" s="463"/>
      <c r="V82" s="463"/>
      <c r="W82" s="463"/>
    </row>
    <row r="83" spans="1:23" s="76" customFormat="1" ht="12.75">
      <c r="A83" s="479"/>
      <c r="B83" s="479"/>
      <c r="C83" s="313">
        <f>'Ag-Ind-Capacity-Base'!C5</f>
        <v>2016</v>
      </c>
      <c r="D83" s="327">
        <f>'Ag-Ind-Capacity-Base'!D5</f>
        <v>2017</v>
      </c>
      <c r="E83" s="327">
        <f>'Ag-Ind-Capacity-Base'!E5</f>
        <v>2018</v>
      </c>
      <c r="F83" s="327">
        <f>'Ag-Ind-Capacity-Base'!F5</f>
        <v>2019</v>
      </c>
      <c r="G83" s="327">
        <f>'Ag-Ind-Capacity-Base'!G5</f>
        <v>2020</v>
      </c>
      <c r="H83" s="327">
        <f>'Ag-Ind-Capacity-Base'!H5</f>
        <v>2021</v>
      </c>
      <c r="I83" s="327">
        <f>'Ag-Ind-Capacity-Base'!I5</f>
        <v>2022</v>
      </c>
      <c r="J83" s="327">
        <f>'Ag-Ind-Capacity-Base'!J5</f>
        <v>2023</v>
      </c>
      <c r="K83" s="327">
        <f>'Ag-Ind-Capacity-Base'!K5</f>
        <v>2024</v>
      </c>
      <c r="L83" s="327">
        <f>'Ag-Ind-Capacity-Base'!L5</f>
        <v>2025</v>
      </c>
      <c r="M83" s="327">
        <f>'Ag-Ind-Capacity-Base'!M5</f>
        <v>2026</v>
      </c>
      <c r="N83" s="327">
        <f>'Ag-Ind-Capacity-Base'!N5</f>
        <v>2027</v>
      </c>
      <c r="O83" s="327">
        <f>'Ag-Ind-Capacity-Base'!O5</f>
        <v>2028</v>
      </c>
      <c r="P83" s="327">
        <f>'Ag-Ind-Capacity-Base'!P5</f>
        <v>2029</v>
      </c>
      <c r="Q83" s="327">
        <f>'Ag-Ind-Capacity-Base'!Q5</f>
        <v>2030</v>
      </c>
      <c r="R83" s="327">
        <f>'Ag-Ind-Capacity-Base'!R5</f>
        <v>2031</v>
      </c>
      <c r="S83" s="327">
        <f>'Ag-Ind-Capacity-Base'!S5</f>
        <v>2032</v>
      </c>
      <c r="T83" s="327">
        <f>'Ag-Ind-Capacity-Base'!T5</f>
        <v>2033</v>
      </c>
      <c r="U83" s="327">
        <f>'Ag-Ind-Capacity-Base'!U5</f>
        <v>2034</v>
      </c>
      <c r="V83" s="327">
        <f>'Ag-Ind-Capacity-Base'!V5</f>
        <v>2035</v>
      </c>
      <c r="W83" s="327"/>
    </row>
    <row r="84" spans="1:23" s="76" customFormat="1" ht="12.75">
      <c r="A84" s="107" t="s">
        <v>323</v>
      </c>
      <c r="B84" s="337">
        <f>(1-'7thPlanAssumptions'!$B$4*0.01)^($C$83-'7thPlanAssumptions'!$B$8)*SUM(C84:W84)/(NPV('7thPlanAssumptions'!$B$3*0.01,'Ag-Ind-Capacity-Base'!D58:W58)+'Ag-Ind-Capacity-Base'!C58)/1000</f>
        <v>-12.801495436350613</v>
      </c>
      <c r="C84" s="286">
        <f>('Ag-Ind-Capacity-Base'!C78)*(1+0.01*'7thPlanAssumptions'!$B$3)^('7thPlanAssumptions'!$B$8-C$83)</f>
        <v>-6227.4023008019985</v>
      </c>
      <c r="D84" s="286">
        <f>('Ag-Ind-Capacity-Base'!D78)*(1+0.01*'7thPlanAssumptions'!$B$3)^('7thPlanAssumptions'!$B$8-D$83)</f>
        <v>-30299.024621412882</v>
      </c>
      <c r="E84" s="286">
        <f>('Ag-Ind-Capacity-Base'!E78)*(1+0.01*'7thPlanAssumptions'!$B$3)^('7thPlanAssumptions'!$B$8-E$83)</f>
        <v>-53137.360977062577</v>
      </c>
      <c r="F84" s="286">
        <f>('Ag-Ind-Capacity-Base'!F78)*(1+0.01*'7thPlanAssumptions'!$B$3)^('7thPlanAssumptions'!$B$8-F$83)</f>
        <v>-74760.524169704833</v>
      </c>
      <c r="G84" s="286">
        <f>('Ag-Ind-Capacity-Base'!G78)*(1+0.01*'7thPlanAssumptions'!$B$3)^('7thPlanAssumptions'!$B$8-G$83)</f>
        <v>-95269.171698413382</v>
      </c>
      <c r="H84" s="286">
        <f>('Ag-Ind-Capacity-Base'!H78)*(1+0.01*'7thPlanAssumptions'!$B$3)^('7thPlanAssumptions'!$B$8-H$83)</f>
        <v>-109146.10533549568</v>
      </c>
      <c r="I84" s="286">
        <f>('Ag-Ind-Capacity-Base'!I78)*(1+0.01*'7thPlanAssumptions'!$B$3)^('7thPlanAssumptions'!$B$8-I$83)</f>
        <v>-106247.81839914586</v>
      </c>
      <c r="J84" s="286">
        <f>('Ag-Ind-Capacity-Base'!J78)*(1+0.01*'7thPlanAssumptions'!$B$3)^('7thPlanAssumptions'!$B$8-J$83)</f>
        <v>-103394.3217969549</v>
      </c>
      <c r="K84" s="286">
        <f>('Ag-Ind-Capacity-Base'!K78)*(1+0.01*'7thPlanAssumptions'!$B$3)^('7thPlanAssumptions'!$B$8-K$83)</f>
        <v>-100599.06098814357</v>
      </c>
      <c r="L84" s="286">
        <f>('Ag-Ind-Capacity-Base'!L78)*(1+0.01*'7thPlanAssumptions'!$B$3)^('7thPlanAssumptions'!$B$8-L$83)</f>
        <v>-97859.371037923251</v>
      </c>
      <c r="M84" s="286">
        <f>('Ag-Ind-Capacity-Base'!M78)*(1+0.01*'7thPlanAssumptions'!$B$3)^('7thPlanAssumptions'!$B$8-M$83)</f>
        <v>-95135.523974885917</v>
      </c>
      <c r="N84" s="286">
        <f>('Ag-Ind-Capacity-Base'!N78)*(1+0.01*'7thPlanAssumptions'!$B$3)^('7thPlanAssumptions'!$B$8-N$83)</f>
        <v>-92511.385376648861</v>
      </c>
      <c r="O84" s="286">
        <f>('Ag-Ind-Capacity-Base'!O78)*(1+0.01*'7thPlanAssumptions'!$B$3)^('7thPlanAssumptions'!$B$8-O$83)</f>
        <v>-89989.044901463334</v>
      </c>
      <c r="P84" s="286">
        <f>('Ag-Ind-Capacity-Base'!P78)*(1+0.01*'7thPlanAssumptions'!$B$3)^('7thPlanAssumptions'!$B$8-P$83)</f>
        <v>-87529.610818581641</v>
      </c>
      <c r="Q84" s="286">
        <f>('Ag-Ind-Capacity-Base'!Q78)*(1+0.01*'7thPlanAssumptions'!$B$3)^('7thPlanAssumptions'!$B$8-Q$83)</f>
        <v>-85104.430807045981</v>
      </c>
      <c r="R84" s="286">
        <f>('Ag-Ind-Capacity-Base'!R78)*(1+0.01*'7thPlanAssumptions'!$B$3)^('7thPlanAssumptions'!$B$8-R$83)</f>
        <v>-82746.44517731262</v>
      </c>
      <c r="S84" s="286">
        <f>('Ag-Ind-Capacity-Base'!S78)*(1+0.01*'7thPlanAssumptions'!$B$3)^('7thPlanAssumptions'!$B$8-S$83)</f>
        <v>-80453.792176883086</v>
      </c>
      <c r="T84" s="286">
        <f>('Ag-Ind-Capacity-Base'!T78)*(1+0.01*'7thPlanAssumptions'!$B$3)^('7thPlanAssumptions'!$B$8-T$83)</f>
        <v>-78224.661636773322</v>
      </c>
      <c r="U84" s="286">
        <f>('Ag-Ind-Capacity-Base'!U78)*(1+0.01*'7thPlanAssumptions'!$B$3)^('7thPlanAssumptions'!$B$8-U$83)</f>
        <v>-76057.293542291052</v>
      </c>
      <c r="V84" s="286">
        <f>('Ag-Ind-Capacity-Base'!V78)*(1+0.01*'7thPlanAssumptions'!$B$3)^('7thPlanAssumptions'!$B$8-V$83)</f>
        <v>-73949.976643412432</v>
      </c>
      <c r="W84" s="286"/>
    </row>
    <row r="85" spans="1:23" s="76" customFormat="1" ht="12.75">
      <c r="A85" s="91" t="s">
        <v>316</v>
      </c>
      <c r="B85" s="337">
        <f>(1-'7thPlanAssumptions'!$B$4*0.01)^($C$83-'7thPlanAssumptions'!$B$8)*SUM(C85:W85)/(NPV('7thPlanAssumptions'!$B$3*0.01,'Ag-Ind-Capacity-Base'!D59:W59)+'Ag-Ind-Capacity-Base'!C59)/1000</f>
        <v>-12.801495436350621</v>
      </c>
      <c r="C85" s="286">
        <f>('Ag-Ind-Capacity-Base'!C79)*(1+0.01*'7thPlanAssumptions'!$B$3)^('7thPlanAssumptions'!$B$8-C$83)</f>
        <v>-352886.13037878001</v>
      </c>
      <c r="D85" s="286">
        <f>('Ag-Ind-Capacity-Base'!D79)*(1+0.01*'7thPlanAssumptions'!$B$3)^('7thPlanAssumptions'!$B$8-D$83)</f>
        <v>-1716944.72854673</v>
      </c>
      <c r="E85" s="286">
        <f>('Ag-Ind-Capacity-Base'!E79)*(1+0.01*'7thPlanAssumptions'!$B$3)^('7thPlanAssumptions'!$B$8-E$83)</f>
        <v>-3011117.1220335462</v>
      </c>
      <c r="F85" s="286">
        <f>('Ag-Ind-Capacity-Base'!F79)*(1+0.01*'7thPlanAssumptions'!$B$3)^('7thPlanAssumptions'!$B$8-F$83)</f>
        <v>-4236429.7029499402</v>
      </c>
      <c r="G85" s="286">
        <f>('Ag-Ind-Capacity-Base'!G79)*(1+0.01*'7thPlanAssumptions'!$B$3)^('7thPlanAssumptions'!$B$8-G$83)</f>
        <v>-5398586.3962434251</v>
      </c>
      <c r="H85" s="286">
        <f>('Ag-Ind-Capacity-Base'!H79)*(1+0.01*'7thPlanAssumptions'!$B$3)^('7thPlanAssumptions'!$B$8-H$83)</f>
        <v>-6184945.9690114204</v>
      </c>
      <c r="I85" s="286">
        <f>('Ag-Ind-Capacity-Base'!I79)*(1+0.01*'7thPlanAssumptions'!$B$3)^('7thPlanAssumptions'!$B$8-I$83)</f>
        <v>-6020709.7092849324</v>
      </c>
      <c r="J85" s="286">
        <f>('Ag-Ind-Capacity-Base'!J79)*(1+0.01*'7thPlanAssumptions'!$B$3)^('7thPlanAssumptions'!$B$8-J$83)</f>
        <v>-5859011.5684941113</v>
      </c>
      <c r="K85" s="286">
        <f>('Ag-Ind-Capacity-Base'!K79)*(1+0.01*'7thPlanAssumptions'!$B$3)^('7thPlanAssumptions'!$B$8-K$83)</f>
        <v>-5700613.4559948025</v>
      </c>
      <c r="L85" s="286">
        <f>('Ag-Ind-Capacity-Base'!L79)*(1+0.01*'7thPlanAssumptions'!$B$3)^('7thPlanAssumptions'!$B$8-L$83)</f>
        <v>-5545364.3588156523</v>
      </c>
      <c r="M85" s="286">
        <f>('Ag-Ind-Capacity-Base'!M79)*(1+0.01*'7thPlanAssumptions'!$B$3)^('7thPlanAssumptions'!$B$8-M$83)</f>
        <v>-5391013.0252435347</v>
      </c>
      <c r="N85" s="286">
        <f>('Ag-Ind-Capacity-Base'!N79)*(1+0.01*'7thPlanAssumptions'!$B$3)^('7thPlanAssumptions'!$B$8-N$83)</f>
        <v>-5242311.8380101016</v>
      </c>
      <c r="O85" s="286">
        <f>('Ag-Ind-Capacity-Base'!O79)*(1+0.01*'7thPlanAssumptions'!$B$3)^('7thPlanAssumptions'!$B$8-O$83)</f>
        <v>-5099379.2110829223</v>
      </c>
      <c r="P85" s="286">
        <f>('Ag-Ind-Capacity-Base'!P79)*(1+0.01*'7thPlanAssumptions'!$B$3)^('7thPlanAssumptions'!$B$8-P$83)</f>
        <v>-4960011.2797196256</v>
      </c>
      <c r="Q85" s="286">
        <f>('Ag-Ind-Capacity-Base'!Q79)*(1+0.01*'7thPlanAssumptions'!$B$3)^('7thPlanAssumptions'!$B$8-Q$83)</f>
        <v>-4822584.4123992706</v>
      </c>
      <c r="R85" s="286">
        <f>('Ag-Ind-Capacity-Base'!R79)*(1+0.01*'7thPlanAssumptions'!$B$3)^('7thPlanAssumptions'!$B$8-R$83)</f>
        <v>-4688965.2267143829</v>
      </c>
      <c r="S85" s="286">
        <f>('Ag-Ind-Capacity-Base'!S79)*(1+0.01*'7thPlanAssumptions'!$B$3)^('7thPlanAssumptions'!$B$8-S$83)</f>
        <v>-4559048.223356708</v>
      </c>
      <c r="T85" s="286">
        <f>('Ag-Ind-Capacity-Base'!T79)*(1+0.01*'7thPlanAssumptions'!$B$3)^('7thPlanAssumptions'!$B$8-T$83)</f>
        <v>-4432730.8260838212</v>
      </c>
      <c r="U85" s="286">
        <f>('Ag-Ind-Capacity-Base'!U79)*(1+0.01*'7thPlanAssumptions'!$B$3)^('7thPlanAssumptions'!$B$8-U$83)</f>
        <v>-4309913.3007298261</v>
      </c>
      <c r="V85" s="286">
        <f>('Ag-Ind-Capacity-Base'!V79)*(1+0.01*'7thPlanAssumptions'!$B$3)^('7thPlanAssumptions'!$B$8-V$83)</f>
        <v>-4190498.6764600375</v>
      </c>
      <c r="W85" s="286"/>
    </row>
    <row r="86" spans="1:23" s="76" customFormat="1" ht="12.75">
      <c r="B86" s="339"/>
      <c r="C86" s="463" t="s">
        <v>420</v>
      </c>
      <c r="D86" s="463"/>
      <c r="E86" s="463"/>
      <c r="F86" s="463"/>
      <c r="G86" s="463"/>
      <c r="H86" s="463"/>
      <c r="I86" s="463"/>
      <c r="J86" s="463"/>
      <c r="K86" s="463"/>
      <c r="L86" s="463"/>
      <c r="M86" s="463"/>
      <c r="N86" s="463"/>
      <c r="O86" s="463"/>
      <c r="P86" s="463"/>
      <c r="Q86" s="463"/>
      <c r="R86" s="463"/>
      <c r="S86" s="463"/>
      <c r="T86" s="463"/>
      <c r="U86" s="463"/>
      <c r="V86" s="463"/>
      <c r="W86" s="463"/>
    </row>
    <row r="87" spans="1:23" s="76" customFormat="1" ht="12.75">
      <c r="A87" s="107" t="s">
        <v>323</v>
      </c>
      <c r="B87" s="337">
        <f>(1-'7thPlanAssumptions'!$B$4*0.01)^($C$83-'7thPlanAssumptions'!$B$8)*SUM(C87:W87)/(NPV('7thPlanAssumptions'!$B$3*0.01,'Ag-Ind-Capacity-Base'!D58:W58)+'Ag-Ind-Capacity-Base'!C58)/1000</f>
        <v>88.45736137846275</v>
      </c>
      <c r="C87" s="314">
        <f>'Ag-Ind-Capacity-Base'!C68*('7thPlanAssumptions'!$B$10)^('7thPlanAssumptions'!$B$8-C$83)</f>
        <v>18026.690870742626</v>
      </c>
      <c r="D87" s="314">
        <f>'Ag-Ind-Capacity-Base'!D68*('7thPlanAssumptions'!$B$10)^('7thPlanAssumptions'!$B$8-D$83)</f>
        <v>87707.702851458351</v>
      </c>
      <c r="E87" s="314">
        <f>'Ag-Ind-Capacity-Base'!E68*('7thPlanAssumptions'!$B$10)^('7thPlanAssumptions'!$B$8-E$83)</f>
        <v>153818.67651254954</v>
      </c>
      <c r="F87" s="314">
        <f>'Ag-Ind-Capacity-Base'!F68*('7thPlanAssumptions'!$B$10)^('7thPlanAssumptions'!$B$8-F$83)</f>
        <v>216412.04364914558</v>
      </c>
      <c r="G87" s="314">
        <f>'Ag-Ind-Capacity-Base'!G68*('7thPlanAssumptions'!$B$10)^('7thPlanAssumptions'!$B$8-G$83)</f>
        <v>275779.18123224931</v>
      </c>
      <c r="H87" s="314">
        <f>'Ag-Ind-Capacity-Base'!H68*('7thPlanAssumptions'!$B$10)^('7thPlanAssumptions'!$B$8-H$83)</f>
        <v>315949.25228696119</v>
      </c>
      <c r="I87" s="314">
        <f>'Ag-Ind-Capacity-Base'!I68*('7thPlanAssumptions'!$B$10)^('7thPlanAssumptions'!$B$8-I$83)+D87</f>
        <v>395267.17716477526</v>
      </c>
      <c r="J87" s="314">
        <f>'Ag-Ind-Capacity-Base'!J68*('7thPlanAssumptions'!$B$10)^('7thPlanAssumptions'!$B$8-J$83)+E87</f>
        <v>453118.02908268222</v>
      </c>
      <c r="K87" s="314">
        <f>'Ag-Ind-Capacity-Base'!K68*('7thPlanAssumptions'!$B$10)^('7thPlanAssumptions'!$B$8-K$83)+F87</f>
        <v>507619.85177271906</v>
      </c>
      <c r="L87" s="314">
        <f>'Ag-Ind-Capacity-Base'!L68*('7thPlanAssumptions'!$B$10)^('7thPlanAssumptions'!$B$8-L$83)+G87</f>
        <v>559056.30792097456</v>
      </c>
      <c r="M87" s="314">
        <f>'Ag-Ind-Capacity-Base'!M68*('7thPlanAssumptions'!$B$10)^('7thPlanAssumptions'!$B$8-M$83)+H87</f>
        <v>591341.55853005196</v>
      </c>
      <c r="N87" s="314">
        <f>'Ag-Ind-Capacity-Base'!N68*('7thPlanAssumptions'!$B$10)^('7thPlanAssumptions'!$B$8-N$83)+I87</f>
        <v>663063.29272875888</v>
      </c>
      <c r="O87" s="314">
        <f>'Ag-Ind-Capacity-Base'!O68*('7thPlanAssumptions'!$B$10)^('7thPlanAssumptions'!$B$8-O$83)+J87</f>
        <v>713612.63274481287</v>
      </c>
      <c r="P87" s="314">
        <f>'Ag-Ind-Capacity-Base'!P68*('7thPlanAssumptions'!$B$10)^('7thPlanAssumptions'!$B$8-P$83)+K87</f>
        <v>760995.04098440276</v>
      </c>
      <c r="Q87" s="314">
        <f>'Ag-Ind-Capacity-Base'!Q68*('7thPlanAssumptions'!$B$10)^('7thPlanAssumptions'!$B$8-Q$83)+L87</f>
        <v>805411.23920452874</v>
      </c>
      <c r="R87" s="314">
        <f>'Ag-Ind-Capacity-Base'!R68*('7thPlanAssumptions'!$B$10)^('7thPlanAssumptions'!$B$8-R$83)+M87</f>
        <v>830870.74193806213</v>
      </c>
      <c r="S87" s="314">
        <f>'Ag-Ind-Capacity-Base'!S68*('7thPlanAssumptions'!$B$10)^('7thPlanAssumptions'!$B$8-S$83)+N87</f>
        <v>895955.84903026256</v>
      </c>
      <c r="T87" s="314">
        <f>'Ag-Ind-Capacity-Base'!T68*('7thPlanAssumptions'!$B$10)^('7thPlanAssumptions'!$B$8-T$83)+O87</f>
        <v>940052.44274599873</v>
      </c>
      <c r="U87" s="314">
        <f>'Ag-Ind-Capacity-Base'!U68*('7thPlanAssumptions'!$B$10)^('7thPlanAssumptions'!$B$8-U$83)+P87</f>
        <v>981160.89071208739</v>
      </c>
      <c r="V87" s="314">
        <f>'Ag-Ind-Capacity-Base'!V68*('7thPlanAssumptions'!$B$10)^('7thPlanAssumptions'!$B$8-V$83)+Q87</f>
        <v>1019476.9610670385</v>
      </c>
      <c r="W87" s="314"/>
    </row>
    <row r="88" spans="1:23" s="76" customFormat="1" ht="12.75">
      <c r="A88" s="82" t="s">
        <v>316</v>
      </c>
      <c r="B88" s="337">
        <f>(1-'7thPlanAssumptions'!$B$4*0.01)^($C$83-'7thPlanAssumptions'!$B$8)*SUM(C88:W88)/(NPV('7thPlanAssumptions'!$B$3*0.01,'Ag-Ind-Capacity-Base'!D59:W59)+'Ag-Ind-Capacity-Base'!C59)/1000</f>
        <v>0</v>
      </c>
      <c r="C88" s="314">
        <f>'Ag-Ind-Capacity-Base'!C69*('7thPlanAssumptions'!$B$10)^('7thPlanAssumptions'!$B$8-C$83)</f>
        <v>0</v>
      </c>
      <c r="D88" s="314">
        <f>'Ag-Ind-Capacity-Base'!D69*('7thPlanAssumptions'!$B$10)^('7thPlanAssumptions'!$B$8-D$83)</f>
        <v>0</v>
      </c>
      <c r="E88" s="314">
        <f>'Ag-Ind-Capacity-Base'!E69*('7thPlanAssumptions'!$B$10)^('7thPlanAssumptions'!$B$8-E$83)</f>
        <v>0</v>
      </c>
      <c r="F88" s="314">
        <f>'Ag-Ind-Capacity-Base'!F69*('7thPlanAssumptions'!$B$10)^('7thPlanAssumptions'!$B$8-F$83)</f>
        <v>0</v>
      </c>
      <c r="G88" s="314">
        <f>'Ag-Ind-Capacity-Base'!G69*('7thPlanAssumptions'!$B$10)^('7thPlanAssumptions'!$B$8-G$83)</f>
        <v>0</v>
      </c>
      <c r="H88" s="314">
        <f>'Ag-Ind-Capacity-Base'!H69*('7thPlanAssumptions'!$B$10)^('7thPlanAssumptions'!$B$8-H$83)+C88</f>
        <v>0</v>
      </c>
      <c r="I88" s="314">
        <f>'Ag-Ind-Capacity-Base'!I69*('7thPlanAssumptions'!$B$10)^('7thPlanAssumptions'!$B$8-I$83)+D88</f>
        <v>0</v>
      </c>
      <c r="J88" s="314">
        <f>'Ag-Ind-Capacity-Base'!J69*('7thPlanAssumptions'!$B$10)^('7thPlanAssumptions'!$B$8-J$83)+E88</f>
        <v>0</v>
      </c>
      <c r="K88" s="314">
        <f>'Ag-Ind-Capacity-Base'!K69*('7thPlanAssumptions'!$B$10)^('7thPlanAssumptions'!$B$8-K$83)+F88</f>
        <v>0</v>
      </c>
      <c r="L88" s="314">
        <f>'Ag-Ind-Capacity-Base'!L69*('7thPlanAssumptions'!$B$10)^('7thPlanAssumptions'!$B$8-L$83)+G88</f>
        <v>0</v>
      </c>
      <c r="M88" s="314">
        <f>'Ag-Ind-Capacity-Base'!M69*('7thPlanAssumptions'!$B$10)^('7thPlanAssumptions'!$B$8-M$83)+H88</f>
        <v>0</v>
      </c>
      <c r="N88" s="314">
        <f>'Ag-Ind-Capacity-Base'!N69*('7thPlanAssumptions'!$B$10)^('7thPlanAssumptions'!$B$8-N$83)+I88</f>
        <v>0</v>
      </c>
      <c r="O88" s="314">
        <f>'Ag-Ind-Capacity-Base'!O69*('7thPlanAssumptions'!$B$10)^('7thPlanAssumptions'!$B$8-O$83)+J88</f>
        <v>0</v>
      </c>
      <c r="P88" s="314">
        <f>'Ag-Ind-Capacity-Base'!P69*('7thPlanAssumptions'!$B$10)^('7thPlanAssumptions'!$B$8-P$83)+K88</f>
        <v>0</v>
      </c>
      <c r="Q88" s="314">
        <f>'Ag-Ind-Capacity-Base'!Q69*('7thPlanAssumptions'!$B$10)^('7thPlanAssumptions'!$B$8-Q$83)+L88</f>
        <v>0</v>
      </c>
      <c r="R88" s="314">
        <f>'Ag-Ind-Capacity-Base'!R69*('7thPlanAssumptions'!$B$10)^('7thPlanAssumptions'!$B$8-R$83)+M88</f>
        <v>0</v>
      </c>
      <c r="S88" s="314">
        <f>'Ag-Ind-Capacity-Base'!S69*('7thPlanAssumptions'!$B$10)^('7thPlanAssumptions'!$B$8-S$83)+N88</f>
        <v>0</v>
      </c>
      <c r="T88" s="314">
        <f>'Ag-Ind-Capacity-Base'!T69*('7thPlanAssumptions'!$B$10)^('7thPlanAssumptions'!$B$8-T$83)+O88</f>
        <v>0</v>
      </c>
      <c r="U88" s="314">
        <f>'Ag-Ind-Capacity-Base'!U69*('7thPlanAssumptions'!$B$10)^('7thPlanAssumptions'!$B$8-U$83)+P88</f>
        <v>0</v>
      </c>
      <c r="V88" s="314">
        <f>'Ag-Ind-Capacity-Base'!V69*('7thPlanAssumptions'!$B$10)^('7thPlanAssumptions'!$B$8-V$83)+Q88</f>
        <v>0</v>
      </c>
      <c r="W88" s="314"/>
    </row>
    <row r="89" spans="1:23" s="76" customFormat="1" ht="12.75">
      <c r="A89" s="317"/>
      <c r="B89" s="339" t="s">
        <v>331</v>
      </c>
      <c r="C89" s="489" t="s">
        <v>438</v>
      </c>
      <c r="D89" s="463"/>
      <c r="E89" s="463"/>
      <c r="F89" s="463"/>
      <c r="G89" s="463"/>
      <c r="H89" s="463"/>
      <c r="I89" s="463"/>
      <c r="J89" s="463"/>
      <c r="K89" s="463"/>
      <c r="L89" s="463"/>
      <c r="M89" s="463"/>
      <c r="N89" s="463"/>
      <c r="O89" s="463"/>
      <c r="P89" s="463"/>
      <c r="Q89" s="463"/>
      <c r="R89" s="463"/>
      <c r="S89" s="463"/>
      <c r="T89" s="463"/>
      <c r="U89" s="463"/>
      <c r="V89" s="463"/>
      <c r="W89" s="463"/>
    </row>
    <row r="90" spans="1:23" s="76" customFormat="1" ht="12.75">
      <c r="A90" s="316" t="s">
        <v>323</v>
      </c>
      <c r="B90" s="340">
        <f>B84+B87</f>
        <v>75.655865942112143</v>
      </c>
      <c r="C90" s="315">
        <f>'Ag-Ind-Capacity-Base'!C58*1000</f>
        <v>455.32374300980712</v>
      </c>
      <c r="D90" s="315">
        <f>'Ag-Ind-Capacity-Base'!D58*1000</f>
        <v>2303.9622653456909</v>
      </c>
      <c r="E90" s="315">
        <f>'Ag-Ind-Capacity-Base'!E58*1000</f>
        <v>4202.2320898102807</v>
      </c>
      <c r="F90" s="315">
        <f>'Ag-Ind-Capacity-Base'!F58*1000</f>
        <v>6148.7343492027321</v>
      </c>
      <c r="G90" s="315">
        <f>'Ag-Ind-Capacity-Base'!G58*1000</f>
        <v>8148.9024902621632</v>
      </c>
      <c r="H90" s="315">
        <f>'Ag-Ind-Capacity-Base'!H58*1000</f>
        <v>9709.3088127381689</v>
      </c>
      <c r="I90" s="315">
        <f>'Ag-Ind-Capacity-Base'!I58*1000</f>
        <v>9829.5453731486141</v>
      </c>
      <c r="J90" s="315">
        <f>'Ag-Ind-Capacity-Base'!J58*1000</f>
        <v>9948.1755056417951</v>
      </c>
      <c r="K90" s="315">
        <f>'Ag-Ind-Capacity-Base'!K58*1000</f>
        <v>10066.396112479564</v>
      </c>
      <c r="L90" s="315">
        <f>'Ag-Ind-Capacity-Base'!L58*1000</f>
        <v>10183.940384831474</v>
      </c>
      <c r="M90" s="315">
        <f>'Ag-Ind-Capacity-Base'!M58*1000</f>
        <v>10296.496637353868</v>
      </c>
      <c r="N90" s="315">
        <f>'Ag-Ind-Capacity-Base'!N58*1000</f>
        <v>10412.986167470208</v>
      </c>
      <c r="O90" s="315">
        <f>'Ag-Ind-Capacity-Base'!O58*1000</f>
        <v>10534.237088833948</v>
      </c>
      <c r="P90" s="315">
        <f>'Ag-Ind-Capacity-Base'!P58*1000</f>
        <v>10656.185768085228</v>
      </c>
      <c r="Q90" s="315">
        <f>'Ag-Ind-Capacity-Base'!Q58*1000</f>
        <v>10775.372591300211</v>
      </c>
      <c r="R90" s="315">
        <f>'Ag-Ind-Capacity-Base'!R58*1000</f>
        <v>10895.892489889176</v>
      </c>
      <c r="S90" s="315">
        <f>'Ag-Ind-Capacity-Base'!S58*1000</f>
        <v>11017.760373973109</v>
      </c>
      <c r="T90" s="315">
        <f>'Ag-Ind-Capacity-Base'!T58*1000</f>
        <v>11140.991320439025</v>
      </c>
      <c r="U90" s="315">
        <f>'Ag-Ind-Capacity-Base'!U58*1000</f>
        <v>11265.600574805223</v>
      </c>
      <c r="V90" s="315">
        <f>'Ag-Ind-Capacity-Base'!V58*1000</f>
        <v>11391.603553107387</v>
      </c>
      <c r="W90" s="315"/>
    </row>
    <row r="91" spans="1:23" s="76" customFormat="1" ht="12.75">
      <c r="A91" s="91" t="s">
        <v>316</v>
      </c>
      <c r="B91" s="329">
        <f>B85+B88</f>
        <v>-12.801495436350621</v>
      </c>
      <c r="C91" s="315">
        <f>'Ag-Ind-Capacity-Base'!C59*1000</f>
        <v>25801.678770555744</v>
      </c>
      <c r="D91" s="315">
        <f>'Ag-Ind-Capacity-Base'!D59*1000</f>
        <v>130557.86170292248</v>
      </c>
      <c r="E91" s="315">
        <f>'Ag-Ind-Capacity-Base'!E59*1000</f>
        <v>238126.48508924924</v>
      </c>
      <c r="F91" s="315">
        <f>'Ag-Ind-Capacity-Base'!F59*1000</f>
        <v>348428.27978815482</v>
      </c>
      <c r="G91" s="315">
        <f>'Ag-Ind-Capacity-Base'!G59*1000</f>
        <v>461771.14111485594</v>
      </c>
      <c r="H91" s="315">
        <f>'Ag-Ind-Capacity-Base'!H59*1000</f>
        <v>550194.16605516279</v>
      </c>
      <c r="I91" s="315">
        <f>'Ag-Ind-Capacity-Base'!I59*1000</f>
        <v>557007.57114508806</v>
      </c>
      <c r="J91" s="315">
        <f>'Ag-Ind-Capacity-Base'!J59*1000</f>
        <v>563729.9453197018</v>
      </c>
      <c r="K91" s="315">
        <f>'Ag-Ind-Capacity-Base'!K59*1000</f>
        <v>570429.1130405087</v>
      </c>
      <c r="L91" s="315">
        <f>'Ag-Ind-Capacity-Base'!L59*1000</f>
        <v>577089.95514045027</v>
      </c>
      <c r="M91" s="315">
        <f>'Ag-Ind-Capacity-Base'!M59*1000</f>
        <v>583468.14278338582</v>
      </c>
      <c r="N91" s="315">
        <f>'Ag-Ind-Capacity-Base'!N59*1000</f>
        <v>590069.2161566451</v>
      </c>
      <c r="O91" s="315">
        <f>'Ag-Ind-Capacity-Base'!O59*1000</f>
        <v>596940.10170059046</v>
      </c>
      <c r="P91" s="315">
        <f>'Ag-Ind-Capacity-Base'!P59*1000</f>
        <v>603850.52685816283</v>
      </c>
      <c r="Q91" s="315">
        <f>'Ag-Ind-Capacity-Base'!Q59*1000</f>
        <v>610604.44684034504</v>
      </c>
      <c r="R91" s="315">
        <f>'Ag-Ind-Capacity-Base'!R59*1000</f>
        <v>617433.90776038682</v>
      </c>
      <c r="S91" s="315">
        <f>'Ag-Ind-Capacity-Base'!S59*1000</f>
        <v>624339.75452514284</v>
      </c>
      <c r="T91" s="315">
        <f>'Ag-Ind-Capacity-Base'!T59*1000</f>
        <v>631322.84149154474</v>
      </c>
      <c r="U91" s="315">
        <f>'Ag-Ind-Capacity-Base'!U59*1000</f>
        <v>638384.03257229598</v>
      </c>
      <c r="V91" s="315">
        <f>'Ag-Ind-Capacity-Base'!V59*1000</f>
        <v>645524.20134275185</v>
      </c>
      <c r="W91" s="315"/>
    </row>
    <row r="93" spans="1:23">
      <c r="A93" s="287" t="s">
        <v>424</v>
      </c>
    </row>
    <row r="94" spans="1:23" s="70" customFormat="1">
      <c r="A94" s="478" t="s">
        <v>214</v>
      </c>
      <c r="B94" s="478" t="s">
        <v>418</v>
      </c>
      <c r="C94" s="463" t="s">
        <v>417</v>
      </c>
      <c r="D94" s="463"/>
      <c r="E94" s="463"/>
      <c r="F94" s="463"/>
      <c r="G94" s="463"/>
      <c r="H94" s="463"/>
      <c r="I94" s="463"/>
      <c r="J94" s="463"/>
      <c r="K94" s="463"/>
      <c r="L94" s="463"/>
      <c r="M94" s="463"/>
      <c r="N94" s="463"/>
      <c r="O94" s="463"/>
      <c r="P94" s="463"/>
      <c r="Q94" s="463"/>
      <c r="R94" s="463"/>
      <c r="S94" s="463"/>
      <c r="T94" s="463"/>
      <c r="U94" s="463"/>
      <c r="V94" s="463"/>
      <c r="W94" s="463"/>
    </row>
    <row r="95" spans="1:23" s="76" customFormat="1" ht="12.75">
      <c r="A95" s="479"/>
      <c r="B95" s="479"/>
      <c r="C95" s="313">
        <f>'Res-Capacity-Smart'!C5</f>
        <v>2016</v>
      </c>
      <c r="D95" s="327">
        <f>'Res-Capacity-Smart'!D5</f>
        <v>2017</v>
      </c>
      <c r="E95" s="327">
        <f>'Res-Capacity-Smart'!E5</f>
        <v>2018</v>
      </c>
      <c r="F95" s="327">
        <f>'Res-Capacity-Smart'!F5</f>
        <v>2019</v>
      </c>
      <c r="G95" s="327">
        <f>'Res-Capacity-Smart'!G5</f>
        <v>2020</v>
      </c>
      <c r="H95" s="327">
        <f>'Res-Capacity-Smart'!H5</f>
        <v>2021</v>
      </c>
      <c r="I95" s="327">
        <f>'Res-Capacity-Smart'!I5</f>
        <v>2022</v>
      </c>
      <c r="J95" s="327">
        <f>'Res-Capacity-Smart'!J5</f>
        <v>2023</v>
      </c>
      <c r="K95" s="327">
        <f>'Res-Capacity-Smart'!K5</f>
        <v>2024</v>
      </c>
      <c r="L95" s="327">
        <f>'Res-Capacity-Smart'!L5</f>
        <v>2025</v>
      </c>
      <c r="M95" s="327">
        <f>'Res-Capacity-Smart'!M5</f>
        <v>2026</v>
      </c>
      <c r="N95" s="327">
        <f>'Res-Capacity-Smart'!N5</f>
        <v>2027</v>
      </c>
      <c r="O95" s="327">
        <f>'Res-Capacity-Smart'!O5</f>
        <v>2028</v>
      </c>
      <c r="P95" s="327">
        <f>'Res-Capacity-Smart'!P5</f>
        <v>2029</v>
      </c>
      <c r="Q95" s="327">
        <f>'Res-Capacity-Smart'!Q5</f>
        <v>2030</v>
      </c>
      <c r="R95" s="327">
        <f>'Res-Capacity-Smart'!R5</f>
        <v>2031</v>
      </c>
      <c r="S95" s="327">
        <f>'Res-Capacity-Smart'!S5</f>
        <v>2032</v>
      </c>
      <c r="T95" s="327">
        <f>'Res-Capacity-Smart'!T5</f>
        <v>2033</v>
      </c>
      <c r="U95" s="327">
        <f>'Res-Capacity-Smart'!U5</f>
        <v>2034</v>
      </c>
      <c r="V95" s="327">
        <f>'Res-Capacity-Smart'!V5</f>
        <v>2035</v>
      </c>
      <c r="W95" s="313"/>
    </row>
    <row r="96" spans="1:23" s="76" customFormat="1" ht="12.75">
      <c r="A96" s="124" t="s">
        <v>282</v>
      </c>
      <c r="B96" s="337">
        <f>(1-'7thPlanAssumptions'!$B$4*0.01)^($C$95-'7thPlanAssumptions'!$B$8)*SUM(C96:W96)/(NPV('7thPlanAssumptions'!$B$3*0.01,'Res-Capacity-Smart'!D82:W82)+'Res-Capacity-Smart'!C82)/1000</f>
        <v>-0.80009346477191345</v>
      </c>
      <c r="C96" s="286">
        <f>('Res-Capacity-Smart'!C106)*(1+0.01*'7thPlanAssumptions'!$B$3)^('7thPlanAssumptions'!$B$8-C$95)</f>
        <v>-6696.1203165930146</v>
      </c>
      <c r="D96" s="286">
        <f>('Res-Capacity-Smart'!D106)*(1+0.01*'7thPlanAssumptions'!$B$3)^('7thPlanAssumptions'!$B$8-D$95)</f>
        <v>-35944.977571841904</v>
      </c>
      <c r="E96" s="286">
        <f>('Res-Capacity-Smart'!E106)*(1+0.01*'7thPlanAssumptions'!$B$3)^('7thPlanAssumptions'!$B$8-E$95)</f>
        <v>-68866.608001820612</v>
      </c>
      <c r="F96" s="286">
        <f>('Res-Capacity-Smart'!F106)*(1+0.01*'7thPlanAssumptions'!$B$3)^('7thPlanAssumptions'!$B$8-F$95)</f>
        <v>-105112.09142926223</v>
      </c>
      <c r="G96" s="286">
        <f>('Res-Capacity-Smart'!G106)*(1+0.01*'7thPlanAssumptions'!$B$3)^('7thPlanAssumptions'!$B$8-G$95)</f>
        <v>-144347.31786077929</v>
      </c>
      <c r="H96" s="286">
        <f>('Res-Capacity-Smart'!H106)*(1+0.01*'7thPlanAssumptions'!$B$3)^('7thPlanAssumptions'!$B$8-H$95)</f>
        <v>-165521.95648941529</v>
      </c>
      <c r="I96" s="286">
        <f>('Res-Capacity-Smart'!I106)*(1+0.01*'7thPlanAssumptions'!$B$3)^('7thPlanAssumptions'!$B$8-I$95)</f>
        <v>-161288.86968556681</v>
      </c>
      <c r="J96" s="286">
        <f>('Res-Capacity-Smart'!J106)*(1+0.01*'7thPlanAssumptions'!$B$3)^('7thPlanAssumptions'!$B$8-J$95)</f>
        <v>-157125.54864075989</v>
      </c>
      <c r="K96" s="286">
        <f>('Res-Capacity-Smart'!K106)*(1+0.01*'7thPlanAssumptions'!$B$3)^('7thPlanAssumptions'!$B$8-K$95)</f>
        <v>-153025.12992824445</v>
      </c>
      <c r="L96" s="286">
        <f>('Res-Capacity-Smart'!L106)*(1+0.01*'7thPlanAssumptions'!$B$3)^('7thPlanAssumptions'!$B$8-L$95)</f>
        <v>-148998.39427164249</v>
      </c>
      <c r="M96" s="286">
        <f>('Res-Capacity-Smart'!M106)*(1+0.01*'7thPlanAssumptions'!$B$3)^('7thPlanAssumptions'!$B$8-M$95)</f>
        <v>-145034.93977204981</v>
      </c>
      <c r="N96" s="286">
        <f>('Res-Capacity-Smart'!N106)*(1+0.01*'7thPlanAssumptions'!$B$3)^('7thPlanAssumptions'!$B$8-N$95)</f>
        <v>-141126.85977007388</v>
      </c>
      <c r="O96" s="286">
        <f>('Res-Capacity-Smart'!O106)*(1+0.01*'7thPlanAssumptions'!$B$3)^('7thPlanAssumptions'!$B$8-O$95)</f>
        <v>-137270.19658981045</v>
      </c>
      <c r="P96" s="286">
        <f>('Res-Capacity-Smart'!P106)*(1+0.01*'7thPlanAssumptions'!$B$3)^('7thPlanAssumptions'!$B$8-P$95)</f>
        <v>-133475.86328678188</v>
      </c>
      <c r="Q96" s="286">
        <f>('Res-Capacity-Smart'!Q106)*(1+0.01*'7thPlanAssumptions'!$B$3)^('7thPlanAssumptions'!$B$8-Q$95)</f>
        <v>-129757.54326491036</v>
      </c>
      <c r="R96" s="286">
        <f>('Res-Capacity-Smart'!R106)*(1+0.01*'7thPlanAssumptions'!$B$3)^('7thPlanAssumptions'!$B$8-R$95)</f>
        <v>-126142.80679323735</v>
      </c>
      <c r="S96" s="286">
        <f>('Res-Capacity-Smart'!S106)*(1+0.01*'7thPlanAssumptions'!$B$3)^('7thPlanAssumptions'!$B$8-S$95)</f>
        <v>-122628.76828047189</v>
      </c>
      <c r="T96" s="286">
        <f>('Res-Capacity-Smart'!T106)*(1+0.01*'7thPlanAssumptions'!$B$3)^('7thPlanAssumptions'!$B$8-T$95)</f>
        <v>-119212.62252103197</v>
      </c>
      <c r="U96" s="286">
        <f>('Res-Capacity-Smart'!U106)*(1+0.01*'7thPlanAssumptions'!$B$3)^('7thPlanAssumptions'!$B$8-U$95)</f>
        <v>-115891.64245568959</v>
      </c>
      <c r="V96" s="286">
        <f>('Res-Capacity-Smart'!V106)*(1+0.01*'7thPlanAssumptions'!$B$3)^('7thPlanAssumptions'!$B$8-V$95)</f>
        <v>-112663.17699459946</v>
      </c>
      <c r="W96" s="286"/>
    </row>
    <row r="97" spans="1:23" s="76" customFormat="1" ht="12.75">
      <c r="A97" s="85" t="s">
        <v>283</v>
      </c>
      <c r="B97" s="337">
        <f>(1-'7thPlanAssumptions'!$B$4*0.01)^($C$95-'7thPlanAssumptions'!$B$8)*SUM(C97:W97)/(NPV('7thPlanAssumptions'!$B$3*0.01,'Res-Capacity-Smart'!D83:W83)+'Res-Capacity-Smart'!C83)/1000</f>
        <v>-0.80009346477191368</v>
      </c>
      <c r="C97" s="286">
        <f>('Res-Capacity-Smart'!C107)*(1+0.01*'7thPlanAssumptions'!$B$3)^('7thPlanAssumptions'!$B$8-C$95)</f>
        <v>-3013.2541424668561</v>
      </c>
      <c r="D97" s="286">
        <f>('Res-Capacity-Smart'!D107)*(1+0.01*'7thPlanAssumptions'!$B$3)^('7thPlanAssumptions'!$B$8-D$95)</f>
        <v>-16175.239907328858</v>
      </c>
      <c r="E97" s="286">
        <f>('Res-Capacity-Smart'!E107)*(1+0.01*'7thPlanAssumptions'!$B$3)^('7thPlanAssumptions'!$B$8-E$95)</f>
        <v>-30989.973600819289</v>
      </c>
      <c r="F97" s="286">
        <f>('Res-Capacity-Smart'!F107)*(1+0.01*'7thPlanAssumptions'!$B$3)^('7thPlanAssumptions'!$B$8-F$95)</f>
        <v>-47300.441143167998</v>
      </c>
      <c r="G97" s="286">
        <f>('Res-Capacity-Smart'!G107)*(1+0.01*'7thPlanAssumptions'!$B$3)^('7thPlanAssumptions'!$B$8-G$95)</f>
        <v>-64956.29303735069</v>
      </c>
      <c r="H97" s="286">
        <f>('Res-Capacity-Smart'!H107)*(1+0.01*'7thPlanAssumptions'!$B$3)^('7thPlanAssumptions'!$B$8-H$95)</f>
        <v>-74484.880420236892</v>
      </c>
      <c r="I97" s="286">
        <f>('Res-Capacity-Smart'!I107)*(1+0.01*'7thPlanAssumptions'!$B$3)^('7thPlanAssumptions'!$B$8-I$95)</f>
        <v>-72579.991358505067</v>
      </c>
      <c r="J97" s="286">
        <f>('Res-Capacity-Smart'!J107)*(1+0.01*'7thPlanAssumptions'!$B$3)^('7thPlanAssumptions'!$B$8-J$95)</f>
        <v>-70706.496888341964</v>
      </c>
      <c r="K97" s="286">
        <f>('Res-Capacity-Smart'!K107)*(1+0.01*'7thPlanAssumptions'!$B$3)^('7thPlanAssumptions'!$B$8-K$95)</f>
        <v>-68861.308467710012</v>
      </c>
      <c r="L97" s="286">
        <f>('Res-Capacity-Smart'!L107)*(1+0.01*'7thPlanAssumptions'!$B$3)^('7thPlanAssumptions'!$B$8-L$95)</f>
        <v>-67049.277422239131</v>
      </c>
      <c r="M97" s="286">
        <f>('Res-Capacity-Smart'!M107)*(1+0.01*'7thPlanAssumptions'!$B$3)^('7thPlanAssumptions'!$B$8-M$95)</f>
        <v>-65265.722897422427</v>
      </c>
      <c r="N97" s="286">
        <f>('Res-Capacity-Smart'!N107)*(1+0.01*'7thPlanAssumptions'!$B$3)^('7thPlanAssumptions'!$B$8-N$95)</f>
        <v>-63507.086896533256</v>
      </c>
      <c r="O97" s="286">
        <f>('Res-Capacity-Smart'!O107)*(1+0.01*'7thPlanAssumptions'!$B$3)^('7thPlanAssumptions'!$B$8-O$95)</f>
        <v>-61771.588465414701</v>
      </c>
      <c r="P97" s="286">
        <f>('Res-Capacity-Smart'!P107)*(1+0.01*'7thPlanAssumptions'!$B$3)^('7thPlanAssumptions'!$B$8-P$95)</f>
        <v>-60064.13847905185</v>
      </c>
      <c r="Q97" s="286">
        <f>('Res-Capacity-Smart'!Q107)*(1+0.01*'7thPlanAssumptions'!$B$3)^('7thPlanAssumptions'!$B$8-Q$95)</f>
        <v>-58390.89446920967</v>
      </c>
      <c r="R97" s="286">
        <f>('Res-Capacity-Smart'!R107)*(1+0.01*'7thPlanAssumptions'!$B$3)^('7thPlanAssumptions'!$B$8-R$95)</f>
        <v>-56764.263056956799</v>
      </c>
      <c r="S97" s="286">
        <f>('Res-Capacity-Smart'!S107)*(1+0.01*'7thPlanAssumptions'!$B$3)^('7thPlanAssumptions'!$B$8-S$95)</f>
        <v>-55182.945726212347</v>
      </c>
      <c r="T97" s="286">
        <f>('Res-Capacity-Smart'!T107)*(1+0.01*'7thPlanAssumptions'!$B$3)^('7thPlanAssumptions'!$B$8-T$95)</f>
        <v>-53645.680134464375</v>
      </c>
      <c r="U97" s="286">
        <f>('Res-Capacity-Smart'!U107)*(1+0.01*'7thPlanAssumptions'!$B$3)^('7thPlanAssumptions'!$B$8-U$95)</f>
        <v>-52151.23910506034</v>
      </c>
      <c r="V97" s="286">
        <f>('Res-Capacity-Smart'!V107)*(1+0.01*'7thPlanAssumptions'!$B$3)^('7thPlanAssumptions'!$B$8-V$95)</f>
        <v>-50698.429647569763</v>
      </c>
      <c r="W97" s="286"/>
    </row>
    <row r="98" spans="1:23" s="76" customFormat="1" ht="12.75">
      <c r="A98" s="85" t="s">
        <v>284</v>
      </c>
      <c r="B98" s="337">
        <f>(1-'7thPlanAssumptions'!$B$4*0.01)^($C$95-'7thPlanAssumptions'!$B$8)*SUM(C98:W98)/(NPV('7thPlanAssumptions'!$B$3*0.01,'Res-Capacity-Smart'!D84:W84)+'Res-Capacity-Smart'!C84)/1000</f>
        <v>-0.80009346477191345</v>
      </c>
      <c r="C98" s="286">
        <f>('Res-Capacity-Smart'!C108)*(1+0.01*'7thPlanAssumptions'!$B$3)^('7thPlanAssumptions'!$B$8-C$95)</f>
        <v>-18309.106122798617</v>
      </c>
      <c r="D98" s="286">
        <f>('Res-Capacity-Smart'!D108)*(1+0.01*'7thPlanAssumptions'!$B$3)^('7thPlanAssumptions'!$B$8-D$95)</f>
        <v>-98283.838675007748</v>
      </c>
      <c r="E98" s="286">
        <f>('Res-Capacity-Smart'!E108)*(1+0.01*'7thPlanAssumptions'!$B$3)^('7thPlanAssumptions'!$B$8-E$95)</f>
        <v>-188300.98245069248</v>
      </c>
      <c r="F98" s="286">
        <f>('Res-Capacity-Smart'!F108)*(1+0.01*'7thPlanAssumptions'!$B$3)^('7thPlanAssumptions'!$B$8-F$95)</f>
        <v>-287406.48999372561</v>
      </c>
      <c r="G98" s="286">
        <f>('Res-Capacity-Smart'!G108)*(1+0.01*'7thPlanAssumptions'!$B$3)^('7thPlanAssumptions'!$B$8-G$95)</f>
        <v>-394686.80912218796</v>
      </c>
      <c r="H98" s="286">
        <f>('Res-Capacity-Smart'!H108)*(1+0.01*'7thPlanAssumptions'!$B$3)^('7thPlanAssumptions'!$B$8-H$95)</f>
        <v>-452584.32102962997</v>
      </c>
      <c r="I98" s="286">
        <f>('Res-Capacity-Smart'!I108)*(1+0.01*'7thPlanAssumptions'!$B$3)^('7thPlanAssumptions'!$B$8-I$95)</f>
        <v>-441009.8522545356</v>
      </c>
      <c r="J98" s="286">
        <f>('Res-Capacity-Smart'!J108)*(1+0.01*'7thPlanAssumptions'!$B$3)^('7thPlanAssumptions'!$B$8-J$95)</f>
        <v>-429626.14299773501</v>
      </c>
      <c r="K98" s="286">
        <f>('Res-Capacity-Smart'!K108)*(1+0.01*'7thPlanAssumptions'!$B$3)^('7thPlanAssumptions'!$B$8-K$95)</f>
        <v>-418414.42668951413</v>
      </c>
      <c r="L98" s="286">
        <f>('Res-Capacity-Smart'!L108)*(1+0.01*'7thPlanAssumptions'!$B$3)^('7thPlanAssumptions'!$B$8-L$95)</f>
        <v>-407404.1809084625</v>
      </c>
      <c r="M98" s="286">
        <f>('Res-Capacity-Smart'!M108)*(1+0.01*'7thPlanAssumptions'!$B$3)^('7thPlanAssumptions'!$B$8-M$95)</f>
        <v>-396566.96389100491</v>
      </c>
      <c r="N98" s="286">
        <f>('Res-Capacity-Smart'!N108)*(1+0.01*'7thPlanAssumptions'!$B$3)^('7thPlanAssumptions'!$B$8-N$95)</f>
        <v>-385881.15657131642</v>
      </c>
      <c r="O98" s="286">
        <f>('Res-Capacity-Smart'!O108)*(1+0.01*'7thPlanAssumptions'!$B$3)^('7thPlanAssumptions'!$B$8-O$95)</f>
        <v>-375335.93753271032</v>
      </c>
      <c r="P98" s="286">
        <f>('Res-Capacity-Smart'!P108)*(1+0.01*'7thPlanAssumptions'!$B$3)^('7thPlanAssumptions'!$B$8-P$95)</f>
        <v>-364961.14618700085</v>
      </c>
      <c r="Q98" s="286">
        <f>('Res-Capacity-Smart'!Q108)*(1+0.01*'7thPlanAssumptions'!$B$3)^('7thPlanAssumptions'!$B$8-Q$95)</f>
        <v>-354794.19687005499</v>
      </c>
      <c r="R98" s="286">
        <f>('Res-Capacity-Smart'!R108)*(1+0.01*'7thPlanAssumptions'!$B$3)^('7thPlanAssumptions'!$B$8-R$95)</f>
        <v>-344910.4745746518</v>
      </c>
      <c r="S98" s="286">
        <f>('Res-Capacity-Smart'!S108)*(1+0.01*'7thPlanAssumptions'!$B$3)^('7thPlanAssumptions'!$B$8-S$95)</f>
        <v>-335302.08926974749</v>
      </c>
      <c r="T98" s="286">
        <f>('Res-Capacity-Smart'!T108)*(1+0.01*'7thPlanAssumptions'!$B$3)^('7thPlanAssumptions'!$B$8-T$95)</f>
        <v>-325961.37072179321</v>
      </c>
      <c r="U98" s="286">
        <f>('Res-Capacity-Smart'!U108)*(1+0.01*'7thPlanAssumptions'!$B$3)^('7thPlanAssumptions'!$B$8-U$95)</f>
        <v>-316880.86237169994</v>
      </c>
      <c r="V98" s="286">
        <f>('Res-Capacity-Smart'!V108)*(1+0.01*'7thPlanAssumptions'!$B$3)^('7thPlanAssumptions'!$B$8-V$95)</f>
        <v>-308053.31538237631</v>
      </c>
      <c r="W98" s="286"/>
    </row>
    <row r="99" spans="1:23" s="76" customFormat="1" ht="12.75">
      <c r="A99" s="166" t="s">
        <v>328</v>
      </c>
      <c r="B99" s="337">
        <f>(1-'7thPlanAssumptions'!$B$4*0.01)^($C$95-'7thPlanAssumptions'!$B$8)*SUM(C99:W99)/(NPV('7thPlanAssumptions'!$B$3*0.01,'Res-Capacity-Smart'!D85:W85)+'Res-Capacity-Smart'!C85)/1000</f>
        <v>-0.80009346477191357</v>
      </c>
      <c r="C99" s="286">
        <f>('Res-Capacity-Smart'!C109)*(1+0.01*'7thPlanAssumptions'!$B$3)^('7thPlanAssumptions'!$B$8-C$95)</f>
        <v>-2108.3213111101427</v>
      </c>
      <c r="D99" s="286">
        <f>('Res-Capacity-Smart'!D109)*(1+0.01*'7thPlanAssumptions'!$B$3)^('7thPlanAssumptions'!$B$8-D$95)</f>
        <v>-10288.666307576563</v>
      </c>
      <c r="E99" s="286">
        <f>('Res-Capacity-Smart'!E109)*(1+0.01*'7thPlanAssumptions'!$B$3)^('7thPlanAssumptions'!$B$8-E$95)</f>
        <v>-18069.286194763408</v>
      </c>
      <c r="F99" s="286">
        <f>('Res-Capacity-Smart'!F109)*(1+0.01*'7thPlanAssumptions'!$B$3)^('7thPlanAssumptions'!$B$8-F$95)</f>
        <v>-25457.917528581755</v>
      </c>
      <c r="G99" s="286">
        <f>('Res-Capacity-Smart'!G109)*(1+0.01*'7thPlanAssumptions'!$B$3)^('7thPlanAssumptions'!$B$8-G$95)</f>
        <v>-32463.417200526277</v>
      </c>
      <c r="H99" s="286">
        <f>('Res-Capacity-Smart'!H109)*(1+0.01*'7thPlanAssumptions'!$B$3)^('7thPlanAssumptions'!$B$8-H$95)</f>
        <v>-37225.550214558294</v>
      </c>
      <c r="I99" s="286">
        <f>('Res-Capacity-Smart'!I109)*(1+0.01*'7thPlanAssumptions'!$B$3)^('7thPlanAssumptions'!$B$8-I$95)</f>
        <v>-36273.537631325431</v>
      </c>
      <c r="J99" s="286">
        <f>('Res-Capacity-Smart'!J109)*(1+0.01*'7thPlanAssumptions'!$B$3)^('7thPlanAssumptions'!$B$8-J$95)</f>
        <v>-35337.215224921914</v>
      </c>
      <c r="K99" s="286">
        <f>('Res-Capacity-Smart'!K109)*(1+0.01*'7thPlanAssumptions'!$B$3)^('7thPlanAssumptions'!$B$8-K$95)</f>
        <v>-34415.039424678638</v>
      </c>
      <c r="L99" s="286">
        <f>('Res-Capacity-Smart'!L109)*(1+0.01*'7thPlanAssumptions'!$B$3)^('7thPlanAssumptions'!$B$8-L$95)</f>
        <v>-33509.434793336739</v>
      </c>
      <c r="M99" s="286">
        <f>('Res-Capacity-Smart'!M109)*(1+0.01*'7thPlanAssumptions'!$B$3)^('7thPlanAssumptions'!$B$8-M$95)</f>
        <v>-32618.061965060999</v>
      </c>
      <c r="N99" s="286">
        <f>('Res-Capacity-Smart'!N109)*(1+0.01*'7thPlanAssumptions'!$B$3)^('7thPlanAssumptions'!$B$8-N$95)</f>
        <v>-31739.142748290084</v>
      </c>
      <c r="O99" s="286">
        <f>('Res-Capacity-Smart'!O109)*(1+0.01*'7thPlanAssumptions'!$B$3)^('7thPlanAssumptions'!$B$8-O$95)</f>
        <v>-30871.787069790011</v>
      </c>
      <c r="P99" s="286">
        <f>('Res-Capacity-Smart'!P109)*(1+0.01*'7thPlanAssumptions'!$B$3)^('7thPlanAssumptions'!$B$8-P$95)</f>
        <v>-30018.449253476254</v>
      </c>
      <c r="Q99" s="286">
        <f>('Res-Capacity-Smart'!Q109)*(1+0.01*'7thPlanAssumptions'!$B$3)^('7thPlanAssumptions'!$B$8-Q$95)</f>
        <v>-29182.206668965548</v>
      </c>
      <c r="R99" s="286">
        <f>('Res-Capacity-Smart'!R109)*(1+0.01*'7thPlanAssumptions'!$B$3)^('7thPlanAssumptions'!$B$8-R$95)</f>
        <v>-28369.259813499488</v>
      </c>
      <c r="S99" s="286">
        <f>('Res-Capacity-Smart'!S109)*(1+0.01*'7thPlanAssumptions'!$B$3)^('7thPlanAssumptions'!$B$8-S$95)</f>
        <v>-27578.959723485714</v>
      </c>
      <c r="T99" s="286">
        <f>('Res-Capacity-Smart'!T109)*(1+0.01*'7thPlanAssumptions'!$B$3)^('7thPlanAssumptions'!$B$8-T$95)</f>
        <v>-26810.675513913713</v>
      </c>
      <c r="U99" s="286">
        <f>('Res-Capacity-Smart'!U109)*(1+0.01*'7thPlanAssumptions'!$B$3)^('7thPlanAssumptions'!$B$8-U$95)</f>
        <v>-26063.793874728555</v>
      </c>
      <c r="V99" s="286">
        <f>('Res-Capacity-Smart'!V109)*(1+0.01*'7thPlanAssumptions'!$B$3)^('7thPlanAssumptions'!$B$8-V$95)</f>
        <v>-25337.718581234407</v>
      </c>
      <c r="W99" s="286"/>
    </row>
    <row r="100" spans="1:23" s="76" customFormat="1" ht="12.75">
      <c r="A100" s="85"/>
      <c r="B100" s="339"/>
      <c r="C100" s="463" t="s">
        <v>420</v>
      </c>
      <c r="D100" s="463"/>
      <c r="E100" s="463"/>
      <c r="F100" s="463"/>
      <c r="G100" s="463"/>
      <c r="H100" s="463"/>
      <c r="I100" s="463"/>
      <c r="J100" s="463"/>
      <c r="K100" s="463"/>
      <c r="L100" s="463"/>
      <c r="M100" s="463"/>
      <c r="N100" s="463"/>
      <c r="O100" s="463"/>
      <c r="P100" s="463"/>
      <c r="Q100" s="463"/>
      <c r="R100" s="463"/>
      <c r="S100" s="463"/>
      <c r="T100" s="463"/>
      <c r="U100" s="463"/>
      <c r="V100" s="463"/>
      <c r="W100" s="463"/>
    </row>
    <row r="101" spans="1:23" s="76" customFormat="1" ht="12.75">
      <c r="A101" s="124" t="s">
        <v>282</v>
      </c>
      <c r="B101" s="337">
        <f>(1-'7thPlanAssumptions'!$B$4*0.01)^($C$95-'7thPlanAssumptions'!$B$8)*SUM(C101:W101)/(NPV('7thPlanAssumptions'!$B$3*0.01,'Res-Capacity-Smart'!D82:W82)+'Res-Capacity-Smart'!C82)/1000</f>
        <v>153.88515523719073</v>
      </c>
      <c r="C101" s="286">
        <f>'Res-Capacity-Smart'!C94*(1+0.01*'7thPlanAssumptions'!$B$3)^($C$95-C$95)</f>
        <v>4245764.4097666871</v>
      </c>
      <c r="D101" s="286">
        <f>'Res-Capacity-Smart'!D94*(1+0.01*'7thPlanAssumptions'!$B$3)^($C$95-D$95)</f>
        <v>18708926.739551771</v>
      </c>
      <c r="E101" s="286">
        <f>'Res-Capacity-Smart'!E94*(1+0.01*'7thPlanAssumptions'!$B$3)^($C$95-E$95)</f>
        <v>21750990.952805322</v>
      </c>
      <c r="F101" s="286">
        <f>'Res-Capacity-Smart'!F94*(1+0.01*'7thPlanAssumptions'!$B$3)^($C$95-F$95)</f>
        <v>24661385.781868473</v>
      </c>
      <c r="G101" s="286">
        <f>'Res-Capacity-Smart'!G94*(1+0.01*'7thPlanAssumptions'!$B$3)^($C$95-G$95)</f>
        <v>27440992.687051471</v>
      </c>
      <c r="H101" s="286">
        <f>'Res-Capacity-Smart'!H94*(1+0.01*'7thPlanAssumptions'!$B$3)^($C$95-H$95)+C101</f>
        <v>21192031.969213501</v>
      </c>
      <c r="I101" s="286">
        <f>'Res-Capacity-Smart'!I94*(1+0.01*'7thPlanAssumptions'!$B$3)^($C$95-I$95)+D101</f>
        <v>20061474.064824115</v>
      </c>
      <c r="J101" s="286">
        <f>'Res-Capacity-Smart'!J94*(1+0.01*'7thPlanAssumptions'!$B$3)^($C$95-J$95)+E101</f>
        <v>23044541.682265636</v>
      </c>
      <c r="K101" s="286">
        <f>'Res-Capacity-Smart'!K94*(1+0.01*'7thPlanAssumptions'!$B$3)^($C$95-K$95)+F101</f>
        <v>25893289.449391123</v>
      </c>
      <c r="L101" s="286">
        <f>'Res-Capacity-Smart'!L94*(1+0.01*'7thPlanAssumptions'!$B$3)^($C$95-L$95)+G101</f>
        <v>28619618.956676971</v>
      </c>
      <c r="M101" s="286">
        <f>'Res-Capacity-Smart'!M94*(1+0.01*'7thPlanAssumptions'!$B$3)^($C$95-M$95)+H101</f>
        <v>22312582.290666007</v>
      </c>
      <c r="N101" s="286">
        <f>'Res-Capacity-Smart'!N94*(1+0.01*'7thPlanAssumptions'!$B$3)^($C$95-N$95)+I101</f>
        <v>21120478.356081016</v>
      </c>
      <c r="O101" s="286">
        <f>'Res-Capacity-Smart'!O94*(1+0.01*'7thPlanAssumptions'!$B$3)^($C$95-O$95)+J101</f>
        <v>24040840.946852583</v>
      </c>
      <c r="P101" s="286">
        <f>'Res-Capacity-Smart'!P94*(1+0.01*'7thPlanAssumptions'!$B$3)^($C$95-P$95)+K101</f>
        <v>26835057.160417128</v>
      </c>
      <c r="Q101" s="286">
        <f>'Res-Capacity-Smart'!Q94*(1+0.01*'7thPlanAssumptions'!$B$3)^($C$95-Q$95)+L101</f>
        <v>29517051.300856266</v>
      </c>
      <c r="R101" s="286">
        <f>'Res-Capacity-Smart'!R94*(1+0.01*'7thPlanAssumptions'!$B$3)^($C$95-R$95)+M101</f>
        <v>23185014.304662254</v>
      </c>
      <c r="S101" s="286">
        <f>'Res-Capacity-Smart'!S94*(1+0.01*'7thPlanAssumptions'!$B$3)^($C$95-S$95)+N101</f>
        <v>21968606.489619162</v>
      </c>
      <c r="T101" s="286">
        <f>'Res-Capacity-Smart'!T94*(1+0.01*'7thPlanAssumptions'!$B$3)^($C$95-T$95)+O101</f>
        <v>24865342.248225037</v>
      </c>
      <c r="U101" s="286">
        <f>'Res-Capacity-Smart'!U94*(1+0.01*'7thPlanAssumptions'!$B$3)^($C$95-U$95)+P101</f>
        <v>27636589.816961534</v>
      </c>
      <c r="V101" s="286">
        <f>'Res-Capacity-Smart'!V94*(1+0.01*'7thPlanAssumptions'!$B$3)^($C$95-V$95)+Q101</f>
        <v>30296255.164376784</v>
      </c>
      <c r="W101" s="286"/>
    </row>
    <row r="102" spans="1:23" s="76" customFormat="1" ht="12.75">
      <c r="A102" s="85" t="s">
        <v>283</v>
      </c>
      <c r="B102" s="337">
        <f>(1-'7thPlanAssumptions'!$B$4*0.01)^($C$95-'7thPlanAssumptions'!$B$8)*SUM(C102:W102)/(NPV('7thPlanAssumptions'!$B$3*0.01,'Res-Capacity-Smart'!D83:W83)+'Res-Capacity-Smart'!C83)/1000</f>
        <v>153.88515523719076</v>
      </c>
      <c r="C102" s="286">
        <f>'Res-Capacity-Smart'!C95*(1+0.01*'7thPlanAssumptions'!$B$3)^($C$95-C$95)</f>
        <v>1910593.984395009</v>
      </c>
      <c r="D102" s="286">
        <f>'Res-Capacity-Smart'!D95*(1+0.01*'7thPlanAssumptions'!$B$3)^($C$95-D$95)</f>
        <v>8419017.0327982958</v>
      </c>
      <c r="E102" s="286">
        <f>'Res-Capacity-Smart'!E95*(1+0.01*'7thPlanAssumptions'!$B$3)^($C$95-E$95)</f>
        <v>9787945.9287623949</v>
      </c>
      <c r="F102" s="286">
        <f>'Res-Capacity-Smart'!F95*(1+0.01*'7thPlanAssumptions'!$B$3)^($C$95-F$95)</f>
        <v>11097623.601840811</v>
      </c>
      <c r="G102" s="286">
        <f>'Res-Capacity-Smart'!G95*(1+0.01*'7thPlanAssumptions'!$B$3)^($C$95-G$95)</f>
        <v>12348446.709173162</v>
      </c>
      <c r="H102" s="286">
        <f>'Res-Capacity-Smart'!H95*(1+0.01*'7thPlanAssumptions'!$B$3)^($C$95-H$95)+C102</f>
        <v>9536414.3861460742</v>
      </c>
      <c r="I102" s="286">
        <f>'Res-Capacity-Smart'!I95*(1+0.01*'7thPlanAssumptions'!$B$3)^($C$95-I$95)+D102</f>
        <v>9027663.329170851</v>
      </c>
      <c r="J102" s="286">
        <f>'Res-Capacity-Smart'!J95*(1+0.01*'7thPlanAssumptions'!$B$3)^($C$95-J$95)+E102</f>
        <v>10370043.757019537</v>
      </c>
      <c r="K102" s="286">
        <f>'Res-Capacity-Smart'!K95*(1+0.01*'7thPlanAssumptions'!$B$3)^($C$95-K$95)+F102</f>
        <v>11651980.252226004</v>
      </c>
      <c r="L102" s="286">
        <f>'Res-Capacity-Smart'!L95*(1+0.01*'7thPlanAssumptions'!$B$3)^($C$95-L$95)+G102</f>
        <v>12878828.530504636</v>
      </c>
      <c r="M102" s="286">
        <f>'Res-Capacity-Smart'!M95*(1+0.01*'7thPlanAssumptions'!$B$3)^($C$95-M$95)+H102</f>
        <v>10040662.030799702</v>
      </c>
      <c r="N102" s="286">
        <f>'Res-Capacity-Smart'!N95*(1+0.01*'7thPlanAssumptions'!$B$3)^($C$95-N$95)+I102</f>
        <v>9504215.260236457</v>
      </c>
      <c r="O102" s="286">
        <f>'Res-Capacity-Smart'!O95*(1+0.01*'7thPlanAssumptions'!$B$3)^($C$95-O$95)+J102</f>
        <v>10818378.426083663</v>
      </c>
      <c r="P102" s="286">
        <f>'Res-Capacity-Smart'!P95*(1+0.01*'7thPlanAssumptions'!$B$3)^($C$95-P$95)+K102</f>
        <v>12075775.722187705</v>
      </c>
      <c r="Q102" s="286">
        <f>'Res-Capacity-Smart'!Q95*(1+0.01*'7thPlanAssumptions'!$B$3)^($C$95-Q$95)+L102</f>
        <v>13282673.085385319</v>
      </c>
      <c r="R102" s="286">
        <f>'Res-Capacity-Smart'!R95*(1+0.01*'7thPlanAssumptions'!$B$3)^($C$95-R$95)+M102</f>
        <v>10433256.437098013</v>
      </c>
      <c r="S102" s="286">
        <f>'Res-Capacity-Smart'!S95*(1+0.01*'7thPlanAssumptions'!$B$3)^($C$95-S$95)+N102</f>
        <v>9885872.9203286208</v>
      </c>
      <c r="T102" s="286">
        <f>'Res-Capacity-Smart'!T95*(1+0.01*'7thPlanAssumptions'!$B$3)^($C$95-T$95)+O102</f>
        <v>11189404.011701267</v>
      </c>
      <c r="U102" s="286">
        <f>'Res-Capacity-Smart'!U95*(1+0.01*'7thPlanAssumptions'!$B$3)^($C$95-U$95)+P102</f>
        <v>12436465.417632688</v>
      </c>
      <c r="V102" s="286">
        <f>'Res-Capacity-Smart'!V95*(1+0.01*'7thPlanAssumptions'!$B$3)^($C$95-V$95)+Q102</f>
        <v>13633314.823969552</v>
      </c>
      <c r="W102" s="286"/>
    </row>
    <row r="103" spans="1:23" s="76" customFormat="1" ht="12.75">
      <c r="A103" s="85" t="s">
        <v>284</v>
      </c>
      <c r="B103" s="337">
        <f>(1-'7thPlanAssumptions'!$B$4*0.01)^($C$95-'7thPlanAssumptions'!$B$8)*SUM(C103:W103)/(NPV('7thPlanAssumptions'!$B$3*0.01,'Res-Capacity-Smart'!D84:W84)+'Res-Capacity-Smart'!C84)/1000</f>
        <v>153.88515523719079</v>
      </c>
      <c r="C103" s="286">
        <f>'Res-Capacity-Smart'!C96*(1+0.01*'7thPlanAssumptions'!$B$3)^($C$95-C$95)</f>
        <v>11609132.971847774</v>
      </c>
      <c r="D103" s="286">
        <f>'Res-Capacity-Smart'!D96*(1+0.01*'7thPlanAssumptions'!$B$3)^($C$95-D$95)</f>
        <v>51155551.113574423</v>
      </c>
      <c r="E103" s="286">
        <f>'Res-Capacity-Smart'!E96*(1+0.01*'7thPlanAssumptions'!$B$3)^($C$95-E$95)</f>
        <v>59473423.833813429</v>
      </c>
      <c r="F103" s="286">
        <f>'Res-Capacity-Smart'!F96*(1+0.01*'7thPlanAssumptions'!$B$3)^($C$95-F$95)</f>
        <v>67431274.837851807</v>
      </c>
      <c r="G103" s="286">
        <f>'Res-Capacity-Smart'!G96*(1+0.01*'7thPlanAssumptions'!$B$3)^($C$95-G$95)</f>
        <v>75031514.290023625</v>
      </c>
      <c r="H103" s="286">
        <f>'Res-Capacity-Smart'!H96*(1+0.01*'7thPlanAssumptions'!$B$3)^($C$95-H$95)+C103</f>
        <v>57945070.270106599</v>
      </c>
      <c r="I103" s="286">
        <f>'Res-Capacity-Smart'!I96*(1+0.01*'7thPlanAssumptions'!$B$3)^($C$95-I$95)+D103</f>
        <v>54853801.942961954</v>
      </c>
      <c r="J103" s="286">
        <f>'Res-Capacity-Smart'!J96*(1+0.01*'7thPlanAssumptions'!$B$3)^($C$95-J$95)+E103</f>
        <v>63010361.1140806</v>
      </c>
      <c r="K103" s="286">
        <f>'Res-Capacity-Smart'!K96*(1+0.01*'7thPlanAssumptions'!$B$3)^($C$95-K$95)+F103</f>
        <v>70799651.437335178</v>
      </c>
      <c r="L103" s="286">
        <f>'Res-Capacity-Smart'!L96*(1+0.01*'7thPlanAssumptions'!$B$3)^($C$95-L$95)+G103</f>
        <v>78254215.261542484</v>
      </c>
      <c r="M103" s="286">
        <f>'Res-Capacity-Smart'!M96*(1+0.01*'7thPlanAssumptions'!$B$3)^($C$95-M$95)+H103</f>
        <v>61008975.006192513</v>
      </c>
      <c r="N103" s="286">
        <f>'Res-Capacity-Smart'!N96*(1+0.01*'7thPlanAssumptions'!$B$3)^($C$95-N$95)+I103</f>
        <v>57749422.247912951</v>
      </c>
      <c r="O103" s="286">
        <f>'Res-Capacity-Smart'!O96*(1+0.01*'7thPlanAssumptions'!$B$3)^($C$95-O$95)+J103</f>
        <v>65734527.960394077</v>
      </c>
      <c r="P103" s="286">
        <f>'Res-Capacity-Smart'!P96*(1+0.01*'7thPlanAssumptions'!$B$3)^($C$95-P$95)+K103</f>
        <v>73374713.435769141</v>
      </c>
      <c r="Q103" s="286">
        <f>'Res-Capacity-Smart'!Q96*(1+0.01*'7thPlanAssumptions'!$B$3)^($C$95-Q$95)+L103</f>
        <v>80708051.699769855</v>
      </c>
      <c r="R103" s="286">
        <f>'Res-Capacity-Smart'!R96*(1+0.01*'7thPlanAssumptions'!$B$3)^($C$95-R$95)+M103</f>
        <v>63394453.398747928</v>
      </c>
      <c r="S103" s="286">
        <f>'Res-Capacity-Smart'!S96*(1+0.01*'7thPlanAssumptions'!$B$3)^($C$95-S$95)+N103</f>
        <v>60068446.887330145</v>
      </c>
      <c r="T103" s="286">
        <f>'Res-Capacity-Smart'!T96*(1+0.01*'7thPlanAssumptions'!$B$3)^($C$95-T$95)+O103</f>
        <v>67988950.09014675</v>
      </c>
      <c r="U103" s="286">
        <f>'Res-Capacity-Smart'!U96*(1+0.01*'7thPlanAssumptions'!$B$3)^($C$95-U$95)+P103</f>
        <v>75566332.72809197</v>
      </c>
      <c r="V103" s="286">
        <f>'Res-Capacity-Smart'!V96*(1+0.01*'7thPlanAssumptions'!$B$3)^($C$95-V$95)+Q103</f>
        <v>82838617.692310244</v>
      </c>
      <c r="W103" s="286"/>
    </row>
    <row r="104" spans="1:23" s="76" customFormat="1" ht="12.75">
      <c r="A104" s="166" t="s">
        <v>328</v>
      </c>
      <c r="B104" s="337">
        <f>(1-'7thPlanAssumptions'!$B$4*0.01)^($C$95-'7thPlanAssumptions'!$B$8)*SUM(C104:W104)/(NPV('7thPlanAssumptions'!$B$3*0.01,'Res-Capacity-Smart'!D85:W85)+'Res-Capacity-Smart'!C85)/1000</f>
        <v>152.89813940068527</v>
      </c>
      <c r="C104" s="286">
        <f>'Res-Capacity-Smart'!C97*(1+0.01*'7thPlanAssumptions'!$B$3)^($C$95-C$95)</f>
        <v>1336809.2513036821</v>
      </c>
      <c r="D104" s="286">
        <f>'Res-Capacity-Smart'!D97*(1+0.01*'7thPlanAssumptions'!$B$3)^($C$95-D$95)</f>
        <v>5238272.607319979</v>
      </c>
      <c r="E104" s="286">
        <f>'Res-Capacity-Smart'!E97*(1+0.01*'7thPlanAssumptions'!$B$3)^($C$95-E$95)</f>
        <v>5184316.0645203758</v>
      </c>
      <c r="F104" s="286">
        <f>'Res-Capacity-Smart'!F97*(1+0.01*'7thPlanAssumptions'!$B$3)^($C$95-F$95)</f>
        <v>5125516.8713642871</v>
      </c>
      <c r="G104" s="286">
        <f>'Res-Capacity-Smart'!G97*(1+0.01*'7thPlanAssumptions'!$B$3)^($C$95-G$95)</f>
        <v>5062774.0633608466</v>
      </c>
      <c r="H104" s="286">
        <f>'Res-Capacity-Smart'!H97*(1+0.01*'7thPlanAssumptions'!$B$3)^($C$95-H$95)+C104</f>
        <v>5147990.2412037607</v>
      </c>
      <c r="I104" s="286">
        <f>'Res-Capacity-Smart'!I97*(1+0.01*'7thPlanAssumptions'!$B$3)^($C$95-I$95)+D104</f>
        <v>5542457.7404730674</v>
      </c>
      <c r="J104" s="286">
        <f>'Res-Capacity-Smart'!J97*(1+0.01*'7thPlanAssumptions'!$B$3)^($C$95-J$95)+E104</f>
        <v>5475232.9836765444</v>
      </c>
      <c r="K104" s="286">
        <f>'Res-Capacity-Smart'!K97*(1+0.01*'7thPlanAssumptions'!$B$3)^($C$95-K$95)+F104</f>
        <v>5402569.4921010155</v>
      </c>
      <c r="L104" s="286">
        <f>'Res-Capacity-Smart'!L97*(1+0.01*'7thPlanAssumptions'!$B$3)^($C$95-L$95)+G104</f>
        <v>5327844.7060398888</v>
      </c>
      <c r="M104" s="286">
        <f>'Res-Capacity-Smart'!M97*(1+0.01*'7thPlanAssumptions'!$B$3)^($C$95-M$95)+H104</f>
        <v>5399999.7216610396</v>
      </c>
      <c r="N104" s="286">
        <f>'Res-Capacity-Smart'!N97*(1+0.01*'7thPlanAssumptions'!$B$3)^($C$95-N$95)+I104</f>
        <v>5780625.6443434954</v>
      </c>
      <c r="O104" s="286">
        <f>'Res-Capacity-Smart'!O97*(1+0.01*'7thPlanAssumptions'!$B$3)^($C$95-O$95)+J104</f>
        <v>5699298.6550183445</v>
      </c>
      <c r="P104" s="286">
        <f>'Res-Capacity-Smart'!P97*(1+0.01*'7thPlanAssumptions'!$B$3)^($C$95-P$95)+K104</f>
        <v>5614371.1283358475</v>
      </c>
      <c r="Q104" s="286">
        <f>'Res-Capacity-Smart'!Q97*(1+0.01*'7thPlanAssumptions'!$B$3)^($C$95-Q$95)+L104</f>
        <v>5529675.408751227</v>
      </c>
      <c r="R104" s="286">
        <f>'Res-Capacity-Smart'!R97*(1+0.01*'7thPlanAssumptions'!$B$3)^($C$95-R$95)+M104</f>
        <v>5596207.9011352956</v>
      </c>
      <c r="S104" s="286">
        <f>'Res-Capacity-Smart'!S97*(1+0.01*'7thPlanAssumptions'!$B$3)^($C$95-S$95)+N104</f>
        <v>5971367.9307024851</v>
      </c>
      <c r="T104" s="286">
        <f>'Res-Capacity-Smart'!T97*(1+0.01*'7thPlanAssumptions'!$B$3)^($C$95-T$95)+O104</f>
        <v>5884727.3150412915</v>
      </c>
      <c r="U104" s="286">
        <f>'Res-Capacity-Smart'!U97*(1+0.01*'7thPlanAssumptions'!$B$3)^($C$95-U$95)+P104</f>
        <v>5794634.1870117513</v>
      </c>
      <c r="V104" s="286">
        <f>'Res-Capacity-Smart'!V97*(1+0.01*'7thPlanAssumptions'!$B$3)^($C$95-V$95)+Q104</f>
        <v>5704916.7674450278</v>
      </c>
      <c r="W104" s="286"/>
    </row>
    <row r="105" spans="1:23" s="76" customFormat="1" ht="12.75">
      <c r="B105" s="339" t="s">
        <v>331</v>
      </c>
      <c r="C105" s="489" t="s">
        <v>438</v>
      </c>
      <c r="D105" s="463"/>
      <c r="E105" s="463"/>
      <c r="F105" s="463"/>
      <c r="G105" s="463"/>
      <c r="H105" s="463"/>
      <c r="I105" s="463"/>
      <c r="J105" s="463"/>
      <c r="K105" s="463"/>
      <c r="L105" s="463"/>
      <c r="M105" s="463"/>
      <c r="N105" s="463"/>
      <c r="O105" s="463"/>
      <c r="P105" s="463"/>
      <c r="Q105" s="463"/>
      <c r="R105" s="463"/>
      <c r="S105" s="463"/>
      <c r="T105" s="463"/>
      <c r="U105" s="463"/>
      <c r="V105" s="463"/>
      <c r="W105" s="463"/>
    </row>
    <row r="106" spans="1:23" s="76" customFormat="1" ht="12.75">
      <c r="A106" s="124" t="s">
        <v>282</v>
      </c>
      <c r="B106" s="329">
        <f>B96+B101</f>
        <v>153.08506177241881</v>
      </c>
      <c r="C106" s="315">
        <f>'Res-Capacity-Smart'!C82*1000</f>
        <v>7833.5136711562491</v>
      </c>
      <c r="D106" s="315">
        <f>'Res-Capacity-Smart'!D82*1000</f>
        <v>43732.561289484365</v>
      </c>
      <c r="E106" s="315">
        <f>'Res-Capacity-Smart'!E82*1000</f>
        <v>87138.228844012468</v>
      </c>
      <c r="F106" s="315">
        <f>'Res-Capacity-Smart'!F82*1000</f>
        <v>138320.34149370936</v>
      </c>
      <c r="G106" s="315">
        <f>'Res-Capacity-Smart'!G82*1000</f>
        <v>197549.27173327497</v>
      </c>
      <c r="H106" s="315">
        <f>'Res-Capacity-Smart'!H82*1000</f>
        <v>235589.35588649989</v>
      </c>
      <c r="I106" s="315">
        <f>'Res-Capacity-Smart'!I82*1000</f>
        <v>238746.92757299991</v>
      </c>
      <c r="J106" s="315">
        <f>'Res-Capacity-Smart'!J82*1000</f>
        <v>241887.56320574996</v>
      </c>
      <c r="K106" s="315">
        <f>'Res-Capacity-Smart'!K82*1000</f>
        <v>244998.16326562499</v>
      </c>
      <c r="L106" s="315">
        <f>'Res-Capacity-Smart'!L82*1000</f>
        <v>248093.27893349994</v>
      </c>
      <c r="M106" s="315">
        <f>'Res-Capacity-Smart'!M82*1000</f>
        <v>251153.58928274992</v>
      </c>
      <c r="N106" s="315">
        <f>'Res-Capacity-Smart'!N82*1000</f>
        <v>254161.50155549994</v>
      </c>
      <c r="O106" s="315">
        <f>'Res-Capacity-Smart'!O82*1000</f>
        <v>257104.50380999999</v>
      </c>
      <c r="P106" s="315">
        <f>'Res-Capacity-Smart'!P82*1000</f>
        <v>259997.7002411249</v>
      </c>
      <c r="Q106" s="315">
        <f>'Res-Capacity-Smart'!Q82*1000</f>
        <v>262864.97414099996</v>
      </c>
      <c r="R106" s="315">
        <f>'Res-Capacity-Smart'!R82*1000</f>
        <v>265763.86854986136</v>
      </c>
      <c r="S106" s="315">
        <f>'Res-Capacity-Smart'!S82*1000</f>
        <v>268694.73218102468</v>
      </c>
      <c r="T106" s="315">
        <f>'Res-Capacity-Smart'!T82*1000</f>
        <v>271657.91759344208</v>
      </c>
      <c r="U106" s="315">
        <f>'Res-Capacity-Smart'!U82*1000</f>
        <v>274653.78123411152</v>
      </c>
      <c r="V106" s="315">
        <f>'Res-Capacity-Smart'!V82*1000</f>
        <v>277682.68348095525</v>
      </c>
      <c r="W106" s="315"/>
    </row>
    <row r="107" spans="1:23" s="76" customFormat="1" ht="12.75">
      <c r="A107" s="85" t="s">
        <v>283</v>
      </c>
      <c r="B107" s="329">
        <f>B97+B102</f>
        <v>153.08506177241884</v>
      </c>
      <c r="C107" s="315">
        <f>'Res-Capacity-Smart'!C83*1000</f>
        <v>3525.0811520203119</v>
      </c>
      <c r="D107" s="315">
        <f>'Res-Capacity-Smart'!D83*1000</f>
        <v>19679.652580267968</v>
      </c>
      <c r="E107" s="315">
        <f>'Res-Capacity-Smart'!E83*1000</f>
        <v>39212.202979805625</v>
      </c>
      <c r="F107" s="315">
        <f>'Res-Capacity-Smart'!F83*1000</f>
        <v>62244.153672169203</v>
      </c>
      <c r="G107" s="315">
        <f>'Res-Capacity-Smart'!G83*1000</f>
        <v>88897.172279973747</v>
      </c>
      <c r="H107" s="315">
        <f>'Res-Capacity-Smart'!H83*1000</f>
        <v>106015.21014892498</v>
      </c>
      <c r="I107" s="315">
        <f>'Res-Capacity-Smart'!I83*1000</f>
        <v>107436.11740784996</v>
      </c>
      <c r="J107" s="315">
        <f>'Res-Capacity-Smart'!J83*1000</f>
        <v>108849.4034425875</v>
      </c>
      <c r="K107" s="315">
        <f>'Res-Capacity-Smart'!K83*1000</f>
        <v>110249.17346953125</v>
      </c>
      <c r="L107" s="315">
        <f>'Res-Capacity-Smart'!L83*1000</f>
        <v>111641.97552007499</v>
      </c>
      <c r="M107" s="315">
        <f>'Res-Capacity-Smart'!M83*1000</f>
        <v>113019.11517723749</v>
      </c>
      <c r="N107" s="315">
        <f>'Res-Capacity-Smart'!N83*1000</f>
        <v>114372.67569997499</v>
      </c>
      <c r="O107" s="315">
        <f>'Res-Capacity-Smart'!O83*1000</f>
        <v>115697.02671449998</v>
      </c>
      <c r="P107" s="315">
        <f>'Res-Capacity-Smart'!P83*1000</f>
        <v>116998.96510850622</v>
      </c>
      <c r="Q107" s="315">
        <f>'Res-Capacity-Smart'!Q83*1000</f>
        <v>118289.23836344999</v>
      </c>
      <c r="R107" s="315">
        <f>'Res-Capacity-Smart'!R83*1000</f>
        <v>119593.7408474376</v>
      </c>
      <c r="S107" s="315">
        <f>'Res-Capacity-Smart'!S83*1000</f>
        <v>120912.6294814611</v>
      </c>
      <c r="T107" s="315">
        <f>'Res-Capacity-Smart'!T83*1000</f>
        <v>122246.06291704891</v>
      </c>
      <c r="U107" s="315">
        <f>'Res-Capacity-Smart'!U83*1000</f>
        <v>123594.20155535023</v>
      </c>
      <c r="V107" s="315">
        <f>'Res-Capacity-Smart'!V83*1000</f>
        <v>124957.20756642989</v>
      </c>
      <c r="W107" s="315"/>
    </row>
    <row r="108" spans="1:23" s="76" customFormat="1" ht="12.75">
      <c r="A108" s="85" t="s">
        <v>284</v>
      </c>
      <c r="B108" s="329">
        <f>B98+B103</f>
        <v>153.08506177241887</v>
      </c>
      <c r="C108" s="315">
        <f>'Res-Capacity-Smart'!C84*1000</f>
        <v>21419.064523704379</v>
      </c>
      <c r="D108" s="315">
        <f>'Res-Capacity-Smart'!D84*1000</f>
        <v>119577.31758296158</v>
      </c>
      <c r="E108" s="315">
        <f>'Res-Capacity-Smart'!E84*1000</f>
        <v>238260.81429634278</v>
      </c>
      <c r="F108" s="315">
        <f>'Res-Capacity-Smart'!F84*1000</f>
        <v>378207.33374137105</v>
      </c>
      <c r="G108" s="315">
        <f>'Res-Capacity-Smart'!G84*1000</f>
        <v>540156.15156784048</v>
      </c>
      <c r="H108" s="315">
        <f>'Res-Capacity-Smart'!H84*1000</f>
        <v>644168.61023822997</v>
      </c>
      <c r="I108" s="315">
        <f>'Res-Capacity-Smart'!I84*1000</f>
        <v>652802.31339245988</v>
      </c>
      <c r="J108" s="315">
        <f>'Res-Capacity-Smart'!J84*1000</f>
        <v>661389.70853686496</v>
      </c>
      <c r="K108" s="315">
        <f>'Res-Capacity-Smart'!K84*1000</f>
        <v>669894.97784343746</v>
      </c>
      <c r="L108" s="315">
        <f>'Res-Capacity-Smart'!L84*1000</f>
        <v>678357.90839816991</v>
      </c>
      <c r="M108" s="315">
        <f>'Res-Capacity-Smart'!M84*1000</f>
        <v>686725.67126740504</v>
      </c>
      <c r="N108" s="315">
        <f>'Res-Capacity-Smart'!N84*1000</f>
        <v>694950.16282461002</v>
      </c>
      <c r="O108" s="315">
        <f>'Res-Capacity-Smart'!O84*1000</f>
        <v>702997.17184620001</v>
      </c>
      <c r="P108" s="315">
        <f>'Res-Capacity-Smart'!P84*1000</f>
        <v>710907.99751644745</v>
      </c>
      <c r="Q108" s="315">
        <f>'Res-Capacity-Smart'!Q84*1000</f>
        <v>718747.94357981998</v>
      </c>
      <c r="R108" s="315">
        <f>'Res-Capacity-Smart'!R84*1000</f>
        <v>726674.34914919222</v>
      </c>
      <c r="S108" s="315">
        <f>'Res-Capacity-Smart'!S84*1000</f>
        <v>734688.1677064019</v>
      </c>
      <c r="T108" s="315">
        <f>'Res-Capacity-Smart'!T84*1000</f>
        <v>742790.36324835464</v>
      </c>
      <c r="U108" s="315">
        <f>'Res-Capacity-Smart'!U84*1000</f>
        <v>750981.91040298517</v>
      </c>
      <c r="V108" s="315">
        <f>'Res-Capacity-Smart'!V84*1000</f>
        <v>759263.79454649787</v>
      </c>
      <c r="W108" s="315"/>
    </row>
    <row r="109" spans="1:23" s="76" customFormat="1" ht="12.75">
      <c r="A109" s="166" t="s">
        <v>328</v>
      </c>
      <c r="B109" s="329">
        <f>B99+B104</f>
        <v>152.09804593591335</v>
      </c>
      <c r="C109" s="315">
        <f>'Res-Capacity-Smart'!C85*1000</f>
        <v>2466.4377330326238</v>
      </c>
      <c r="D109" s="315">
        <f>'Res-Capacity-Smart'!D85*1000</f>
        <v>12517.73572493812</v>
      </c>
      <c r="E109" s="315">
        <f>'Res-Capacity-Smart'!E85*1000</f>
        <v>22863.411472881366</v>
      </c>
      <c r="F109" s="315">
        <f>'Res-Capacity-Smart'!F85*1000</f>
        <v>33500.882709025871</v>
      </c>
      <c r="G109" s="315">
        <f>'Res-Capacity-Smart'!G85*1000</f>
        <v>44428.428051034491</v>
      </c>
      <c r="H109" s="315">
        <f>'Res-Capacity-Smart'!H85*1000</f>
        <v>52983.565344269977</v>
      </c>
      <c r="I109" s="315">
        <f>'Res-Capacity-Smart'!I85*1000</f>
        <v>53693.696772539981</v>
      </c>
      <c r="J109" s="315">
        <f>'Res-Capacity-Smart'!J85*1000</f>
        <v>54400.01931688498</v>
      </c>
      <c r="K109" s="315">
        <f>'Res-Capacity-Smart'!K85*1000</f>
        <v>55099.586922187475</v>
      </c>
      <c r="L109" s="315">
        <f>'Res-Capacity-Smart'!L85*1000</f>
        <v>55795.672119329982</v>
      </c>
      <c r="M109" s="315">
        <f>'Res-Capacity-Smart'!M85*1000</f>
        <v>56483.92967134498</v>
      </c>
      <c r="N109" s="315">
        <f>'Res-Capacity-Smart'!N85*1000</f>
        <v>57160.40300288998</v>
      </c>
      <c r="O109" s="315">
        <f>'Res-Capacity-Smart'!O85*1000</f>
        <v>57822.278203799971</v>
      </c>
      <c r="P109" s="315">
        <f>'Res-Capacity-Smart'!P85*1000</f>
        <v>58472.952176677485</v>
      </c>
      <c r="Q109" s="315">
        <f>'Res-Capacity-Smart'!Q85*1000</f>
        <v>59117.796225179976</v>
      </c>
      <c r="R109" s="315">
        <f>'Res-Capacity-Smart'!R85*1000</f>
        <v>59769.751661621849</v>
      </c>
      <c r="S109" s="315">
        <f>'Res-Capacity-Smart'!S85*1000</f>
        <v>60428.896910916155</v>
      </c>
      <c r="T109" s="315">
        <f>'Res-Capacity-Smart'!T85*1000</f>
        <v>61095.311262851654</v>
      </c>
      <c r="U109" s="315">
        <f>'Res-Capacity-Smart'!U85*1000</f>
        <v>61769.07488163079</v>
      </c>
      <c r="V109" s="315">
        <f>'Res-Capacity-Smart'!V85*1000</f>
        <v>62450.268815512791</v>
      </c>
      <c r="W109" s="315"/>
    </row>
    <row r="111" spans="1:23">
      <c r="A111" s="287" t="s">
        <v>436</v>
      </c>
    </row>
    <row r="112" spans="1:23" s="70" customFormat="1">
      <c r="A112" s="478" t="s">
        <v>214</v>
      </c>
      <c r="B112" s="478" t="s">
        <v>356</v>
      </c>
      <c r="C112" s="463" t="s">
        <v>417</v>
      </c>
      <c r="D112" s="463"/>
      <c r="E112" s="463"/>
      <c r="F112" s="463"/>
      <c r="G112" s="463"/>
      <c r="H112" s="463"/>
      <c r="I112" s="463"/>
      <c r="J112" s="463"/>
      <c r="K112" s="463"/>
      <c r="L112" s="463"/>
      <c r="M112" s="463"/>
      <c r="N112" s="463"/>
      <c r="O112" s="463"/>
      <c r="P112" s="463"/>
      <c r="Q112" s="463"/>
      <c r="R112" s="463"/>
      <c r="S112" s="463"/>
      <c r="T112" s="463"/>
      <c r="U112" s="463"/>
      <c r="V112" s="463"/>
      <c r="W112" s="463"/>
    </row>
    <row r="113" spans="1:23" s="76" customFormat="1" ht="12.75">
      <c r="A113" s="479"/>
      <c r="B113" s="479"/>
      <c r="C113" s="276">
        <f>'Com-Capacity-Smart'!C99</f>
        <v>2016</v>
      </c>
      <c r="D113" s="327">
        <f>'Com-Capacity-Smart'!D99</f>
        <v>2017</v>
      </c>
      <c r="E113" s="327">
        <f>'Com-Capacity-Smart'!E99</f>
        <v>2018</v>
      </c>
      <c r="F113" s="327">
        <f>'Com-Capacity-Smart'!F99</f>
        <v>2019</v>
      </c>
      <c r="G113" s="327">
        <f>'Com-Capacity-Smart'!G99</f>
        <v>2020</v>
      </c>
      <c r="H113" s="327">
        <f>'Com-Capacity-Smart'!H99</f>
        <v>2021</v>
      </c>
      <c r="I113" s="327">
        <f>'Com-Capacity-Smart'!I99</f>
        <v>2022</v>
      </c>
      <c r="J113" s="327">
        <f>'Com-Capacity-Smart'!J99</f>
        <v>2023</v>
      </c>
      <c r="K113" s="327">
        <f>'Com-Capacity-Smart'!K99</f>
        <v>2024</v>
      </c>
      <c r="L113" s="327">
        <f>'Com-Capacity-Smart'!L99</f>
        <v>2025</v>
      </c>
      <c r="M113" s="327">
        <f>'Com-Capacity-Smart'!M99</f>
        <v>2026</v>
      </c>
      <c r="N113" s="327">
        <f>'Com-Capacity-Smart'!N99</f>
        <v>2027</v>
      </c>
      <c r="O113" s="327">
        <f>'Com-Capacity-Smart'!O99</f>
        <v>2028</v>
      </c>
      <c r="P113" s="327">
        <f>'Com-Capacity-Smart'!P99</f>
        <v>2029</v>
      </c>
      <c r="Q113" s="327">
        <f>'Com-Capacity-Smart'!Q99</f>
        <v>2030</v>
      </c>
      <c r="R113" s="327">
        <f>'Com-Capacity-Smart'!R99</f>
        <v>2031</v>
      </c>
      <c r="S113" s="327">
        <f>'Com-Capacity-Smart'!S99</f>
        <v>2032</v>
      </c>
      <c r="T113" s="327">
        <f>'Com-Capacity-Smart'!T99</f>
        <v>2033</v>
      </c>
      <c r="U113" s="327">
        <f>'Com-Capacity-Smart'!U99</f>
        <v>2034</v>
      </c>
      <c r="V113" s="327">
        <f>'Com-Capacity-Smart'!V99</f>
        <v>2035</v>
      </c>
      <c r="W113" s="276"/>
    </row>
    <row r="114" spans="1:23" s="76" customFormat="1" ht="12.75">
      <c r="A114" s="342" t="s">
        <v>311</v>
      </c>
      <c r="B114" s="337">
        <f>(1-'7thPlanAssumptions'!$B$4*0.01)^($C$113-'7thPlanAssumptions'!$B$8)*SUM(C114:W114)/(NPV('7thPlanAssumptions'!$B$3*0.01,'Com-Capacity-Smart'!D69:W69)+'Com-Capacity-Smart'!C69)/1000</f>
        <v>-4.8005607886314809</v>
      </c>
      <c r="C114" s="286">
        <f>('Com-Capacity-Smart'!C91)*(1+0.01*'7thPlanAssumptions'!$B$3)^('7thPlanAssumptions'!$B$8-C$113)</f>
        <v>-3473.8109961482396</v>
      </c>
      <c r="D114" s="286">
        <f>('Com-Capacity-Smart'!D91)*(1+0.01*'7thPlanAssumptions'!$B$3)^('7thPlanAssumptions'!$B$8-D$113)</f>
        <v>-18591.763916996784</v>
      </c>
      <c r="E114" s="286">
        <f>('Com-Capacity-Smart'!E91)*(1+0.01*'7thPlanAssumptions'!$B$3)^('7thPlanAssumptions'!$B$8-E$113)</f>
        <v>-35569.723609084183</v>
      </c>
      <c r="F114" s="286">
        <f>('Com-Capacity-Smart'!F91)*(1+0.01*'7thPlanAssumptions'!$B$3)^('7thPlanAssumptions'!$B$8-F$113)</f>
        <v>-54214.437081831842</v>
      </c>
      <c r="G114" s="286">
        <f>('Com-Capacity-Smart'!G91)*(1+0.01*'7thPlanAssumptions'!$B$3)^('7thPlanAssumptions'!$B$8-G$113)</f>
        <v>-74401.156751373943</v>
      </c>
      <c r="H114" s="286">
        <f>('Com-Capacity-Smart'!H91)*(1+0.01*'7thPlanAssumptions'!$B$3)^('7thPlanAssumptions'!$B$8-H$113)</f>
        <v>-85238.449616996353</v>
      </c>
      <c r="I114" s="286">
        <f>('Com-Capacity-Smart'!I91)*(1+0.01*'7thPlanAssumptions'!$B$3)^('7thPlanAssumptions'!$B$8-I$113)</f>
        <v>-82975.011226407194</v>
      </c>
      <c r="J114" s="286">
        <f>('Com-Capacity-Smart'!J91)*(1+0.01*'7thPlanAssumptions'!$B$3)^('7thPlanAssumptions'!$B$8-J$113)</f>
        <v>-80746.55217502384</v>
      </c>
      <c r="K114" s="286">
        <f>('Com-Capacity-Smart'!K91)*(1+0.01*'7thPlanAssumptions'!$B$3)^('7thPlanAssumptions'!$B$8-K$113)</f>
        <v>-78563.572792609324</v>
      </c>
      <c r="L114" s="286">
        <f>('Com-Capacity-Smart'!L91)*(1+0.01*'7thPlanAssumptions'!$B$3)^('7thPlanAssumptions'!$B$8-L$113)</f>
        <v>-76423.991878840388</v>
      </c>
      <c r="M114" s="286">
        <f>('Com-Capacity-Smart'!M91)*(1+0.01*'7thPlanAssumptions'!$B$3)^('7thPlanAssumptions'!$B$8-M$113)</f>
        <v>-74296.783583744167</v>
      </c>
      <c r="N114" s="286">
        <f>('Com-Capacity-Smart'!N91)*(1+0.01*'7thPlanAssumptions'!$B$3)^('7thPlanAssumptions'!$B$8-N$113)</f>
        <v>-72247.443343830877</v>
      </c>
      <c r="O114" s="286">
        <f>('Com-Capacity-Smart'!O91)*(1+0.01*'7thPlanAssumptions'!$B$3)^('7thPlanAssumptions'!$B$8-O$113)</f>
        <v>-70277.603093002501</v>
      </c>
      <c r="P114" s="286">
        <f>('Com-Capacity-Smart'!P91)*(1+0.01*'7thPlanAssumptions'!$B$3)^('7thPlanAssumptions'!$B$8-P$113)</f>
        <v>-68356.890049549023</v>
      </c>
      <c r="Q114" s="286">
        <f>('Com-Capacity-Smart'!Q91)*(1+0.01*'7thPlanAssumptions'!$B$3)^('7thPlanAssumptions'!$B$8-Q$113)</f>
        <v>-66462.92797376067</v>
      </c>
      <c r="R114" s="286">
        <f>('Com-Capacity-Smart'!R91)*(1+0.01*'7thPlanAssumptions'!$B$3)^('7thPlanAssumptions'!$B$8-R$113)</f>
        <v>-64621.441842122535</v>
      </c>
      <c r="S114" s="286">
        <f>('Com-Capacity-Smart'!S91)*(1+0.01*'7thPlanAssumptions'!$B$3)^('7thPlanAssumptions'!$B$8-S$113)</f>
        <v>-62830.977705397963</v>
      </c>
      <c r="T114" s="286">
        <f>('Com-Capacity-Smart'!T91)*(1+0.01*'7thPlanAssumptions'!$B$3)^('7thPlanAssumptions'!$B$8-T$113)</f>
        <v>-61090.121898873265</v>
      </c>
      <c r="U114" s="286">
        <f>('Com-Capacity-Smart'!U91)*(1+0.01*'7thPlanAssumptions'!$B$3)^('7thPlanAssumptions'!$B$8-U$113)</f>
        <v>-59397.49992619596</v>
      </c>
      <c r="V114" s="286">
        <f>('Com-Capacity-Smart'!V91)*(1+0.01*'7thPlanAssumptions'!$B$3)^('7thPlanAssumptions'!$B$8-V$113)</f>
        <v>-57751.775374138168</v>
      </c>
      <c r="W114" s="286"/>
    </row>
    <row r="115" spans="1:23" s="76" customFormat="1" ht="12.75">
      <c r="A115" s="101" t="s">
        <v>312</v>
      </c>
      <c r="B115" s="337">
        <f>(1-'7thPlanAssumptions'!$B$4*0.01)^($C$113-'7thPlanAssumptions'!$B$8)*SUM(C115:W115)/(NPV('7thPlanAssumptions'!$B$3*0.01,'Com-Capacity-Smart'!D70:W70)+'Com-Capacity-Smart'!C70)/1000</f>
        <v>-4.8005607886314818</v>
      </c>
      <c r="C115" s="286">
        <f>('Com-Capacity-Smart'!C92)*(1+0.01*'7thPlanAssumptions'!$B$3)^('7thPlanAssumptions'!$B$8-C$113)</f>
        <v>-37219.403530159718</v>
      </c>
      <c r="D115" s="286">
        <f>('Com-Capacity-Smart'!D92)*(1+0.01*'7thPlanAssumptions'!$B$3)^('7thPlanAssumptions'!$B$8-D$113)</f>
        <v>-199197.47053925126</v>
      </c>
      <c r="E115" s="286">
        <f>('Com-Capacity-Smart'!E92)*(1+0.01*'7thPlanAssumptions'!$B$3)^('7thPlanAssumptions'!$B$8-E$113)</f>
        <v>-381104.18152590183</v>
      </c>
      <c r="F115" s="286">
        <f>('Com-Capacity-Smart'!F92)*(1+0.01*'7thPlanAssumptions'!$B$3)^('7thPlanAssumptions'!$B$8-F$113)</f>
        <v>-580868.96873391268</v>
      </c>
      <c r="G115" s="286">
        <f>('Com-Capacity-Smart'!G92)*(1+0.01*'7thPlanAssumptions'!$B$3)^('7thPlanAssumptions'!$B$8-G$113)</f>
        <v>-797155.25090757781</v>
      </c>
      <c r="H115" s="286">
        <f>('Com-Capacity-Smart'!H92)*(1+0.01*'7thPlanAssumptions'!$B$3)^('7thPlanAssumptions'!$B$8-H$113)</f>
        <v>-913269.10303924663</v>
      </c>
      <c r="I115" s="286">
        <f>('Com-Capacity-Smart'!I92)*(1+0.01*'7thPlanAssumptions'!$B$3)^('7thPlanAssumptions'!$B$8-I$113)</f>
        <v>-889017.97742579109</v>
      </c>
      <c r="J115" s="286">
        <f>('Com-Capacity-Smart'!J92)*(1+0.01*'7thPlanAssumptions'!$B$3)^('7thPlanAssumptions'!$B$8-J$113)</f>
        <v>-865141.63044668385</v>
      </c>
      <c r="K115" s="286">
        <f>('Com-Capacity-Smart'!K92)*(1+0.01*'7thPlanAssumptions'!$B$3)^('7thPlanAssumptions'!$B$8-K$113)</f>
        <v>-841752.56563510001</v>
      </c>
      <c r="L115" s="286">
        <f>('Com-Capacity-Smart'!L92)*(1+0.01*'7thPlanAssumptions'!$B$3)^('7thPlanAssumptions'!$B$8-L$113)</f>
        <v>-818828.484416147</v>
      </c>
      <c r="M115" s="286">
        <f>('Com-Capacity-Smart'!M92)*(1+0.01*'7thPlanAssumptions'!$B$3)^('7thPlanAssumptions'!$B$8-M$113)</f>
        <v>-796036.96696868748</v>
      </c>
      <c r="N115" s="286">
        <f>('Com-Capacity-Smart'!N92)*(1+0.01*'7thPlanAssumptions'!$B$3)^('7thPlanAssumptions'!$B$8-N$113)</f>
        <v>-774079.75011247362</v>
      </c>
      <c r="O115" s="286">
        <f>('Com-Capacity-Smart'!O92)*(1+0.01*'7thPlanAssumptions'!$B$3)^('7thPlanAssumptions'!$B$8-O$113)</f>
        <v>-752974.31885359832</v>
      </c>
      <c r="P115" s="286">
        <f>('Com-Capacity-Smart'!P92)*(1+0.01*'7thPlanAssumptions'!$B$3)^('7thPlanAssumptions'!$B$8-P$113)</f>
        <v>-732395.25053088227</v>
      </c>
      <c r="Q115" s="286">
        <f>('Com-Capacity-Smart'!Q92)*(1+0.01*'7thPlanAssumptions'!$B$3)^('7thPlanAssumptions'!$B$8-Q$113)</f>
        <v>-712102.79971886426</v>
      </c>
      <c r="R115" s="286">
        <f>('Com-Capacity-Smart'!R92)*(1+0.01*'7thPlanAssumptions'!$B$3)^('7thPlanAssumptions'!$B$8-R$113)</f>
        <v>-692372.5911655986</v>
      </c>
      <c r="S115" s="286">
        <f>('Com-Capacity-Smart'!S92)*(1+0.01*'7thPlanAssumptions'!$B$3)^('7thPlanAssumptions'!$B$8-S$113)</f>
        <v>-673189.0468435497</v>
      </c>
      <c r="T115" s="286">
        <f>('Com-Capacity-Smart'!T92)*(1+0.01*'7thPlanAssumptions'!$B$3)^('7thPlanAssumptions'!$B$8-T$113)</f>
        <v>-654537.02034507063</v>
      </c>
      <c r="U115" s="286">
        <f>('Com-Capacity-Smart'!U92)*(1+0.01*'7thPlanAssumptions'!$B$3)^('7thPlanAssumptions'!$B$8-U$113)</f>
        <v>-636401.78492352809</v>
      </c>
      <c r="V115" s="286">
        <f>('Com-Capacity-Smart'!V92)*(1+0.01*'7thPlanAssumptions'!$B$3)^('7thPlanAssumptions'!$B$8-V$113)</f>
        <v>-618769.02186576615</v>
      </c>
      <c r="W115" s="286"/>
    </row>
    <row r="116" spans="1:23" s="76" customFormat="1" ht="12.75">
      <c r="A116" s="76" t="s">
        <v>347</v>
      </c>
      <c r="B116" s="337">
        <f>(1-'7thPlanAssumptions'!$B$4*0.01)^($C$113-'7thPlanAssumptions'!$B$8)*SUM(C116:W116)/(NPV('7thPlanAssumptions'!$B$3*0.01,'Com-Capacity-Smart'!D71:W71)+'Com-Capacity-Smart'!C71)/1000</f>
        <v>-4.8005607886314792</v>
      </c>
      <c r="C116" s="286">
        <f>('Com-Capacity-Smart'!C93)*(1+0.01*'7thPlanAssumptions'!$B$3)^('7thPlanAssumptions'!$B$8-C$113)</f>
        <v>-40641.877417990494</v>
      </c>
      <c r="D116" s="286">
        <f>('Com-Capacity-Smart'!D93)*(1+0.01*'7thPlanAssumptions'!$B$3)^('7thPlanAssumptions'!$B$8-D$113)</f>
        <v>-197740.43574951796</v>
      </c>
      <c r="E116" s="286">
        <f>('Com-Capacity-Smart'!E93)*(1+0.01*'7thPlanAssumptions'!$B$3)^('7thPlanAssumptions'!$B$8-E$113)</f>
        <v>-346790.20349579194</v>
      </c>
      <c r="F116" s="286">
        <f>('Com-Capacity-Smart'!F93)*(1+0.01*'7thPlanAssumptions'!$B$3)^('7thPlanAssumptions'!$B$8-F$113)</f>
        <v>-487909.39018321602</v>
      </c>
      <c r="G116" s="286">
        <f>('Com-Capacity-Smart'!G93)*(1+0.01*'7thPlanAssumptions'!$B$3)^('7thPlanAssumptions'!$B$8-G$113)</f>
        <v>-621754.91655352956</v>
      </c>
      <c r="H116" s="286">
        <f>('Com-Capacity-Smart'!H93)*(1+0.01*'7thPlanAssumptions'!$B$3)^('7thPlanAssumptions'!$B$8-H$113)</f>
        <v>-712319.90795343567</v>
      </c>
      <c r="I116" s="286">
        <f>('Com-Capacity-Smart'!I93)*(1+0.01*'7thPlanAssumptions'!$B$3)^('7thPlanAssumptions'!$B$8-I$113)</f>
        <v>-693404.82639942656</v>
      </c>
      <c r="J116" s="286">
        <f>('Com-Capacity-Smart'!J93)*(1+0.01*'7thPlanAssumptions'!$B$3)^('7thPlanAssumptions'!$B$8-J$113)</f>
        <v>-674782.05987220828</v>
      </c>
      <c r="K116" s="286">
        <f>('Com-Capacity-Smart'!K93)*(1+0.01*'7thPlanAssumptions'!$B$3)^('7thPlanAssumptions'!$B$8-K$113)</f>
        <v>-656539.35743295983</v>
      </c>
      <c r="L116" s="286">
        <f>('Com-Capacity-Smart'!L93)*(1+0.01*'7thPlanAssumptions'!$B$3)^('7thPlanAssumptions'!$B$8-L$113)</f>
        <v>-638659.3269255663</v>
      </c>
      <c r="M116" s="286">
        <f>('Com-Capacity-Smart'!M93)*(1+0.01*'7thPlanAssumptions'!$B$3)^('7thPlanAssumptions'!$B$8-M$113)</f>
        <v>-620882.69180644758</v>
      </c>
      <c r="N116" s="286">
        <f>('Com-Capacity-Smart'!N93)*(1+0.01*'7thPlanAssumptions'!$B$3)^('7thPlanAssumptions'!$B$8-N$113)</f>
        <v>-603756.78374946641</v>
      </c>
      <c r="O116" s="286">
        <f>('Com-Capacity-Smart'!O93)*(1+0.01*'7thPlanAssumptions'!$B$3)^('7thPlanAssumptions'!$B$8-O$113)</f>
        <v>-587295.24048515479</v>
      </c>
      <c r="P116" s="286">
        <f>('Com-Capacity-Smart'!P93)*(1+0.01*'7thPlanAssumptions'!$B$3)^('7thPlanAssumptions'!$B$8-P$113)</f>
        <v>-571244.24302490824</v>
      </c>
      <c r="Q116" s="286">
        <f>('Com-Capacity-Smart'!Q93)*(1+0.01*'7thPlanAssumptions'!$B$3)^('7thPlanAssumptions'!$B$8-Q$113)</f>
        <v>-555416.79781028011</v>
      </c>
      <c r="R116" s="286">
        <f>('Com-Capacity-Smart'!R93)*(1+0.01*'7thPlanAssumptions'!$B$3)^('7thPlanAssumptions'!$B$8-R$113)</f>
        <v>-540027.88309303694</v>
      </c>
      <c r="S116" s="286">
        <f>('Com-Capacity-Smart'!S93)*(1+0.01*'7thPlanAssumptions'!$B$3)^('7thPlanAssumptions'!$B$8-S$113)</f>
        <v>-525065.34852329409</v>
      </c>
      <c r="T116" s="286">
        <f>('Com-Capacity-Smart'!T93)*(1+0.01*'7thPlanAssumptions'!$B$3)^('7thPlanAssumptions'!$B$8-T$113)</f>
        <v>-510517.38040050684</v>
      </c>
      <c r="U116" s="286">
        <f>('Com-Capacity-Smart'!U93)*(1+0.01*'7thPlanAssumptions'!$B$3)^('7thPlanAssumptions'!$B$8-U$113)</f>
        <v>-496372.49234593741</v>
      </c>
      <c r="V116" s="286">
        <f>('Com-Capacity-Smart'!V93)*(1+0.01*'7thPlanAssumptions'!$B$3)^('7thPlanAssumptions'!$B$8-V$113)</f>
        <v>-482619.51623356168</v>
      </c>
      <c r="W116" s="286"/>
    </row>
    <row r="117" spans="1:23" s="76" customFormat="1" ht="12.75">
      <c r="C117" s="463" t="s">
        <v>420</v>
      </c>
      <c r="D117" s="463"/>
      <c r="E117" s="463"/>
      <c r="F117" s="463"/>
      <c r="G117" s="463"/>
      <c r="H117" s="463"/>
      <c r="I117" s="463"/>
      <c r="J117" s="463"/>
      <c r="K117" s="463"/>
      <c r="L117" s="463"/>
      <c r="M117" s="463"/>
      <c r="N117" s="463"/>
      <c r="O117" s="463"/>
      <c r="P117" s="463"/>
      <c r="Q117" s="463"/>
      <c r="R117" s="463"/>
      <c r="S117" s="463"/>
      <c r="T117" s="463"/>
      <c r="U117" s="463"/>
      <c r="V117" s="463"/>
      <c r="W117" s="463"/>
    </row>
    <row r="118" spans="1:23" s="76" customFormat="1" ht="12.75">
      <c r="A118" s="76" t="s">
        <v>311</v>
      </c>
      <c r="B118" s="337">
        <f>(1-'7thPlanAssumptions'!$B$4*0.01)^($C$113-'7thPlanAssumptions'!$B$8)*SUM(C118:W118)/(NPV('7thPlanAssumptions'!$B$3*0.01,'Com-Capacity-Smart'!D69:W69)+'Com-Capacity-Smart'!C69)/1000</f>
        <v>93.846351667990689</v>
      </c>
      <c r="C118" s="286">
        <f>'Com-Capacity-Smart'!C80*('7thPlanAssumptions'!$B$10)^('7thPlanAssumptions'!$B$8-CostByType_Details!C$113)</f>
        <v>223810.93863604905</v>
      </c>
      <c r="D118" s="286">
        <f>'Com-Capacity-Smart'!D80*('7thPlanAssumptions'!$B$10)^('7thPlanAssumptions'!$B$8-CostByType_Details!D$113)</f>
        <v>982628.64471787028</v>
      </c>
      <c r="E118" s="286">
        <f>'Com-Capacity-Smart'!E80*('7thPlanAssumptions'!$B$10)^('7thPlanAssumptions'!$B$8-CostByType_Details!E$113)</f>
        <v>1139927.6196440922</v>
      </c>
      <c r="F118" s="286">
        <f>'Com-Capacity-Smart'!F80*('7thPlanAssumptions'!$B$10)^('7thPlanAssumptions'!$B$8-CostByType_Details!F$113)</f>
        <v>1289384.7791310952</v>
      </c>
      <c r="G118" s="286">
        <f>'Com-Capacity-Smart'!G80*('7thPlanAssumptions'!$B$10)^('7thPlanAssumptions'!$B$8-CostByType_Details!G$113)</f>
        <v>1434934.9128977086</v>
      </c>
      <c r="H118" s="286">
        <f>'Com-Capacity-Smart'!H80*('7thPlanAssumptions'!$B$10)^('7thPlanAssumptions'!$B$8-CostByType_Details!H$113)+C118</f>
        <v>1106403.0711368951</v>
      </c>
      <c r="I118" s="286">
        <f>'Com-Capacity-Smart'!I80*('7thPlanAssumptions'!$B$10)^('7thPlanAssumptions'!$B$8-CostByType_Details!I$113)+D118</f>
        <v>1048020.7854654174</v>
      </c>
      <c r="J118" s="286">
        <f>'Com-Capacity-Smart'!J80*('7thPlanAssumptions'!$B$10)^('7thPlanAssumptions'!$B$8-CostByType_Details!J$113)+E118</f>
        <v>1201964.6052716575</v>
      </c>
      <c r="K118" s="286">
        <f>'Com-Capacity-Smart'!K80*('7thPlanAssumptions'!$B$10)^('7thPlanAssumptions'!$B$8-CostByType_Details!K$113)+F118</f>
        <v>1348829.8045184803</v>
      </c>
      <c r="L118" s="286">
        <f>'Com-Capacity-Smart'!L80*('7thPlanAssumptions'!$B$10)^('7thPlanAssumptions'!$B$8-CostByType_Details!L$113)+G118</f>
        <v>1491766.5890668898</v>
      </c>
      <c r="M118" s="286">
        <f>'Com-Capacity-Smart'!M80*('7thPlanAssumptions'!$B$10)^('7thPlanAssumptions'!$B$8-CostByType_Details!M$113)+H118</f>
        <v>1158730.0039710093</v>
      </c>
      <c r="N118" s="286">
        <f>'Com-Capacity-Smart'!N80*('7thPlanAssumptions'!$B$10)^('7thPlanAssumptions'!$B$8-CostByType_Details!N$113)+I118</f>
        <v>1100093.3789265824</v>
      </c>
      <c r="O118" s="286">
        <f>'Com-Capacity-Smart'!O80*('7thPlanAssumptions'!$B$10)^('7thPlanAssumptions'!$B$8-CostByType_Details!O$113)+J118</f>
        <v>1254080.9589627446</v>
      </c>
      <c r="P118" s="286">
        <f>'Com-Capacity-Smart'!P80*('7thPlanAssumptions'!$B$10)^('7thPlanAssumptions'!$B$8-CostByType_Details!P$113)+K118</f>
        <v>1399230.059915578</v>
      </c>
      <c r="Q118" s="286">
        <f>'Com-Capacity-Smart'!Q80*('7thPlanAssumptions'!$B$10)^('7thPlanAssumptions'!$B$8-CostByType_Details!Q$113)+L118</f>
        <v>1539130.8255801899</v>
      </c>
      <c r="R118" s="286">
        <f>'Com-Capacity-Smart'!R80*('7thPlanAssumptions'!$B$10)^('7thPlanAssumptions'!$B$8-CostByType_Details!R$113)+M118</f>
        <v>1204781.9211608297</v>
      </c>
      <c r="S118" s="286">
        <f>'Com-Capacity-Smart'!S80*('7thPlanAssumptions'!$B$10)^('7thPlanAssumptions'!$B$8-CostByType_Details!S$113)+N118</f>
        <v>1144869.3371807134</v>
      </c>
      <c r="T118" s="286">
        <f>'Com-Capacity-Smart'!T80*('7thPlanAssumptions'!$B$10)^('7thPlanAssumptions'!$B$8-CostByType_Details!T$113)+O118</f>
        <v>1297616.3112329135</v>
      </c>
      <c r="U118" s="286">
        <f>'Com-Capacity-Smart'!U80*('7thPlanAssumptions'!$B$10)^('7thPlanAssumptions'!$B$8-CostByType_Details!U$113)+P118</f>
        <v>1441559.1796304616</v>
      </c>
      <c r="V118" s="286">
        <f>'Com-Capacity-Smart'!V80*('7thPlanAssumptions'!$B$10)^('7thPlanAssumptions'!$B$8-CostByType_Details!V$113)+Q118</f>
        <v>1580287.133785021</v>
      </c>
      <c r="W118" s="286"/>
    </row>
    <row r="119" spans="1:23" s="76" customFormat="1" ht="12.75">
      <c r="A119" s="76" t="s">
        <v>312</v>
      </c>
      <c r="B119" s="337">
        <f>(1-'7thPlanAssumptions'!$B$4*0.01)^($C$113-'7thPlanAssumptions'!$B$8)*SUM(C119:W119)/(NPV('7thPlanAssumptions'!$B$3*0.01,'Com-Capacity-Smart'!D70:W70)+'Com-Capacity-Smart'!C70)/1000</f>
        <v>59.925306246987873</v>
      </c>
      <c r="C119" s="286">
        <f>'Com-Capacity-Smart'!C81*('7thPlanAssumptions'!$B$10)^('7thPlanAssumptions'!$B$8-CostByType_Details!C$113)</f>
        <v>1531219.3206706056</v>
      </c>
      <c r="D119" s="286">
        <f>'Com-Capacity-Smart'!D81*('7thPlanAssumptions'!$B$10)^('7thPlanAssumptions'!$B$8-CostByType_Details!D$113)</f>
        <v>6722727.5619585263</v>
      </c>
      <c r="E119" s="286">
        <f>'Com-Capacity-Smart'!E81*('7thPlanAssumptions'!$B$10)^('7thPlanAssumptions'!$B$8-CostByType_Details!E$113)</f>
        <v>7798900.2950544097</v>
      </c>
      <c r="F119" s="286">
        <f>'Com-Capacity-Smart'!F81*('7thPlanAssumptions'!$B$10)^('7thPlanAssumptions'!$B$8-CostByType_Details!F$113)</f>
        <v>8821422.659750782</v>
      </c>
      <c r="G119" s="286">
        <f>'Com-Capacity-Smart'!G81*('7thPlanAssumptions'!$B$10)^('7thPlanAssumptions'!$B$8-CostByType_Details!G$113)</f>
        <v>9817214.8149860948</v>
      </c>
      <c r="H119" s="286">
        <f>'Com-Capacity-Smart'!H81*('7thPlanAssumptions'!$B$10)^('7thPlanAssumptions'!$B$8-CostByType_Details!H$113)+C119</f>
        <v>7569539.5823751474</v>
      </c>
      <c r="I119" s="286">
        <f>'Com-Capacity-Smart'!I81*('7thPlanAssumptions'!$B$10)^('7thPlanAssumptions'!$B$8-CostByType_Details!I$113)+D119</f>
        <v>7170112.7967592347</v>
      </c>
      <c r="J119" s="286">
        <f>'Com-Capacity-Smart'!J81*('7thPlanAssumptions'!$B$10)^('7thPlanAssumptions'!$B$8-CostByType_Details!J$113)+E119</f>
        <v>8223330.9844925376</v>
      </c>
      <c r="K119" s="286">
        <f>'Com-Capacity-Smart'!K81*('7thPlanAssumptions'!$B$10)^('7thPlanAssumptions'!$B$8-CostByType_Details!K$113)+F119</f>
        <v>9228120.2588298712</v>
      </c>
      <c r="L119" s="286">
        <f>'Com-Capacity-Smart'!L81*('7thPlanAssumptions'!$B$10)^('7thPlanAssumptions'!$B$8-CostByType_Details!L$113)+G119</f>
        <v>10206032.989409002</v>
      </c>
      <c r="M119" s="286">
        <f>'Com-Capacity-Smart'!M81*('7thPlanAssumptions'!$B$10)^('7thPlanAssumptions'!$B$8-CostByType_Details!M$113)+H119</f>
        <v>7927538.2174522411</v>
      </c>
      <c r="N119" s="286">
        <f>'Com-Capacity-Smart'!N81*('7thPlanAssumptions'!$B$10)^('7thPlanAssumptions'!$B$8-CostByType_Details!N$113)+I119</f>
        <v>7526371.3499429217</v>
      </c>
      <c r="O119" s="286">
        <f>'Com-Capacity-Smart'!O81*('7thPlanAssumptions'!$B$10)^('7thPlanAssumptions'!$B$8-CostByType_Details!O$113)+J119</f>
        <v>8579888.9265708961</v>
      </c>
      <c r="P119" s="286">
        <f>'Com-Capacity-Smart'!P81*('7thPlanAssumptions'!$B$10)^('7thPlanAssumptions'!$B$8-CostByType_Details!P$113)+K119</f>
        <v>9572937.3857365474</v>
      </c>
      <c r="Q119" s="286">
        <f>'Com-Capacity-Smart'!Q81*('7thPlanAssumptions'!$B$10)^('7thPlanAssumptions'!$B$8-CostByType_Details!Q$113)+L119</f>
        <v>10530078.965445561</v>
      </c>
      <c r="R119" s="286">
        <f>'Com-Capacity-Smart'!R81*('7thPlanAssumptions'!$B$10)^('7thPlanAssumptions'!$B$8-CostByType_Details!R$113)+M119</f>
        <v>8242605.8624239862</v>
      </c>
      <c r="S119" s="286">
        <f>'Com-Capacity-Smart'!S81*('7thPlanAssumptions'!$B$10)^('7thPlanAssumptions'!$B$8-CostByType_Details!S$113)+N119</f>
        <v>7832709.4261696506</v>
      </c>
      <c r="T119" s="286">
        <f>'Com-Capacity-Smart'!T81*('7thPlanAssumptions'!$B$10)^('7thPlanAssumptions'!$B$8-CostByType_Details!T$113)+O119</f>
        <v>8877739.303923035</v>
      </c>
      <c r="U119" s="286">
        <f>'Com-Capacity-Smart'!U81*('7thPlanAssumptions'!$B$10)^('7thPlanAssumptions'!$B$8-CostByType_Details!U$113)+P119</f>
        <v>9862535.2326041143</v>
      </c>
      <c r="V119" s="286">
        <f>'Com-Capacity-Smart'!V81*('7thPlanAssumptions'!$B$10)^('7thPlanAssumptions'!$B$8-CostByType_Details!V$113)+Q119</f>
        <v>10811652.934415821</v>
      </c>
      <c r="W119" s="286"/>
    </row>
    <row r="120" spans="1:23" s="76" customFormat="1" ht="12.75">
      <c r="A120" s="76" t="s">
        <v>347</v>
      </c>
      <c r="B120" s="337">
        <f>(1-'7thPlanAssumptions'!$B$4*0.01)^($C$113-'7thPlanAssumptions'!$B$8)*SUM(C120:W120)/(NPV('7thPlanAssumptions'!$B$3*0.01,'Com-Capacity-Smart'!D71:W71)+'Com-Capacity-Smart'!C71)/1000</f>
        <v>59.538338914487376</v>
      </c>
      <c r="C120" s="286">
        <f>'Com-Capacity-Smart'!C82*('7thPlanAssumptions'!$B$10)^('7thPlanAssumptions'!$B$8-CostByType_Details!C$113)</f>
        <v>1672021.0972839948</v>
      </c>
      <c r="D120" s="286">
        <f>'Com-Capacity-Smart'!D82*('7thPlanAssumptions'!$B$10)^('7thPlanAssumptions'!$B$8-CostByType_Details!D$113)</f>
        <v>6527398.3158019017</v>
      </c>
      <c r="E120" s="286">
        <f>'Com-Capacity-Smart'!E82*('7thPlanAssumptions'!$B$10)^('7thPlanAssumptions'!$B$8-CostByType_Details!E$113)</f>
        <v>6444848.6243744548</v>
      </c>
      <c r="F120" s="286">
        <f>'Com-Capacity-Smart'!F82*('7thPlanAssumptions'!$B$10)^('7thPlanAssumptions'!$B$8-CostByType_Details!F$113)</f>
        <v>6354426.3424628023</v>
      </c>
      <c r="G120" s="286">
        <f>'Com-Capacity-Smart'!G82*('7thPlanAssumptions'!$B$10)^('7thPlanAssumptions'!$B$8-CostByType_Details!G$113)</f>
        <v>6278481.2839255519</v>
      </c>
      <c r="H120" s="286">
        <f>'Com-Capacity-Smart'!H82*('7thPlanAssumptions'!$B$10)^('7thPlanAssumptions'!$B$8-CostByType_Details!H$113)+C120</f>
        <v>6381712.5986134857</v>
      </c>
      <c r="I120" s="286">
        <f>'Com-Capacity-Smart'!I82*('7thPlanAssumptions'!$B$10)^('7thPlanAssumptions'!$B$8-CostByType_Details!I$113)+D120</f>
        <v>6876344.1064921068</v>
      </c>
      <c r="J120" s="286">
        <f>'Com-Capacity-Smart'!J82*('7thPlanAssumptions'!$B$10)^('7thPlanAssumptions'!$B$8-CostByType_Details!J$113)+E120</f>
        <v>6775890.6235257043</v>
      </c>
      <c r="K120" s="286">
        <f>'Com-Capacity-Smart'!K82*('7thPlanAssumptions'!$B$10)^('7thPlanAssumptions'!$B$8-CostByType_Details!K$113)+F120</f>
        <v>6671637.1135015022</v>
      </c>
      <c r="L120" s="286">
        <f>'Com-Capacity-Smart'!L82*('7thPlanAssumptions'!$B$10)^('7thPlanAssumptions'!$B$8-CostByType_Details!L$113)+G120</f>
        <v>6581746.6909056455</v>
      </c>
      <c r="M120" s="286">
        <f>'Com-Capacity-Smart'!M82*('7thPlanAssumptions'!$B$10)^('7thPlanAssumptions'!$B$8-CostByType_Details!M$113)+H120</f>
        <v>6660939.7770397905</v>
      </c>
      <c r="N120" s="286">
        <f>'Com-Capacity-Smart'!N82*('7thPlanAssumptions'!$B$10)^('7thPlanAssumptions'!$B$8-CostByType_Details!N$113)+I120</f>
        <v>7154214.0781871006</v>
      </c>
      <c r="O120" s="286">
        <f>'Com-Capacity-Smart'!O82*('7thPlanAssumptions'!$B$10)^('7thPlanAssumptions'!$B$8-CostByType_Details!O$113)+J120</f>
        <v>7053994.1087263981</v>
      </c>
      <c r="P120" s="286">
        <f>'Com-Capacity-Smart'!P82*('7thPlanAssumptions'!$B$10)^('7thPlanAssumptions'!$B$8-CostByType_Details!P$113)+K120</f>
        <v>6940583.1484451331</v>
      </c>
      <c r="Q120" s="286">
        <f>'Com-Capacity-Smart'!Q82*('7thPlanAssumptions'!$B$10)^('7thPlanAssumptions'!$B$8-CostByType_Details!Q$113)+L120</f>
        <v>6834491.9103101864</v>
      </c>
      <c r="R120" s="286">
        <f>'Com-Capacity-Smart'!R82*('7thPlanAssumptions'!$B$10)^('7thPlanAssumptions'!$B$8-CostByType_Details!R$113)+M120</f>
        <v>6906682.1930686627</v>
      </c>
      <c r="S120" s="286">
        <f>'Com-Capacity-Smart'!S82*('7thPlanAssumptions'!$B$10)^('7thPlanAssumptions'!$B$8-CostByType_Details!S$113)+N120</f>
        <v>7393147.7172801895</v>
      </c>
      <c r="T120" s="286">
        <f>'Com-Capacity-Smart'!T82*('7thPlanAssumptions'!$B$10)^('7thPlanAssumptions'!$B$8-CostByType_Details!T$113)+O120</f>
        <v>7286307.6214394784</v>
      </c>
      <c r="U120" s="286">
        <f>'Com-Capacity-Smart'!U82*('7thPlanAssumptions'!$B$10)^('7thPlanAssumptions'!$B$8-CostByType_Details!U$113)+P120</f>
        <v>7166459.9583993126</v>
      </c>
      <c r="V120" s="286">
        <f>'Com-Capacity-Smart'!V82*('7thPlanAssumptions'!$B$10)^('7thPlanAssumptions'!$B$8-CostByType_Details!V$113)+Q120</f>
        <v>7054110.359014418</v>
      </c>
      <c r="W120" s="286"/>
    </row>
    <row r="121" spans="1:23" s="76" customFormat="1" ht="12.75">
      <c r="B121" s="339" t="s">
        <v>331</v>
      </c>
      <c r="C121" s="463" t="s">
        <v>409</v>
      </c>
      <c r="D121" s="463"/>
      <c r="E121" s="463"/>
      <c r="F121" s="463"/>
      <c r="G121" s="463"/>
      <c r="H121" s="463"/>
      <c r="I121" s="463"/>
      <c r="J121" s="463"/>
      <c r="K121" s="463"/>
      <c r="L121" s="463"/>
      <c r="M121" s="463"/>
      <c r="N121" s="463"/>
      <c r="O121" s="463"/>
      <c r="P121" s="463"/>
      <c r="Q121" s="463"/>
      <c r="R121" s="463"/>
      <c r="S121" s="463"/>
      <c r="T121" s="463"/>
      <c r="U121" s="463"/>
      <c r="V121" s="463"/>
      <c r="W121" s="463"/>
    </row>
    <row r="122" spans="1:23" s="76" customFormat="1" ht="12.75">
      <c r="A122" s="76" t="s">
        <v>311</v>
      </c>
      <c r="B122" s="329">
        <f>B114+B118</f>
        <v>89.045790879359203</v>
      </c>
      <c r="C122" s="344">
        <f>'Com-Capacity-Smart'!C69*1000</f>
        <v>677.31125494435764</v>
      </c>
      <c r="D122" s="344">
        <f>'Com-Capacity-Smart'!D69*1000</f>
        <v>3769.9539217249562</v>
      </c>
      <c r="E122" s="344">
        <f>'Com-Capacity-Smart'!E69*1000</f>
        <v>7501.1746275367341</v>
      </c>
      <c r="F122" s="344">
        <f>'Com-Capacity-Smart'!F69*1000</f>
        <v>11890.416774894084</v>
      </c>
      <c r="G122" s="344">
        <f>'Com-Capacity-Smart'!G69*1000</f>
        <v>16970.520074046963</v>
      </c>
      <c r="H122" s="344">
        <f>'Com-Capacity-Smart'!H69*1000</f>
        <v>20220.148702060753</v>
      </c>
      <c r="I122" s="344">
        <f>'Com-Capacity-Smart'!I69*1000</f>
        <v>20470.54769315412</v>
      </c>
      <c r="J122" s="344">
        <f>'Com-Capacity-Smart'!J69*1000</f>
        <v>20717.601213216258</v>
      </c>
      <c r="K122" s="344">
        <f>'Com-Capacity-Smart'!K69*1000</f>
        <v>20963.801874459146</v>
      </c>
      <c r="L122" s="344">
        <f>'Com-Capacity-Smart'!L69*1000</f>
        <v>21208.594033393572</v>
      </c>
      <c r="M122" s="344">
        <f>'Com-Capacity-Smart'!M69*1000</f>
        <v>21442.998377435408</v>
      </c>
      <c r="N122" s="344">
        <f>'Com-Capacity-Smart'!N69*1000</f>
        <v>21685.59397992519</v>
      </c>
      <c r="O122" s="344">
        <f>'Com-Capacity-Smart'!O69*1000</f>
        <v>21938.105431308857</v>
      </c>
      <c r="P122" s="344">
        <f>'Com-Capacity-Smart'!P69*1000</f>
        <v>22192.07000036713</v>
      </c>
      <c r="Q122" s="344">
        <f>'Com-Capacity-Smart'!Q69*1000</f>
        <v>22440.282858276376</v>
      </c>
      <c r="R122" s="344">
        <f>'Com-Capacity-Smart'!R69*1000</f>
        <v>22691.271916099831</v>
      </c>
      <c r="S122" s="344">
        <f>'Com-Capacity-Smart'!S69*1000</f>
        <v>22945.068224952403</v>
      </c>
      <c r="T122" s="344">
        <f>'Com-Capacity-Smart'!T69*1000</f>
        <v>23201.703183248039</v>
      </c>
      <c r="U122" s="344">
        <f>'Com-Capacity-Smart'!U69*1000</f>
        <v>23461.20854058427</v>
      </c>
      <c r="V122" s="344">
        <f>'Com-Capacity-Smart'!V69*1000</f>
        <v>23723.616401670086</v>
      </c>
    </row>
    <row r="123" spans="1:23" s="76" customFormat="1" ht="12.75">
      <c r="A123" s="76" t="s">
        <v>312</v>
      </c>
      <c r="B123" s="329">
        <f>B115+B119</f>
        <v>55.124745458356394</v>
      </c>
      <c r="C123" s="344">
        <f>'Com-Capacity-Smart'!C70*1000</f>
        <v>7256.9063029752606</v>
      </c>
      <c r="D123" s="344">
        <f>'Com-Capacity-Smart'!D70*1000</f>
        <v>40392.363447053103</v>
      </c>
      <c r="E123" s="344">
        <f>'Com-Capacity-Smart'!E70*1000</f>
        <v>80369.728152179276</v>
      </c>
      <c r="F123" s="344">
        <f>'Com-Capacity-Smart'!F70*1000</f>
        <v>127397.3225881509</v>
      </c>
      <c r="G123" s="344">
        <f>'Com-Capacity-Smart'!G70*1000</f>
        <v>181827.00079336029</v>
      </c>
      <c r="H123" s="344">
        <f>'Com-Capacity-Smart'!H70*1000</f>
        <v>216644.45037922237</v>
      </c>
      <c r="I123" s="344">
        <f>'Com-Capacity-Smart'!I70*1000</f>
        <v>219327.29671236555</v>
      </c>
      <c r="J123" s="344">
        <f>'Com-Capacity-Smart'!J70*1000</f>
        <v>221974.29871303131</v>
      </c>
      <c r="K123" s="344">
        <f>'Com-Capacity-Smart'!K70*1000</f>
        <v>224612.16294063372</v>
      </c>
      <c r="L123" s="344">
        <f>'Com-Capacity-Smart'!L70*1000</f>
        <v>227234.93607207402</v>
      </c>
      <c r="M123" s="344">
        <f>'Com-Capacity-Smart'!M70*1000</f>
        <v>229746.41118680793</v>
      </c>
      <c r="N123" s="344">
        <f>'Com-Capacity-Smart'!N70*1000</f>
        <v>232345.64978491276</v>
      </c>
      <c r="O123" s="344">
        <f>'Com-Capacity-Smart'!O70*1000</f>
        <v>235051.1296211663</v>
      </c>
      <c r="P123" s="344">
        <f>'Com-Capacity-Smart'!P70*1000</f>
        <v>237772.17857536208</v>
      </c>
      <c r="Q123" s="344">
        <f>'Com-Capacity-Smart'!Q70*1000</f>
        <v>240431.60205296116</v>
      </c>
      <c r="R123" s="344">
        <f>'Com-Capacity-Smart'!R70*1000</f>
        <v>243120.77052964107</v>
      </c>
      <c r="S123" s="344">
        <f>'Com-Capacity-Smart'!S70*1000</f>
        <v>245840.01669591863</v>
      </c>
      <c r="T123" s="344">
        <f>'Com-Capacity-Smart'!T70*1000</f>
        <v>248589.67696337184</v>
      </c>
      <c r="U123" s="344">
        <f>'Com-Capacity-Smart'!U70*1000</f>
        <v>251370.09150626001</v>
      </c>
      <c r="V123" s="344">
        <f>'Com-Capacity-Smart'!V70*1000</f>
        <v>254181.6043036081</v>
      </c>
    </row>
    <row r="124" spans="1:23" s="76" customFormat="1" ht="12.75">
      <c r="A124" s="76" t="s">
        <v>347</v>
      </c>
      <c r="B124" s="329">
        <f>B116+B120</f>
        <v>54.737778125855897</v>
      </c>
      <c r="C124" s="344">
        <f>'Com-Capacity-Smart'!C71*1000</f>
        <v>7924.2080319844799</v>
      </c>
      <c r="D124" s="344">
        <f>'Com-Capacity-Smart'!D71*1000</f>
        <v>40096.91251274864</v>
      </c>
      <c r="E124" s="344">
        <f>'Com-Capacity-Smart'!E71*1000</f>
        <v>73133.373318553946</v>
      </c>
      <c r="F124" s="344">
        <f>'Com-Capacity-Smart'!F71*1000</f>
        <v>107009.24532161219</v>
      </c>
      <c r="G124" s="344">
        <f>'Com-Capacity-Smart'!G71*1000</f>
        <v>141819.08928874574</v>
      </c>
      <c r="H124" s="344">
        <f>'Com-Capacity-Smart'!H71*1000</f>
        <v>168975.55653551835</v>
      </c>
      <c r="I124" s="344">
        <f>'Com-Capacity-Smart'!I71*1000</f>
        <v>171068.08856875804</v>
      </c>
      <c r="J124" s="344">
        <f>'Com-Capacity-Smart'!J71*1000</f>
        <v>173132.66319981922</v>
      </c>
      <c r="K124" s="344">
        <f>'Com-Capacity-Smart'!K71*1000</f>
        <v>175190.11066798199</v>
      </c>
      <c r="L124" s="344">
        <f>'Com-Capacity-Smart'!L71*1000</f>
        <v>177235.78757674081</v>
      </c>
      <c r="M124" s="344">
        <f>'Com-Capacity-Smart'!M71*1000</f>
        <v>179194.65568757599</v>
      </c>
      <c r="N124" s="344">
        <f>'Com-Capacity-Smart'!N71*1000</f>
        <v>181221.97643322425</v>
      </c>
      <c r="O124" s="344">
        <f>'Com-Capacity-Smart'!O71*1000</f>
        <v>183332.16185558954</v>
      </c>
      <c r="P124" s="344">
        <f>'Com-Capacity-Smart'!P71*1000</f>
        <v>185454.49067864864</v>
      </c>
      <c r="Q124" s="344">
        <f>'Com-Capacity-Smart'!Q71*1000</f>
        <v>187528.75365378748</v>
      </c>
      <c r="R124" s="344">
        <f>'Com-Capacity-Smart'!R71*1000</f>
        <v>189626.21675136217</v>
      </c>
      <c r="S124" s="344">
        <f>'Com-Capacity-Smart'!S71*1000</f>
        <v>191747.13945904985</v>
      </c>
      <c r="T124" s="344">
        <f>'Com-Capacity-Smart'!T71*1000</f>
        <v>193891.78416683356</v>
      </c>
      <c r="U124" s="344">
        <f>'Com-Capacity-Smart'!U71*1000</f>
        <v>196060.41619946394</v>
      </c>
      <c r="V124" s="344">
        <f>'Com-Capacity-Smart'!V71*1000</f>
        <v>198253.30384928387</v>
      </c>
    </row>
    <row r="126" spans="1:23">
      <c r="A126" s="287" t="s">
        <v>437</v>
      </c>
    </row>
    <row r="127" spans="1:23" s="70" customFormat="1">
      <c r="A127" s="478" t="s">
        <v>214</v>
      </c>
      <c r="B127" s="478" t="s">
        <v>392</v>
      </c>
      <c r="C127" s="463" t="s">
        <v>417</v>
      </c>
      <c r="D127" s="463"/>
      <c r="E127" s="463"/>
      <c r="F127" s="463"/>
      <c r="G127" s="463"/>
      <c r="H127" s="463"/>
      <c r="I127" s="463"/>
      <c r="J127" s="463"/>
      <c r="K127" s="463"/>
      <c r="L127" s="463"/>
      <c r="M127" s="463"/>
      <c r="N127" s="463"/>
      <c r="O127" s="463"/>
      <c r="P127" s="463"/>
      <c r="Q127" s="463"/>
      <c r="R127" s="463"/>
      <c r="S127" s="463"/>
      <c r="T127" s="463"/>
      <c r="U127" s="463"/>
      <c r="V127" s="463"/>
      <c r="W127" s="463"/>
    </row>
    <row r="128" spans="1:23" s="76" customFormat="1" ht="12.75">
      <c r="A128" s="479"/>
      <c r="B128" s="479"/>
      <c r="C128" s="313">
        <f>'Ag-Ind-Capacity-Smart'!C117</f>
        <v>2016</v>
      </c>
      <c r="D128" s="327">
        <f>'Ag-Ind-Capacity-Smart'!D117</f>
        <v>2017</v>
      </c>
      <c r="E128" s="327">
        <f>'Ag-Ind-Capacity-Smart'!E117</f>
        <v>2018</v>
      </c>
      <c r="F128" s="327">
        <f>'Ag-Ind-Capacity-Smart'!F117</f>
        <v>2019</v>
      </c>
      <c r="G128" s="327">
        <f>'Ag-Ind-Capacity-Smart'!G117</f>
        <v>2020</v>
      </c>
      <c r="H128" s="327">
        <f>'Ag-Ind-Capacity-Smart'!H117</f>
        <v>2021</v>
      </c>
      <c r="I128" s="327">
        <f>'Ag-Ind-Capacity-Smart'!I117</f>
        <v>2022</v>
      </c>
      <c r="J128" s="327">
        <f>'Ag-Ind-Capacity-Smart'!J117</f>
        <v>2023</v>
      </c>
      <c r="K128" s="327">
        <f>'Ag-Ind-Capacity-Smart'!K117</f>
        <v>2024</v>
      </c>
      <c r="L128" s="327">
        <f>'Ag-Ind-Capacity-Smart'!L117</f>
        <v>2025</v>
      </c>
      <c r="M128" s="327">
        <f>'Ag-Ind-Capacity-Smart'!M117</f>
        <v>2026</v>
      </c>
      <c r="N128" s="327">
        <f>'Ag-Ind-Capacity-Smart'!N117</f>
        <v>2027</v>
      </c>
      <c r="O128" s="327">
        <f>'Ag-Ind-Capacity-Smart'!O117</f>
        <v>2028</v>
      </c>
      <c r="P128" s="327">
        <f>'Ag-Ind-Capacity-Smart'!P117</f>
        <v>2029</v>
      </c>
      <c r="Q128" s="327">
        <f>'Ag-Ind-Capacity-Smart'!Q117</f>
        <v>2030</v>
      </c>
      <c r="R128" s="327">
        <f>'Ag-Ind-Capacity-Smart'!R117</f>
        <v>2031</v>
      </c>
      <c r="S128" s="327">
        <f>'Ag-Ind-Capacity-Smart'!S117</f>
        <v>2032</v>
      </c>
      <c r="T128" s="327">
        <f>'Ag-Ind-Capacity-Smart'!T117</f>
        <v>2033</v>
      </c>
      <c r="U128" s="327">
        <f>'Ag-Ind-Capacity-Smart'!U117</f>
        <v>2034</v>
      </c>
      <c r="V128" s="327">
        <f>'Ag-Ind-Capacity-Smart'!V117</f>
        <v>2035</v>
      </c>
      <c r="W128" s="327"/>
    </row>
    <row r="129" spans="1:23" s="76" customFormat="1" ht="12.75">
      <c r="A129" s="107" t="s">
        <v>326</v>
      </c>
      <c r="B129" s="337">
        <f>(1-'7thPlanAssumptions'!$B$4*0.01)^($C$128-'7thPlanAssumptions'!$B$8)*SUM(C129:W129)/(NPV('7thPlanAssumptions'!$B$3*0.01,'Ag-Ind-Capacity-Smart'!D84:W84)+'Ag-Ind-Capacity-Smart'!C84)/1000</f>
        <v>-4.8005607886314792</v>
      </c>
      <c r="C129" s="286">
        <f>('Ag-Ind-Capacity-Smart'!C108)*(1+0.01*'7thPlanAssumptions'!$B$3)^('7thPlanAssumptions'!$B$8-C$128)</f>
        <v>-1167.6379314003746</v>
      </c>
      <c r="D129" s="286">
        <f>('Ag-Ind-Capacity-Smart'!D108)*(1+0.01*'7thPlanAssumptions'!$B$3)^('7thPlanAssumptions'!$B$8-D$128)</f>
        <v>-5681.0671165149161</v>
      </c>
      <c r="E129" s="286">
        <f>('Ag-Ind-Capacity-Smart'!E108)*(1+0.01*'7thPlanAssumptions'!$B$3)^('7thPlanAssumptions'!$B$8-E$128)</f>
        <v>-9963.2551831992332</v>
      </c>
      <c r="F129" s="286">
        <f>('Ag-Ind-Capacity-Smart'!F108)*(1+0.01*'7thPlanAssumptions'!$B$3)^('7thPlanAssumptions'!$B$8-F$128)</f>
        <v>-14017.598281819653</v>
      </c>
      <c r="G129" s="286">
        <f>('Ag-Ind-Capacity-Smart'!G108)*(1+0.01*'7thPlanAssumptions'!$B$3)^('7thPlanAssumptions'!$B$8-G$128)</f>
        <v>-17862.969693452509</v>
      </c>
      <c r="H129" s="286">
        <f>('Ag-Ind-Capacity-Smart'!H108)*(1+0.01*'7thPlanAssumptions'!$B$3)^('7thPlanAssumptions'!$B$8-H$128)</f>
        <v>-20464.894750405438</v>
      </c>
      <c r="I129" s="286">
        <f>('Ag-Ind-Capacity-Smart'!I108)*(1+0.01*'7thPlanAssumptions'!$B$3)^('7thPlanAssumptions'!$B$8-I$128)</f>
        <v>-19921.465949839851</v>
      </c>
      <c r="J129" s="286">
        <f>('Ag-Ind-Capacity-Smart'!J108)*(1+0.01*'7thPlanAssumptions'!$B$3)^('7thPlanAssumptions'!$B$8-J$128)</f>
        <v>-19386.435336929044</v>
      </c>
      <c r="K129" s="286">
        <f>('Ag-Ind-Capacity-Smart'!K108)*(1+0.01*'7thPlanAssumptions'!$B$3)^('7thPlanAssumptions'!$B$8-K$128)</f>
        <v>-18862.32393527692</v>
      </c>
      <c r="L129" s="286">
        <f>('Ag-Ind-Capacity-Smart'!L108)*(1+0.01*'7thPlanAssumptions'!$B$3)^('7thPlanAssumptions'!$B$8-L$128)</f>
        <v>-18348.632069610612</v>
      </c>
      <c r="M129" s="286">
        <f>('Ag-Ind-Capacity-Smart'!M108)*(1+0.01*'7thPlanAssumptions'!$B$3)^('7thPlanAssumptions'!$B$8-M$128)</f>
        <v>-17837.910745291112</v>
      </c>
      <c r="N129" s="286">
        <f>('Ag-Ind-Capacity-Smart'!N108)*(1+0.01*'7thPlanAssumptions'!$B$3)^('7thPlanAssumptions'!$B$8-N$128)</f>
        <v>-17345.884758121661</v>
      </c>
      <c r="O129" s="286">
        <f>('Ag-Ind-Capacity-Smart'!O108)*(1+0.01*'7thPlanAssumptions'!$B$3)^('7thPlanAssumptions'!$B$8-O$128)</f>
        <v>-16872.945919024376</v>
      </c>
      <c r="P129" s="286">
        <f>('Ag-Ind-Capacity-Smart'!P108)*(1+0.01*'7thPlanAssumptions'!$B$3)^('7thPlanAssumptions'!$B$8-P$128)</f>
        <v>-16411.802028484057</v>
      </c>
      <c r="Q129" s="286">
        <f>('Ag-Ind-Capacity-Smart'!Q108)*(1+0.01*'7thPlanAssumptions'!$B$3)^('7thPlanAssumptions'!$B$8-Q$128)</f>
        <v>-15957.080776321123</v>
      </c>
      <c r="R129" s="286">
        <f>('Ag-Ind-Capacity-Smart'!R108)*(1+0.01*'7thPlanAssumptions'!$B$3)^('7thPlanAssumptions'!$B$8-R$128)</f>
        <v>-15514.958470746114</v>
      </c>
      <c r="S129" s="286">
        <f>('Ag-Ind-Capacity-Smart'!S108)*(1+0.01*'7thPlanAssumptions'!$B$3)^('7thPlanAssumptions'!$B$8-S$128)</f>
        <v>-15085.086033165577</v>
      </c>
      <c r="T129" s="286">
        <f>('Ag-Ind-Capacity-Smart'!T108)*(1+0.01*'7thPlanAssumptions'!$B$3)^('7thPlanAssumptions'!$B$8-T$128)</f>
        <v>-14667.124056894994</v>
      </c>
      <c r="U129" s="286">
        <f>('Ag-Ind-Capacity-Smart'!U108)*(1+0.01*'7thPlanAssumptions'!$B$3)^('7thPlanAssumptions'!$B$8-U$128)</f>
        <v>-14260.742539179573</v>
      </c>
      <c r="V129" s="286">
        <f>('Ag-Ind-Capacity-Smart'!V108)*(1+0.01*'7thPlanAssumptions'!$B$3)^('7thPlanAssumptions'!$B$8-V$128)</f>
        <v>-13865.620620639831</v>
      </c>
      <c r="W129" s="286"/>
    </row>
    <row r="130" spans="1:23" s="76" customFormat="1" ht="12.75">
      <c r="A130" s="91" t="s">
        <v>324</v>
      </c>
      <c r="B130" s="337">
        <f>(1-'7thPlanAssumptions'!$B$4*0.01)^($C$128-'7thPlanAssumptions'!$B$8)*SUM(C130:W130)/(NPV('7thPlanAssumptions'!$B$3*0.01,'Ag-Ind-Capacity-Smart'!D85:W85)+'Ag-Ind-Capacity-Smart'!C85)/1000</f>
        <v>-4.8005607886314818</v>
      </c>
      <c r="C130" s="286">
        <f>('Ag-Ind-Capacity-Smart'!C109)*(1+0.01*'7thPlanAssumptions'!$B$3)^('7thPlanAssumptions'!$B$8-C$128)</f>
        <v>-132332.29889204251</v>
      </c>
      <c r="D130" s="286">
        <f>('Ag-Ind-Capacity-Smart'!D109)*(1+0.01*'7thPlanAssumptions'!$B$3)^('7thPlanAssumptions'!$B$8-D$128)</f>
        <v>-643854.27320502372</v>
      </c>
      <c r="E130" s="286">
        <f>('Ag-Ind-Capacity-Smart'!E109)*(1+0.01*'7thPlanAssumptions'!$B$3)^('7thPlanAssumptions'!$B$8-E$128)</f>
        <v>-1129168.9207625799</v>
      </c>
      <c r="F130" s="286">
        <f>('Ag-Ind-Capacity-Smart'!F109)*(1+0.01*'7thPlanAssumptions'!$B$3)^('7thPlanAssumptions'!$B$8-F$128)</f>
        <v>-1588661.1386062277</v>
      </c>
      <c r="G130" s="286">
        <f>('Ag-Ind-Capacity-Smart'!G109)*(1+0.01*'7thPlanAssumptions'!$B$3)^('7thPlanAssumptions'!$B$8-G$128)</f>
        <v>-2024469.8985912844</v>
      </c>
      <c r="H130" s="286">
        <f>('Ag-Ind-Capacity-Smart'!H109)*(1+0.01*'7thPlanAssumptions'!$B$3)^('7thPlanAssumptions'!$B$8-H$128)</f>
        <v>-2319354.7383792824</v>
      </c>
      <c r="I130" s="286">
        <f>('Ag-Ind-Capacity-Smart'!I109)*(1+0.01*'7thPlanAssumptions'!$B$3)^('7thPlanAssumptions'!$B$8-I$128)</f>
        <v>-2257766.1409818493</v>
      </c>
      <c r="J130" s="286">
        <f>('Ag-Ind-Capacity-Smart'!J109)*(1+0.01*'7thPlanAssumptions'!$B$3)^('7thPlanAssumptions'!$B$8-J$128)</f>
        <v>-2197129.3381852917</v>
      </c>
      <c r="K130" s="286">
        <f>('Ag-Ind-Capacity-Smart'!K109)*(1+0.01*'7thPlanAssumptions'!$B$3)^('7thPlanAssumptions'!$B$8-K$128)</f>
        <v>-2137730.0459980513</v>
      </c>
      <c r="L130" s="286">
        <f>('Ag-Ind-Capacity-Smart'!L109)*(1+0.01*'7thPlanAssumptions'!$B$3)^('7thPlanAssumptions'!$B$8-L$128)</f>
        <v>-2079511.6345558693</v>
      </c>
      <c r="M130" s="286">
        <f>('Ag-Ind-Capacity-Smart'!M109)*(1+0.01*'7thPlanAssumptions'!$B$3)^('7thPlanAssumptions'!$B$8-M$128)</f>
        <v>-2021629.8844663259</v>
      </c>
      <c r="N130" s="286">
        <f>('Ag-Ind-Capacity-Smart'!N109)*(1+0.01*'7thPlanAssumptions'!$B$3)^('7thPlanAssumptions'!$B$8-N$128)</f>
        <v>-1965866.9392537884</v>
      </c>
      <c r="O130" s="286">
        <f>('Ag-Ind-Capacity-Smart'!O109)*(1+0.01*'7thPlanAssumptions'!$B$3)^('7thPlanAssumptions'!$B$8-O$128)</f>
        <v>-1912267.2041560963</v>
      </c>
      <c r="P130" s="286">
        <f>('Ag-Ind-Capacity-Smart'!P109)*(1+0.01*'7thPlanAssumptions'!$B$3)^('7thPlanAssumptions'!$B$8-P$128)</f>
        <v>-1860004.2298948597</v>
      </c>
      <c r="Q130" s="286">
        <f>('Ag-Ind-Capacity-Smart'!Q109)*(1+0.01*'7thPlanAssumptions'!$B$3)^('7thPlanAssumptions'!$B$8-Q$128)</f>
        <v>-1808469.1546497263</v>
      </c>
      <c r="R130" s="286">
        <f>('Ag-Ind-Capacity-Smart'!R109)*(1+0.01*'7thPlanAssumptions'!$B$3)^('7thPlanAssumptions'!$B$8-R$128)</f>
        <v>-1758361.9600178932</v>
      </c>
      <c r="S130" s="286">
        <f>('Ag-Ind-Capacity-Smart'!S109)*(1+0.01*'7thPlanAssumptions'!$B$3)^('7thPlanAssumptions'!$B$8-S$128)</f>
        <v>-1709643.0837587658</v>
      </c>
      <c r="T130" s="286">
        <f>('Ag-Ind-Capacity-Smart'!T109)*(1+0.01*'7thPlanAssumptions'!$B$3)^('7thPlanAssumptions'!$B$8-T$128)</f>
        <v>-1662274.0597814331</v>
      </c>
      <c r="U130" s="286">
        <f>('Ag-Ind-Capacity-Smart'!U109)*(1+0.01*'7thPlanAssumptions'!$B$3)^('7thPlanAssumptions'!$B$8-U$128)</f>
        <v>-1616217.487773685</v>
      </c>
      <c r="V130" s="286">
        <f>('Ag-Ind-Capacity-Smart'!V109)*(1+0.01*'7thPlanAssumptions'!$B$3)^('7thPlanAssumptions'!$B$8-V$128)</f>
        <v>-1571437.0036725141</v>
      </c>
      <c r="W130" s="286"/>
    </row>
    <row r="131" spans="1:23" s="76" customFormat="1" ht="12.75">
      <c r="A131" s="91" t="s">
        <v>325</v>
      </c>
      <c r="B131" s="337">
        <f>(1-'7thPlanAssumptions'!$B$4*0.01)^($C$128-'7thPlanAssumptions'!$B$8)*SUM(C131:W131)/(NPV('7thPlanAssumptions'!$B$3*0.01,'Ag-Ind-Capacity-Smart'!D86:W86)+'Ag-Ind-Capacity-Smart'!C86)/1000</f>
        <v>19.202243154525924</v>
      </c>
      <c r="C131" s="286">
        <f>('Ag-Ind-Capacity-Smart'!C110)*(1+0.01*'7thPlanAssumptions'!$B$3)^('7thPlanAssumptions'!$B$8-C$128)</f>
        <v>132332.29889204248</v>
      </c>
      <c r="D131" s="286">
        <f>('Ag-Ind-Capacity-Smart'!D110)*(1+0.01*'7thPlanAssumptions'!$B$3)^('7thPlanAssumptions'!$B$8-D$128)</f>
        <v>643854.27320502372</v>
      </c>
      <c r="E131" s="286">
        <f>('Ag-Ind-Capacity-Smart'!E110)*(1+0.01*'7thPlanAssumptions'!$B$3)^('7thPlanAssumptions'!$B$8-E$128)</f>
        <v>1129168.9207625799</v>
      </c>
      <c r="F131" s="286">
        <f>('Ag-Ind-Capacity-Smart'!F110)*(1+0.01*'7thPlanAssumptions'!$B$3)^('7thPlanAssumptions'!$B$8-F$128)</f>
        <v>1588661.1386062277</v>
      </c>
      <c r="G131" s="286">
        <f>('Ag-Ind-Capacity-Smart'!G110)*(1+0.01*'7thPlanAssumptions'!$B$3)^('7thPlanAssumptions'!$B$8-G$128)</f>
        <v>2024469.8985912844</v>
      </c>
      <c r="H131" s="286">
        <f>('Ag-Ind-Capacity-Smart'!H110)*(1+0.01*'7thPlanAssumptions'!$B$3)^('7thPlanAssumptions'!$B$8-H$128)</f>
        <v>2319354.7383792824</v>
      </c>
      <c r="I131" s="286">
        <f>('Ag-Ind-Capacity-Smart'!I110)*(1+0.01*'7thPlanAssumptions'!$B$3)^('7thPlanAssumptions'!$B$8-I$128)</f>
        <v>2257766.1409818493</v>
      </c>
      <c r="J131" s="286">
        <f>('Ag-Ind-Capacity-Smart'!J110)*(1+0.01*'7thPlanAssumptions'!$B$3)^('7thPlanAssumptions'!$B$8-J$128)</f>
        <v>2197129.3381852917</v>
      </c>
      <c r="K131" s="286">
        <f>('Ag-Ind-Capacity-Smart'!K110)*(1+0.01*'7thPlanAssumptions'!$B$3)^('7thPlanAssumptions'!$B$8-K$128)</f>
        <v>2137730.0459980504</v>
      </c>
      <c r="L131" s="286">
        <f>('Ag-Ind-Capacity-Smart'!L110)*(1+0.01*'7thPlanAssumptions'!$B$3)^('7thPlanAssumptions'!$B$8-L$128)</f>
        <v>2079511.6345558693</v>
      </c>
      <c r="M131" s="286">
        <f>('Ag-Ind-Capacity-Smart'!M110)*(1+0.01*'7thPlanAssumptions'!$B$3)^('7thPlanAssumptions'!$B$8-M$128)</f>
        <v>2021629.8844663261</v>
      </c>
      <c r="N131" s="286">
        <f>('Ag-Ind-Capacity-Smart'!N110)*(1+0.01*'7thPlanAssumptions'!$B$3)^('7thPlanAssumptions'!$B$8-N$128)</f>
        <v>1965866.9392537884</v>
      </c>
      <c r="O131" s="286">
        <f>('Ag-Ind-Capacity-Smart'!O110)*(1+0.01*'7thPlanAssumptions'!$B$3)^('7thPlanAssumptions'!$B$8-O$128)</f>
        <v>1912267.2041560963</v>
      </c>
      <c r="P131" s="286">
        <f>('Ag-Ind-Capacity-Smart'!P110)*(1+0.01*'7thPlanAssumptions'!$B$3)^('7thPlanAssumptions'!$B$8-P$128)</f>
        <v>1860004.2298948597</v>
      </c>
      <c r="Q131" s="286">
        <f>('Ag-Ind-Capacity-Smart'!Q110)*(1+0.01*'7thPlanAssumptions'!$B$3)^('7thPlanAssumptions'!$B$8-Q$128)</f>
        <v>1808469.1546497263</v>
      </c>
      <c r="R131" s="286">
        <f>('Ag-Ind-Capacity-Smart'!R110)*(1+0.01*'7thPlanAssumptions'!$B$3)^('7thPlanAssumptions'!$B$8-R$128)</f>
        <v>1758361.9600178932</v>
      </c>
      <c r="S131" s="286">
        <f>('Ag-Ind-Capacity-Smart'!S110)*(1+0.01*'7thPlanAssumptions'!$B$3)^('7thPlanAssumptions'!$B$8-S$128)</f>
        <v>1709643.0837587658</v>
      </c>
      <c r="T131" s="286">
        <f>('Ag-Ind-Capacity-Smart'!T110)*(1+0.01*'7thPlanAssumptions'!$B$3)^('7thPlanAssumptions'!$B$8-T$128)</f>
        <v>1662274.0597814331</v>
      </c>
      <c r="U131" s="286">
        <f>('Ag-Ind-Capacity-Smart'!U110)*(1+0.01*'7thPlanAssumptions'!$B$3)^('7thPlanAssumptions'!$B$8-U$128)</f>
        <v>1616217.487773685</v>
      </c>
      <c r="V131" s="286">
        <f>('Ag-Ind-Capacity-Smart'!V110)*(1+0.01*'7thPlanAssumptions'!$B$3)^('7thPlanAssumptions'!$B$8-V$128)</f>
        <v>1571437.0036725141</v>
      </c>
      <c r="W131" s="286"/>
    </row>
    <row r="132" spans="1:23" s="76" customFormat="1" ht="12.75">
      <c r="A132" s="124" t="s">
        <v>327</v>
      </c>
      <c r="B132" s="337">
        <f>(1-'7thPlanAssumptions'!$B$4*0.01)^($C$128-'7thPlanAssumptions'!$B$8)*SUM(C132:W132)/(NPV('7thPlanAssumptions'!$B$3*0.01,'Ag-Ind-Capacity-Smart'!D87:W87)+'Ag-Ind-Capacity-Smart'!C87)/1000</f>
        <v>-4.8005607886314818</v>
      </c>
      <c r="C132" s="286">
        <f>('Ag-Ind-Capacity-Smart'!C111)*(1+0.01*'7thPlanAssumptions'!$B$3)^('7thPlanAssumptions'!$B$8-C$128)</f>
        <v>-66166.149446021256</v>
      </c>
      <c r="D132" s="286">
        <f>('Ag-Ind-Capacity-Smart'!D111)*(1+0.01*'7thPlanAssumptions'!$B$3)^('7thPlanAssumptions'!$B$8-D$128)</f>
        <v>-321927.13660251186</v>
      </c>
      <c r="E132" s="286">
        <f>('Ag-Ind-Capacity-Smart'!E111)*(1+0.01*'7thPlanAssumptions'!$B$3)^('7thPlanAssumptions'!$B$8-E$128)</f>
        <v>-564584.46038128994</v>
      </c>
      <c r="F132" s="286">
        <f>('Ag-Ind-Capacity-Smart'!F111)*(1+0.01*'7thPlanAssumptions'!$B$3)^('7thPlanAssumptions'!$B$8-F$128)</f>
        <v>-794330.56930311385</v>
      </c>
      <c r="G132" s="286">
        <f>('Ag-Ind-Capacity-Smart'!G111)*(1+0.01*'7thPlanAssumptions'!$B$3)^('7thPlanAssumptions'!$B$8-G$128)</f>
        <v>-1012234.9492956422</v>
      </c>
      <c r="H132" s="286">
        <f>('Ag-Ind-Capacity-Smart'!H111)*(1+0.01*'7thPlanAssumptions'!$B$3)^('7thPlanAssumptions'!$B$8-H$128)</f>
        <v>-1159677.3691896412</v>
      </c>
      <c r="I132" s="286">
        <f>('Ag-Ind-Capacity-Smart'!I111)*(1+0.01*'7thPlanAssumptions'!$B$3)^('7thPlanAssumptions'!$B$8-I$128)</f>
        <v>-1128883.0704909246</v>
      </c>
      <c r="J132" s="286">
        <f>('Ag-Ind-Capacity-Smart'!J111)*(1+0.01*'7thPlanAssumptions'!$B$3)^('7thPlanAssumptions'!$B$8-J$128)</f>
        <v>-1098564.6690926459</v>
      </c>
      <c r="K132" s="286">
        <f>('Ag-Ind-Capacity-Smart'!K111)*(1+0.01*'7thPlanAssumptions'!$B$3)^('7thPlanAssumptions'!$B$8-K$128)</f>
        <v>-1068865.0229990256</v>
      </c>
      <c r="L132" s="286">
        <f>('Ag-Ind-Capacity-Smart'!L111)*(1+0.01*'7thPlanAssumptions'!$B$3)^('7thPlanAssumptions'!$B$8-L$128)</f>
        <v>-1039755.8172779346</v>
      </c>
      <c r="M132" s="286">
        <f>('Ag-Ind-Capacity-Smart'!M111)*(1+0.01*'7thPlanAssumptions'!$B$3)^('7thPlanAssumptions'!$B$8-M$128)</f>
        <v>-1010814.9422331629</v>
      </c>
      <c r="N132" s="286">
        <f>('Ag-Ind-Capacity-Smart'!N111)*(1+0.01*'7thPlanAssumptions'!$B$3)^('7thPlanAssumptions'!$B$8-N$128)</f>
        <v>-982933.46962689422</v>
      </c>
      <c r="O132" s="286">
        <f>('Ag-Ind-Capacity-Smart'!O111)*(1+0.01*'7thPlanAssumptions'!$B$3)^('7thPlanAssumptions'!$B$8-O$128)</f>
        <v>-956133.60207804816</v>
      </c>
      <c r="P132" s="286">
        <f>('Ag-Ind-Capacity-Smart'!P111)*(1+0.01*'7thPlanAssumptions'!$B$3)^('7thPlanAssumptions'!$B$8-P$128)</f>
        <v>-930002.11494742986</v>
      </c>
      <c r="Q132" s="286">
        <f>('Ag-Ind-Capacity-Smart'!Q111)*(1+0.01*'7thPlanAssumptions'!$B$3)^('7thPlanAssumptions'!$B$8-Q$128)</f>
        <v>-904234.57732486317</v>
      </c>
      <c r="R132" s="286">
        <f>('Ag-Ind-Capacity-Smart'!R111)*(1+0.01*'7thPlanAssumptions'!$B$3)^('7thPlanAssumptions'!$B$8-R$128)</f>
        <v>-879180.98000894662</v>
      </c>
      <c r="S132" s="286">
        <f>('Ag-Ind-Capacity-Smart'!S111)*(1+0.01*'7thPlanAssumptions'!$B$3)^('7thPlanAssumptions'!$B$8-S$128)</f>
        <v>-854821.54187938292</v>
      </c>
      <c r="T132" s="286">
        <f>('Ag-Ind-Capacity-Smart'!T111)*(1+0.01*'7thPlanAssumptions'!$B$3)^('7thPlanAssumptions'!$B$8-T$128)</f>
        <v>-831137.02989071654</v>
      </c>
      <c r="U132" s="286">
        <f>('Ag-Ind-Capacity-Smart'!U111)*(1+0.01*'7thPlanAssumptions'!$B$3)^('7thPlanAssumptions'!$B$8-U$128)</f>
        <v>-808108.74388684251</v>
      </c>
      <c r="V132" s="286">
        <f>('Ag-Ind-Capacity-Smart'!V111)*(1+0.01*'7thPlanAssumptions'!$B$3)^('7thPlanAssumptions'!$B$8-V$128)</f>
        <v>-785718.50183625706</v>
      </c>
      <c r="W132" s="286"/>
    </row>
    <row r="133" spans="1:23" s="76" customFormat="1" ht="12.75">
      <c r="A133" s="317"/>
      <c r="B133" s="318"/>
      <c r="C133" s="463" t="s">
        <v>420</v>
      </c>
      <c r="D133" s="463"/>
      <c r="E133" s="463"/>
      <c r="F133" s="463"/>
      <c r="G133" s="463"/>
      <c r="H133" s="463"/>
      <c r="I133" s="463"/>
      <c r="J133" s="463"/>
      <c r="K133" s="463"/>
      <c r="L133" s="463"/>
      <c r="M133" s="463"/>
      <c r="N133" s="463"/>
      <c r="O133" s="463"/>
      <c r="P133" s="463"/>
      <c r="Q133" s="463"/>
      <c r="R133" s="463"/>
      <c r="S133" s="463"/>
      <c r="T133" s="463"/>
      <c r="U133" s="463"/>
      <c r="V133" s="463"/>
      <c r="W133" s="463"/>
    </row>
    <row r="134" spans="1:23" s="76" customFormat="1" ht="12.75">
      <c r="A134" s="316" t="s">
        <v>326</v>
      </c>
      <c r="B134" s="343">
        <f>(1-'7thPlanAssumptions'!$B$4*0.01)^($C$128-'7thPlanAssumptions'!$B$8)*SUM(C134:W134)/(NPV('7thPlanAssumptions'!$B$3*0.01,'Ag-Ind-Capacity-Smart'!D84:W84)+'Ag-Ind-Capacity-Smart'!C84)/1000</f>
        <v>59.53833891448739</v>
      </c>
      <c r="C134" s="286">
        <f>'Ag-Ind-Capacity-Smart'!C96*(1+0.01*'7thPlanAssumptions'!$B$3)^('7thPlanAssumptions'!$B$8-C$128)</f>
        <v>48037.034195331209</v>
      </c>
      <c r="D134" s="286">
        <f>'Ag-Ind-Capacity-Smart'!D96*(1+0.01*'7thPlanAssumptions'!$B$3)^('7thPlanAssumptions'!$B$8-D$128)</f>
        <v>187531.6385732574</v>
      </c>
      <c r="E134" s="286">
        <f>'Ag-Ind-Capacity-Smart'!E96*(1+0.01*'7thPlanAssumptions'!$B$3)^('7thPlanAssumptions'!$B$8-E$128)</f>
        <v>185159.99245207169</v>
      </c>
      <c r="F134" s="286">
        <f>'Ag-Ind-Capacity-Smart'!F96*(1+0.01*'7thPlanAssumptions'!$B$3)^('7thPlanAssumptions'!$B$8-F$128)</f>
        <v>182562.16742745569</v>
      </c>
      <c r="G134" s="286">
        <f>'Ag-Ind-Capacity-Smart'!G96*(1+0.01*'7thPlanAssumptions'!$B$3)^('7thPlanAssumptions'!$B$8-G$128)</f>
        <v>180380.27188807176</v>
      </c>
      <c r="H134" s="286">
        <f>'Ag-Ind-Capacity-Smart'!H96*(1+0.01*'7thPlanAssumptions'!$B$3)^('7thPlanAssumptions'!$B$8-H$128)+C134</f>
        <v>183346.09941366219</v>
      </c>
      <c r="I134" s="286">
        <f>'Ag-Ind-Capacity-Smart'!I96*(1+0.01*'7thPlanAssumptions'!$B$3)^('7thPlanAssumptions'!$B$8-I$128)+D134</f>
        <v>197556.82360646693</v>
      </c>
      <c r="J134" s="286">
        <f>'Ag-Ind-Capacity-Smart'!J96*(1+0.01*'7thPlanAssumptions'!$B$3)^('7thPlanAssumptions'!$B$8-J$128)+E134</f>
        <v>194670.80296705329</v>
      </c>
      <c r="K134" s="286">
        <f>'Ag-Ind-Capacity-Smart'!K96*(1+0.01*'7thPlanAssumptions'!$B$3)^('7thPlanAssumptions'!$B$8-K$128)+F134</f>
        <v>191675.60785010672</v>
      </c>
      <c r="L134" s="286">
        <f>'Ag-Ind-Capacity-Smart'!L96*(1+0.01*'7thPlanAssumptions'!$B$3)^('7thPlanAssumptions'!$B$8-L$128)+G134</f>
        <v>189093.06310166797</v>
      </c>
      <c r="M134" s="286">
        <f>'Ag-Ind-Capacity-Smart'!M96*(1+0.01*'7thPlanAssumptions'!$B$3)^('7thPlanAssumptions'!$B$8-M$128)+H134</f>
        <v>191368.27421762759</v>
      </c>
      <c r="N134" s="286">
        <f>'Ag-Ind-Capacity-Smart'!N96*(1+0.01*'7thPlanAssumptions'!$B$3)^('7thPlanAssumptions'!$B$8-N$128)+I134</f>
        <v>205540.00596813127</v>
      </c>
      <c r="O134" s="286">
        <f>'Ag-Ind-Capacity-Smart'!O96*(1+0.01*'7thPlanAssumptions'!$B$3)^('7thPlanAssumptions'!$B$8-O$128)+J134</f>
        <v>202660.69415331099</v>
      </c>
      <c r="P134" s="286">
        <f>'Ag-Ind-Capacity-Smart'!P96*(1+0.01*'7thPlanAssumptions'!$B$3)^('7thPlanAssumptions'!$B$8-P$128)+K134</f>
        <v>199402.40621304122</v>
      </c>
      <c r="Q134" s="286">
        <f>'Ag-Ind-Capacity-Smart'!Q96*(1+0.01*'7thPlanAssumptions'!$B$3)^('7thPlanAssumptions'!$B$8-Q$128)+L134</f>
        <v>196354.41331247828</v>
      </c>
      <c r="R134" s="286">
        <f>'Ag-Ind-Capacity-Smart'!R96*(1+0.01*'7thPlanAssumptions'!$B$3)^('7thPlanAssumptions'!$B$8-R$128)+M134</f>
        <v>198428.43444000604</v>
      </c>
      <c r="S134" s="286">
        <f>'Ag-Ind-Capacity-Smart'!S96*(1+0.01*'7thPlanAssumptions'!$B$3)^('7thPlanAssumptions'!$B$8-S$128)+N134</f>
        <v>212404.55056638658</v>
      </c>
      <c r="T134" s="286">
        <f>'Ag-Ind-Capacity-Smart'!T96*(1+0.01*'7thPlanAssumptions'!$B$3)^('7thPlanAssumptions'!$B$8-T$128)+O134</f>
        <v>209335.04304302493</v>
      </c>
      <c r="U134" s="286">
        <f>'Ag-Ind-Capacity-Smart'!U96*(1+0.01*'7thPlanAssumptions'!$B$3)^('7thPlanAssumptions'!$B$8-U$128)+P134</f>
        <v>205891.82914037551</v>
      </c>
      <c r="V134" s="286">
        <f>'Ag-Ind-Capacity-Smart'!V96*(1+0.01*'7thPlanAssumptions'!$B$3)^('7thPlanAssumptions'!$B$8-V$128)+Q134</f>
        <v>202664.03401491285</v>
      </c>
      <c r="W134" s="286"/>
    </row>
    <row r="135" spans="1:23" s="76" customFormat="1" ht="12.75">
      <c r="A135" s="91" t="s">
        <v>324</v>
      </c>
      <c r="B135" s="343">
        <f>(1-'7thPlanAssumptions'!$B$4*0.01)^($C$128-'7thPlanAssumptions'!$B$8)*SUM(C135:W135)/(NPV('7thPlanAssumptions'!$B$3*0.01,'Ag-Ind-Capacity-Smart'!D85:W85)+'Ag-Ind-Capacity-Smart'!C85)/1000</f>
        <v>1.9042112659217718</v>
      </c>
      <c r="C135" s="286">
        <f>'Ag-Ind-Capacity-Smart'!C97*(1+0.01*'7thPlanAssumptions'!$B$3)^('7thPlanAssumptions'!$B$8-C$128)</f>
        <v>174121.44591058223</v>
      </c>
      <c r="D135" s="286">
        <f>'Ag-Ind-Capacity-Smart'!D97*(1+0.01*'7thPlanAssumptions'!$B$3)^('7thPlanAssumptions'!$B$8-D$128)</f>
        <v>679752.20804805448</v>
      </c>
      <c r="E135" s="286">
        <f>'Ag-Ind-Capacity-Smart'!E97*(1+0.01*'7thPlanAssumptions'!$B$3)^('7thPlanAssumptions'!$B$8-E$128)</f>
        <v>671155.62296060123</v>
      </c>
      <c r="F135" s="286">
        <f>'Ag-Ind-Capacity-Smart'!F97*(1+0.01*'7thPlanAssumptions'!$B$3)^('7thPlanAssumptions'!$B$8-F$128)</f>
        <v>661739.19963043637</v>
      </c>
      <c r="G135" s="286">
        <f>'Ag-Ind-Capacity-Smart'!G97*(1+0.01*'7thPlanAssumptions'!$B$3)^('7thPlanAssumptions'!$B$8-G$128)</f>
        <v>653830.40982883167</v>
      </c>
      <c r="H135" s="286">
        <f>'Ag-Ind-Capacity-Smart'!H97*(1+0.01*'7thPlanAssumptions'!$B$3)^('7thPlanAssumptions'!$B$8-H$128)+C135</f>
        <v>664580.74414333736</v>
      </c>
      <c r="I135" s="286">
        <f>'Ag-Ind-Capacity-Smart'!I97*(1+0.01*'7thPlanAssumptions'!$B$3)^('7thPlanAssumptions'!$B$8-I$128)+D135</f>
        <v>716090.83183580881</v>
      </c>
      <c r="J135" s="286">
        <f>'Ag-Ind-Capacity-Smart'!J97*(1+0.01*'7thPlanAssumptions'!$B$3)^('7thPlanAssumptions'!$B$8-J$128)+E135</f>
        <v>705629.77621319937</v>
      </c>
      <c r="K135" s="286">
        <f>'Ag-Ind-Capacity-Smart'!K97*(1+0.01*'7thPlanAssumptions'!$B$3)^('7thPlanAssumptions'!$B$8-K$128)+F135</f>
        <v>694772.99220721016</v>
      </c>
      <c r="L135" s="286">
        <f>'Ag-Ind-Capacity-Smart'!L97*(1+0.01*'7thPlanAssumptions'!$B$3)^('7thPlanAssumptions'!$B$8-L$128)+G135</f>
        <v>685411.95580561948</v>
      </c>
      <c r="M135" s="286">
        <f>'Ag-Ind-Capacity-Smart'!M97*(1+0.01*'7thPlanAssumptions'!$B$3)^('7thPlanAssumptions'!$B$8-M$128)+H135</f>
        <v>693658.989701421</v>
      </c>
      <c r="N135" s="286">
        <f>'Ag-Ind-Capacity-Smart'!N97*(1+0.01*'7thPlanAssumptions'!$B$3)^('7thPlanAssumptions'!$B$8-N$128)+I135</f>
        <v>745027.74018299277</v>
      </c>
      <c r="O135" s="286">
        <f>'Ag-Ind-Capacity-Smart'!O97*(1+0.01*'7thPlanAssumptions'!$B$3)^('7thPlanAssumptions'!$B$8-O$128)+J135</f>
        <v>734591.00226146844</v>
      </c>
      <c r="P135" s="286">
        <f>'Ag-Ind-Capacity-Smart'!P97*(1+0.01*'7thPlanAssumptions'!$B$3)^('7thPlanAssumptions'!$B$8-P$128)+K135</f>
        <v>722780.57689162088</v>
      </c>
      <c r="Q135" s="286">
        <f>'Ag-Ind-Capacity-Smart'!Q97*(1+0.01*'7thPlanAssumptions'!$B$3)^('7thPlanAssumptions'!$B$8-Q$128)+L135</f>
        <v>711732.41499192524</v>
      </c>
      <c r="R135" s="286">
        <f>'Ag-Ind-Capacity-Smart'!R97*(1+0.01*'7thPlanAssumptions'!$B$3)^('7thPlanAssumptions'!$B$8-R$128)+M135</f>
        <v>719250.18880172761</v>
      </c>
      <c r="S135" s="286">
        <f>'Ag-Ind-Capacity-Smart'!S97*(1+0.01*'7thPlanAssumptions'!$B$3)^('7thPlanAssumptions'!$B$8-S$128)+N135</f>
        <v>769909.88478221197</v>
      </c>
      <c r="T135" s="286">
        <f>'Ag-Ind-Capacity-Smart'!T97*(1+0.01*'7thPlanAssumptions'!$B$3)^('7thPlanAssumptions'!$B$8-T$128)+O135</f>
        <v>758783.73810904566</v>
      </c>
      <c r="U135" s="286">
        <f>'Ag-Ind-Capacity-Smart'!U97*(1+0.01*'7thPlanAssumptions'!$B$3)^('7thPlanAssumptions'!$B$8-U$128)+P135</f>
        <v>746303.00541287498</v>
      </c>
      <c r="V135" s="286">
        <f>'Ag-Ind-Capacity-Smart'!V97*(1+0.01*'7thPlanAssumptions'!$B$3)^('7thPlanAssumptions'!$B$8-V$128)+Q135</f>
        <v>734603.10836961993</v>
      </c>
      <c r="W135" s="286"/>
    </row>
    <row r="136" spans="1:23" s="76" customFormat="1" ht="12.75">
      <c r="A136" s="91" t="s">
        <v>325</v>
      </c>
      <c r="B136" s="343">
        <f>(1-'7thPlanAssumptions'!$B$4*0.01)^($C$128-'7thPlanAssumptions'!$B$8)*SUM(C136:W136)/(NPV('7thPlanAssumptions'!$B$3*0.01,'Ag-Ind-Capacity-Smart'!D86:W86)+'Ag-Ind-Capacity-Smart'!C86)/1000</f>
        <v>9.5210563296088573</v>
      </c>
      <c r="C136" s="286">
        <f>'Ag-Ind-Capacity-Smart'!C98*(1+0.01*'7thPlanAssumptions'!$B$3)^('7thPlanAssumptions'!$B$8-C$128)</f>
        <v>217651.80738822775</v>
      </c>
      <c r="D136" s="286">
        <f>'Ag-Ind-Capacity-Smart'!D98*(1+0.01*'7thPlanAssumptions'!$B$3)^('7thPlanAssumptions'!$B$8-D$128)</f>
        <v>849690.26006006787</v>
      </c>
      <c r="E136" s="286">
        <f>'Ag-Ind-Capacity-Smart'!E98*(1+0.01*'7thPlanAssumptions'!$B$3)^('7thPlanAssumptions'!$B$8-E$128)</f>
        <v>838944.52870075172</v>
      </c>
      <c r="F136" s="286">
        <f>'Ag-Ind-Capacity-Smart'!F98*(1+0.01*'7thPlanAssumptions'!$B$3)^('7thPlanAssumptions'!$B$8-F$128)</f>
        <v>827173.99953804503</v>
      </c>
      <c r="G136" s="286">
        <f>'Ag-Ind-Capacity-Smart'!G98*(1+0.01*'7thPlanAssumptions'!$B$3)^('7thPlanAssumptions'!$B$8-G$128)</f>
        <v>817288.01228603953</v>
      </c>
      <c r="H136" s="286">
        <f>'Ag-Ind-Capacity-Smart'!H98*(1+0.01*'7thPlanAssumptions'!$B$3)^('7thPlanAssumptions'!$B$8-H$128)+C136</f>
        <v>830725.93017917185</v>
      </c>
      <c r="I136" s="286">
        <f>'Ag-Ind-Capacity-Smart'!I98*(1+0.01*'7thPlanAssumptions'!$B$3)^('7thPlanAssumptions'!$B$8-I$128)+D136</f>
        <v>895113.53979476064</v>
      </c>
      <c r="J136" s="286">
        <f>'Ag-Ind-Capacity-Smart'!J98*(1+0.01*'7thPlanAssumptions'!$B$3)^('7thPlanAssumptions'!$B$8-J$128)+E136</f>
        <v>882037.22026649944</v>
      </c>
      <c r="K136" s="286">
        <f>'Ag-Ind-Capacity-Smart'!K98*(1+0.01*'7thPlanAssumptions'!$B$3)^('7thPlanAssumptions'!$B$8-K$128)+F136</f>
        <v>868466.24025901186</v>
      </c>
      <c r="L136" s="286">
        <f>'Ag-Ind-Capacity-Smart'!L98*(1+0.01*'7thPlanAssumptions'!$B$3)^('7thPlanAssumptions'!$B$8-L$128)+G136</f>
        <v>856764.94475702476</v>
      </c>
      <c r="M136" s="286">
        <f>'Ag-Ind-Capacity-Smart'!M98*(1+0.01*'7thPlanAssumptions'!$B$3)^('7thPlanAssumptions'!$B$8-M$128)+H136</f>
        <v>867073.73712677672</v>
      </c>
      <c r="N136" s="286">
        <f>'Ag-Ind-Capacity-Smart'!N98*(1+0.01*'7thPlanAssumptions'!$B$3)^('7thPlanAssumptions'!$B$8-N$128)+I136</f>
        <v>931284.67522874032</v>
      </c>
      <c r="O136" s="286">
        <f>'Ag-Ind-Capacity-Smart'!O98*(1+0.01*'7thPlanAssumptions'!$B$3)^('7thPlanAssumptions'!$B$8-O$128)+J136</f>
        <v>918238.75282683549</v>
      </c>
      <c r="P136" s="286">
        <f>'Ag-Ind-Capacity-Smart'!P98*(1+0.01*'7thPlanAssumptions'!$B$3)^('7thPlanAssumptions'!$B$8-P$128)+K136</f>
        <v>903475.72111452522</v>
      </c>
      <c r="Q136" s="286">
        <f>'Ag-Ind-Capacity-Smart'!Q98*(1+0.01*'7thPlanAssumptions'!$B$3)^('7thPlanAssumptions'!$B$8-Q$128)+L136</f>
        <v>889665.5187399073</v>
      </c>
      <c r="R136" s="286">
        <f>'Ag-Ind-Capacity-Smart'!R98*(1+0.01*'7thPlanAssumptions'!$B$3)^('7thPlanAssumptions'!$B$8-R$128)+M136</f>
        <v>899062.73600215989</v>
      </c>
      <c r="S136" s="286">
        <f>'Ag-Ind-Capacity-Smart'!S98*(1+0.01*'7thPlanAssumptions'!$B$3)^('7thPlanAssumptions'!$B$8-S$128)+N136</f>
        <v>962387.35597776412</v>
      </c>
      <c r="T136" s="286">
        <f>'Ag-Ind-Capacity-Smart'!T98*(1+0.01*'7thPlanAssumptions'!$B$3)^('7thPlanAssumptions'!$B$8-T$128)+O136</f>
        <v>948479.67263630731</v>
      </c>
      <c r="U136" s="286">
        <f>'Ag-Ind-Capacity-Smart'!U98*(1+0.01*'7thPlanAssumptions'!$B$3)^('7thPlanAssumptions'!$B$8-U$128)+P136</f>
        <v>932878.7567660925</v>
      </c>
      <c r="V136" s="286">
        <f>'Ag-Ind-Capacity-Smart'!V98*(1+0.01*'7thPlanAssumptions'!$B$3)^('7thPlanAssumptions'!$B$8-V$128)+Q136</f>
        <v>918253.88546202588</v>
      </c>
      <c r="W136" s="286"/>
    </row>
    <row r="137" spans="1:23" s="76" customFormat="1" ht="12.75">
      <c r="A137" s="107" t="s">
        <v>327</v>
      </c>
      <c r="B137" s="343">
        <f>(1-'7thPlanAssumptions'!$B$4*0.01)^($C$128-'7thPlanAssumptions'!$B$8)*SUM(C137:W137)/(NPV('7thPlanAssumptions'!$B$3*0.01,'Ag-Ind-Capacity-Smart'!D87:W87)+'Ag-Ind-Capacity-Smart'!C87)/1000</f>
        <v>7.6168450636870872</v>
      </c>
      <c r="C137" s="286">
        <f>'Ag-Ind-Capacity-Smart'!C99*(1+0.01*'7thPlanAssumptions'!$B$3)^('7thPlanAssumptions'!$B$8-C$128)</f>
        <v>348242.89182116446</v>
      </c>
      <c r="D137" s="286">
        <f>'Ag-Ind-Capacity-Smart'!D99*(1+0.01*'7thPlanAssumptions'!$B$3)^('7thPlanAssumptions'!$B$8-D$128)</f>
        <v>1359504.416096109</v>
      </c>
      <c r="E137" s="286">
        <f>'Ag-Ind-Capacity-Smart'!E99*(1+0.01*'7thPlanAssumptions'!$B$3)^('7thPlanAssumptions'!$B$8-E$128)</f>
        <v>1342311.2459212025</v>
      </c>
      <c r="F137" s="286">
        <f>'Ag-Ind-Capacity-Smart'!F99*(1+0.01*'7thPlanAssumptions'!$B$3)^('7thPlanAssumptions'!$B$8-F$128)</f>
        <v>1323478.3992608727</v>
      </c>
      <c r="G137" s="286">
        <f>'Ag-Ind-Capacity-Smart'!G99*(1+0.01*'7thPlanAssumptions'!$B$3)^('7thPlanAssumptions'!$B$8-G$128)</f>
        <v>1307660.8196576633</v>
      </c>
      <c r="H137" s="286">
        <f>'Ag-Ind-Capacity-Smart'!H99*(1+0.01*'7thPlanAssumptions'!$B$3)^('7thPlanAssumptions'!$B$8-H$128)+C137</f>
        <v>1329161.4882866747</v>
      </c>
      <c r="I137" s="286">
        <f>'Ag-Ind-Capacity-Smart'!I99*(1+0.01*'7thPlanAssumptions'!$B$3)^('7thPlanAssumptions'!$B$8-I$128)+D137</f>
        <v>1432181.6636716176</v>
      </c>
      <c r="J137" s="286">
        <f>'Ag-Ind-Capacity-Smart'!J99*(1+0.01*'7thPlanAssumptions'!$B$3)^('7thPlanAssumptions'!$B$8-J$128)+E137</f>
        <v>1411259.5524263987</v>
      </c>
      <c r="K137" s="286">
        <f>'Ag-Ind-Capacity-Smart'!K99*(1+0.01*'7thPlanAssumptions'!$B$3)^('7thPlanAssumptions'!$B$8-K$128)+F137</f>
        <v>1389545.9844144203</v>
      </c>
      <c r="L137" s="286">
        <f>'Ag-Ind-Capacity-Smart'!L99*(1+0.01*'7thPlanAssumptions'!$B$3)^('7thPlanAssumptions'!$B$8-L$128)+G137</f>
        <v>1370823.911611239</v>
      </c>
      <c r="M137" s="286">
        <f>'Ag-Ind-Capacity-Smart'!M99*(1+0.01*'7thPlanAssumptions'!$B$3)^('7thPlanAssumptions'!$B$8-M$128)+H137</f>
        <v>1387317.979402842</v>
      </c>
      <c r="N137" s="286">
        <f>'Ag-Ind-Capacity-Smart'!N99*(1+0.01*'7thPlanAssumptions'!$B$3)^('7thPlanAssumptions'!$B$8-N$128)+I137</f>
        <v>1490055.4803659855</v>
      </c>
      <c r="O137" s="286">
        <f>'Ag-Ind-Capacity-Smart'!O99*(1+0.01*'7thPlanAssumptions'!$B$3)^('7thPlanAssumptions'!$B$8-O$128)+J137</f>
        <v>1469182.0045229369</v>
      </c>
      <c r="P137" s="286">
        <f>'Ag-Ind-Capacity-Smart'!P99*(1+0.01*'7thPlanAssumptions'!$B$3)^('7thPlanAssumptions'!$B$8-P$128)+K137</f>
        <v>1445561.1537832418</v>
      </c>
      <c r="Q137" s="286">
        <f>'Ag-Ind-Capacity-Smart'!Q99*(1+0.01*'7thPlanAssumptions'!$B$3)^('7thPlanAssumptions'!$B$8-Q$128)+L137</f>
        <v>1423464.8299838505</v>
      </c>
      <c r="R137" s="286">
        <f>'Ag-Ind-Capacity-Smart'!R99*(1+0.01*'7thPlanAssumptions'!$B$3)^('7thPlanAssumptions'!$B$8-R$128)+M137</f>
        <v>1438500.3776034552</v>
      </c>
      <c r="S137" s="286">
        <f>'Ag-Ind-Capacity-Smart'!S99*(1+0.01*'7thPlanAssumptions'!$B$3)^('7thPlanAssumptions'!$B$8-S$128)+N137</f>
        <v>1539819.7695644239</v>
      </c>
      <c r="T137" s="286">
        <f>'Ag-Ind-Capacity-Smart'!T99*(1+0.01*'7thPlanAssumptions'!$B$3)^('7thPlanAssumptions'!$B$8-T$128)+O137</f>
        <v>1517567.4762180913</v>
      </c>
      <c r="U137" s="286">
        <f>'Ag-Ind-Capacity-Smart'!U99*(1+0.01*'7thPlanAssumptions'!$B$3)^('7thPlanAssumptions'!$B$8-U$128)+P137</f>
        <v>1492606.01082575</v>
      </c>
      <c r="V137" s="286">
        <f>'Ag-Ind-Capacity-Smart'!V99*(1+0.01*'7thPlanAssumptions'!$B$3)^('7thPlanAssumptions'!$B$8-V$128)+Q137</f>
        <v>1469206.2167392399</v>
      </c>
      <c r="W137" s="286"/>
    </row>
    <row r="138" spans="1:23" s="76" customFormat="1" ht="12.75">
      <c r="B138" s="339" t="s">
        <v>331</v>
      </c>
      <c r="C138" s="463" t="s">
        <v>409</v>
      </c>
      <c r="D138" s="463"/>
      <c r="E138" s="463"/>
      <c r="F138" s="463"/>
      <c r="G138" s="463"/>
      <c r="H138" s="463"/>
      <c r="I138" s="463"/>
      <c r="J138" s="463"/>
      <c r="K138" s="463"/>
      <c r="L138" s="463"/>
      <c r="M138" s="463"/>
      <c r="N138" s="463"/>
      <c r="O138" s="463"/>
      <c r="P138" s="463"/>
      <c r="Q138" s="463"/>
      <c r="R138" s="463"/>
      <c r="S138" s="463"/>
      <c r="T138" s="463"/>
      <c r="U138" s="463"/>
      <c r="V138" s="463"/>
      <c r="W138" s="463"/>
    </row>
    <row r="139" spans="1:23" s="76" customFormat="1" ht="12.75">
      <c r="A139" s="108" t="s">
        <v>326</v>
      </c>
      <c r="B139" s="329">
        <f>B129+B134</f>
        <v>54.737778125855911</v>
      </c>
      <c r="C139" s="315">
        <f>'Ag-Ind-Capacity-Smart'!C84*1000</f>
        <v>227.66187150490356</v>
      </c>
      <c r="D139" s="315">
        <f>'Ag-Ind-Capacity-Smart'!D84*1000</f>
        <v>1151.9811326728454</v>
      </c>
      <c r="E139" s="315">
        <f>'Ag-Ind-Capacity-Smart'!E84*1000</f>
        <v>2101.1160449051404</v>
      </c>
      <c r="F139" s="315">
        <f>'Ag-Ind-Capacity-Smart'!F84*1000</f>
        <v>3074.3671746013661</v>
      </c>
      <c r="G139" s="315">
        <f>'Ag-Ind-Capacity-Smart'!G84*1000</f>
        <v>4074.4512451310816</v>
      </c>
      <c r="H139" s="315">
        <f>'Ag-Ind-Capacity-Smart'!H84*1000</f>
        <v>4854.6544063690844</v>
      </c>
      <c r="I139" s="315">
        <f>'Ag-Ind-Capacity-Smart'!I84*1000</f>
        <v>4914.772686574307</v>
      </c>
      <c r="J139" s="315">
        <f>'Ag-Ind-Capacity-Smart'!J84*1000</f>
        <v>4974.0877528208975</v>
      </c>
      <c r="K139" s="315">
        <f>'Ag-Ind-Capacity-Smart'!K84*1000</f>
        <v>5033.1980562397821</v>
      </c>
      <c r="L139" s="315">
        <f>'Ag-Ind-Capacity-Smart'!L84*1000</f>
        <v>5091.9701924157371</v>
      </c>
      <c r="M139" s="315">
        <f>'Ag-Ind-Capacity-Smart'!M84*1000</f>
        <v>5148.2483186769341</v>
      </c>
      <c r="N139" s="315">
        <f>'Ag-Ind-Capacity-Smart'!N84*1000</f>
        <v>5206.4930837351039</v>
      </c>
      <c r="O139" s="315">
        <f>'Ag-Ind-Capacity-Smart'!O84*1000</f>
        <v>5267.1185444169741</v>
      </c>
      <c r="P139" s="315">
        <f>'Ag-Ind-Capacity-Smart'!P84*1000</f>
        <v>5328.0928840426141</v>
      </c>
      <c r="Q139" s="315">
        <f>'Ag-Ind-Capacity-Smart'!Q84*1000</f>
        <v>5387.6862956501054</v>
      </c>
      <c r="R139" s="315">
        <f>'Ag-Ind-Capacity-Smart'!R84*1000</f>
        <v>5447.9462449445882</v>
      </c>
      <c r="S139" s="315">
        <f>'Ag-Ind-Capacity-Smart'!S84*1000</f>
        <v>5508.8801869865547</v>
      </c>
      <c r="T139" s="315">
        <f>'Ag-Ind-Capacity-Smart'!T84*1000</f>
        <v>5570.4956602195125</v>
      </c>
      <c r="U139" s="315">
        <f>'Ag-Ind-Capacity-Smart'!U84*1000</f>
        <v>5632.8002874026115</v>
      </c>
      <c r="V139" s="315">
        <f>'Ag-Ind-Capacity-Smart'!V84*1000</f>
        <v>5695.8017765536933</v>
      </c>
      <c r="W139" s="315"/>
    </row>
    <row r="140" spans="1:23" s="76" customFormat="1" ht="12.75">
      <c r="A140" s="318" t="s">
        <v>324</v>
      </c>
      <c r="B140" s="329">
        <f>B130+B135</f>
        <v>-2.89634952270971</v>
      </c>
      <c r="C140" s="315">
        <f>'Ag-Ind-Capacity-Smart'!C85*1000</f>
        <v>25801.678770555744</v>
      </c>
      <c r="D140" s="315">
        <f>'Ag-Ind-Capacity-Smart'!D85*1000</f>
        <v>130557.86170292248</v>
      </c>
      <c r="E140" s="315">
        <f>'Ag-Ind-Capacity-Smart'!E85*1000</f>
        <v>238126.48508924924</v>
      </c>
      <c r="F140" s="315">
        <f>'Ag-Ind-Capacity-Smart'!F85*1000</f>
        <v>348428.27978815482</v>
      </c>
      <c r="G140" s="315">
        <f>'Ag-Ind-Capacity-Smart'!G85*1000</f>
        <v>461771.14111485594</v>
      </c>
      <c r="H140" s="315">
        <f>'Ag-Ind-Capacity-Smart'!H85*1000</f>
        <v>550194.16605516279</v>
      </c>
      <c r="I140" s="315">
        <f>'Ag-Ind-Capacity-Smart'!I85*1000</f>
        <v>557007.57114508806</v>
      </c>
      <c r="J140" s="315">
        <f>'Ag-Ind-Capacity-Smart'!J85*1000</f>
        <v>563729.9453197018</v>
      </c>
      <c r="K140" s="315">
        <f>'Ag-Ind-Capacity-Smart'!K85*1000</f>
        <v>570429.1130405087</v>
      </c>
      <c r="L140" s="315">
        <f>'Ag-Ind-Capacity-Smart'!L85*1000</f>
        <v>577089.95514045027</v>
      </c>
      <c r="M140" s="315">
        <f>'Ag-Ind-Capacity-Smart'!M85*1000</f>
        <v>583468.14278338582</v>
      </c>
      <c r="N140" s="315">
        <f>'Ag-Ind-Capacity-Smart'!N85*1000</f>
        <v>590069.2161566451</v>
      </c>
      <c r="O140" s="315">
        <f>'Ag-Ind-Capacity-Smart'!O85*1000</f>
        <v>596940.10170059046</v>
      </c>
      <c r="P140" s="315">
        <f>'Ag-Ind-Capacity-Smart'!P85*1000</f>
        <v>603850.52685816283</v>
      </c>
      <c r="Q140" s="315">
        <f>'Ag-Ind-Capacity-Smart'!Q85*1000</f>
        <v>610604.44684034504</v>
      </c>
      <c r="R140" s="315">
        <f>'Ag-Ind-Capacity-Smart'!R85*1000</f>
        <v>617433.90776038682</v>
      </c>
      <c r="S140" s="315">
        <f>'Ag-Ind-Capacity-Smart'!S85*1000</f>
        <v>624339.75452514284</v>
      </c>
      <c r="T140" s="315">
        <f>'Ag-Ind-Capacity-Smart'!T85*1000</f>
        <v>631322.84149154474</v>
      </c>
      <c r="U140" s="315">
        <f>'Ag-Ind-Capacity-Smart'!U85*1000</f>
        <v>638384.03257229598</v>
      </c>
      <c r="V140" s="315">
        <f>'Ag-Ind-Capacity-Smart'!V85*1000</f>
        <v>645524.20134275185</v>
      </c>
      <c r="W140" s="315"/>
    </row>
    <row r="141" spans="1:23" s="76" customFormat="1" ht="12.75">
      <c r="A141" s="318" t="s">
        <v>325</v>
      </c>
      <c r="B141" s="329">
        <f>B131+B136</f>
        <v>28.723299484134781</v>
      </c>
      <c r="C141" s="315">
        <f>'Ag-Ind-Capacity-Smart'!C86*1000</f>
        <v>6450.419692638935</v>
      </c>
      <c r="D141" s="315">
        <f>'Ag-Ind-Capacity-Smart'!D86*1000</f>
        <v>32639.465425730621</v>
      </c>
      <c r="E141" s="315">
        <f>'Ag-Ind-Capacity-Smart'!E86*1000</f>
        <v>59531.621272312317</v>
      </c>
      <c r="F141" s="315">
        <f>'Ag-Ind-Capacity-Smart'!F86*1000</f>
        <v>87107.069947038704</v>
      </c>
      <c r="G141" s="315">
        <f>'Ag-Ind-Capacity-Smart'!G86*1000</f>
        <v>115442.78527871399</v>
      </c>
      <c r="H141" s="315">
        <f>'Ag-Ind-Capacity-Smart'!H86*1000</f>
        <v>137548.5415137907</v>
      </c>
      <c r="I141" s="315">
        <f>'Ag-Ind-Capacity-Smart'!I86*1000</f>
        <v>139251.89278627202</v>
      </c>
      <c r="J141" s="315">
        <f>'Ag-Ind-Capacity-Smart'!J86*1000</f>
        <v>140932.48632992545</v>
      </c>
      <c r="K141" s="315">
        <f>'Ag-Ind-Capacity-Smart'!K86*1000</f>
        <v>142607.27826012715</v>
      </c>
      <c r="L141" s="315">
        <f>'Ag-Ind-Capacity-Smart'!L86*1000</f>
        <v>144272.48878511257</v>
      </c>
      <c r="M141" s="315">
        <f>'Ag-Ind-Capacity-Smart'!M86*1000</f>
        <v>145867.03569584648</v>
      </c>
      <c r="N141" s="315">
        <f>'Ag-Ind-Capacity-Smart'!N86*1000</f>
        <v>147517.30403916127</v>
      </c>
      <c r="O141" s="315">
        <f>'Ag-Ind-Capacity-Smart'!O86*1000</f>
        <v>149235.02542514761</v>
      </c>
      <c r="P141" s="315">
        <f>'Ag-Ind-Capacity-Smart'!P86*1000</f>
        <v>150962.63171454071</v>
      </c>
      <c r="Q141" s="315">
        <f>'Ag-Ind-Capacity-Smart'!Q86*1000</f>
        <v>152651.11171008626</v>
      </c>
      <c r="R141" s="315">
        <f>'Ag-Ind-Capacity-Smart'!R86*1000</f>
        <v>154358.47694009671</v>
      </c>
      <c r="S141" s="315">
        <f>'Ag-Ind-Capacity-Smart'!S86*1000</f>
        <v>156084.93863128571</v>
      </c>
      <c r="T141" s="315">
        <f>'Ag-Ind-Capacity-Smart'!T86*1000</f>
        <v>157830.71037288618</v>
      </c>
      <c r="U141" s="315">
        <f>'Ag-Ind-Capacity-Smart'!U86*1000</f>
        <v>159596.008143074</v>
      </c>
      <c r="V141" s="315">
        <f>'Ag-Ind-Capacity-Smart'!V86*1000</f>
        <v>161381.05033568796</v>
      </c>
      <c r="W141" s="315"/>
    </row>
    <row r="142" spans="1:23" s="76" customFormat="1" ht="12.75">
      <c r="A142" s="108" t="s">
        <v>327</v>
      </c>
      <c r="B142" s="329">
        <f>B132+B137</f>
        <v>2.8162842750556054</v>
      </c>
      <c r="C142" s="315">
        <f>'Ag-Ind-Capacity-Smart'!C87*1000</f>
        <v>12900.839385277872</v>
      </c>
      <c r="D142" s="315">
        <f>'Ag-Ind-Capacity-Smart'!D87*1000</f>
        <v>65278.930851461242</v>
      </c>
      <c r="E142" s="315">
        <f>'Ag-Ind-Capacity-Smart'!E87*1000</f>
        <v>119063.24254462462</v>
      </c>
      <c r="F142" s="315">
        <f>'Ag-Ind-Capacity-Smart'!F87*1000</f>
        <v>174214.13989407741</v>
      </c>
      <c r="G142" s="315">
        <f>'Ag-Ind-Capacity-Smart'!G87*1000</f>
        <v>230885.57055742797</v>
      </c>
      <c r="H142" s="315">
        <f>'Ag-Ind-Capacity-Smart'!H87*1000</f>
        <v>275097.08302758139</v>
      </c>
      <c r="I142" s="315">
        <f>'Ag-Ind-Capacity-Smart'!I87*1000</f>
        <v>278503.78557254403</v>
      </c>
      <c r="J142" s="315">
        <f>'Ag-Ind-Capacity-Smart'!J87*1000</f>
        <v>281864.9726598509</v>
      </c>
      <c r="K142" s="315">
        <f>'Ag-Ind-Capacity-Smart'!K87*1000</f>
        <v>285214.55652025435</v>
      </c>
      <c r="L142" s="315">
        <f>'Ag-Ind-Capacity-Smart'!L87*1000</f>
        <v>288544.97757022514</v>
      </c>
      <c r="M142" s="315">
        <f>'Ag-Ind-Capacity-Smart'!M87*1000</f>
        <v>291734.07139169291</v>
      </c>
      <c r="N142" s="315">
        <f>'Ag-Ind-Capacity-Smart'!N87*1000</f>
        <v>295034.60807832255</v>
      </c>
      <c r="O142" s="315">
        <f>'Ag-Ind-Capacity-Smart'!O87*1000</f>
        <v>298470.05085029523</v>
      </c>
      <c r="P142" s="315">
        <f>'Ag-Ind-Capacity-Smart'!P87*1000</f>
        <v>301925.26342908142</v>
      </c>
      <c r="Q142" s="315">
        <f>'Ag-Ind-Capacity-Smart'!Q87*1000</f>
        <v>305302.22342017252</v>
      </c>
      <c r="R142" s="315">
        <f>'Ag-Ind-Capacity-Smart'!R87*1000</f>
        <v>308716.95388019341</v>
      </c>
      <c r="S142" s="315">
        <f>'Ag-Ind-Capacity-Smart'!S87*1000</f>
        <v>312169.87726257142</v>
      </c>
      <c r="T142" s="315">
        <f>'Ag-Ind-Capacity-Smart'!T87*1000</f>
        <v>315661.42074577237</v>
      </c>
      <c r="U142" s="315">
        <f>'Ag-Ind-Capacity-Smart'!U87*1000</f>
        <v>319192.01628614799</v>
      </c>
      <c r="V142" s="315">
        <f>'Ag-Ind-Capacity-Smart'!V87*1000</f>
        <v>322762.10067137593</v>
      </c>
      <c r="W142" s="315"/>
    </row>
  </sheetData>
  <mergeCells count="30">
    <mergeCell ref="C138:W138"/>
    <mergeCell ref="A127:A128"/>
    <mergeCell ref="B127:B128"/>
    <mergeCell ref="C127:W127"/>
    <mergeCell ref="C100:W100"/>
    <mergeCell ref="C105:W105"/>
    <mergeCell ref="C121:W121"/>
    <mergeCell ref="A112:A113"/>
    <mergeCell ref="B112:B113"/>
    <mergeCell ref="C112:W112"/>
    <mergeCell ref="C133:W133"/>
    <mergeCell ref="A94:A95"/>
    <mergeCell ref="B94:B95"/>
    <mergeCell ref="C94:W94"/>
    <mergeCell ref="C117:W117"/>
    <mergeCell ref="C74:W74"/>
    <mergeCell ref="C77:W77"/>
    <mergeCell ref="C86:W86"/>
    <mergeCell ref="C89:W89"/>
    <mergeCell ref="A82:A83"/>
    <mergeCell ref="B82:B83"/>
    <mergeCell ref="C82:W82"/>
    <mergeCell ref="A70:A71"/>
    <mergeCell ref="B70:B71"/>
    <mergeCell ref="C70:W70"/>
    <mergeCell ref="A52:A53"/>
    <mergeCell ref="B52:B53"/>
    <mergeCell ref="C52:W52"/>
    <mergeCell ref="C58:W58"/>
    <mergeCell ref="C63:W6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theme="9" tint="-0.249977111117893"/>
  </sheetPr>
  <dimension ref="A1:O38"/>
  <sheetViews>
    <sheetView zoomScaleNormal="100" workbookViewId="0">
      <selection activeCell="G74" sqref="G74"/>
    </sheetView>
  </sheetViews>
  <sheetFormatPr defaultRowHeight="15"/>
  <cols>
    <col min="1" max="1" width="27.5703125" bestFit="1" customWidth="1"/>
    <col min="2" max="2" width="9.42578125" bestFit="1" customWidth="1"/>
    <col min="3" max="3" width="7.42578125" customWidth="1"/>
    <col min="4" max="4" width="6.42578125" bestFit="1" customWidth="1"/>
    <col min="5" max="9" width="9.5703125" bestFit="1" customWidth="1"/>
    <col min="10" max="12" width="6.42578125" bestFit="1" customWidth="1"/>
    <col min="13" max="13" width="6.42578125" style="70" bestFit="1" customWidth="1"/>
    <col min="14" max="14" width="6.5703125" customWidth="1"/>
    <col min="15" max="15" width="27.5703125" bestFit="1" customWidth="1"/>
  </cols>
  <sheetData>
    <row r="1" spans="1:15" ht="30.75" thickBot="1">
      <c r="B1" s="341" t="s">
        <v>426</v>
      </c>
      <c r="C1" s="341" t="s">
        <v>439</v>
      </c>
      <c r="D1" s="341" t="s">
        <v>427</v>
      </c>
      <c r="E1" s="341" t="s">
        <v>440</v>
      </c>
      <c r="F1" s="341" t="s">
        <v>428</v>
      </c>
      <c r="G1" s="341" t="s">
        <v>441</v>
      </c>
      <c r="H1" s="341" t="s">
        <v>429</v>
      </c>
      <c r="I1" s="341" t="s">
        <v>430</v>
      </c>
      <c r="J1" s="341" t="s">
        <v>431</v>
      </c>
      <c r="K1" s="341" t="s">
        <v>432</v>
      </c>
      <c r="L1" s="341" t="s">
        <v>433</v>
      </c>
      <c r="M1" s="341" t="s">
        <v>434</v>
      </c>
      <c r="N1" s="341" t="s">
        <v>435</v>
      </c>
    </row>
    <row r="2" spans="1:15">
      <c r="A2" s="70" t="s">
        <v>451</v>
      </c>
      <c r="B2" s="385">
        <f>CostByType_Details!AD30</f>
        <v>69.487272587765702</v>
      </c>
      <c r="C2" s="385">
        <f>CostByType_Details!AE30</f>
        <v>279.60054586070305</v>
      </c>
      <c r="D2" s="385">
        <f>CostByType_Details!AF30</f>
        <v>283.01986982876309</v>
      </c>
      <c r="E2" s="385">
        <f>CostByType_Details!AG30</f>
        <v>286.06735457062035</v>
      </c>
      <c r="F2" s="385">
        <f>CostByType_Details!AH30</f>
        <v>289.76189874419083</v>
      </c>
      <c r="G2" s="385">
        <f>CostByType_Details!AI30</f>
        <v>231.3038403717494</v>
      </c>
      <c r="H2" s="346">
        <f>CostByType_Details!AJ30</f>
        <v>35.40794638529691</v>
      </c>
      <c r="I2" s="346">
        <f>CostByType_Details!AK30</f>
        <v>34.948154974675177</v>
      </c>
      <c r="J2" s="346">
        <f>CostByType_Details!AL30</f>
        <v>33.952162575979713</v>
      </c>
      <c r="K2" s="346">
        <f>CostByType_Details!AM30</f>
        <v>36.050226654983845</v>
      </c>
      <c r="L2" s="346">
        <f>CostByType_Details!AN30</f>
        <v>35.532466459247544</v>
      </c>
      <c r="M2" s="346">
        <f>CostByType_Details!AO30</f>
        <v>36.331755364107117</v>
      </c>
      <c r="N2" s="346">
        <f>CostByType_Details!AP30</f>
        <v>37.1490239595731</v>
      </c>
      <c r="O2" s="499" t="s">
        <v>511</v>
      </c>
    </row>
    <row r="3" spans="1:15">
      <c r="A3" s="70" t="s">
        <v>452</v>
      </c>
      <c r="B3" s="385">
        <f>CostByType_Details!AD41</f>
        <v>74.117545549469682</v>
      </c>
      <c r="C3" s="385">
        <f>CostByType_Details!AE41</f>
        <v>290.35408777436572</v>
      </c>
      <c r="D3" s="385">
        <f>CostByType_Details!AF41</f>
        <v>280.18398310208192</v>
      </c>
      <c r="E3" s="385">
        <f>CostByType_Details!AG41</f>
        <v>269.07096227562022</v>
      </c>
      <c r="F3" s="385">
        <f>CostByType_Details!AH41</f>
        <v>257.41084879503472</v>
      </c>
      <c r="G3" s="385">
        <f>CostByType_Details!AI41</f>
        <v>225.02980959504882</v>
      </c>
      <c r="H3" s="346">
        <f>CostByType_Details!AJ41</f>
        <v>36.17845344167128</v>
      </c>
      <c r="I3" s="346">
        <f>CostByType_Details!AK41</f>
        <v>35.66964650199975</v>
      </c>
      <c r="J3" s="346">
        <f>CostByType_Details!AL41</f>
        <v>34.796527477839092</v>
      </c>
      <c r="K3" s="346">
        <f>CostByType_Details!AM41</f>
        <v>34.7349679555413</v>
      </c>
      <c r="L3" s="346">
        <f>CostByType_Details!AN41</f>
        <v>34.286346206342728</v>
      </c>
      <c r="M3" s="346">
        <f>CostByType_Details!AO41</f>
        <v>35.050947088757731</v>
      </c>
      <c r="N3" s="346">
        <f>CostByType_Details!AP41</f>
        <v>35.832599730124642</v>
      </c>
      <c r="O3" s="500"/>
    </row>
    <row r="4" spans="1:15" ht="15.75" thickBot="1">
      <c r="A4" s="70" t="s">
        <v>453</v>
      </c>
      <c r="B4" s="385">
        <f>CostByType_Details!AD48</f>
        <v>35.921408334857922</v>
      </c>
      <c r="C4" s="385">
        <f>CostByType_Details!AE48</f>
        <v>163.3558127645191</v>
      </c>
      <c r="D4" s="385">
        <f>CostByType_Details!AF48</f>
        <v>195.69861112120196</v>
      </c>
      <c r="E4" s="385">
        <f>CostByType_Details!AG48</f>
        <v>229.18729617059057</v>
      </c>
      <c r="F4" s="385">
        <f>CostByType_Details!AH48</f>
        <v>263.83841531500116</v>
      </c>
      <c r="G4" s="385">
        <f>CostByType_Details!AI48</f>
        <v>170.97534661381485</v>
      </c>
      <c r="H4" s="346">
        <f>CostByType_Details!AJ48</f>
        <v>28.267405395318153</v>
      </c>
      <c r="I4" s="346">
        <f>CostByType_Details!AK48</f>
        <v>27.853133289164706</v>
      </c>
      <c r="J4" s="346">
        <f>CostByType_Details!AL48</f>
        <v>27.232908058431772</v>
      </c>
      <c r="K4" s="346">
        <f>CostByType_Details!AM48</f>
        <v>26.239347980223084</v>
      </c>
      <c r="L4" s="346">
        <f>CostByType_Details!AN48</f>
        <v>25.923297081089647</v>
      </c>
      <c r="M4" s="346">
        <f>CostByType_Details!AO48</f>
        <v>26.49837608073242</v>
      </c>
      <c r="N4" s="346">
        <f>CostByType_Details!AP48</f>
        <v>27.086212606120508</v>
      </c>
      <c r="O4" s="501"/>
    </row>
    <row r="6" spans="1:15">
      <c r="B6" s="70" t="s">
        <v>513</v>
      </c>
      <c r="H6" s="70" t="s">
        <v>512</v>
      </c>
    </row>
    <row r="7" spans="1:15" s="70" customFormat="1" ht="30.75" thickBot="1">
      <c r="B7" s="341" t="s">
        <v>426</v>
      </c>
      <c r="C7" s="341" t="s">
        <v>439</v>
      </c>
      <c r="D7" s="341" t="s">
        <v>427</v>
      </c>
      <c r="E7" s="341" t="s">
        <v>440</v>
      </c>
      <c r="F7" s="341" t="s">
        <v>428</v>
      </c>
      <c r="G7" s="341" t="s">
        <v>441</v>
      </c>
      <c r="H7" s="341" t="s">
        <v>429</v>
      </c>
      <c r="I7" s="341" t="s">
        <v>430</v>
      </c>
      <c r="J7" s="341" t="s">
        <v>431</v>
      </c>
      <c r="K7" s="341" t="s">
        <v>432</v>
      </c>
      <c r="L7" s="341" t="s">
        <v>433</v>
      </c>
      <c r="M7" s="341" t="s">
        <v>434</v>
      </c>
      <c r="N7" s="341" t="s">
        <v>435</v>
      </c>
    </row>
    <row r="8" spans="1:15" s="70" customFormat="1">
      <c r="A8" s="70" t="s">
        <v>451</v>
      </c>
      <c r="B8" s="345">
        <f>B2</f>
        <v>69.487272587765702</v>
      </c>
      <c r="C8" s="345">
        <f>MIN(B8+C2,$B18)</f>
        <v>349.08781844846874</v>
      </c>
      <c r="D8" s="345">
        <f t="shared" ref="D8:N8" si="0">MIN(C8+D2,$B18)</f>
        <v>632.10768827723177</v>
      </c>
      <c r="E8" s="345">
        <f t="shared" si="0"/>
        <v>918.17504284785218</v>
      </c>
      <c r="F8" s="345">
        <f t="shared" si="0"/>
        <v>1207.936941592043</v>
      </c>
      <c r="G8" s="345">
        <f t="shared" si="0"/>
        <v>1439.2407819637924</v>
      </c>
      <c r="H8" s="345">
        <f t="shared" si="0"/>
        <v>1474.6487283490894</v>
      </c>
      <c r="I8" s="345">
        <f t="shared" si="0"/>
        <v>1509.5968833237646</v>
      </c>
      <c r="J8" s="345">
        <f t="shared" si="0"/>
        <v>1543.5490458997442</v>
      </c>
      <c r="K8" s="345">
        <f t="shared" si="0"/>
        <v>1579.599272554728</v>
      </c>
      <c r="L8" s="345">
        <f t="shared" si="0"/>
        <v>1615.1317390139757</v>
      </c>
      <c r="M8" s="345">
        <f t="shared" si="0"/>
        <v>1651.4634943780827</v>
      </c>
      <c r="N8" s="345">
        <f t="shared" si="0"/>
        <v>1688.6125183376557</v>
      </c>
      <c r="O8" s="499" t="s">
        <v>514</v>
      </c>
    </row>
    <row r="9" spans="1:15" s="70" customFormat="1">
      <c r="A9" s="70" t="s">
        <v>452</v>
      </c>
      <c r="B9" s="345">
        <f t="shared" ref="B9:B10" si="1">B3</f>
        <v>74.117545549469682</v>
      </c>
      <c r="C9" s="345">
        <f t="shared" ref="C9:N10" si="2">MIN(B9+C3,$B19)</f>
        <v>364.47163332383542</v>
      </c>
      <c r="D9" s="345">
        <f t="shared" si="2"/>
        <v>644.65561642591729</v>
      </c>
      <c r="E9" s="345">
        <f t="shared" si="2"/>
        <v>913.72657870153751</v>
      </c>
      <c r="F9" s="345">
        <f t="shared" si="2"/>
        <v>1171.1374274965722</v>
      </c>
      <c r="G9" s="345">
        <f t="shared" si="2"/>
        <v>1396.167237091621</v>
      </c>
      <c r="H9" s="345">
        <f t="shared" si="2"/>
        <v>1432.3456905332923</v>
      </c>
      <c r="I9" s="345">
        <f t="shared" si="2"/>
        <v>1468.0153370352921</v>
      </c>
      <c r="J9" s="345">
        <f t="shared" si="2"/>
        <v>1502.8118645131312</v>
      </c>
      <c r="K9" s="345">
        <f t="shared" si="2"/>
        <v>1537.5468324686726</v>
      </c>
      <c r="L9" s="345">
        <f t="shared" si="2"/>
        <v>1571.8331786750155</v>
      </c>
      <c r="M9" s="345">
        <f t="shared" si="2"/>
        <v>1606.8841257637732</v>
      </c>
      <c r="N9" s="345">
        <f t="shared" si="2"/>
        <v>1642.7167254938979</v>
      </c>
      <c r="O9" s="500"/>
    </row>
    <row r="10" spans="1:15" s="70" customFormat="1" ht="15.75" thickBot="1">
      <c r="A10" s="70" t="s">
        <v>453</v>
      </c>
      <c r="B10" s="345">
        <f t="shared" si="1"/>
        <v>35.921408334857922</v>
      </c>
      <c r="C10" s="345">
        <f t="shared" si="2"/>
        <v>199.27722109937702</v>
      </c>
      <c r="D10" s="345">
        <f t="shared" si="2"/>
        <v>394.97583222057898</v>
      </c>
      <c r="E10" s="345">
        <f t="shared" si="2"/>
        <v>624.16312839116949</v>
      </c>
      <c r="F10" s="345">
        <f t="shared" si="2"/>
        <v>888.00154370617065</v>
      </c>
      <c r="G10" s="345">
        <f t="shared" si="2"/>
        <v>1058.9768903199856</v>
      </c>
      <c r="H10" s="345">
        <f t="shared" si="2"/>
        <v>1087.2442957153037</v>
      </c>
      <c r="I10" s="345">
        <f t="shared" si="2"/>
        <v>1115.0974290044685</v>
      </c>
      <c r="J10" s="345">
        <f t="shared" si="2"/>
        <v>1142.3303370629003</v>
      </c>
      <c r="K10" s="345">
        <f t="shared" si="2"/>
        <v>1168.5696850431234</v>
      </c>
      <c r="L10" s="345">
        <f t="shared" si="2"/>
        <v>1194.4929821242131</v>
      </c>
      <c r="M10" s="345">
        <f t="shared" si="2"/>
        <v>1220.9913582049455</v>
      </c>
      <c r="N10" s="345">
        <f t="shared" si="2"/>
        <v>1248.0775708110659</v>
      </c>
      <c r="O10" s="501"/>
    </row>
    <row r="11" spans="1:15" s="70" customFormat="1">
      <c r="B11" s="345"/>
      <c r="C11" s="345"/>
      <c r="D11" s="345"/>
      <c r="E11" s="345"/>
      <c r="F11" s="345"/>
      <c r="G11" s="345"/>
      <c r="H11" s="345"/>
      <c r="I11" s="345"/>
      <c r="J11" s="345"/>
      <c r="K11" s="345"/>
      <c r="L11" s="345"/>
      <c r="M11" s="345"/>
      <c r="N11" s="345"/>
      <c r="O11" s="386"/>
    </row>
    <row r="12" spans="1:15" s="70" customFormat="1" ht="30.75" thickBot="1">
      <c r="B12" s="341" t="s">
        <v>426</v>
      </c>
      <c r="C12" s="341" t="s">
        <v>439</v>
      </c>
      <c r="D12" s="341" t="s">
        <v>427</v>
      </c>
      <c r="E12" s="341" t="s">
        <v>440</v>
      </c>
      <c r="F12" s="341" t="s">
        <v>428</v>
      </c>
      <c r="G12" s="341" t="s">
        <v>441</v>
      </c>
      <c r="H12" s="341" t="s">
        <v>429</v>
      </c>
      <c r="I12" s="341" t="s">
        <v>430</v>
      </c>
      <c r="J12" s="341" t="s">
        <v>431</v>
      </c>
      <c r="K12" s="341" t="s">
        <v>432</v>
      </c>
      <c r="L12" s="341" t="s">
        <v>433</v>
      </c>
      <c r="M12" s="341" t="s">
        <v>434</v>
      </c>
      <c r="N12" s="341" t="s">
        <v>435</v>
      </c>
    </row>
    <row r="13" spans="1:15" s="70" customFormat="1">
      <c r="A13" s="70" t="s">
        <v>516</v>
      </c>
      <c r="B13" s="345">
        <f>B23</f>
        <v>241.58738831840861</v>
      </c>
      <c r="C13" s="345">
        <f>MIN(B13+$B23,$B18)</f>
        <v>483.17477663681723</v>
      </c>
      <c r="D13" s="345">
        <f t="shared" ref="D13:N13" si="3">MIN(C13+$B23,$B18)</f>
        <v>724.7621649552259</v>
      </c>
      <c r="E13" s="345">
        <f t="shared" si="3"/>
        <v>966.34955327363446</v>
      </c>
      <c r="F13" s="345">
        <f t="shared" si="3"/>
        <v>1207.936941592043</v>
      </c>
      <c r="G13" s="345">
        <f t="shared" si="3"/>
        <v>1449.5243299104516</v>
      </c>
      <c r="H13" s="345">
        <f t="shared" si="3"/>
        <v>1688.6125183376557</v>
      </c>
      <c r="I13" s="345">
        <f t="shared" si="3"/>
        <v>1688.6125183376557</v>
      </c>
      <c r="J13" s="345">
        <f t="shared" si="3"/>
        <v>1688.6125183376557</v>
      </c>
      <c r="K13" s="345">
        <f t="shared" si="3"/>
        <v>1688.6125183376557</v>
      </c>
      <c r="L13" s="345">
        <f t="shared" si="3"/>
        <v>1688.6125183376557</v>
      </c>
      <c r="M13" s="345">
        <f t="shared" si="3"/>
        <v>1688.6125183376557</v>
      </c>
      <c r="N13" s="345">
        <f t="shared" si="3"/>
        <v>1688.6125183376557</v>
      </c>
      <c r="O13" s="499" t="s">
        <v>515</v>
      </c>
    </row>
    <row r="14" spans="1:15" s="70" customFormat="1">
      <c r="A14" s="70" t="s">
        <v>517</v>
      </c>
      <c r="B14" s="345">
        <f t="shared" ref="B14:B15" si="4">B24</f>
        <v>234.22748549931444</v>
      </c>
      <c r="C14" s="345">
        <f>MIN(B14+$B24,$B19)</f>
        <v>468.45497099862888</v>
      </c>
      <c r="D14" s="345">
        <f t="shared" ref="D14:N14" si="5">MIN(C14+$B24,$B19)</f>
        <v>702.68245649794335</v>
      </c>
      <c r="E14" s="345">
        <f t="shared" si="5"/>
        <v>936.90994199725776</v>
      </c>
      <c r="F14" s="345">
        <f t="shared" si="5"/>
        <v>1171.1374274965722</v>
      </c>
      <c r="G14" s="345">
        <f t="shared" si="5"/>
        <v>1405.3649129958867</v>
      </c>
      <c r="H14" s="345">
        <f t="shared" si="5"/>
        <v>1639.5923984952012</v>
      </c>
      <c r="I14" s="345">
        <f t="shared" si="5"/>
        <v>1642.7167254938979</v>
      </c>
      <c r="J14" s="345">
        <f t="shared" si="5"/>
        <v>1642.7167254938979</v>
      </c>
      <c r="K14" s="345">
        <f t="shared" si="5"/>
        <v>1642.7167254938979</v>
      </c>
      <c r="L14" s="345">
        <f t="shared" si="5"/>
        <v>1642.7167254938979</v>
      </c>
      <c r="M14" s="345">
        <f t="shared" si="5"/>
        <v>1642.7167254938979</v>
      </c>
      <c r="N14" s="345">
        <f t="shared" si="5"/>
        <v>1642.7167254938979</v>
      </c>
      <c r="O14" s="500"/>
    </row>
    <row r="15" spans="1:15" s="70" customFormat="1" ht="15.75" thickBot="1">
      <c r="A15" s="70" t="s">
        <v>518</v>
      </c>
      <c r="B15" s="345">
        <f t="shared" si="4"/>
        <v>177.60030874123413</v>
      </c>
      <c r="C15" s="345">
        <f>MIN(B15+$B25,$B20)</f>
        <v>355.20061748246826</v>
      </c>
      <c r="D15" s="345">
        <f t="shared" ref="D15:N15" si="6">MIN(C15+$B25,$B20)</f>
        <v>532.80092622370239</v>
      </c>
      <c r="E15" s="345">
        <f t="shared" si="6"/>
        <v>710.40123496493652</v>
      </c>
      <c r="F15" s="345">
        <f t="shared" si="6"/>
        <v>888.00154370617065</v>
      </c>
      <c r="G15" s="345">
        <f t="shared" si="6"/>
        <v>1065.6018524474048</v>
      </c>
      <c r="H15" s="345">
        <f t="shared" si="6"/>
        <v>1243.2021611886389</v>
      </c>
      <c r="I15" s="345">
        <f t="shared" si="6"/>
        <v>1248.0775708110659</v>
      </c>
      <c r="J15" s="345">
        <f t="shared" si="6"/>
        <v>1248.0775708110659</v>
      </c>
      <c r="K15" s="345">
        <f t="shared" si="6"/>
        <v>1248.0775708110659</v>
      </c>
      <c r="L15" s="345">
        <f t="shared" si="6"/>
        <v>1248.0775708110659</v>
      </c>
      <c r="M15" s="345">
        <f t="shared" si="6"/>
        <v>1248.0775708110659</v>
      </c>
      <c r="N15" s="345">
        <f t="shared" si="6"/>
        <v>1248.0775708110659</v>
      </c>
      <c r="O15" s="501"/>
    </row>
    <row r="16" spans="1:15" s="70" customFormat="1">
      <c r="B16" s="345"/>
      <c r="C16" s="345"/>
      <c r="D16" s="345"/>
      <c r="E16" s="345"/>
      <c r="F16" s="345"/>
      <c r="G16" s="345"/>
      <c r="H16" s="345"/>
      <c r="I16" s="345"/>
      <c r="J16" s="345"/>
      <c r="K16" s="345"/>
      <c r="L16" s="345"/>
      <c r="M16" s="345"/>
      <c r="N16" s="345"/>
      <c r="O16" s="386"/>
    </row>
    <row r="17" spans="1:5" ht="60">
      <c r="B17" s="341" t="s">
        <v>470</v>
      </c>
    </row>
    <row r="18" spans="1:5">
      <c r="A18" s="3" t="s">
        <v>451</v>
      </c>
      <c r="B18" s="381">
        <f>SUM(B2:N2)</f>
        <v>1688.6125183376557</v>
      </c>
    </row>
    <row r="19" spans="1:5">
      <c r="A19" s="3" t="s">
        <v>452</v>
      </c>
      <c r="B19" s="381">
        <f>SUM(B3:N3)</f>
        <v>1642.7167254938979</v>
      </c>
    </row>
    <row r="20" spans="1:5">
      <c r="A20" s="3" t="s">
        <v>453</v>
      </c>
      <c r="B20" s="381">
        <f>SUM(B4:N4)</f>
        <v>1248.0775708110659</v>
      </c>
    </row>
    <row r="21" spans="1:5">
      <c r="A21" s="380"/>
    </row>
    <row r="22" spans="1:5" ht="30">
      <c r="A22" s="3"/>
      <c r="B22" s="382" t="s">
        <v>509</v>
      </c>
      <c r="C22" s="70" t="s">
        <v>510</v>
      </c>
    </row>
    <row r="23" spans="1:5">
      <c r="A23" s="3" t="s">
        <v>451</v>
      </c>
      <c r="B23" s="379">
        <f>C23/5</f>
        <v>241.58738831840861</v>
      </c>
      <c r="C23" s="345">
        <f>SUM(B2:F2)</f>
        <v>1207.936941592043</v>
      </c>
    </row>
    <row r="24" spans="1:5">
      <c r="A24" s="3" t="s">
        <v>452</v>
      </c>
      <c r="B24" s="379">
        <f t="shared" ref="B24:B25" si="7">C24/5</f>
        <v>234.22748549931444</v>
      </c>
      <c r="C24" s="345">
        <f>SUM(B3:F3)</f>
        <v>1171.1374274965722</v>
      </c>
    </row>
    <row r="25" spans="1:5">
      <c r="A25" s="3" t="s">
        <v>453</v>
      </c>
      <c r="B25" s="379">
        <f t="shared" si="7"/>
        <v>177.60030874123413</v>
      </c>
      <c r="C25" s="345">
        <f>SUM(B4:F4)</f>
        <v>888.00154370617065</v>
      </c>
    </row>
    <row r="28" spans="1:5">
      <c r="A28" s="71" t="s">
        <v>456</v>
      </c>
    </row>
    <row r="29" spans="1:5">
      <c r="B29">
        <v>1</v>
      </c>
      <c r="C29">
        <v>2</v>
      </c>
      <c r="D29">
        <v>3</v>
      </c>
      <c r="E29">
        <v>4</v>
      </c>
    </row>
    <row r="30" spans="1:5">
      <c r="A30" s="70" t="s">
        <v>451</v>
      </c>
      <c r="B30" s="353">
        <f>CostByType_Details!AQ30</f>
        <v>0.94473386563539596</v>
      </c>
      <c r="C30" s="353">
        <f>CostByType_Details!AR30</f>
        <v>0</v>
      </c>
      <c r="D30" s="353">
        <f>CostByType_Details!AS30</f>
        <v>1.0000000000000002</v>
      </c>
      <c r="E30" s="353">
        <f>CostByType_Details!AT30</f>
        <v>0</v>
      </c>
    </row>
    <row r="31" spans="1:5">
      <c r="A31" s="70" t="s">
        <v>452</v>
      </c>
      <c r="B31" s="353">
        <f>CostByType_Details!AQ41</f>
        <v>0.79050153091482855</v>
      </c>
      <c r="C31" s="353">
        <f>CostByType_Details!AR41</f>
        <v>0</v>
      </c>
      <c r="D31" s="353">
        <f>CostByType_Details!AS41</f>
        <v>0.79863865728435457</v>
      </c>
      <c r="E31" s="353">
        <f>CostByType_Details!AT41</f>
        <v>0</v>
      </c>
    </row>
    <row r="32" spans="1:5">
      <c r="A32" s="70" t="s">
        <v>453</v>
      </c>
      <c r="B32" s="353">
        <f>CostByType_Details!AQ48</f>
        <v>0.66233333263219552</v>
      </c>
      <c r="C32" s="353">
        <f>CostByType_Details!AR48</f>
        <v>0</v>
      </c>
      <c r="D32" s="353">
        <f>CostByType_Details!AS48</f>
        <v>0.39194817348114253</v>
      </c>
      <c r="E32" s="353">
        <f>CostByType_Details!AT48</f>
        <v>0</v>
      </c>
    </row>
    <row r="34" spans="1:5">
      <c r="A34" s="71" t="s">
        <v>454</v>
      </c>
      <c r="B34" s="70"/>
      <c r="C34" s="70"/>
      <c r="D34" s="70"/>
      <c r="E34" s="70"/>
    </row>
    <row r="35" spans="1:5">
      <c r="A35" s="70"/>
      <c r="B35" s="70">
        <v>1</v>
      </c>
      <c r="C35" s="70">
        <v>2</v>
      </c>
      <c r="D35" s="70">
        <v>3</v>
      </c>
      <c r="E35" s="70">
        <v>4</v>
      </c>
    </row>
    <row r="36" spans="1:5">
      <c r="A36" s="70" t="s">
        <v>451</v>
      </c>
      <c r="B36" s="352">
        <v>8.6152556329361779E-3</v>
      </c>
      <c r="C36" s="352">
        <v>0</v>
      </c>
      <c r="D36" s="352">
        <v>1.7010675211068915E-2</v>
      </c>
      <c r="E36" s="352">
        <v>0</v>
      </c>
    </row>
    <row r="37" spans="1:5">
      <c r="A37" s="70" t="s">
        <v>452</v>
      </c>
      <c r="B37" s="352">
        <v>1.3966441478634056E-3</v>
      </c>
      <c r="C37" s="352">
        <v>0</v>
      </c>
      <c r="D37" s="352">
        <v>1.9757826797617711E-2</v>
      </c>
      <c r="E37" s="352">
        <v>0</v>
      </c>
    </row>
    <row r="38" spans="1:5">
      <c r="A38" s="70" t="s">
        <v>453</v>
      </c>
      <c r="B38" s="352">
        <v>1.5422312136181239E-2</v>
      </c>
      <c r="C38" s="352">
        <v>0</v>
      </c>
      <c r="D38" s="352">
        <v>1.3596633881456999E-3</v>
      </c>
      <c r="E38" s="352">
        <v>0</v>
      </c>
    </row>
  </sheetData>
  <mergeCells count="3">
    <mergeCell ref="O2:O4"/>
    <mergeCell ref="O13:O15"/>
    <mergeCell ref="O8:O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tabColor theme="9" tint="-0.249977111117893"/>
  </sheetPr>
  <dimension ref="A1:B16"/>
  <sheetViews>
    <sheetView workbookViewId="0">
      <selection activeCell="D25" sqref="D25"/>
    </sheetView>
  </sheetViews>
  <sheetFormatPr defaultRowHeight="15"/>
  <cols>
    <col min="1" max="1" width="6.85546875" customWidth="1"/>
  </cols>
  <sheetData>
    <row r="1" spans="1:2">
      <c r="A1" s="71" t="s">
        <v>529</v>
      </c>
    </row>
    <row r="3" spans="1:2">
      <c r="A3" s="70" t="s">
        <v>526</v>
      </c>
      <c r="B3" s="70" t="s">
        <v>528</v>
      </c>
    </row>
    <row r="5" spans="1:2">
      <c r="A5" s="71" t="s">
        <v>547</v>
      </c>
    </row>
    <row r="6" spans="1:2">
      <c r="A6" s="70" t="s">
        <v>526</v>
      </c>
      <c r="B6" s="70" t="s">
        <v>548</v>
      </c>
    </row>
    <row r="7" spans="1:2">
      <c r="A7" s="70" t="s">
        <v>527</v>
      </c>
      <c r="B7" s="70" t="s">
        <v>530</v>
      </c>
    </row>
    <row r="8" spans="1:2">
      <c r="A8" s="70" t="s">
        <v>531</v>
      </c>
      <c r="B8" s="70" t="s">
        <v>545</v>
      </c>
    </row>
    <row r="9" spans="1:2">
      <c r="A9" s="70" t="s">
        <v>532</v>
      </c>
      <c r="B9" s="70" t="s">
        <v>546</v>
      </c>
    </row>
    <row r="10" spans="1:2">
      <c r="A10" s="70" t="s">
        <v>533</v>
      </c>
      <c r="B10" s="70" t="s">
        <v>534</v>
      </c>
    </row>
    <row r="11" spans="1:2">
      <c r="A11" s="70" t="s">
        <v>535</v>
      </c>
      <c r="B11" s="70" t="s">
        <v>536</v>
      </c>
    </row>
    <row r="12" spans="1:2">
      <c r="A12" s="70" t="s">
        <v>537</v>
      </c>
      <c r="B12" s="70" t="s">
        <v>538</v>
      </c>
    </row>
    <row r="13" spans="1:2">
      <c r="A13" s="70" t="s">
        <v>539</v>
      </c>
      <c r="B13" s="70" t="s">
        <v>540</v>
      </c>
    </row>
    <row r="14" spans="1:2">
      <c r="A14" s="70" t="s">
        <v>541</v>
      </c>
      <c r="B14" s="70" t="s">
        <v>542</v>
      </c>
    </row>
    <row r="15" spans="1:2">
      <c r="A15" s="70" t="s">
        <v>543</v>
      </c>
      <c r="B15" s="70" t="s">
        <v>544</v>
      </c>
    </row>
    <row r="16" spans="1:2">
      <c r="A16" s="7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0" tint="-0.34998626667073579"/>
  </sheetPr>
  <dimension ref="A1:AO23"/>
  <sheetViews>
    <sheetView workbookViewId="0">
      <selection activeCell="H3" sqref="H3"/>
    </sheetView>
  </sheetViews>
  <sheetFormatPr defaultRowHeight="15"/>
  <cols>
    <col min="1" max="1" width="52.7109375" bestFit="1" customWidth="1"/>
  </cols>
  <sheetData>
    <row r="1" spans="1:41" s="70" customFormat="1" ht="15.75" thickBot="1">
      <c r="A1" s="260" t="s">
        <v>350</v>
      </c>
    </row>
    <row r="2" spans="1:41">
      <c r="A2" s="71" t="s">
        <v>211</v>
      </c>
      <c r="B2" s="54">
        <v>2011</v>
      </c>
      <c r="C2" s="54">
        <f>B2+1</f>
        <v>2012</v>
      </c>
      <c r="D2" s="54">
        <f t="shared" ref="D2:X2" si="0">C2+1</f>
        <v>2013</v>
      </c>
      <c r="E2" s="54">
        <f t="shared" si="0"/>
        <v>2014</v>
      </c>
      <c r="F2" s="54">
        <f t="shared" si="0"/>
        <v>2015</v>
      </c>
      <c r="G2" s="54">
        <f t="shared" si="0"/>
        <v>2016</v>
      </c>
      <c r="H2" s="54">
        <f t="shared" si="0"/>
        <v>2017</v>
      </c>
      <c r="I2" s="54">
        <f t="shared" si="0"/>
        <v>2018</v>
      </c>
      <c r="J2" s="54">
        <f t="shared" si="0"/>
        <v>2019</v>
      </c>
      <c r="K2" s="54">
        <f t="shared" si="0"/>
        <v>2020</v>
      </c>
      <c r="L2" s="54">
        <f t="shared" si="0"/>
        <v>2021</v>
      </c>
      <c r="M2" s="54">
        <f t="shared" si="0"/>
        <v>2022</v>
      </c>
      <c r="N2" s="54">
        <f t="shared" si="0"/>
        <v>2023</v>
      </c>
      <c r="O2" s="54">
        <f t="shared" si="0"/>
        <v>2024</v>
      </c>
      <c r="P2" s="54">
        <f t="shared" si="0"/>
        <v>2025</v>
      </c>
      <c r="Q2" s="54">
        <f t="shared" si="0"/>
        <v>2026</v>
      </c>
      <c r="R2" s="54">
        <f t="shared" si="0"/>
        <v>2027</v>
      </c>
      <c r="S2" s="54">
        <f t="shared" si="0"/>
        <v>2028</v>
      </c>
      <c r="T2" s="54">
        <f t="shared" si="0"/>
        <v>2029</v>
      </c>
      <c r="U2" s="54">
        <f>T2+1</f>
        <v>2030</v>
      </c>
      <c r="V2" s="54">
        <f t="shared" si="0"/>
        <v>2031</v>
      </c>
      <c r="W2" s="54">
        <f t="shared" si="0"/>
        <v>2032</v>
      </c>
      <c r="X2" s="54">
        <f t="shared" si="0"/>
        <v>2033</v>
      </c>
      <c r="Y2" s="54">
        <f>X2+1</f>
        <v>2034</v>
      </c>
      <c r="Z2" s="54">
        <f t="shared" ref="Z2:AO2" si="1">Y2+1</f>
        <v>2035</v>
      </c>
      <c r="AA2" s="54">
        <f t="shared" si="1"/>
        <v>2036</v>
      </c>
      <c r="AB2" s="54">
        <f t="shared" si="1"/>
        <v>2037</v>
      </c>
      <c r="AC2" s="54">
        <f t="shared" si="1"/>
        <v>2038</v>
      </c>
      <c r="AD2" s="54">
        <f t="shared" si="1"/>
        <v>2039</v>
      </c>
      <c r="AE2" s="54">
        <f t="shared" si="1"/>
        <v>2040</v>
      </c>
      <c r="AF2" s="54">
        <f t="shared" si="1"/>
        <v>2041</v>
      </c>
      <c r="AG2" s="54">
        <f t="shared" si="1"/>
        <v>2042</v>
      </c>
      <c r="AH2" s="54">
        <f t="shared" si="1"/>
        <v>2043</v>
      </c>
      <c r="AI2" s="54">
        <f t="shared" si="1"/>
        <v>2044</v>
      </c>
      <c r="AJ2" s="54">
        <f t="shared" si="1"/>
        <v>2045</v>
      </c>
      <c r="AK2" s="54">
        <f t="shared" si="1"/>
        <v>2046</v>
      </c>
      <c r="AL2" s="54">
        <f t="shared" si="1"/>
        <v>2047</v>
      </c>
      <c r="AM2" s="54">
        <f t="shared" si="1"/>
        <v>2048</v>
      </c>
      <c r="AN2" s="54">
        <f t="shared" si="1"/>
        <v>2049</v>
      </c>
      <c r="AO2" s="54">
        <f t="shared" si="1"/>
        <v>2050</v>
      </c>
    </row>
    <row r="3" spans="1:41">
      <c r="A3" t="s">
        <v>186</v>
      </c>
      <c r="B3">
        <v>1.4132860000000001E-2</v>
      </c>
      <c r="C3">
        <v>1.4254139000000001E-2</v>
      </c>
      <c r="D3">
        <v>1.4375417999999999E-2</v>
      </c>
      <c r="E3">
        <v>1.4496696999999999E-2</v>
      </c>
      <c r="F3">
        <v>1.4617976E-2</v>
      </c>
      <c r="G3">
        <v>1.4739255E-2</v>
      </c>
      <c r="H3">
        <v>1.4860534E-2</v>
      </c>
      <c r="I3">
        <v>1.4981813E-2</v>
      </c>
      <c r="J3">
        <v>1.5103092E-2</v>
      </c>
      <c r="K3">
        <v>1.5224371E-2</v>
      </c>
      <c r="L3">
        <v>1.5345648999999999E-2</v>
      </c>
      <c r="M3">
        <v>1.5466928E-2</v>
      </c>
      <c r="N3">
        <v>1.5588207E-2</v>
      </c>
      <c r="O3">
        <v>1.5709486000000002E-2</v>
      </c>
      <c r="P3">
        <v>1.5830765E-2</v>
      </c>
      <c r="Q3">
        <v>1.5952043999999999E-2</v>
      </c>
      <c r="R3">
        <v>1.6073323E-2</v>
      </c>
      <c r="S3">
        <v>1.6194601999999999E-2</v>
      </c>
      <c r="T3">
        <v>1.6315881000000001E-2</v>
      </c>
      <c r="U3">
        <v>1.6437159999999999E-2</v>
      </c>
      <c r="V3">
        <v>1.6558439000000001E-2</v>
      </c>
      <c r="W3">
        <v>1.6679718E-2</v>
      </c>
      <c r="X3">
        <v>1.6800997000000002E-2</v>
      </c>
      <c r="Y3">
        <v>1.6922275000000001E-2</v>
      </c>
      <c r="Z3">
        <v>1.7043553999999999E-2</v>
      </c>
      <c r="AA3">
        <v>1.7164833000000001E-2</v>
      </c>
      <c r="AB3">
        <v>1.7286111999999999E-2</v>
      </c>
      <c r="AC3">
        <v>1.7407391000000001E-2</v>
      </c>
      <c r="AD3">
        <v>1.752867E-2</v>
      </c>
      <c r="AE3">
        <v>1.7649949000000002E-2</v>
      </c>
      <c r="AF3">
        <v>1.7771228E-2</v>
      </c>
      <c r="AG3">
        <v>1.7892506999999998E-2</v>
      </c>
      <c r="AH3">
        <v>1.8013786E-2</v>
      </c>
      <c r="AI3">
        <v>1.8135064999999999E-2</v>
      </c>
      <c r="AJ3">
        <v>1.8256344000000001E-2</v>
      </c>
      <c r="AK3">
        <v>1.8377622999999999E-2</v>
      </c>
      <c r="AL3">
        <v>1.8498902000000001E-2</v>
      </c>
      <c r="AM3">
        <v>1.862018E-2</v>
      </c>
      <c r="AN3">
        <v>1.8741458999999999E-2</v>
      </c>
      <c r="AO3">
        <v>1.8862738E-2</v>
      </c>
    </row>
    <row r="4" spans="1:41">
      <c r="A4" t="s">
        <v>187</v>
      </c>
      <c r="B4">
        <v>0.29833430500000002</v>
      </c>
      <c r="C4">
        <v>0.297697832</v>
      </c>
      <c r="D4">
        <v>0.29706136</v>
      </c>
      <c r="E4">
        <v>0.29642488700000003</v>
      </c>
      <c r="F4">
        <v>0.29578841500000003</v>
      </c>
      <c r="G4">
        <v>0.295151942</v>
      </c>
      <c r="H4">
        <v>0.29451547</v>
      </c>
      <c r="I4">
        <v>0.29387899699999998</v>
      </c>
      <c r="J4">
        <v>0.29324252499999998</v>
      </c>
      <c r="K4">
        <v>0.29260605200000001</v>
      </c>
      <c r="L4">
        <v>0.292735309</v>
      </c>
      <c r="M4">
        <v>0.29286456599999999</v>
      </c>
      <c r="N4">
        <v>0.29299382299999999</v>
      </c>
      <c r="O4">
        <v>0.29312307999999998</v>
      </c>
      <c r="P4">
        <v>0.29325233699999997</v>
      </c>
      <c r="Q4">
        <v>0.29338159400000002</v>
      </c>
      <c r="R4">
        <v>0.29351085100000002</v>
      </c>
      <c r="S4">
        <v>0.29364010800000001</v>
      </c>
      <c r="T4">
        <v>0.293769365</v>
      </c>
      <c r="U4">
        <v>0.293898622</v>
      </c>
      <c r="V4">
        <v>0.29182184900000002</v>
      </c>
      <c r="W4">
        <v>0.29176792099999999</v>
      </c>
      <c r="X4">
        <v>0.29173613999999998</v>
      </c>
      <c r="Y4">
        <v>0.29172240199999999</v>
      </c>
      <c r="Z4">
        <v>0.29172150600000002</v>
      </c>
      <c r="AA4">
        <v>0.29172700000000001</v>
      </c>
      <c r="AB4">
        <v>0.29173102299999998</v>
      </c>
      <c r="AC4">
        <v>0.291724125</v>
      </c>
      <c r="AD4">
        <v>0.29169507300000003</v>
      </c>
      <c r="AE4">
        <v>0.29163065500000002</v>
      </c>
      <c r="AF4">
        <v>0.29046062299999997</v>
      </c>
      <c r="AG4">
        <v>0.29025933199999998</v>
      </c>
      <c r="AH4">
        <v>0.29005804000000002</v>
      </c>
      <c r="AI4">
        <v>0.289856748</v>
      </c>
      <c r="AJ4">
        <v>0.28965545700000001</v>
      </c>
      <c r="AK4">
        <v>0.28945416499999999</v>
      </c>
      <c r="AL4">
        <v>0.28925287399999999</v>
      </c>
      <c r="AM4">
        <v>0.28905158199999997</v>
      </c>
      <c r="AN4">
        <v>0.28885029099999998</v>
      </c>
      <c r="AO4">
        <v>0.28864899900000002</v>
      </c>
    </row>
    <row r="5" spans="1:41">
      <c r="A5" t="s">
        <v>188</v>
      </c>
      <c r="B5">
        <v>4.0637231000000003E-2</v>
      </c>
      <c r="C5">
        <v>4.0637231000000003E-2</v>
      </c>
      <c r="D5">
        <v>4.0637231000000003E-2</v>
      </c>
      <c r="E5">
        <v>4.0637231000000003E-2</v>
      </c>
      <c r="F5">
        <v>4.0637231000000003E-2</v>
      </c>
      <c r="G5">
        <v>4.0637231000000003E-2</v>
      </c>
      <c r="H5">
        <v>4.0637231000000003E-2</v>
      </c>
      <c r="I5">
        <v>4.0637231000000003E-2</v>
      </c>
      <c r="J5">
        <v>4.0637231000000003E-2</v>
      </c>
      <c r="K5">
        <v>4.0637231000000003E-2</v>
      </c>
      <c r="L5">
        <v>4.0637231000000003E-2</v>
      </c>
      <c r="M5">
        <v>4.0637231000000003E-2</v>
      </c>
      <c r="N5">
        <v>4.0637231000000003E-2</v>
      </c>
      <c r="O5">
        <v>4.0637231000000003E-2</v>
      </c>
      <c r="P5">
        <v>4.0637231000000003E-2</v>
      </c>
      <c r="Q5">
        <v>4.0637231000000003E-2</v>
      </c>
      <c r="R5">
        <v>4.0637231000000003E-2</v>
      </c>
      <c r="S5">
        <v>4.0637231000000003E-2</v>
      </c>
      <c r="T5">
        <v>4.0637231000000003E-2</v>
      </c>
      <c r="U5">
        <v>4.0637231000000003E-2</v>
      </c>
      <c r="V5">
        <v>4.0637231000000003E-2</v>
      </c>
      <c r="W5">
        <v>4.0637231000000003E-2</v>
      </c>
      <c r="X5">
        <v>4.0637231000000003E-2</v>
      </c>
      <c r="Y5">
        <v>4.0637231000000003E-2</v>
      </c>
      <c r="Z5">
        <v>4.0637231000000003E-2</v>
      </c>
      <c r="AA5">
        <v>4.0637231000000003E-2</v>
      </c>
      <c r="AB5">
        <v>4.0637231000000003E-2</v>
      </c>
      <c r="AC5">
        <v>4.0637231000000003E-2</v>
      </c>
      <c r="AD5">
        <v>4.0637231000000003E-2</v>
      </c>
      <c r="AE5">
        <v>4.0637231000000003E-2</v>
      </c>
      <c r="AF5">
        <v>4.0637231000000003E-2</v>
      </c>
      <c r="AG5">
        <v>4.0637231000000003E-2</v>
      </c>
      <c r="AH5">
        <v>4.0637231000000003E-2</v>
      </c>
      <c r="AI5">
        <v>4.0637231000000003E-2</v>
      </c>
      <c r="AJ5">
        <v>4.0637231000000003E-2</v>
      </c>
      <c r="AK5">
        <v>4.0637231000000003E-2</v>
      </c>
      <c r="AL5">
        <v>4.0637231000000003E-2</v>
      </c>
      <c r="AM5">
        <v>4.0637231000000003E-2</v>
      </c>
      <c r="AN5">
        <v>4.0637231000000003E-2</v>
      </c>
      <c r="AO5">
        <v>4.0637231000000003E-2</v>
      </c>
    </row>
    <row r="6" spans="1:41">
      <c r="A6" t="s">
        <v>189</v>
      </c>
      <c r="B6">
        <v>0.23562187000000001</v>
      </c>
      <c r="C6">
        <v>0.24146292599999999</v>
      </c>
      <c r="D6">
        <v>0.24730398200000001</v>
      </c>
      <c r="E6">
        <v>0.25314503799999999</v>
      </c>
      <c r="F6">
        <v>0.258986094</v>
      </c>
      <c r="G6">
        <v>0.26482715000000001</v>
      </c>
      <c r="H6">
        <v>0.27066820600000002</v>
      </c>
      <c r="I6">
        <v>0.27650926199999998</v>
      </c>
      <c r="J6">
        <v>0.28235031900000002</v>
      </c>
      <c r="K6">
        <v>0.28819137500000003</v>
      </c>
      <c r="L6">
        <v>0.29403243099999998</v>
      </c>
      <c r="M6">
        <v>0.29987348699999999</v>
      </c>
      <c r="N6">
        <v>0.30571454300000001</v>
      </c>
      <c r="O6">
        <v>0.31155559900000002</v>
      </c>
      <c r="P6">
        <v>0.31739665500000003</v>
      </c>
      <c r="Q6">
        <v>0.32323771099999998</v>
      </c>
      <c r="R6">
        <v>0.32907876699999999</v>
      </c>
      <c r="S6">
        <v>0.33491982300000001</v>
      </c>
      <c r="T6">
        <v>0.34076087900000002</v>
      </c>
      <c r="U6">
        <v>0.34660193500000003</v>
      </c>
      <c r="V6">
        <v>0.35244299099999998</v>
      </c>
      <c r="W6">
        <v>0.35828404699999999</v>
      </c>
      <c r="X6">
        <v>0.36412510300000001</v>
      </c>
      <c r="Y6">
        <v>0.36996615900000002</v>
      </c>
      <c r="Z6">
        <v>0.37580721499999997</v>
      </c>
      <c r="AA6">
        <v>0.38164827099999998</v>
      </c>
      <c r="AB6">
        <v>0.38748932699999999</v>
      </c>
      <c r="AC6">
        <v>0.39333038300000001</v>
      </c>
      <c r="AD6">
        <v>0.39917143900000002</v>
      </c>
      <c r="AE6">
        <v>0.40501249499999997</v>
      </c>
      <c r="AF6">
        <v>0.41085355099999998</v>
      </c>
      <c r="AG6">
        <v>0.41669460699999999</v>
      </c>
      <c r="AH6">
        <v>0.42253566300000001</v>
      </c>
      <c r="AI6">
        <v>0.42837671900000002</v>
      </c>
      <c r="AJ6">
        <v>0.43421777499999997</v>
      </c>
      <c r="AK6">
        <v>0.44005883099999998</v>
      </c>
      <c r="AL6">
        <v>0.44589988699999999</v>
      </c>
      <c r="AM6">
        <v>0.45174094300000001</v>
      </c>
      <c r="AN6">
        <v>0.45758199900000002</v>
      </c>
      <c r="AO6">
        <v>0.46342305499999997</v>
      </c>
    </row>
    <row r="7" spans="1:41">
      <c r="A7" t="s">
        <v>190</v>
      </c>
      <c r="B7">
        <v>0.125309438</v>
      </c>
      <c r="C7">
        <v>0.12604669199999999</v>
      </c>
      <c r="D7">
        <v>0.12678394700000001</v>
      </c>
      <c r="E7">
        <v>0.127521201</v>
      </c>
      <c r="F7">
        <v>0.12825845599999999</v>
      </c>
      <c r="G7">
        <v>0.12899571100000001</v>
      </c>
      <c r="H7">
        <v>0.12973296500000001</v>
      </c>
      <c r="I7">
        <v>0.13047022</v>
      </c>
      <c r="J7">
        <v>0.13120747499999999</v>
      </c>
      <c r="K7">
        <v>0.13194472900000001</v>
      </c>
      <c r="L7">
        <v>0.13215938999999999</v>
      </c>
      <c r="M7">
        <v>0.13237404999999999</v>
      </c>
      <c r="N7">
        <v>0.132588711</v>
      </c>
      <c r="O7">
        <v>0.132803371</v>
      </c>
      <c r="P7">
        <v>0.13301803200000001</v>
      </c>
      <c r="Q7">
        <v>0.13323269200000001</v>
      </c>
      <c r="R7">
        <v>0.13344735199999999</v>
      </c>
      <c r="S7">
        <v>0.133662013</v>
      </c>
      <c r="T7">
        <v>0.133876673</v>
      </c>
      <c r="U7">
        <v>0.13409133400000001</v>
      </c>
      <c r="V7">
        <v>0.135811563</v>
      </c>
      <c r="W7">
        <v>0.13615124300000001</v>
      </c>
      <c r="X7">
        <v>0.136475809</v>
      </c>
      <c r="Y7">
        <v>0.13678805999999999</v>
      </c>
      <c r="Z7">
        <v>0.13709154800000001</v>
      </c>
      <c r="AA7">
        <v>0.13739067299999999</v>
      </c>
      <c r="AB7">
        <v>0.137690803</v>
      </c>
      <c r="AC7">
        <v>0.137998387</v>
      </c>
      <c r="AD7">
        <v>0.13832109000000001</v>
      </c>
      <c r="AE7">
        <v>0.138667929</v>
      </c>
      <c r="AF7">
        <v>0.139769327</v>
      </c>
      <c r="AG7">
        <v>0.14020958</v>
      </c>
      <c r="AH7">
        <v>0.140649833</v>
      </c>
      <c r="AI7">
        <v>0.141090085</v>
      </c>
      <c r="AJ7">
        <v>0.14153033800000001</v>
      </c>
      <c r="AK7">
        <v>0.14197059100000001</v>
      </c>
      <c r="AL7">
        <v>0.14241084400000001</v>
      </c>
      <c r="AM7">
        <v>0.14285109700000001</v>
      </c>
      <c r="AN7">
        <v>0.14329135000000001</v>
      </c>
      <c r="AO7">
        <v>0.14373160200000001</v>
      </c>
    </row>
    <row r="8" spans="1:41">
      <c r="A8" t="s">
        <v>191</v>
      </c>
      <c r="B8">
        <v>0</v>
      </c>
      <c r="C8">
        <v>0</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row>
    <row r="9" spans="1:41">
      <c r="A9" t="s">
        <v>192</v>
      </c>
      <c r="B9">
        <v>0.13558973199999999</v>
      </c>
      <c r="C9">
        <v>0.13383613799999999</v>
      </c>
      <c r="D9">
        <v>0.132082544</v>
      </c>
      <c r="E9">
        <v>0.130328951</v>
      </c>
      <c r="F9">
        <v>0.128575357</v>
      </c>
      <c r="G9">
        <v>0.126821764</v>
      </c>
      <c r="H9">
        <v>0.12506817000000001</v>
      </c>
      <c r="I9">
        <v>0.12331457699999999</v>
      </c>
      <c r="J9">
        <v>0.121560983</v>
      </c>
      <c r="K9">
        <v>0.11980739</v>
      </c>
      <c r="L9">
        <v>0.118053796</v>
      </c>
      <c r="M9">
        <v>0.11630020200000001</v>
      </c>
      <c r="N9">
        <v>0.11454660899999999</v>
      </c>
      <c r="O9">
        <v>0.112793015</v>
      </c>
      <c r="P9">
        <v>0.111039422</v>
      </c>
      <c r="Q9">
        <v>0.109285828</v>
      </c>
      <c r="R9">
        <v>0.107532235</v>
      </c>
      <c r="S9">
        <v>0.10577864100000001</v>
      </c>
      <c r="T9">
        <v>0.10402504799999999</v>
      </c>
      <c r="U9">
        <v>0.102271454</v>
      </c>
      <c r="V9">
        <v>0.100517861</v>
      </c>
      <c r="W9">
        <v>9.8764267000000003E-2</v>
      </c>
      <c r="X9">
        <v>9.7010673000000006E-2</v>
      </c>
      <c r="Y9">
        <v>9.5257079999999994E-2</v>
      </c>
      <c r="Z9">
        <v>9.3503485999999997E-2</v>
      </c>
      <c r="AA9">
        <v>9.1749892999999999E-2</v>
      </c>
      <c r="AB9">
        <v>8.9996299000000002E-2</v>
      </c>
      <c r="AC9">
        <v>8.8242706000000004E-2</v>
      </c>
      <c r="AD9">
        <v>8.6489112000000007E-2</v>
      </c>
      <c r="AE9">
        <v>8.4735518999999995E-2</v>
      </c>
      <c r="AF9">
        <v>8.2981924999999998E-2</v>
      </c>
      <c r="AG9">
        <v>8.1228331000000001E-2</v>
      </c>
      <c r="AH9">
        <v>7.9474738000000003E-2</v>
      </c>
      <c r="AI9">
        <v>7.7721144000000006E-2</v>
      </c>
      <c r="AJ9">
        <v>7.5967550999999994E-2</v>
      </c>
      <c r="AK9">
        <v>7.4213956999999997E-2</v>
      </c>
      <c r="AL9">
        <v>7.2460363999999999E-2</v>
      </c>
      <c r="AM9">
        <v>7.0706770000000002E-2</v>
      </c>
      <c r="AN9">
        <v>6.8953177000000004E-2</v>
      </c>
      <c r="AO9">
        <v>6.7199582999999993E-2</v>
      </c>
    </row>
    <row r="10" spans="1:41">
      <c r="A10" t="s">
        <v>193</v>
      </c>
      <c r="B10">
        <v>0.21593546699999999</v>
      </c>
      <c r="C10">
        <v>0.218389536</v>
      </c>
      <c r="D10">
        <v>0.220843606</v>
      </c>
      <c r="E10">
        <v>0.223297675</v>
      </c>
      <c r="F10">
        <v>0.225751745</v>
      </c>
      <c r="G10">
        <v>0.22820581500000001</v>
      </c>
      <c r="H10">
        <v>0.23065988400000001</v>
      </c>
      <c r="I10">
        <v>0.23311395400000001</v>
      </c>
      <c r="J10">
        <v>0.23556802299999999</v>
      </c>
      <c r="K10">
        <v>0.23802209299999999</v>
      </c>
      <c r="L10">
        <v>0.23859646100000001</v>
      </c>
      <c r="M10">
        <v>0.239170828</v>
      </c>
      <c r="N10">
        <v>0.23974519599999999</v>
      </c>
      <c r="O10">
        <v>0.24031956400000001</v>
      </c>
      <c r="P10">
        <v>0.24089393200000001</v>
      </c>
      <c r="Q10">
        <v>0.2414683</v>
      </c>
      <c r="R10">
        <v>0.24204266799999999</v>
      </c>
      <c r="S10">
        <v>0.24261703500000001</v>
      </c>
      <c r="T10">
        <v>0.243191403</v>
      </c>
      <c r="U10">
        <v>0.24376577099999999</v>
      </c>
      <c r="V10">
        <v>0.24975547000000001</v>
      </c>
      <c r="W10">
        <v>0.25077951700000001</v>
      </c>
      <c r="X10">
        <v>0.25174919899999998</v>
      </c>
      <c r="Y10">
        <v>0.252674589</v>
      </c>
      <c r="Z10">
        <v>0.25356845500000003</v>
      </c>
      <c r="AA10">
        <v>0.254446634</v>
      </c>
      <c r="AB10">
        <v>0.25532842300000003</v>
      </c>
      <c r="AC10">
        <v>0.25623702399999998</v>
      </c>
      <c r="AD10">
        <v>0.25720000599999998</v>
      </c>
      <c r="AE10">
        <v>0.25824980400000003</v>
      </c>
      <c r="AF10">
        <v>0.26201364799999999</v>
      </c>
      <c r="AG10">
        <v>0.26339944100000001</v>
      </c>
      <c r="AH10">
        <v>0.26478523500000001</v>
      </c>
      <c r="AI10">
        <v>0.26617102799999998</v>
      </c>
      <c r="AJ10">
        <v>0.26755682200000003</v>
      </c>
      <c r="AK10">
        <v>0.268942615</v>
      </c>
      <c r="AL10">
        <v>0.27032840899999999</v>
      </c>
      <c r="AM10">
        <v>0.27171420200000002</v>
      </c>
      <c r="AN10">
        <v>0.27309999600000001</v>
      </c>
      <c r="AO10">
        <v>0.27448578899999998</v>
      </c>
    </row>
    <row r="11" spans="1:41">
      <c r="A11" t="s">
        <v>194</v>
      </c>
      <c r="B11">
        <v>5.6947609000000003E-2</v>
      </c>
      <c r="C11">
        <v>5.6947609000000003E-2</v>
      </c>
      <c r="D11">
        <v>5.6947609000000003E-2</v>
      </c>
      <c r="E11">
        <v>5.6947609000000003E-2</v>
      </c>
      <c r="F11">
        <v>5.6947609000000003E-2</v>
      </c>
      <c r="G11">
        <v>5.6947609000000003E-2</v>
      </c>
      <c r="H11">
        <v>5.6947609000000003E-2</v>
      </c>
      <c r="I11">
        <v>5.6947609000000003E-2</v>
      </c>
      <c r="J11">
        <v>5.6947609000000003E-2</v>
      </c>
      <c r="K11">
        <v>5.6947609000000003E-2</v>
      </c>
      <c r="L11">
        <v>5.6947609000000003E-2</v>
      </c>
      <c r="M11">
        <v>5.6947609000000003E-2</v>
      </c>
      <c r="N11">
        <v>5.6947609000000003E-2</v>
      </c>
      <c r="O11">
        <v>5.6947609000000003E-2</v>
      </c>
      <c r="P11">
        <v>5.6947609000000003E-2</v>
      </c>
      <c r="Q11">
        <v>5.6947609000000003E-2</v>
      </c>
      <c r="R11">
        <v>5.6947609000000003E-2</v>
      </c>
      <c r="S11">
        <v>5.6947609000000003E-2</v>
      </c>
      <c r="T11">
        <v>5.6947609000000003E-2</v>
      </c>
      <c r="U11">
        <v>5.6947609000000003E-2</v>
      </c>
      <c r="V11">
        <v>5.6947609000000003E-2</v>
      </c>
      <c r="W11">
        <v>5.6947609000000003E-2</v>
      </c>
      <c r="X11">
        <v>5.6947609000000003E-2</v>
      </c>
      <c r="Y11">
        <v>5.6947609000000003E-2</v>
      </c>
      <c r="Z11">
        <v>5.6947609000000003E-2</v>
      </c>
      <c r="AA11">
        <v>5.6947609000000003E-2</v>
      </c>
      <c r="AB11">
        <v>5.6947609000000003E-2</v>
      </c>
      <c r="AC11">
        <v>5.6947609000000003E-2</v>
      </c>
      <c r="AD11">
        <v>5.6947609000000003E-2</v>
      </c>
      <c r="AE11">
        <v>5.6947609000000003E-2</v>
      </c>
      <c r="AF11">
        <v>5.6947609000000003E-2</v>
      </c>
      <c r="AG11">
        <v>5.6947609000000003E-2</v>
      </c>
      <c r="AH11">
        <v>5.6947609000000003E-2</v>
      </c>
      <c r="AI11">
        <v>5.6947609000000003E-2</v>
      </c>
      <c r="AJ11">
        <v>5.6947609000000003E-2</v>
      </c>
      <c r="AK11">
        <v>5.6947609000000003E-2</v>
      </c>
      <c r="AL11">
        <v>5.6947609000000003E-2</v>
      </c>
      <c r="AM11">
        <v>5.6947609000000003E-2</v>
      </c>
      <c r="AN11">
        <v>5.6947609000000003E-2</v>
      </c>
      <c r="AO11">
        <v>5.6947609000000003E-2</v>
      </c>
    </row>
    <row r="12" spans="1:41">
      <c r="A12" t="s">
        <v>195</v>
      </c>
      <c r="B12">
        <v>3.4552284000000003E-2</v>
      </c>
      <c r="C12">
        <v>3.4061632000000001E-2</v>
      </c>
      <c r="D12">
        <v>3.357098E-2</v>
      </c>
      <c r="E12">
        <v>3.3080327999999999E-2</v>
      </c>
      <c r="F12">
        <v>3.2589675999999998E-2</v>
      </c>
      <c r="G12">
        <v>3.2099022999999997E-2</v>
      </c>
      <c r="H12">
        <v>3.1608371000000003E-2</v>
      </c>
      <c r="I12">
        <v>3.1117718999999999E-2</v>
      </c>
      <c r="J12">
        <v>3.0627067000000001E-2</v>
      </c>
      <c r="K12">
        <v>3.0136415E-2</v>
      </c>
      <c r="L12">
        <v>2.9645762999999999E-2</v>
      </c>
      <c r="M12">
        <v>2.9155111000000001E-2</v>
      </c>
      <c r="N12">
        <v>2.8664459E-2</v>
      </c>
      <c r="O12">
        <v>2.8173806999999999E-2</v>
      </c>
      <c r="P12">
        <v>2.7683154000000001E-2</v>
      </c>
      <c r="Q12">
        <v>2.7192502E-2</v>
      </c>
      <c r="R12">
        <v>2.6701849999999999E-2</v>
      </c>
      <c r="S12">
        <v>2.6211198000000002E-2</v>
      </c>
      <c r="T12">
        <v>2.5720546E-2</v>
      </c>
      <c r="U12">
        <v>2.5229893999999999E-2</v>
      </c>
      <c r="V12">
        <v>2.4739242000000002E-2</v>
      </c>
      <c r="W12">
        <v>2.424859E-2</v>
      </c>
      <c r="X12">
        <v>2.3757937999999999E-2</v>
      </c>
      <c r="Y12">
        <v>2.3267284999999999E-2</v>
      </c>
      <c r="Z12">
        <v>2.2776633000000001E-2</v>
      </c>
      <c r="AA12">
        <v>2.2285981E-2</v>
      </c>
      <c r="AB12">
        <v>2.1795328999999999E-2</v>
      </c>
      <c r="AC12">
        <v>2.1304677000000001E-2</v>
      </c>
      <c r="AD12">
        <v>2.0814025E-2</v>
      </c>
      <c r="AE12">
        <v>2.0323372999999999E-2</v>
      </c>
      <c r="AF12">
        <v>1.9832721000000001E-2</v>
      </c>
      <c r="AG12">
        <v>1.9342069E-2</v>
      </c>
      <c r="AH12">
        <v>1.8851415999999999E-2</v>
      </c>
      <c r="AI12">
        <v>1.8360764000000002E-2</v>
      </c>
      <c r="AJ12">
        <v>1.7870112E-2</v>
      </c>
      <c r="AK12">
        <v>1.7379459999999999E-2</v>
      </c>
      <c r="AL12">
        <v>1.6888808000000002E-2</v>
      </c>
      <c r="AM12">
        <v>1.6398156000000001E-2</v>
      </c>
      <c r="AN12">
        <v>1.5907503999999999E-2</v>
      </c>
      <c r="AO12">
        <v>1.5416852E-2</v>
      </c>
    </row>
    <row r="13" spans="1:41">
      <c r="A13" t="s">
        <v>196</v>
      </c>
      <c r="B13">
        <v>0.13001270700000001</v>
      </c>
      <c r="C13">
        <v>0.127653509</v>
      </c>
      <c r="D13">
        <v>0.12529431099999999</v>
      </c>
      <c r="E13">
        <v>0.122935113</v>
      </c>
      <c r="F13">
        <v>0.12057591500000001</v>
      </c>
      <c r="G13">
        <v>0.118216716</v>
      </c>
      <c r="H13">
        <v>0.11585751800000001</v>
      </c>
      <c r="I13">
        <v>0.11349832</v>
      </c>
      <c r="J13">
        <v>0.11113912200000001</v>
      </c>
      <c r="K13">
        <v>0.108779924</v>
      </c>
      <c r="L13">
        <v>0.10801839000000001</v>
      </c>
      <c r="M13">
        <v>0.107256856</v>
      </c>
      <c r="N13">
        <v>0.106495321</v>
      </c>
      <c r="O13">
        <v>0.105733787</v>
      </c>
      <c r="P13">
        <v>0.104972253</v>
      </c>
      <c r="Q13">
        <v>0.10421071899999999</v>
      </c>
      <c r="R13">
        <v>0.103449185</v>
      </c>
      <c r="S13">
        <v>0.10268765000000001</v>
      </c>
      <c r="T13">
        <v>0.101926116</v>
      </c>
      <c r="U13">
        <v>0.101164582</v>
      </c>
      <c r="V13">
        <v>9.5800254000000001E-2</v>
      </c>
      <c r="W13">
        <v>9.4656511999999998E-2</v>
      </c>
      <c r="X13">
        <v>9.3558979E-2</v>
      </c>
      <c r="Y13">
        <v>9.2499091000000006E-2</v>
      </c>
      <c r="Z13">
        <v>9.1465996999999993E-2</v>
      </c>
      <c r="AA13">
        <v>9.0446236999999999E-2</v>
      </c>
      <c r="AB13">
        <v>8.9423407999999996E-2</v>
      </c>
      <c r="AC13">
        <v>8.8377789999999998E-2</v>
      </c>
      <c r="AD13">
        <v>8.7285952E-2</v>
      </c>
      <c r="AE13">
        <v>8.6120322999999999E-2</v>
      </c>
      <c r="AF13">
        <v>8.2647873999999996E-2</v>
      </c>
      <c r="AG13">
        <v>8.1196664000000002E-2</v>
      </c>
      <c r="AH13">
        <v>7.9745452999999994E-2</v>
      </c>
      <c r="AI13">
        <v>7.8294242999999999E-2</v>
      </c>
      <c r="AJ13">
        <v>7.6843032000000006E-2</v>
      </c>
      <c r="AK13">
        <v>7.5391821999999997E-2</v>
      </c>
      <c r="AL13">
        <v>7.3940611000000003E-2</v>
      </c>
      <c r="AM13">
        <v>7.2489400999999995E-2</v>
      </c>
      <c r="AN13">
        <v>7.1038191000000001E-2</v>
      </c>
      <c r="AO13">
        <v>6.9586980000000007E-2</v>
      </c>
    </row>
    <row r="14" spans="1:41">
      <c r="A14" t="s">
        <v>197</v>
      </c>
      <c r="B14">
        <v>0.487958954</v>
      </c>
      <c r="C14">
        <v>0.487958954</v>
      </c>
      <c r="D14">
        <v>0.487958954</v>
      </c>
      <c r="E14">
        <v>0.487958954</v>
      </c>
      <c r="F14">
        <v>0.487958954</v>
      </c>
      <c r="G14">
        <v>0.487958954</v>
      </c>
      <c r="H14">
        <v>0.487958954</v>
      </c>
      <c r="I14">
        <v>0.487958954</v>
      </c>
      <c r="J14">
        <v>0.487958954</v>
      </c>
      <c r="K14">
        <v>0.487958954</v>
      </c>
      <c r="L14">
        <v>0.487958954</v>
      </c>
      <c r="M14">
        <v>0.487958954</v>
      </c>
      <c r="N14">
        <v>0.487958954</v>
      </c>
      <c r="O14">
        <v>0.487958954</v>
      </c>
      <c r="P14">
        <v>0.487958954</v>
      </c>
      <c r="Q14">
        <v>0.487958954</v>
      </c>
      <c r="R14">
        <v>0.487958954</v>
      </c>
      <c r="S14">
        <v>0.487958954</v>
      </c>
      <c r="T14">
        <v>0.487958954</v>
      </c>
      <c r="U14">
        <v>0.487958954</v>
      </c>
      <c r="V14">
        <v>0.487958954</v>
      </c>
      <c r="W14">
        <v>0.487958954</v>
      </c>
      <c r="X14">
        <v>0.487958954</v>
      </c>
      <c r="Y14">
        <v>0.487958954</v>
      </c>
      <c r="Z14">
        <v>0.487958954</v>
      </c>
      <c r="AA14">
        <v>0.487958954</v>
      </c>
      <c r="AB14">
        <v>0.487958954</v>
      </c>
      <c r="AC14">
        <v>0.487958954</v>
      </c>
      <c r="AD14">
        <v>0.487958954</v>
      </c>
      <c r="AE14">
        <v>0.487958954</v>
      </c>
      <c r="AF14">
        <v>0.487958954</v>
      </c>
      <c r="AG14">
        <v>0.487958954</v>
      </c>
      <c r="AH14">
        <v>0.487958954</v>
      </c>
      <c r="AI14">
        <v>0.487958954</v>
      </c>
      <c r="AJ14">
        <v>0.487958954</v>
      </c>
      <c r="AK14">
        <v>0.487958954</v>
      </c>
      <c r="AL14">
        <v>0.487958954</v>
      </c>
      <c r="AM14">
        <v>0.487958954</v>
      </c>
      <c r="AN14">
        <v>0.487958954</v>
      </c>
      <c r="AO14">
        <v>0.487958954</v>
      </c>
    </row>
    <row r="15" spans="1:41">
      <c r="A15" t="s">
        <v>198</v>
      </c>
      <c r="B15">
        <v>0.31395943399999998</v>
      </c>
      <c r="C15">
        <v>0.31116685399999999</v>
      </c>
      <c r="D15">
        <v>0.308374274</v>
      </c>
      <c r="E15">
        <v>0.30558169400000001</v>
      </c>
      <c r="F15">
        <v>0.30278911400000003</v>
      </c>
      <c r="G15">
        <v>0.29999653300000001</v>
      </c>
      <c r="H15">
        <v>0.29720395300000002</v>
      </c>
      <c r="I15">
        <v>0.29441137299999998</v>
      </c>
      <c r="J15">
        <v>0.29161879299999999</v>
      </c>
      <c r="K15">
        <v>0.28882621200000003</v>
      </c>
      <c r="L15">
        <v>0.28603363199999998</v>
      </c>
      <c r="M15">
        <v>0.28324105199999999</v>
      </c>
      <c r="N15">
        <v>0.280448472</v>
      </c>
      <c r="O15">
        <v>0.27765589099999999</v>
      </c>
      <c r="P15">
        <v>0.274863311</v>
      </c>
      <c r="Q15">
        <v>0.27207073100000001</v>
      </c>
      <c r="R15">
        <v>0.26927815100000002</v>
      </c>
      <c r="S15">
        <v>0.26648557</v>
      </c>
      <c r="T15">
        <v>0.26369299000000002</v>
      </c>
      <c r="U15">
        <v>0.26090041000000003</v>
      </c>
      <c r="V15">
        <v>0.25810782999999998</v>
      </c>
      <c r="W15">
        <v>0.25531524999999999</v>
      </c>
      <c r="X15">
        <v>0.25252266899999998</v>
      </c>
      <c r="Y15">
        <v>0.24973008899999999</v>
      </c>
      <c r="Z15">
        <v>0.246937509</v>
      </c>
      <c r="AA15">
        <v>0.24414492900000001</v>
      </c>
      <c r="AB15">
        <v>0.24135234799999999</v>
      </c>
      <c r="AC15">
        <v>0.23855976800000001</v>
      </c>
      <c r="AD15">
        <v>0.23576718799999999</v>
      </c>
      <c r="AE15">
        <v>0.232974608</v>
      </c>
      <c r="AF15">
        <v>0.23018202700000001</v>
      </c>
      <c r="AG15">
        <v>0.22738944699999999</v>
      </c>
      <c r="AH15">
        <v>0.22459686700000001</v>
      </c>
      <c r="AI15">
        <v>0.22180428699999999</v>
      </c>
      <c r="AJ15">
        <v>0.219011706</v>
      </c>
      <c r="AK15">
        <v>0.21621912600000001</v>
      </c>
      <c r="AL15">
        <v>0.21342654599999999</v>
      </c>
      <c r="AM15">
        <v>0.21063396600000001</v>
      </c>
      <c r="AN15">
        <v>0.20784138599999999</v>
      </c>
      <c r="AO15">
        <v>0.205048805</v>
      </c>
    </row>
    <row r="16" spans="1:41">
      <c r="A16" t="s">
        <v>199</v>
      </c>
      <c r="B16">
        <v>6.5357450999999997E-2</v>
      </c>
      <c r="C16">
        <v>6.4588814999999994E-2</v>
      </c>
      <c r="D16">
        <v>6.3820178000000005E-2</v>
      </c>
      <c r="E16">
        <v>6.3051541000000003E-2</v>
      </c>
      <c r="F16">
        <v>6.2282904E-2</v>
      </c>
      <c r="G16">
        <v>6.1514266999999997E-2</v>
      </c>
      <c r="H16">
        <v>6.0745631000000001E-2</v>
      </c>
      <c r="I16">
        <v>5.9976993999999999E-2</v>
      </c>
      <c r="J16">
        <v>5.9208357000000003E-2</v>
      </c>
      <c r="K16">
        <v>5.8439720000000001E-2</v>
      </c>
      <c r="L16">
        <v>5.8215678999999999E-2</v>
      </c>
      <c r="M16">
        <v>5.7991636999999999E-2</v>
      </c>
      <c r="N16">
        <v>5.7767595999999997E-2</v>
      </c>
      <c r="O16">
        <v>5.7543553999999997E-2</v>
      </c>
      <c r="P16">
        <v>5.7319513000000002E-2</v>
      </c>
      <c r="Q16">
        <v>5.7095471000000002E-2</v>
      </c>
      <c r="R16">
        <v>5.6871430000000001E-2</v>
      </c>
      <c r="S16">
        <v>5.6647388E-2</v>
      </c>
      <c r="T16">
        <v>5.6423346999999999E-2</v>
      </c>
      <c r="U16">
        <v>5.6199304999999998E-2</v>
      </c>
      <c r="V16">
        <v>5.4406310999999999E-2</v>
      </c>
      <c r="W16">
        <v>5.4051986000000003E-2</v>
      </c>
      <c r="X16">
        <v>5.3713413000000002E-2</v>
      </c>
      <c r="Y16">
        <v>5.3387671999999997E-2</v>
      </c>
      <c r="Z16">
        <v>5.3071063000000002E-2</v>
      </c>
      <c r="AA16">
        <v>5.2759001E-2</v>
      </c>
      <c r="AB16">
        <v>5.2445892000000001E-2</v>
      </c>
      <c r="AC16">
        <v>5.2125014999999997E-2</v>
      </c>
      <c r="AD16">
        <v>5.1788382000000001E-2</v>
      </c>
      <c r="AE16">
        <v>5.1426596999999998E-2</v>
      </c>
      <c r="AF16">
        <v>5.0278486999999997E-2</v>
      </c>
      <c r="AG16">
        <v>4.9819356000000002E-2</v>
      </c>
      <c r="AH16">
        <v>4.9360224000000001E-2</v>
      </c>
      <c r="AI16">
        <v>4.8901093E-2</v>
      </c>
      <c r="AJ16">
        <v>4.8441961999999998E-2</v>
      </c>
      <c r="AK16">
        <v>4.7982830999999997E-2</v>
      </c>
      <c r="AL16">
        <v>4.7523699000000003E-2</v>
      </c>
      <c r="AM16">
        <v>4.7064568000000001E-2</v>
      </c>
      <c r="AN16">
        <v>4.6605437E-2</v>
      </c>
      <c r="AO16">
        <v>4.6146305999999998E-2</v>
      </c>
    </row>
    <row r="17" spans="1:41">
      <c r="A17" t="s">
        <v>200</v>
      </c>
      <c r="B17">
        <v>1.3545744E-2</v>
      </c>
      <c r="C17">
        <v>1.3545744E-2</v>
      </c>
      <c r="D17">
        <v>1.3545744E-2</v>
      </c>
      <c r="E17">
        <v>1.3545744E-2</v>
      </c>
      <c r="F17">
        <v>1.3545744E-2</v>
      </c>
      <c r="G17">
        <v>1.3545744E-2</v>
      </c>
      <c r="H17">
        <v>1.3545744E-2</v>
      </c>
      <c r="I17">
        <v>1.3545744E-2</v>
      </c>
      <c r="J17">
        <v>1.3545744E-2</v>
      </c>
      <c r="K17">
        <v>1.3545744E-2</v>
      </c>
      <c r="L17">
        <v>1.3545744E-2</v>
      </c>
      <c r="M17">
        <v>1.3545744E-2</v>
      </c>
      <c r="N17">
        <v>1.3545744E-2</v>
      </c>
      <c r="O17">
        <v>1.3545744E-2</v>
      </c>
      <c r="P17">
        <v>1.3545744E-2</v>
      </c>
      <c r="Q17">
        <v>1.3545744E-2</v>
      </c>
      <c r="R17">
        <v>1.3545744E-2</v>
      </c>
      <c r="S17">
        <v>1.3545744E-2</v>
      </c>
      <c r="T17">
        <v>1.3545744E-2</v>
      </c>
      <c r="U17">
        <v>1.3545744E-2</v>
      </c>
      <c r="V17">
        <v>1.3545744E-2</v>
      </c>
      <c r="W17">
        <v>1.3545744E-2</v>
      </c>
      <c r="X17">
        <v>1.3545744E-2</v>
      </c>
      <c r="Y17">
        <v>1.3545744E-2</v>
      </c>
      <c r="Z17">
        <v>1.3545744E-2</v>
      </c>
      <c r="AA17">
        <v>1.3545744E-2</v>
      </c>
      <c r="AB17">
        <v>1.3545744E-2</v>
      </c>
      <c r="AC17">
        <v>1.3545744E-2</v>
      </c>
      <c r="AD17">
        <v>1.3545744E-2</v>
      </c>
      <c r="AE17">
        <v>1.3545744E-2</v>
      </c>
      <c r="AF17">
        <v>1.3545744E-2</v>
      </c>
      <c r="AG17">
        <v>1.3545744E-2</v>
      </c>
      <c r="AH17">
        <v>1.3545744E-2</v>
      </c>
      <c r="AI17">
        <v>1.3545744E-2</v>
      </c>
      <c r="AJ17">
        <v>1.3545744E-2</v>
      </c>
      <c r="AK17">
        <v>1.3545744E-2</v>
      </c>
      <c r="AL17">
        <v>1.3545744E-2</v>
      </c>
      <c r="AM17">
        <v>1.3545744E-2</v>
      </c>
      <c r="AN17">
        <v>1.3545744E-2</v>
      </c>
      <c r="AO17">
        <v>1.3545744E-2</v>
      </c>
    </row>
    <row r="18" spans="1:41">
      <c r="A18" t="s">
        <v>201</v>
      </c>
      <c r="B18">
        <v>0.25794168299999998</v>
      </c>
      <c r="C18">
        <v>0.25709628600000001</v>
      </c>
      <c r="D18">
        <v>0.25625088899999998</v>
      </c>
      <c r="E18">
        <v>0.25540549200000001</v>
      </c>
      <c r="F18">
        <v>0.25456009499999999</v>
      </c>
      <c r="G18">
        <v>0.25371469800000002</v>
      </c>
      <c r="H18">
        <v>0.25286930099999999</v>
      </c>
      <c r="I18">
        <v>0.25202390400000002</v>
      </c>
      <c r="J18">
        <v>0.251178507</v>
      </c>
      <c r="K18">
        <v>0.250333109</v>
      </c>
      <c r="L18">
        <v>0.249487712</v>
      </c>
      <c r="M18">
        <v>0.248642315</v>
      </c>
      <c r="N18">
        <v>0.247796918</v>
      </c>
      <c r="O18">
        <v>0.24695152100000001</v>
      </c>
      <c r="P18">
        <v>0.24610612400000001</v>
      </c>
      <c r="Q18">
        <v>0.24526072700000001</v>
      </c>
      <c r="R18">
        <v>0.24441532999999999</v>
      </c>
      <c r="S18">
        <v>0.24356993299999999</v>
      </c>
      <c r="T18">
        <v>0.24272453599999999</v>
      </c>
      <c r="U18">
        <v>0.24187913799999999</v>
      </c>
      <c r="V18">
        <v>0.241033741</v>
      </c>
      <c r="W18">
        <v>0.240188344</v>
      </c>
      <c r="X18">
        <v>0.239342947</v>
      </c>
      <c r="Y18">
        <v>0.23849755</v>
      </c>
      <c r="Z18">
        <v>0.237652153</v>
      </c>
      <c r="AA18">
        <v>0.23680675600000001</v>
      </c>
      <c r="AB18">
        <v>0.23596135900000001</v>
      </c>
      <c r="AC18">
        <v>0.23511596200000001</v>
      </c>
      <c r="AD18">
        <v>0.23427056499999999</v>
      </c>
      <c r="AE18">
        <v>0.23342516699999999</v>
      </c>
      <c r="AF18">
        <v>0.23257976999999999</v>
      </c>
      <c r="AG18">
        <v>0.23173437299999999</v>
      </c>
      <c r="AH18">
        <v>0.230888976</v>
      </c>
      <c r="AI18">
        <v>0.230043579</v>
      </c>
      <c r="AJ18">
        <v>0.229198182</v>
      </c>
      <c r="AK18">
        <v>0.228352785</v>
      </c>
      <c r="AL18">
        <v>0.227507388</v>
      </c>
      <c r="AM18">
        <v>0.22666199100000001</v>
      </c>
      <c r="AN18">
        <v>0.22581659400000001</v>
      </c>
      <c r="AO18">
        <v>0.22497119700000001</v>
      </c>
    </row>
    <row r="19" spans="1:41">
      <c r="A19" t="s">
        <v>202</v>
      </c>
      <c r="B19">
        <v>2.2872052E-2</v>
      </c>
      <c r="C19">
        <v>2.2855215000000002E-2</v>
      </c>
      <c r="D19">
        <v>2.2838377E-2</v>
      </c>
      <c r="E19">
        <v>2.2821540000000001E-2</v>
      </c>
      <c r="F19">
        <v>2.2804702E-2</v>
      </c>
      <c r="G19">
        <v>2.2787865000000001E-2</v>
      </c>
      <c r="H19">
        <v>2.2771027999999999E-2</v>
      </c>
      <c r="I19">
        <v>2.2754190000000001E-2</v>
      </c>
      <c r="J19">
        <v>2.2737352999999998E-2</v>
      </c>
      <c r="K19">
        <v>2.2720516E-2</v>
      </c>
      <c r="L19">
        <v>2.2686978999999999E-2</v>
      </c>
      <c r="M19">
        <v>2.2653441999999999E-2</v>
      </c>
      <c r="N19">
        <v>2.2619904999999999E-2</v>
      </c>
      <c r="O19">
        <v>2.2586368999999999E-2</v>
      </c>
      <c r="P19">
        <v>2.2552831999999998E-2</v>
      </c>
      <c r="Q19">
        <v>2.2519295000000002E-2</v>
      </c>
      <c r="R19">
        <v>2.2485758000000002E-2</v>
      </c>
      <c r="S19">
        <v>2.2452222000000001E-2</v>
      </c>
      <c r="T19">
        <v>2.2418685000000001E-2</v>
      </c>
      <c r="U19">
        <v>2.2385148000000001E-2</v>
      </c>
      <c r="V19">
        <v>2.2399721000000001E-2</v>
      </c>
      <c r="W19">
        <v>2.237018E-2</v>
      </c>
      <c r="X19">
        <v>2.2340155E-2</v>
      </c>
      <c r="Y19">
        <v>2.2309737E-2</v>
      </c>
      <c r="Z19">
        <v>2.2279038000000001E-2</v>
      </c>
      <c r="AA19">
        <v>2.2248200999999999E-2</v>
      </c>
      <c r="AB19">
        <v>2.2217395000000001E-2</v>
      </c>
      <c r="AC19">
        <v>2.2186827999999999E-2</v>
      </c>
      <c r="AD19">
        <v>2.2156743E-2</v>
      </c>
      <c r="AE19">
        <v>2.212743E-2</v>
      </c>
      <c r="AF19">
        <v>2.2122229E-2</v>
      </c>
      <c r="AG19">
        <v>2.2095901000000001E-2</v>
      </c>
      <c r="AH19">
        <v>2.2069572999999999E-2</v>
      </c>
      <c r="AI19">
        <v>2.2043245E-2</v>
      </c>
      <c r="AJ19">
        <v>2.2016917E-2</v>
      </c>
      <c r="AK19">
        <v>2.1990589000000001E-2</v>
      </c>
      <c r="AL19">
        <v>2.1964260999999999E-2</v>
      </c>
      <c r="AM19">
        <v>2.1937933E-2</v>
      </c>
      <c r="AN19">
        <v>2.1911605000000001E-2</v>
      </c>
      <c r="AO19">
        <v>2.1885277000000002E-2</v>
      </c>
    </row>
    <row r="20" spans="1:41">
      <c r="A20" t="s">
        <v>203</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row>
    <row r="21" spans="1:41">
      <c r="A21" t="s">
        <v>204</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row>
    <row r="22" spans="1:41">
      <c r="A22" t="s">
        <v>205</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row>
    <row r="23" spans="1:41">
      <c r="A23" t="s">
        <v>310</v>
      </c>
      <c r="B23">
        <v>0.15178092000000001</v>
      </c>
      <c r="C23">
        <v>0.15178092000000001</v>
      </c>
      <c r="D23">
        <v>0.15178092000000001</v>
      </c>
      <c r="E23">
        <v>0.15178092000000001</v>
      </c>
      <c r="F23">
        <v>0.15178092000000001</v>
      </c>
      <c r="G23">
        <v>0.15178092000000001</v>
      </c>
      <c r="H23">
        <v>0.15178092000000001</v>
      </c>
      <c r="I23">
        <v>0.15178092000000001</v>
      </c>
      <c r="J23">
        <v>0.15178092000000001</v>
      </c>
      <c r="K23">
        <v>0.15178092000000001</v>
      </c>
      <c r="L23">
        <v>0.15178092000000001</v>
      </c>
      <c r="M23">
        <v>0.15178092000000001</v>
      </c>
      <c r="N23">
        <v>0.15178092000000001</v>
      </c>
      <c r="O23">
        <v>0.15178092000000001</v>
      </c>
      <c r="P23">
        <v>0.15178092000000001</v>
      </c>
      <c r="Q23">
        <v>0.15178092000000001</v>
      </c>
      <c r="R23">
        <v>0.15178092000000001</v>
      </c>
      <c r="S23">
        <v>0.15178092000000001</v>
      </c>
      <c r="T23">
        <v>0.15178092000000001</v>
      </c>
      <c r="U23">
        <v>0.15178092000000001</v>
      </c>
      <c r="V23">
        <v>0.15178092000000001</v>
      </c>
      <c r="W23">
        <v>0.15178092000000001</v>
      </c>
      <c r="X23">
        <v>0.15178092000000001</v>
      </c>
      <c r="Y23">
        <v>0.15178092000000001</v>
      </c>
      <c r="Z23">
        <v>0.15178092000000001</v>
      </c>
      <c r="AA23">
        <v>0.15178092000000001</v>
      </c>
      <c r="AB23">
        <v>0.15178092000000001</v>
      </c>
      <c r="AC23">
        <v>0.15178092000000001</v>
      </c>
      <c r="AD23">
        <v>0.15178092000000001</v>
      </c>
      <c r="AE23">
        <v>0.15178092000000001</v>
      </c>
      <c r="AF23">
        <v>0.15178092000000001</v>
      </c>
      <c r="AG23">
        <v>0.15178092000000001</v>
      </c>
      <c r="AH23">
        <v>0.15178092000000001</v>
      </c>
      <c r="AI23">
        <v>0.15178092000000001</v>
      </c>
      <c r="AJ23">
        <v>0.15178092000000001</v>
      </c>
      <c r="AK23">
        <v>0.15178092000000001</v>
      </c>
      <c r="AL23">
        <v>0.15178092000000001</v>
      </c>
      <c r="AM23">
        <v>0.15178092000000001</v>
      </c>
      <c r="AN23">
        <v>0.15178092000000001</v>
      </c>
      <c r="AO23">
        <v>0.15178092000000001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2</vt:i4>
      </vt:variant>
    </vt:vector>
  </HeadingPairs>
  <TitlesOfParts>
    <vt:vector size="22" baseType="lpstr">
      <vt:lpstr>Sheet1</vt:lpstr>
      <vt:lpstr>Lists</vt:lpstr>
      <vt:lpstr>CostByType_Summary</vt:lpstr>
      <vt:lpstr>7thPlanAssumptions</vt:lpstr>
      <vt:lpstr>EnergyCalculations</vt:lpstr>
      <vt:lpstr>CostByType_Details</vt:lpstr>
      <vt:lpstr>SetupForRPM</vt:lpstr>
      <vt:lpstr>Notes</vt:lpstr>
      <vt:lpstr>NW Baseline Grid Char</vt:lpstr>
      <vt:lpstr>NW Baseline Energy</vt:lpstr>
      <vt:lpstr>NW Baseline Energy by Use</vt:lpstr>
      <vt:lpstr>NW Baseline Demand</vt:lpstr>
      <vt:lpstr>NW Customers</vt:lpstr>
      <vt:lpstr>KeyAssumptions</vt:lpstr>
      <vt:lpstr>Res-Capacity-Base</vt:lpstr>
      <vt:lpstr>Com-Capacity-Base</vt:lpstr>
      <vt:lpstr>Ag-Ind-Capacity-Base</vt:lpstr>
      <vt:lpstr>Res-Capacity-Smart</vt:lpstr>
      <vt:lpstr>Com-Capacity-Smart</vt:lpstr>
      <vt:lpstr>Ag-Ind-Capacity-Smart</vt:lpstr>
      <vt:lpstr>2021 Potential</vt:lpstr>
      <vt:lpstr>2035 Potential</vt:lpstr>
    </vt:vector>
  </TitlesOfParts>
  <Company>Navigant Consulting,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John Ollis</cp:lastModifiedBy>
  <cp:lastPrinted>2015-02-25T03:13:59Z</cp:lastPrinted>
  <dcterms:created xsi:type="dcterms:W3CDTF">2014-01-02T20:32:12Z</dcterms:created>
  <dcterms:modified xsi:type="dcterms:W3CDTF">2015-03-20T21:21:18Z</dcterms:modified>
</cp:coreProperties>
</file>