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drawings/drawing6.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sharedStrings.xml" ContentType="application/vnd.openxmlformats-officedocument.spreadsheetml.sharedStrings+xml"/>
  <Override PartName="/xl/charts/chart13.xml" ContentType="application/vnd.openxmlformats-officedocument.drawingml.chart+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charts/chart7.xml" ContentType="application/vnd.openxmlformats-officedocument.drawingml.chart+xml"/>
  <Override PartName="/xl/charts/chart10.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5" yWindow="-15" windowWidth="10800" windowHeight="9255" tabRatio="877" firstSheet="1" activeTab="2"/>
  </bookViews>
  <sheets>
    <sheet name="Sheet1" sheetId="20" state="hidden" r:id="rId1"/>
    <sheet name="CostByType_Summary" sheetId="63" r:id="rId2"/>
    <sheet name="7thPlanAssumptions" sheetId="62" r:id="rId3"/>
    <sheet name="EnergyCalculations" sheetId="64" r:id="rId4"/>
    <sheet name="CostByType_Details" sheetId="66" r:id="rId5"/>
    <sheet name="2021 Potential" sheetId="68" r:id="rId6"/>
    <sheet name="2035 Potential" sheetId="69" r:id="rId7"/>
    <sheet name="SetupForRPM" sheetId="67" r:id="rId8"/>
    <sheet name="NW Baseline Grid Char" sheetId="23" r:id="rId9"/>
    <sheet name="NW Baseline Energy" sheetId="24" r:id="rId10"/>
    <sheet name="NW Baseline Energy by Use" sheetId="26" r:id="rId11"/>
    <sheet name="NW Baseline Demand" sheetId="30" r:id="rId12"/>
    <sheet name="NW Customers" sheetId="29" r:id="rId13"/>
    <sheet name="KeyAssumptions" sheetId="45" r:id="rId14"/>
    <sheet name="Res-Capacity-Base" sheetId="65" r:id="rId15"/>
    <sheet name="Com-Capacity-Base" sheetId="38" r:id="rId16"/>
    <sheet name="Ag-Ind-Capacity-Base" sheetId="43" r:id="rId17"/>
    <sheet name="Res-Capacity-Smart" sheetId="48" r:id="rId18"/>
    <sheet name="Com-Capacity-Smart" sheetId="51" r:id="rId19"/>
    <sheet name="Ag-Ind-Capacity-Smart" sheetId="55" r:id="rId20"/>
  </sheets>
  <definedNames>
    <definedName name="_xlnm._FilterDatabase" localSheetId="1" hidden="1">CostByType_Summary!$A$2:$Q$21</definedName>
  </definedNames>
  <calcPr calcId="125725"/>
</workbook>
</file>

<file path=xl/calcChain.xml><?xml version="1.0" encoding="utf-8"?>
<calcChain xmlns="http://schemas.openxmlformats.org/spreadsheetml/2006/main">
  <c r="AY49" i="66"/>
  <c r="AX49"/>
  <c r="AW49"/>
  <c r="AV49"/>
  <c r="AY48"/>
  <c r="AX48"/>
  <c r="AW48"/>
  <c r="AV48"/>
  <c r="AY47"/>
  <c r="AX47"/>
  <c r="AW47"/>
  <c r="AV47"/>
  <c r="AY46"/>
  <c r="AX46"/>
  <c r="AW46"/>
  <c r="AV46"/>
  <c r="AY45"/>
  <c r="AX45"/>
  <c r="AW45"/>
  <c r="AV45"/>
  <c r="AY44"/>
  <c r="AX44"/>
  <c r="AW44"/>
  <c r="AV44"/>
  <c r="AY43"/>
  <c r="AX43"/>
  <c r="AW43"/>
  <c r="AV43"/>
  <c r="AY42"/>
  <c r="AX42"/>
  <c r="AW42"/>
  <c r="AV42"/>
  <c r="AY41"/>
  <c r="AX41"/>
  <c r="AW41"/>
  <c r="AV41"/>
  <c r="AY40"/>
  <c r="AX40"/>
  <c r="AW40"/>
  <c r="AV40"/>
  <c r="AY39"/>
  <c r="AX39"/>
  <c r="AW39"/>
  <c r="AV39"/>
  <c r="AY38"/>
  <c r="AX38"/>
  <c r="AW38"/>
  <c r="AV38"/>
  <c r="AY37"/>
  <c r="AX37"/>
  <c r="AW37"/>
  <c r="AV37"/>
  <c r="AY36"/>
  <c r="AX36"/>
  <c r="AW36"/>
  <c r="AV36"/>
  <c r="AY35"/>
  <c r="AX35"/>
  <c r="AW35"/>
  <c r="AV35"/>
  <c r="AY34"/>
  <c r="AX34"/>
  <c r="AW34"/>
  <c r="AV34"/>
  <c r="AY33"/>
  <c r="AX33"/>
  <c r="AW33"/>
  <c r="AV33"/>
  <c r="AY32"/>
  <c r="AX32"/>
  <c r="AW32"/>
  <c r="AV32"/>
  <c r="AY31"/>
  <c r="AX31"/>
  <c r="AW31"/>
  <c r="AV31"/>
  <c r="AU32"/>
  <c r="AU33"/>
  <c r="AU34"/>
  <c r="AU35"/>
  <c r="AU36"/>
  <c r="AU37"/>
  <c r="AU38"/>
  <c r="AU39"/>
  <c r="AU40"/>
  <c r="AU41"/>
  <c r="AU42"/>
  <c r="AU43"/>
  <c r="AU44"/>
  <c r="AU45"/>
  <c r="AU46"/>
  <c r="AU47"/>
  <c r="AU48"/>
  <c r="AU49"/>
  <c r="T5" i="63"/>
  <c r="T6"/>
  <c r="T7"/>
  <c r="T8"/>
  <c r="T9"/>
  <c r="T10"/>
  <c r="T11"/>
  <c r="T12"/>
  <c r="T13"/>
  <c r="T14"/>
  <c r="T15"/>
  <c r="T16"/>
  <c r="T17"/>
  <c r="T18"/>
  <c r="T19"/>
  <c r="T20"/>
  <c r="T21"/>
  <c r="T4"/>
  <c r="T3"/>
  <c r="AU31" i="66" s="1"/>
  <c r="A4" i="64" l="1"/>
  <c r="BF36" i="66" l="1"/>
  <c r="BF37"/>
  <c r="BF38"/>
  <c r="BF35"/>
  <c r="S7" i="45"/>
  <c r="S6"/>
  <c r="S5"/>
  <c r="H27"/>
  <c r="Y5"/>
  <c r="F27"/>
  <c r="E27"/>
  <c r="F26"/>
  <c r="E26"/>
  <c r="K4" i="64" l="1"/>
  <c r="L4"/>
  <c r="M4"/>
  <c r="K5"/>
  <c r="L5"/>
  <c r="M5"/>
  <c r="K6"/>
  <c r="L6"/>
  <c r="M6"/>
  <c r="K7"/>
  <c r="L7"/>
  <c r="M7"/>
  <c r="K8"/>
  <c r="L8"/>
  <c r="M8"/>
  <c r="K9"/>
  <c r="L9"/>
  <c r="M9"/>
  <c r="K10"/>
  <c r="L10"/>
  <c r="M10"/>
  <c r="K11"/>
  <c r="L11"/>
  <c r="M11"/>
  <c r="K12"/>
  <c r="L12"/>
  <c r="M12"/>
  <c r="K13"/>
  <c r="L13"/>
  <c r="M13"/>
  <c r="K14"/>
  <c r="L14"/>
  <c r="M14"/>
  <c r="K15"/>
  <c r="L15"/>
  <c r="M15"/>
  <c r="K16"/>
  <c r="L16"/>
  <c r="M16"/>
  <c r="K17"/>
  <c r="L17"/>
  <c r="M17"/>
  <c r="K18"/>
  <c r="L18"/>
  <c r="M18"/>
  <c r="K19"/>
  <c r="L19"/>
  <c r="M19"/>
  <c r="K20"/>
  <c r="L20"/>
  <c r="M20"/>
  <c r="K21"/>
  <c r="L21"/>
  <c r="M21"/>
  <c r="K22"/>
  <c r="L22"/>
  <c r="M22"/>
  <c r="J5"/>
  <c r="J6"/>
  <c r="J7"/>
  <c r="J8"/>
  <c r="J9"/>
  <c r="J10"/>
  <c r="J11"/>
  <c r="J12"/>
  <c r="J13"/>
  <c r="J14"/>
  <c r="J15"/>
  <c r="J16"/>
  <c r="J17"/>
  <c r="J18"/>
  <c r="J19"/>
  <c r="J20"/>
  <c r="J21"/>
  <c r="J22"/>
  <c r="J4"/>
  <c r="A17"/>
  <c r="A20"/>
  <c r="A19"/>
  <c r="A21"/>
  <c r="A18"/>
  <c r="B54" i="63"/>
  <c r="W13" i="45"/>
  <c r="B110" i="55" s="1"/>
  <c r="J12" i="45"/>
  <c r="J11"/>
  <c r="J5"/>
  <c r="B109" i="65" s="1"/>
  <c r="J6" i="45"/>
  <c r="B106" i="65" s="1"/>
  <c r="J7" i="45"/>
  <c r="X7" s="1"/>
  <c r="J8"/>
  <c r="J9"/>
  <c r="J4"/>
  <c r="B108" i="65" s="1"/>
  <c r="B79" i="43"/>
  <c r="Y6" i="45"/>
  <c r="Y7"/>
  <c r="Y8"/>
  <c r="W8" s="1"/>
  <c r="Y9"/>
  <c r="W9" s="1"/>
  <c r="Y10"/>
  <c r="W10" s="1"/>
  <c r="Y11"/>
  <c r="W11" s="1"/>
  <c r="Y12"/>
  <c r="W12" s="1"/>
  <c r="B109" i="55" s="1"/>
  <c r="Y13" i="45"/>
  <c r="Y14"/>
  <c r="W14" s="1"/>
  <c r="B111" i="55" s="1"/>
  <c r="Y4" i="45"/>
  <c r="I12"/>
  <c r="A8" i="64" l="1"/>
  <c r="A5"/>
  <c r="A9"/>
  <c r="A22"/>
  <c r="A11"/>
  <c r="A6"/>
  <c r="A13"/>
  <c r="A10"/>
  <c r="A7"/>
  <c r="W7" i="45"/>
  <c r="X5"/>
  <c r="W5" s="1"/>
  <c r="X6"/>
  <c r="W6" s="1"/>
  <c r="X4"/>
  <c r="W4" s="1"/>
  <c r="B107" i="65"/>
  <c r="B10" i="62"/>
  <c r="C44" i="55"/>
  <c r="A16" i="64" l="1"/>
  <c r="A15"/>
  <c r="A12"/>
  <c r="A14"/>
  <c r="V96" i="66"/>
  <c r="U96"/>
  <c r="T96"/>
  <c r="S96"/>
  <c r="R96"/>
  <c r="Q96"/>
  <c r="P96"/>
  <c r="O96"/>
  <c r="N96"/>
  <c r="M96"/>
  <c r="L96"/>
  <c r="K96"/>
  <c r="J96"/>
  <c r="I96"/>
  <c r="H96"/>
  <c r="G96"/>
  <c r="F96"/>
  <c r="E96"/>
  <c r="D96"/>
  <c r="C96"/>
  <c r="V84"/>
  <c r="U84"/>
  <c r="T84"/>
  <c r="S84"/>
  <c r="R84"/>
  <c r="Q84"/>
  <c r="P84"/>
  <c r="O84"/>
  <c r="N84"/>
  <c r="M84"/>
  <c r="L84"/>
  <c r="K84"/>
  <c r="J84"/>
  <c r="I84"/>
  <c r="H84"/>
  <c r="G84"/>
  <c r="F84"/>
  <c r="E84"/>
  <c r="D84"/>
  <c r="C84"/>
  <c r="V15" i="55"/>
  <c r="V26" s="1"/>
  <c r="V37" s="1"/>
  <c r="V48" s="1"/>
  <c r="V58" s="1"/>
  <c r="V70" s="1"/>
  <c r="V82" s="1"/>
  <c r="V94" s="1"/>
  <c r="V106" s="1"/>
  <c r="V117" s="1"/>
  <c r="V129" i="66" s="1"/>
  <c r="U15" i="55"/>
  <c r="U26" s="1"/>
  <c r="U37" s="1"/>
  <c r="U48" s="1"/>
  <c r="U58" s="1"/>
  <c r="U70" s="1"/>
  <c r="U82" s="1"/>
  <c r="U94" s="1"/>
  <c r="U106" s="1"/>
  <c r="U117" s="1"/>
  <c r="U129" i="66" s="1"/>
  <c r="T15" i="55"/>
  <c r="T26" s="1"/>
  <c r="T37" s="1"/>
  <c r="T48" s="1"/>
  <c r="T58" s="1"/>
  <c r="T70" s="1"/>
  <c r="T82" s="1"/>
  <c r="T94" s="1"/>
  <c r="T106" s="1"/>
  <c r="T117" s="1"/>
  <c r="T129" i="66" s="1"/>
  <c r="S15" i="55"/>
  <c r="S26" s="1"/>
  <c r="S37" s="1"/>
  <c r="S48" s="1"/>
  <c r="S58" s="1"/>
  <c r="S70" s="1"/>
  <c r="S82" s="1"/>
  <c r="S94" s="1"/>
  <c r="S106" s="1"/>
  <c r="S117" s="1"/>
  <c r="S129" i="66" s="1"/>
  <c r="R15" i="55"/>
  <c r="R26" s="1"/>
  <c r="R37" s="1"/>
  <c r="R48" s="1"/>
  <c r="R58" s="1"/>
  <c r="R70" s="1"/>
  <c r="R82" s="1"/>
  <c r="R94" s="1"/>
  <c r="R106" s="1"/>
  <c r="R117" s="1"/>
  <c r="R129" i="66" s="1"/>
  <c r="Q15" i="55"/>
  <c r="Q26" s="1"/>
  <c r="Q37" s="1"/>
  <c r="Q48" s="1"/>
  <c r="Q58" s="1"/>
  <c r="Q70" s="1"/>
  <c r="Q82" s="1"/>
  <c r="Q94" s="1"/>
  <c r="Q106" s="1"/>
  <c r="Q117" s="1"/>
  <c r="Q129" i="66" s="1"/>
  <c r="P15" i="55"/>
  <c r="P26" s="1"/>
  <c r="P37" s="1"/>
  <c r="P48" s="1"/>
  <c r="P58" s="1"/>
  <c r="P70" s="1"/>
  <c r="P82" s="1"/>
  <c r="P94" s="1"/>
  <c r="P106" s="1"/>
  <c r="P117" s="1"/>
  <c r="P129" i="66" s="1"/>
  <c r="O15" i="55"/>
  <c r="O26" s="1"/>
  <c r="O37" s="1"/>
  <c r="O48" s="1"/>
  <c r="O58" s="1"/>
  <c r="O70" s="1"/>
  <c r="O82" s="1"/>
  <c r="O94" s="1"/>
  <c r="O106" s="1"/>
  <c r="O117" s="1"/>
  <c r="O129" i="66" s="1"/>
  <c r="N15" i="55"/>
  <c r="N26" s="1"/>
  <c r="N37" s="1"/>
  <c r="N48" s="1"/>
  <c r="N58" s="1"/>
  <c r="N70" s="1"/>
  <c r="N82" s="1"/>
  <c r="N94" s="1"/>
  <c r="N106" s="1"/>
  <c r="N117" s="1"/>
  <c r="N129" i="66" s="1"/>
  <c r="M15" i="55"/>
  <c r="M26" s="1"/>
  <c r="M37" s="1"/>
  <c r="M48" s="1"/>
  <c r="M58" s="1"/>
  <c r="M70" s="1"/>
  <c r="M82" s="1"/>
  <c r="M94" s="1"/>
  <c r="M106" s="1"/>
  <c r="M117" s="1"/>
  <c r="M129" i="66" s="1"/>
  <c r="L15" i="55"/>
  <c r="L26" s="1"/>
  <c r="L37" s="1"/>
  <c r="L48" s="1"/>
  <c r="L58" s="1"/>
  <c r="L70" s="1"/>
  <c r="L82" s="1"/>
  <c r="L94" s="1"/>
  <c r="L106" s="1"/>
  <c r="L117" s="1"/>
  <c r="L129" i="66" s="1"/>
  <c r="K15" i="55"/>
  <c r="K26" s="1"/>
  <c r="K37" s="1"/>
  <c r="K48" s="1"/>
  <c r="K58" s="1"/>
  <c r="K70" s="1"/>
  <c r="K82" s="1"/>
  <c r="K94" s="1"/>
  <c r="K106" s="1"/>
  <c r="K117" s="1"/>
  <c r="K129" i="66" s="1"/>
  <c r="J15" i="55"/>
  <c r="J26" s="1"/>
  <c r="J37" s="1"/>
  <c r="J48" s="1"/>
  <c r="J58" s="1"/>
  <c r="J70" s="1"/>
  <c r="J82" s="1"/>
  <c r="J94" s="1"/>
  <c r="J106" s="1"/>
  <c r="J117" s="1"/>
  <c r="J129" i="66" s="1"/>
  <c r="I15" i="55"/>
  <c r="I26" s="1"/>
  <c r="I37" s="1"/>
  <c r="I48" s="1"/>
  <c r="I58" s="1"/>
  <c r="I70" s="1"/>
  <c r="I82" s="1"/>
  <c r="I94" s="1"/>
  <c r="I106" s="1"/>
  <c r="I117" s="1"/>
  <c r="I129" i="66" s="1"/>
  <c r="H15" i="55"/>
  <c r="H26" s="1"/>
  <c r="H37" s="1"/>
  <c r="H48" s="1"/>
  <c r="H58" s="1"/>
  <c r="H70" s="1"/>
  <c r="H82" s="1"/>
  <c r="H94" s="1"/>
  <c r="H106" s="1"/>
  <c r="H117" s="1"/>
  <c r="H129" i="66" s="1"/>
  <c r="G15" i="55"/>
  <c r="G26" s="1"/>
  <c r="G37" s="1"/>
  <c r="G48" s="1"/>
  <c r="G58" s="1"/>
  <c r="G70" s="1"/>
  <c r="G82" s="1"/>
  <c r="G94" s="1"/>
  <c r="G106" s="1"/>
  <c r="G117" s="1"/>
  <c r="G129" i="66" s="1"/>
  <c r="F15" i="55"/>
  <c r="F26" s="1"/>
  <c r="F37" s="1"/>
  <c r="F48" s="1"/>
  <c r="F58" s="1"/>
  <c r="F70" s="1"/>
  <c r="F82" s="1"/>
  <c r="F94" s="1"/>
  <c r="F106" s="1"/>
  <c r="F117" s="1"/>
  <c r="F129" i="66" s="1"/>
  <c r="E15" i="55"/>
  <c r="E26" s="1"/>
  <c r="E37" s="1"/>
  <c r="E48" s="1"/>
  <c r="E58" s="1"/>
  <c r="E70" s="1"/>
  <c r="E82" s="1"/>
  <c r="E94" s="1"/>
  <c r="E106" s="1"/>
  <c r="E117" s="1"/>
  <c r="E129" i="66" s="1"/>
  <c r="D15" i="55"/>
  <c r="D26" s="1"/>
  <c r="D37" s="1"/>
  <c r="D48" s="1"/>
  <c r="D58" s="1"/>
  <c r="D70" s="1"/>
  <c r="D82" s="1"/>
  <c r="D94" s="1"/>
  <c r="D106" s="1"/>
  <c r="D117" s="1"/>
  <c r="D129" i="66" s="1"/>
  <c r="C15" i="55"/>
  <c r="C26" s="1"/>
  <c r="C37" s="1"/>
  <c r="C48" s="1"/>
  <c r="C58" s="1"/>
  <c r="C70" s="1"/>
  <c r="C82" s="1"/>
  <c r="C94" s="1"/>
  <c r="C106" s="1"/>
  <c r="C117" s="1"/>
  <c r="C129" i="66" s="1"/>
  <c r="V8" i="55"/>
  <c r="U8"/>
  <c r="T8"/>
  <c r="S8"/>
  <c r="R8"/>
  <c r="Q8"/>
  <c r="P8"/>
  <c r="O8"/>
  <c r="N8"/>
  <c r="M8"/>
  <c r="L8"/>
  <c r="K8"/>
  <c r="J8"/>
  <c r="I8"/>
  <c r="I7" s="1"/>
  <c r="I6" s="1"/>
  <c r="H8"/>
  <c r="H7" s="1"/>
  <c r="H6" s="1"/>
  <c r="G8"/>
  <c r="G7" s="1"/>
  <c r="G6" s="1"/>
  <c r="F8"/>
  <c r="F7" s="1"/>
  <c r="F6" s="1"/>
  <c r="E8"/>
  <c r="E7" s="1"/>
  <c r="E6" s="1"/>
  <c r="D8"/>
  <c r="D7" s="1"/>
  <c r="D6" s="1"/>
  <c r="C8"/>
  <c r="C7" s="1"/>
  <c r="C6" s="1"/>
  <c r="V7"/>
  <c r="V6" s="1"/>
  <c r="U7"/>
  <c r="T7"/>
  <c r="T6" s="1"/>
  <c r="S7"/>
  <c r="S6" s="1"/>
  <c r="R7"/>
  <c r="R6" s="1"/>
  <c r="Q7"/>
  <c r="Q6" s="1"/>
  <c r="P7"/>
  <c r="P6" s="1"/>
  <c r="O7"/>
  <c r="O6" s="1"/>
  <c r="N7"/>
  <c r="N6" s="1"/>
  <c r="M7"/>
  <c r="M6" s="1"/>
  <c r="L7"/>
  <c r="L6" s="1"/>
  <c r="K7"/>
  <c r="K6" s="1"/>
  <c r="J7"/>
  <c r="J6" s="1"/>
  <c r="U6"/>
  <c r="V35" i="51"/>
  <c r="V45" s="1"/>
  <c r="V56" s="1"/>
  <c r="V67" s="1"/>
  <c r="V78" s="1"/>
  <c r="V89" s="1"/>
  <c r="V99" s="1"/>
  <c r="V114" i="66" s="1"/>
  <c r="U35" i="51"/>
  <c r="U45" s="1"/>
  <c r="U56" s="1"/>
  <c r="U67" s="1"/>
  <c r="U78" s="1"/>
  <c r="U89" s="1"/>
  <c r="U99" s="1"/>
  <c r="U114" i="66" s="1"/>
  <c r="T35" i="51"/>
  <c r="T45" s="1"/>
  <c r="T56" s="1"/>
  <c r="T67" s="1"/>
  <c r="T78" s="1"/>
  <c r="T89" s="1"/>
  <c r="T99" s="1"/>
  <c r="T114" i="66" s="1"/>
  <c r="S35" i="51"/>
  <c r="S45" s="1"/>
  <c r="S56" s="1"/>
  <c r="S67" s="1"/>
  <c r="S78" s="1"/>
  <c r="S89" s="1"/>
  <c r="S99" s="1"/>
  <c r="S114" i="66" s="1"/>
  <c r="R35" i="51"/>
  <c r="R45" s="1"/>
  <c r="R56" s="1"/>
  <c r="R67" s="1"/>
  <c r="R78" s="1"/>
  <c r="R89" s="1"/>
  <c r="R99" s="1"/>
  <c r="R114" i="66" s="1"/>
  <c r="Q35" i="51"/>
  <c r="Q45" s="1"/>
  <c r="Q56" s="1"/>
  <c r="Q67" s="1"/>
  <c r="Q78" s="1"/>
  <c r="Q89" s="1"/>
  <c r="Q99" s="1"/>
  <c r="Q114" i="66" s="1"/>
  <c r="P35" i="51"/>
  <c r="P45" s="1"/>
  <c r="P56" s="1"/>
  <c r="P67" s="1"/>
  <c r="P78" s="1"/>
  <c r="P89" s="1"/>
  <c r="P99" s="1"/>
  <c r="P114" i="66" s="1"/>
  <c r="O35" i="51"/>
  <c r="O45" s="1"/>
  <c r="O56" s="1"/>
  <c r="O67" s="1"/>
  <c r="O78" s="1"/>
  <c r="O89" s="1"/>
  <c r="O99" s="1"/>
  <c r="O114" i="66" s="1"/>
  <c r="N35" i="51"/>
  <c r="N45" s="1"/>
  <c r="N56" s="1"/>
  <c r="N67" s="1"/>
  <c r="N78" s="1"/>
  <c r="N89" s="1"/>
  <c r="N99" s="1"/>
  <c r="N114" i="66" s="1"/>
  <c r="M35" i="51"/>
  <c r="M45" s="1"/>
  <c r="M56" s="1"/>
  <c r="M67" s="1"/>
  <c r="M78" s="1"/>
  <c r="M89" s="1"/>
  <c r="M99" s="1"/>
  <c r="M114" i="66" s="1"/>
  <c r="L35" i="51"/>
  <c r="L45" s="1"/>
  <c r="L56" s="1"/>
  <c r="L67" s="1"/>
  <c r="L78" s="1"/>
  <c r="L89" s="1"/>
  <c r="L99" s="1"/>
  <c r="L114" i="66" s="1"/>
  <c r="K35" i="51"/>
  <c r="K45" s="1"/>
  <c r="K56" s="1"/>
  <c r="K67" s="1"/>
  <c r="K78" s="1"/>
  <c r="K89" s="1"/>
  <c r="K99" s="1"/>
  <c r="K114" i="66" s="1"/>
  <c r="J35" i="51"/>
  <c r="J45" s="1"/>
  <c r="J56" s="1"/>
  <c r="J67" s="1"/>
  <c r="J78" s="1"/>
  <c r="J89" s="1"/>
  <c r="J99" s="1"/>
  <c r="J114" i="66" s="1"/>
  <c r="I35" i="51"/>
  <c r="I45" s="1"/>
  <c r="I56" s="1"/>
  <c r="I67" s="1"/>
  <c r="I78" s="1"/>
  <c r="I89" s="1"/>
  <c r="I99" s="1"/>
  <c r="I114" i="66" s="1"/>
  <c r="H35" i="51"/>
  <c r="H45" s="1"/>
  <c r="H56" s="1"/>
  <c r="H67" s="1"/>
  <c r="H78" s="1"/>
  <c r="H89" s="1"/>
  <c r="H99" s="1"/>
  <c r="H114" i="66" s="1"/>
  <c r="G35" i="51"/>
  <c r="G45" s="1"/>
  <c r="G56" s="1"/>
  <c r="G67" s="1"/>
  <c r="G78" s="1"/>
  <c r="G89" s="1"/>
  <c r="G99" s="1"/>
  <c r="G114" i="66" s="1"/>
  <c r="F35" i="51"/>
  <c r="F45" s="1"/>
  <c r="F56" s="1"/>
  <c r="F67" s="1"/>
  <c r="F78" s="1"/>
  <c r="F89" s="1"/>
  <c r="F99" s="1"/>
  <c r="F114" i="66" s="1"/>
  <c r="E35" i="51"/>
  <c r="E45" s="1"/>
  <c r="E56" s="1"/>
  <c r="E67" s="1"/>
  <c r="E78" s="1"/>
  <c r="E89" s="1"/>
  <c r="E99" s="1"/>
  <c r="E114" i="66" s="1"/>
  <c r="D35" i="51"/>
  <c r="D45" s="1"/>
  <c r="D56" s="1"/>
  <c r="D67" s="1"/>
  <c r="D78" s="1"/>
  <c r="D89" s="1"/>
  <c r="D99" s="1"/>
  <c r="D114" i="66" s="1"/>
  <c r="C35" i="51"/>
  <c r="C45" s="1"/>
  <c r="C56" s="1"/>
  <c r="C67" s="1"/>
  <c r="C78" s="1"/>
  <c r="C89" s="1"/>
  <c r="C99" s="1"/>
  <c r="C114" i="66" s="1"/>
  <c r="V24" i="51"/>
  <c r="U24"/>
  <c r="T24"/>
  <c r="S24"/>
  <c r="R24"/>
  <c r="Q24"/>
  <c r="P24"/>
  <c r="O24"/>
  <c r="N24"/>
  <c r="M24"/>
  <c r="L24"/>
  <c r="K24"/>
  <c r="J24"/>
  <c r="I24"/>
  <c r="H24"/>
  <c r="G24"/>
  <c r="F24"/>
  <c r="E24"/>
  <c r="D24"/>
  <c r="C24"/>
  <c r="V13"/>
  <c r="U13"/>
  <c r="T13"/>
  <c r="S13"/>
  <c r="R13"/>
  <c r="Q13"/>
  <c r="P13"/>
  <c r="O13"/>
  <c r="N13"/>
  <c r="M13"/>
  <c r="L13"/>
  <c r="K13"/>
  <c r="J13"/>
  <c r="I13"/>
  <c r="H13"/>
  <c r="G13"/>
  <c r="F13"/>
  <c r="E13"/>
  <c r="D13"/>
  <c r="C13"/>
  <c r="V6"/>
  <c r="U6"/>
  <c r="T6"/>
  <c r="S6"/>
  <c r="R6"/>
  <c r="Q6"/>
  <c r="P6"/>
  <c r="O6"/>
  <c r="N6"/>
  <c r="M6"/>
  <c r="L6"/>
  <c r="K6"/>
  <c r="J6"/>
  <c r="I6"/>
  <c r="H6"/>
  <c r="G6"/>
  <c r="F6"/>
  <c r="E6"/>
  <c r="D6"/>
  <c r="C6"/>
  <c r="V115" i="48"/>
  <c r="U115"/>
  <c r="T115"/>
  <c r="S115"/>
  <c r="R115"/>
  <c r="Q115"/>
  <c r="P115"/>
  <c r="O115"/>
  <c r="N115"/>
  <c r="M115"/>
  <c r="L115"/>
  <c r="K115"/>
  <c r="J115"/>
  <c r="I115"/>
  <c r="H115"/>
  <c r="G115"/>
  <c r="F115"/>
  <c r="E115"/>
  <c r="D115"/>
  <c r="C115"/>
  <c r="V104"/>
  <c r="U104"/>
  <c r="T104"/>
  <c r="S104"/>
  <c r="R104"/>
  <c r="Q104"/>
  <c r="P104"/>
  <c r="O104"/>
  <c r="N104"/>
  <c r="M104"/>
  <c r="L104"/>
  <c r="K104"/>
  <c r="J104"/>
  <c r="I104"/>
  <c r="H104"/>
  <c r="G104"/>
  <c r="F104"/>
  <c r="E104"/>
  <c r="D104"/>
  <c r="C104"/>
  <c r="V92"/>
  <c r="U92"/>
  <c r="T92"/>
  <c r="S92"/>
  <c r="R92"/>
  <c r="Q92"/>
  <c r="P92"/>
  <c r="O92"/>
  <c r="N92"/>
  <c r="M92"/>
  <c r="L92"/>
  <c r="K92"/>
  <c r="J92"/>
  <c r="I92"/>
  <c r="H92"/>
  <c r="G92"/>
  <c r="F92"/>
  <c r="E92"/>
  <c r="D92"/>
  <c r="C92"/>
  <c r="V80"/>
  <c r="U80"/>
  <c r="T80"/>
  <c r="S80"/>
  <c r="R80"/>
  <c r="Q80"/>
  <c r="P80"/>
  <c r="O80"/>
  <c r="N80"/>
  <c r="M80"/>
  <c r="L80"/>
  <c r="K80"/>
  <c r="J80"/>
  <c r="I80"/>
  <c r="H80"/>
  <c r="G80"/>
  <c r="F80"/>
  <c r="E80"/>
  <c r="D80"/>
  <c r="C80"/>
  <c r="V68"/>
  <c r="U68"/>
  <c r="T68"/>
  <c r="S68"/>
  <c r="R68"/>
  <c r="Q68"/>
  <c r="P68"/>
  <c r="O68"/>
  <c r="N68"/>
  <c r="M68"/>
  <c r="L68"/>
  <c r="K68"/>
  <c r="J68"/>
  <c r="I68"/>
  <c r="H68"/>
  <c r="G68"/>
  <c r="F68"/>
  <c r="E68"/>
  <c r="D68"/>
  <c r="C68"/>
  <c r="V56"/>
  <c r="U56"/>
  <c r="T56"/>
  <c r="S56"/>
  <c r="R56"/>
  <c r="Q56"/>
  <c r="P56"/>
  <c r="O56"/>
  <c r="N56"/>
  <c r="M56"/>
  <c r="L56"/>
  <c r="K56"/>
  <c r="J56"/>
  <c r="I56"/>
  <c r="H56"/>
  <c r="G56"/>
  <c r="F56"/>
  <c r="E56"/>
  <c r="D56"/>
  <c r="C56"/>
  <c r="V46"/>
  <c r="U46"/>
  <c r="T46"/>
  <c r="S46"/>
  <c r="R46"/>
  <c r="Q46"/>
  <c r="P46"/>
  <c r="O46"/>
  <c r="N46"/>
  <c r="M46"/>
  <c r="L46"/>
  <c r="K46"/>
  <c r="J46"/>
  <c r="I46"/>
  <c r="H46"/>
  <c r="G46"/>
  <c r="F46"/>
  <c r="E46"/>
  <c r="D46"/>
  <c r="C46"/>
  <c r="V35"/>
  <c r="U35"/>
  <c r="T35"/>
  <c r="S35"/>
  <c r="R35"/>
  <c r="Q35"/>
  <c r="P35"/>
  <c r="O35"/>
  <c r="N35"/>
  <c r="M35"/>
  <c r="L35"/>
  <c r="K35"/>
  <c r="J35"/>
  <c r="I35"/>
  <c r="H35"/>
  <c r="G35"/>
  <c r="F35"/>
  <c r="E35"/>
  <c r="D35"/>
  <c r="C35"/>
  <c r="V24"/>
  <c r="U24"/>
  <c r="T24"/>
  <c r="S24"/>
  <c r="R24"/>
  <c r="Q24"/>
  <c r="P24"/>
  <c r="O24"/>
  <c r="N24"/>
  <c r="M24"/>
  <c r="L24"/>
  <c r="K24"/>
  <c r="J24"/>
  <c r="I24"/>
  <c r="H24"/>
  <c r="G24"/>
  <c r="F24"/>
  <c r="E24"/>
  <c r="D24"/>
  <c r="C24"/>
  <c r="V13"/>
  <c r="U13"/>
  <c r="T13"/>
  <c r="S13"/>
  <c r="R13"/>
  <c r="Q13"/>
  <c r="P13"/>
  <c r="O13"/>
  <c r="N13"/>
  <c r="M13"/>
  <c r="L13"/>
  <c r="K13"/>
  <c r="J13"/>
  <c r="I13"/>
  <c r="H13"/>
  <c r="G13"/>
  <c r="F13"/>
  <c r="E13"/>
  <c r="D13"/>
  <c r="C13"/>
  <c r="V6"/>
  <c r="U6"/>
  <c r="T6"/>
  <c r="S6"/>
  <c r="R6"/>
  <c r="Q6"/>
  <c r="P6"/>
  <c r="O6"/>
  <c r="N6"/>
  <c r="M6"/>
  <c r="L6"/>
  <c r="K6"/>
  <c r="J6"/>
  <c r="I6"/>
  <c r="H6"/>
  <c r="G6"/>
  <c r="F6"/>
  <c r="E6"/>
  <c r="D6"/>
  <c r="C6"/>
  <c r="V50"/>
  <c r="U50"/>
  <c r="T50"/>
  <c r="S50"/>
  <c r="R50"/>
  <c r="Q50"/>
  <c r="P50"/>
  <c r="O50"/>
  <c r="N50"/>
  <c r="M50"/>
  <c r="L50"/>
  <c r="K50"/>
  <c r="J50"/>
  <c r="I50"/>
  <c r="H50"/>
  <c r="G50"/>
  <c r="F50"/>
  <c r="E50"/>
  <c r="D50"/>
  <c r="C50"/>
  <c r="H39"/>
  <c r="G39"/>
  <c r="C39"/>
  <c r="H28"/>
  <c r="C28"/>
  <c r="H17"/>
  <c r="C17"/>
  <c r="V36" i="43"/>
  <c r="U36"/>
  <c r="T36"/>
  <c r="S36"/>
  <c r="R36"/>
  <c r="Q36"/>
  <c r="P36"/>
  <c r="O36"/>
  <c r="N36"/>
  <c r="M36"/>
  <c r="L36"/>
  <c r="K36"/>
  <c r="J36"/>
  <c r="I36"/>
  <c r="H36"/>
  <c r="G36"/>
  <c r="F36"/>
  <c r="E36"/>
  <c r="D36"/>
  <c r="V46"/>
  <c r="U46"/>
  <c r="T46"/>
  <c r="S46"/>
  <c r="R46"/>
  <c r="Q46"/>
  <c r="P46"/>
  <c r="O46"/>
  <c r="N46"/>
  <c r="M46"/>
  <c r="L46"/>
  <c r="K46"/>
  <c r="J46"/>
  <c r="I46"/>
  <c r="H46"/>
  <c r="G46"/>
  <c r="F46"/>
  <c r="E46"/>
  <c r="D46"/>
  <c r="V56"/>
  <c r="U56"/>
  <c r="T56"/>
  <c r="S56"/>
  <c r="R56"/>
  <c r="Q56"/>
  <c r="P56"/>
  <c r="O56"/>
  <c r="N56"/>
  <c r="M56"/>
  <c r="L56"/>
  <c r="K56"/>
  <c r="J56"/>
  <c r="I56"/>
  <c r="H56"/>
  <c r="G56"/>
  <c r="F56"/>
  <c r="E56"/>
  <c r="D56"/>
  <c r="V66"/>
  <c r="U66"/>
  <c r="T66"/>
  <c r="S66"/>
  <c r="R66"/>
  <c r="Q66"/>
  <c r="P66"/>
  <c r="O66"/>
  <c r="N66"/>
  <c r="M66"/>
  <c r="L66"/>
  <c r="K66"/>
  <c r="J66"/>
  <c r="I66"/>
  <c r="H66"/>
  <c r="G66"/>
  <c r="F66"/>
  <c r="E66"/>
  <c r="D66"/>
  <c r="V76"/>
  <c r="U76"/>
  <c r="T76"/>
  <c r="S76"/>
  <c r="R76"/>
  <c r="Q76"/>
  <c r="P76"/>
  <c r="O76"/>
  <c r="N76"/>
  <c r="M76"/>
  <c r="L76"/>
  <c r="K76"/>
  <c r="J76"/>
  <c r="I76"/>
  <c r="H76"/>
  <c r="G76"/>
  <c r="F76"/>
  <c r="E76"/>
  <c r="D76"/>
  <c r="V85"/>
  <c r="U85"/>
  <c r="T85"/>
  <c r="S85"/>
  <c r="R85"/>
  <c r="Q85"/>
  <c r="P85"/>
  <c r="O85"/>
  <c r="N85"/>
  <c r="M85"/>
  <c r="L85"/>
  <c r="K85"/>
  <c r="J85"/>
  <c r="I85"/>
  <c r="H85"/>
  <c r="G85"/>
  <c r="F85"/>
  <c r="E85"/>
  <c r="D85"/>
  <c r="C85"/>
  <c r="C76"/>
  <c r="C66"/>
  <c r="C56"/>
  <c r="C46"/>
  <c r="C36"/>
  <c r="V26"/>
  <c r="U26"/>
  <c r="T26"/>
  <c r="S26"/>
  <c r="R26"/>
  <c r="Q26"/>
  <c r="P26"/>
  <c r="O26"/>
  <c r="N26"/>
  <c r="M26"/>
  <c r="L26"/>
  <c r="K26"/>
  <c r="J26"/>
  <c r="I26"/>
  <c r="H26"/>
  <c r="G26"/>
  <c r="F26"/>
  <c r="E26"/>
  <c r="D26"/>
  <c r="C26"/>
  <c r="V15"/>
  <c r="U15"/>
  <c r="T15"/>
  <c r="S15"/>
  <c r="R15"/>
  <c r="Q15"/>
  <c r="P15"/>
  <c r="O15"/>
  <c r="N15"/>
  <c r="M15"/>
  <c r="L15"/>
  <c r="K15"/>
  <c r="J15"/>
  <c r="I15"/>
  <c r="H15"/>
  <c r="G15"/>
  <c r="F15"/>
  <c r="E15"/>
  <c r="D15"/>
  <c r="C15"/>
  <c r="V8"/>
  <c r="U8"/>
  <c r="T8"/>
  <c r="S8"/>
  <c r="R8"/>
  <c r="Q8"/>
  <c r="P8"/>
  <c r="O8"/>
  <c r="N8"/>
  <c r="M8"/>
  <c r="L8"/>
  <c r="K8"/>
  <c r="J8"/>
  <c r="I8"/>
  <c r="H8"/>
  <c r="G8"/>
  <c r="F8"/>
  <c r="E8"/>
  <c r="D8"/>
  <c r="C8"/>
  <c r="D6" i="38"/>
  <c r="E6"/>
  <c r="F6"/>
  <c r="G6"/>
  <c r="H6"/>
  <c r="I6"/>
  <c r="J6"/>
  <c r="K6"/>
  <c r="L6"/>
  <c r="M6"/>
  <c r="N6"/>
  <c r="O6"/>
  <c r="P6"/>
  <c r="Q6"/>
  <c r="R6"/>
  <c r="S6"/>
  <c r="T6"/>
  <c r="U6"/>
  <c r="V6"/>
  <c r="C6"/>
  <c r="D6" i="65"/>
  <c r="E6"/>
  <c r="F6"/>
  <c r="G6"/>
  <c r="H6"/>
  <c r="I6"/>
  <c r="J6"/>
  <c r="K6"/>
  <c r="L6"/>
  <c r="M6"/>
  <c r="N6"/>
  <c r="O6"/>
  <c r="P6"/>
  <c r="Q6"/>
  <c r="R6"/>
  <c r="S6"/>
  <c r="T6"/>
  <c r="U6"/>
  <c r="V6"/>
  <c r="C6"/>
  <c r="B10" i="29"/>
  <c r="B11"/>
  <c r="B9"/>
  <c r="A117" i="65"/>
  <c r="A109"/>
  <c r="A108"/>
  <c r="A107"/>
  <c r="A106"/>
  <c r="A97"/>
  <c r="A95"/>
  <c r="A94"/>
  <c r="B85"/>
  <c r="A85"/>
  <c r="B84"/>
  <c r="A84"/>
  <c r="B83"/>
  <c r="A83"/>
  <c r="B82"/>
  <c r="A82"/>
  <c r="A73"/>
  <c r="A72"/>
  <c r="A71"/>
  <c r="A70"/>
  <c r="D48"/>
  <c r="E48" s="1"/>
  <c r="F48" s="1"/>
  <c r="G48" s="1"/>
  <c r="C48"/>
  <c r="C43"/>
  <c r="C42"/>
  <c r="I39"/>
  <c r="J39" s="1"/>
  <c r="K39" s="1"/>
  <c r="L39" s="1"/>
  <c r="L39" i="48" s="1"/>
  <c r="D39" i="65"/>
  <c r="E39" s="1"/>
  <c r="C37"/>
  <c r="D37" s="1"/>
  <c r="E37" s="1"/>
  <c r="F37" s="1"/>
  <c r="G37" s="1"/>
  <c r="H37" s="1"/>
  <c r="I37" s="1"/>
  <c r="J37" s="1"/>
  <c r="K37" s="1"/>
  <c r="L37" s="1"/>
  <c r="M37" s="1"/>
  <c r="N37" s="1"/>
  <c r="O37" s="1"/>
  <c r="P37" s="1"/>
  <c r="Q37" s="1"/>
  <c r="R37" s="1"/>
  <c r="S37" s="1"/>
  <c r="T37" s="1"/>
  <c r="U37" s="1"/>
  <c r="V37" s="1"/>
  <c r="C32"/>
  <c r="I28"/>
  <c r="J28" s="1"/>
  <c r="K28" s="1"/>
  <c r="K28" i="48" s="1"/>
  <c r="D28" i="65"/>
  <c r="E28" s="1"/>
  <c r="F28" s="1"/>
  <c r="F28" i="48" s="1"/>
  <c r="C26" i="65"/>
  <c r="D26" s="1"/>
  <c r="E26" s="1"/>
  <c r="F26" s="1"/>
  <c r="G26" s="1"/>
  <c r="H26" s="1"/>
  <c r="I26" s="1"/>
  <c r="J26" s="1"/>
  <c r="C21"/>
  <c r="C20"/>
  <c r="I17"/>
  <c r="I17" i="48" s="1"/>
  <c r="D17" i="65"/>
  <c r="E17" s="1"/>
  <c r="C15"/>
  <c r="D15" s="1"/>
  <c r="E15" s="1"/>
  <c r="F15" s="1"/>
  <c r="G15" s="1"/>
  <c r="H15" s="1"/>
  <c r="I15" s="1"/>
  <c r="J15" s="1"/>
  <c r="K15" s="1"/>
  <c r="L15" s="1"/>
  <c r="M15" s="1"/>
  <c r="N15" s="1"/>
  <c r="O15" s="1"/>
  <c r="P15" s="1"/>
  <c r="Q15" s="1"/>
  <c r="R15" s="1"/>
  <c r="S15" s="1"/>
  <c r="T15" s="1"/>
  <c r="U15" s="1"/>
  <c r="V15" s="1"/>
  <c r="C10"/>
  <c r="C9"/>
  <c r="J17" l="1"/>
  <c r="J72" s="1"/>
  <c r="L28"/>
  <c r="L70" s="1"/>
  <c r="E39" i="48"/>
  <c r="F39" i="65"/>
  <c r="F39" i="48" s="1"/>
  <c r="F17" i="65"/>
  <c r="F17" i="48" s="1"/>
  <c r="E17"/>
  <c r="D17"/>
  <c r="K39"/>
  <c r="J28"/>
  <c r="J39"/>
  <c r="D28"/>
  <c r="D39"/>
  <c r="E28"/>
  <c r="I28"/>
  <c r="I39"/>
  <c r="C70" i="65"/>
  <c r="F70"/>
  <c r="F82" s="1"/>
  <c r="F65" i="66" s="1"/>
  <c r="H42" s="1"/>
  <c r="K26" i="65"/>
  <c r="L26" s="1"/>
  <c r="M26" s="1"/>
  <c r="N26" s="1"/>
  <c r="O26" s="1"/>
  <c r="P26" s="1"/>
  <c r="Q26" s="1"/>
  <c r="R26" s="1"/>
  <c r="S26" s="1"/>
  <c r="T26" s="1"/>
  <c r="U26" s="1"/>
  <c r="V26" s="1"/>
  <c r="J70"/>
  <c r="M39"/>
  <c r="G73"/>
  <c r="H48"/>
  <c r="I48" s="1"/>
  <c r="J48" s="1"/>
  <c r="K48" s="1"/>
  <c r="L48" s="1"/>
  <c r="M48" s="1"/>
  <c r="N48" s="1"/>
  <c r="O48" s="1"/>
  <c r="G17"/>
  <c r="E73"/>
  <c r="E85" s="1"/>
  <c r="E68" i="66" s="1"/>
  <c r="G41" s="1"/>
  <c r="D72" i="65"/>
  <c r="D84" s="1"/>
  <c r="D67" i="66" s="1"/>
  <c r="F38" s="1"/>
  <c r="D70" i="65"/>
  <c r="H72"/>
  <c r="H84" s="1"/>
  <c r="H70"/>
  <c r="C72"/>
  <c r="C60" s="1"/>
  <c r="E70"/>
  <c r="E72"/>
  <c r="D73"/>
  <c r="I70"/>
  <c r="C73"/>
  <c r="F73"/>
  <c r="N73"/>
  <c r="G28"/>
  <c r="G28" i="48" s="1"/>
  <c r="I72" i="65"/>
  <c r="G70"/>
  <c r="K70"/>
  <c r="F72" l="1"/>
  <c r="F60" s="1"/>
  <c r="J73"/>
  <c r="J85" s="1"/>
  <c r="J68" i="66" s="1"/>
  <c r="L41" s="1"/>
  <c r="J17" i="48"/>
  <c r="K17" i="65"/>
  <c r="L28" i="48"/>
  <c r="M28" i="65"/>
  <c r="K73"/>
  <c r="K85" s="1"/>
  <c r="L73"/>
  <c r="L85" s="1"/>
  <c r="D108"/>
  <c r="D57" i="66" s="1"/>
  <c r="H67"/>
  <c r="J38" s="1"/>
  <c r="H108" i="65"/>
  <c r="H57" i="66" s="1"/>
  <c r="F58" i="65"/>
  <c r="E109"/>
  <c r="E58" i="66" s="1"/>
  <c r="F106" i="65"/>
  <c r="F55" i="66" s="1"/>
  <c r="G72" i="65"/>
  <c r="G84" s="1"/>
  <c r="G17" i="48"/>
  <c r="N39" i="65"/>
  <c r="M39" i="48"/>
  <c r="M73" i="65"/>
  <c r="H73"/>
  <c r="H61" s="1"/>
  <c r="I73"/>
  <c r="I85" s="1"/>
  <c r="D61"/>
  <c r="J60"/>
  <c r="J58"/>
  <c r="K82"/>
  <c r="K58"/>
  <c r="C82"/>
  <c r="C58"/>
  <c r="C61"/>
  <c r="C85"/>
  <c r="E84"/>
  <c r="E60"/>
  <c r="J84"/>
  <c r="E61"/>
  <c r="G58"/>
  <c r="G82"/>
  <c r="E82"/>
  <c r="E58"/>
  <c r="H82"/>
  <c r="H58"/>
  <c r="F61"/>
  <c r="F85"/>
  <c r="I82"/>
  <c r="I58"/>
  <c r="G61"/>
  <c r="G85"/>
  <c r="I84"/>
  <c r="I60"/>
  <c r="N85"/>
  <c r="L82"/>
  <c r="L58"/>
  <c r="D82"/>
  <c r="D58"/>
  <c r="P48"/>
  <c r="O73"/>
  <c r="D85"/>
  <c r="D60"/>
  <c r="J82"/>
  <c r="C84"/>
  <c r="L61" l="1"/>
  <c r="F84"/>
  <c r="F108" s="1"/>
  <c r="F57" i="66" s="1"/>
  <c r="H85" i="65"/>
  <c r="H109" s="1"/>
  <c r="H58" i="66" s="1"/>
  <c r="J109" i="65"/>
  <c r="J58" i="66" s="1"/>
  <c r="M61" i="65"/>
  <c r="L17"/>
  <c r="K72"/>
  <c r="K17" i="48"/>
  <c r="K61" i="65"/>
  <c r="H60"/>
  <c r="N28"/>
  <c r="M28" i="48"/>
  <c r="M70" i="65"/>
  <c r="J61"/>
  <c r="I61"/>
  <c r="M85"/>
  <c r="G60"/>
  <c r="N61"/>
  <c r="G65" i="66"/>
  <c r="I42" s="1"/>
  <c r="G106" i="65"/>
  <c r="G55" i="66" s="1"/>
  <c r="D68"/>
  <c r="F41" s="1"/>
  <c r="D109" i="65"/>
  <c r="D58" i="66" s="1"/>
  <c r="N68"/>
  <c r="P41" s="1"/>
  <c r="N109" i="65"/>
  <c r="N58" i="66" s="1"/>
  <c r="G68"/>
  <c r="I41" s="1"/>
  <c r="G109" i="65"/>
  <c r="G58" i="66" s="1"/>
  <c r="E65"/>
  <c r="G42" s="1"/>
  <c r="E106" i="65"/>
  <c r="E55" i="66" s="1"/>
  <c r="K65"/>
  <c r="M42" s="1"/>
  <c r="K106" i="65"/>
  <c r="K55" i="66" s="1"/>
  <c r="I67"/>
  <c r="K38" s="1"/>
  <c r="I108" i="65"/>
  <c r="I57" i="66" s="1"/>
  <c r="F68"/>
  <c r="H41" s="1"/>
  <c r="F109" i="65"/>
  <c r="F58" i="66" s="1"/>
  <c r="J67"/>
  <c r="L38" s="1"/>
  <c r="AJ38" s="1"/>
  <c r="J108" i="65"/>
  <c r="J57" i="66" s="1"/>
  <c r="I68"/>
  <c r="K41" s="1"/>
  <c r="I109" i="65"/>
  <c r="I58" i="66" s="1"/>
  <c r="L68"/>
  <c r="N41" s="1"/>
  <c r="L109" i="65"/>
  <c r="L58" i="66" s="1"/>
  <c r="D65"/>
  <c r="F42" s="1"/>
  <c r="D106" i="65"/>
  <c r="D55" i="66" s="1"/>
  <c r="I65"/>
  <c r="K42" s="1"/>
  <c r="I106" i="65"/>
  <c r="I55" i="66" s="1"/>
  <c r="H65"/>
  <c r="J42" s="1"/>
  <c r="H106" i="65"/>
  <c r="H55" i="66" s="1"/>
  <c r="E67"/>
  <c r="G38" s="1"/>
  <c r="AF38" s="1"/>
  <c r="E108" i="65"/>
  <c r="E57" i="66" s="1"/>
  <c r="C65"/>
  <c r="E42" s="1"/>
  <c r="C106" i="65"/>
  <c r="C55" i="66" s="1"/>
  <c r="C67"/>
  <c r="E38" s="1"/>
  <c r="AE38" s="1"/>
  <c r="C108" i="65"/>
  <c r="C57" i="66" s="1"/>
  <c r="J65"/>
  <c r="L42" s="1"/>
  <c r="J106" i="65"/>
  <c r="J55" i="66" s="1"/>
  <c r="L65"/>
  <c r="N42" s="1"/>
  <c r="L106" i="65"/>
  <c r="L55" i="66" s="1"/>
  <c r="K68"/>
  <c r="M41" s="1"/>
  <c r="K109" i="65"/>
  <c r="K58" i="66" s="1"/>
  <c r="C68"/>
  <c r="E41" s="1"/>
  <c r="C109" i="65"/>
  <c r="C58" i="66" s="1"/>
  <c r="G67"/>
  <c r="I38" s="1"/>
  <c r="G108" i="65"/>
  <c r="G57" i="66" s="1"/>
  <c r="O39" i="65"/>
  <c r="N39" i="48"/>
  <c r="J11" i="66"/>
  <c r="J13" i="63"/>
  <c r="J14"/>
  <c r="J10" i="66"/>
  <c r="J10" i="63"/>
  <c r="J9" i="66"/>
  <c r="Q48" i="65"/>
  <c r="P73"/>
  <c r="O61"/>
  <c r="O85"/>
  <c r="M68" i="66" l="1"/>
  <c r="O41" s="1"/>
  <c r="K13" i="63"/>
  <c r="X13"/>
  <c r="U13"/>
  <c r="U14"/>
  <c r="X14"/>
  <c r="U10"/>
  <c r="X10"/>
  <c r="AD42" i="66"/>
  <c r="AH42"/>
  <c r="AK41"/>
  <c r="AD41"/>
  <c r="AG41"/>
  <c r="H68"/>
  <c r="J41" s="1"/>
  <c r="F67"/>
  <c r="H38" s="1"/>
  <c r="AH38" s="1"/>
  <c r="M17" i="65"/>
  <c r="L72"/>
  <c r="L17" i="48"/>
  <c r="K84" i="65"/>
  <c r="K60"/>
  <c r="AI42" i="66"/>
  <c r="M82" i="65"/>
  <c r="K14" i="63" s="1"/>
  <c r="M58" i="65"/>
  <c r="O28"/>
  <c r="N70"/>
  <c r="N28" i="48"/>
  <c r="AK42" i="66"/>
  <c r="AF42"/>
  <c r="AG42"/>
  <c r="AE41"/>
  <c r="AF41"/>
  <c r="M109" i="65"/>
  <c r="M58" i="66" s="1"/>
  <c r="AH41"/>
  <c r="AE42"/>
  <c r="AI38"/>
  <c r="AL41"/>
  <c r="AJ42"/>
  <c r="AD38"/>
  <c r="O68"/>
  <c r="Q41" s="1"/>
  <c r="O109" i="65"/>
  <c r="O58" i="66" s="1"/>
  <c r="M11"/>
  <c r="L11"/>
  <c r="P39" i="65"/>
  <c r="O39" i="48"/>
  <c r="L9" i="66"/>
  <c r="M9"/>
  <c r="L10"/>
  <c r="M10"/>
  <c r="P61" i="65"/>
  <c r="P85"/>
  <c r="R48"/>
  <c r="Q73"/>
  <c r="V14" i="63" l="1"/>
  <c r="Y14"/>
  <c r="V13"/>
  <c r="Y13"/>
  <c r="AI41" i="66"/>
  <c r="AJ41"/>
  <c r="AG38"/>
  <c r="N17" i="65"/>
  <c r="M17" i="48"/>
  <c r="M72" i="65"/>
  <c r="L84"/>
  <c r="L60"/>
  <c r="K67" i="66"/>
  <c r="M38" s="1"/>
  <c r="K108" i="65"/>
  <c r="P28"/>
  <c r="O70"/>
  <c r="O28" i="48"/>
  <c r="N82" i="65"/>
  <c r="N58"/>
  <c r="M106"/>
  <c r="M65" i="66"/>
  <c r="P68"/>
  <c r="R41" s="1"/>
  <c r="P109" i="65"/>
  <c r="P58" i="66" s="1"/>
  <c r="Q39" i="65"/>
  <c r="P39" i="48"/>
  <c r="S48" i="65"/>
  <c r="R73"/>
  <c r="Q61"/>
  <c r="Q85"/>
  <c r="I1" i="64"/>
  <c r="AC23" i="66" s="1"/>
  <c r="H1" i="64"/>
  <c r="AB23" i="66" s="1"/>
  <c r="G1" i="64"/>
  <c r="AA23" i="66" s="1"/>
  <c r="F1" i="64"/>
  <c r="Z23" i="66" s="1"/>
  <c r="AB33" l="1"/>
  <c r="AB34"/>
  <c r="AB35"/>
  <c r="AB36"/>
  <c r="AB37"/>
  <c r="AB38"/>
  <c r="AB39"/>
  <c r="AB40"/>
  <c r="AB41"/>
  <c r="AB43"/>
  <c r="AB44"/>
  <c r="AB47"/>
  <c r="AB32"/>
  <c r="AB42"/>
  <c r="AB31"/>
  <c r="AB45"/>
  <c r="AB46"/>
  <c r="AB48"/>
  <c r="AB49"/>
  <c r="Z32"/>
  <c r="Z33"/>
  <c r="Z34"/>
  <c r="Z35"/>
  <c r="Z36"/>
  <c r="Z37"/>
  <c r="Z38"/>
  <c r="Z39"/>
  <c r="Z40"/>
  <c r="Z41"/>
  <c r="Z42"/>
  <c r="Z43"/>
  <c r="Z31"/>
  <c r="Z44"/>
  <c r="Z45"/>
  <c r="Z46"/>
  <c r="Z47"/>
  <c r="Z48"/>
  <c r="Z49"/>
  <c r="AC33"/>
  <c r="AC34"/>
  <c r="AC35"/>
  <c r="AC36"/>
  <c r="AC37"/>
  <c r="AC38"/>
  <c r="AC39"/>
  <c r="AC40"/>
  <c r="AC41"/>
  <c r="AC42"/>
  <c r="AC43"/>
  <c r="AC31"/>
  <c r="AC44"/>
  <c r="AC45"/>
  <c r="AC46"/>
  <c r="AC47"/>
  <c r="AC48"/>
  <c r="AC49"/>
  <c r="AC32"/>
  <c r="AA33"/>
  <c r="AA34"/>
  <c r="AA35"/>
  <c r="AA36"/>
  <c r="AA37"/>
  <c r="AA38"/>
  <c r="AA39"/>
  <c r="AA40"/>
  <c r="AA41"/>
  <c r="AA42"/>
  <c r="AA43"/>
  <c r="AA31"/>
  <c r="AA44"/>
  <c r="AA45"/>
  <c r="AA46"/>
  <c r="AA47"/>
  <c r="AA48"/>
  <c r="AA49"/>
  <c r="AA32"/>
  <c r="AM41"/>
  <c r="O42"/>
  <c r="N17" i="48"/>
  <c r="O17" i="65"/>
  <c r="N72"/>
  <c r="K57" i="66"/>
  <c r="L67"/>
  <c r="N38" s="1"/>
  <c r="AK38" s="1"/>
  <c r="L108" i="65"/>
  <c r="M84"/>
  <c r="K10" i="63" s="1"/>
  <c r="M60" i="65"/>
  <c r="N65" i="66"/>
  <c r="N106" i="65"/>
  <c r="N55" i="66" s="1"/>
  <c r="Q28" i="65"/>
  <c r="P28" i="48"/>
  <c r="P70" i="65"/>
  <c r="M55" i="66"/>
  <c r="O58" i="65"/>
  <c r="O82"/>
  <c r="Q68" i="66"/>
  <c r="S41" s="1"/>
  <c r="Q109" i="65"/>
  <c r="Q58" i="66" s="1"/>
  <c r="R39" i="65"/>
  <c r="Q39" i="48"/>
  <c r="R61" i="65"/>
  <c r="R85"/>
  <c r="T48"/>
  <c r="S73"/>
  <c r="Q4" i="45"/>
  <c r="Q6"/>
  <c r="Q7"/>
  <c r="V10" i="63" l="1"/>
  <c r="Y10"/>
  <c r="O17" i="48"/>
  <c r="P17" i="65"/>
  <c r="O72"/>
  <c r="P42" i="66"/>
  <c r="M108" i="65"/>
  <c r="M67" i="66"/>
  <c r="O38" s="1"/>
  <c r="N84" i="65"/>
  <c r="N60"/>
  <c r="L57" i="66"/>
  <c r="P58" i="65"/>
  <c r="P82"/>
  <c r="O106"/>
  <c r="O55" i="66" s="1"/>
  <c r="O65"/>
  <c r="R28" i="65"/>
  <c r="Q28" i="48"/>
  <c r="Q70" i="65"/>
  <c r="R68" i="66"/>
  <c r="T41" s="1"/>
  <c r="R109" i="65"/>
  <c r="R58" i="66" s="1"/>
  <c r="S39" i="65"/>
  <c r="R39" i="48"/>
  <c r="S61" i="65"/>
  <c r="S85"/>
  <c r="U48"/>
  <c r="T73"/>
  <c r="AM6" i="45"/>
  <c r="AN6"/>
  <c r="AM7"/>
  <c r="AN7"/>
  <c r="AM8"/>
  <c r="AN8"/>
  <c r="AC10"/>
  <c r="AD10"/>
  <c r="AC13"/>
  <c r="AC14"/>
  <c r="AD13"/>
  <c r="AD14"/>
  <c r="AL42" i="66" l="1"/>
  <c r="AN41"/>
  <c r="O60" i="65"/>
  <c r="O84"/>
  <c r="N108"/>
  <c r="N67" i="66"/>
  <c r="P38" s="1"/>
  <c r="AL38" s="1"/>
  <c r="Q42"/>
  <c r="M57"/>
  <c r="P72" i="65"/>
  <c r="P17" i="48"/>
  <c r="Q17" i="65"/>
  <c r="P65" i="66"/>
  <c r="P106" i="65"/>
  <c r="R28" i="48"/>
  <c r="S28" i="65"/>
  <c r="R70"/>
  <c r="Q82"/>
  <c r="Q58"/>
  <c r="S109"/>
  <c r="S58" i="66" s="1"/>
  <c r="S68"/>
  <c r="U41" s="1"/>
  <c r="T39" i="65"/>
  <c r="S39" i="48"/>
  <c r="T61" i="65"/>
  <c r="T85"/>
  <c r="V48"/>
  <c r="U73"/>
  <c r="AN5" i="45"/>
  <c r="AN9"/>
  <c r="AN10"/>
  <c r="AN11"/>
  <c r="AN12"/>
  <c r="AN13"/>
  <c r="AN14"/>
  <c r="AM5"/>
  <c r="AM9"/>
  <c r="AM10"/>
  <c r="AM11"/>
  <c r="AM12"/>
  <c r="AM13"/>
  <c r="AM14"/>
  <c r="AD4"/>
  <c r="AD5"/>
  <c r="AD6"/>
  <c r="AD7"/>
  <c r="AD8"/>
  <c r="AD9"/>
  <c r="AD11"/>
  <c r="AD12"/>
  <c r="AC5"/>
  <c r="AC6"/>
  <c r="AC7"/>
  <c r="AC8"/>
  <c r="AC9"/>
  <c r="AC11"/>
  <c r="AC12"/>
  <c r="AC4"/>
  <c r="P84" i="65" l="1"/>
  <c r="P60"/>
  <c r="O67" i="66"/>
  <c r="Q38" s="1"/>
  <c r="O108" i="65"/>
  <c r="Q72"/>
  <c r="Q17" i="48"/>
  <c r="R17" i="65"/>
  <c r="R42" i="66"/>
  <c r="N57"/>
  <c r="Q65"/>
  <c r="Q106" i="65"/>
  <c r="Q55" i="66" s="1"/>
  <c r="P55"/>
  <c r="R82" i="65"/>
  <c r="R58"/>
  <c r="S28" i="48"/>
  <c r="S70" i="65"/>
  <c r="T28"/>
  <c r="T68" i="66"/>
  <c r="V41" s="1"/>
  <c r="T109" i="65"/>
  <c r="T58" i="66" s="1"/>
  <c r="T39" i="48"/>
  <c r="U39" i="65"/>
  <c r="U61"/>
  <c r="U85"/>
  <c r="V73"/>
  <c r="AA11" i="45"/>
  <c r="C11" i="55" s="1"/>
  <c r="AA12" i="45"/>
  <c r="AA14" s="1"/>
  <c r="AL10"/>
  <c r="AJ10"/>
  <c r="AJ13"/>
  <c r="AJ14"/>
  <c r="AI9"/>
  <c r="AI10"/>
  <c r="AI11"/>
  <c r="AI12"/>
  <c r="AI13"/>
  <c r="AI14"/>
  <c r="AF12"/>
  <c r="AF13"/>
  <c r="AF14"/>
  <c r="G5"/>
  <c r="T14"/>
  <c r="B99" i="55" s="1"/>
  <c r="T13" i="45"/>
  <c r="T12"/>
  <c r="AG12" s="1"/>
  <c r="AB5"/>
  <c r="AL5" s="1"/>
  <c r="AB6"/>
  <c r="C21" i="48" s="1"/>
  <c r="AB7" i="45"/>
  <c r="C32" i="48" s="1"/>
  <c r="AB8" i="45"/>
  <c r="C10" i="51" s="1"/>
  <c r="AB9" i="45"/>
  <c r="C21" i="51" s="1"/>
  <c r="AB11" i="45"/>
  <c r="AL11" s="1"/>
  <c r="AB12"/>
  <c r="C23" i="55" s="1"/>
  <c r="AB4" i="45"/>
  <c r="C10" i="48" s="1"/>
  <c r="AA5" i="45"/>
  <c r="C42" i="48" s="1"/>
  <c r="AA6" i="45"/>
  <c r="C20" i="48" s="1"/>
  <c r="AA4" i="45"/>
  <c r="C9" i="48" s="1"/>
  <c r="AE10" i="45"/>
  <c r="S10"/>
  <c r="AF10" s="1"/>
  <c r="Z5"/>
  <c r="Z6"/>
  <c r="B82" i="48" s="1"/>
  <c r="Z7" i="45"/>
  <c r="Z8"/>
  <c r="S8" s="1"/>
  <c r="Z9"/>
  <c r="Z11"/>
  <c r="Z12"/>
  <c r="Z4"/>
  <c r="S4" s="1"/>
  <c r="AI5"/>
  <c r="B106" i="48"/>
  <c r="B107"/>
  <c r="B108"/>
  <c r="B69" i="43"/>
  <c r="D28" i="38"/>
  <c r="D28" i="51" s="1"/>
  <c r="D17" i="38"/>
  <c r="D17" i="51" s="1"/>
  <c r="N9" i="45"/>
  <c r="AA9" s="1"/>
  <c r="C20" i="51" s="1"/>
  <c r="N8" i="45"/>
  <c r="C9" i="38" s="1"/>
  <c r="C28" i="51"/>
  <c r="C17"/>
  <c r="N7" i="45"/>
  <c r="C31" i="65" s="1"/>
  <c r="G11" i="45"/>
  <c r="I11" s="1"/>
  <c r="G9"/>
  <c r="G8"/>
  <c r="G7"/>
  <c r="G6"/>
  <c r="AH10"/>
  <c r="AH11"/>
  <c r="AH12"/>
  <c r="AH13"/>
  <c r="AH14"/>
  <c r="AH9"/>
  <c r="AH5"/>
  <c r="C32" i="51"/>
  <c r="C31"/>
  <c r="C23" i="43"/>
  <c r="C22"/>
  <c r="C12"/>
  <c r="C11"/>
  <c r="C21" i="38"/>
  <c r="C20"/>
  <c r="C10"/>
  <c r="T10" i="45"/>
  <c r="AG10" s="1"/>
  <c r="A108" i="55"/>
  <c r="A96"/>
  <c r="A84"/>
  <c r="A72"/>
  <c r="D19"/>
  <c r="E19"/>
  <c r="F19"/>
  <c r="G19"/>
  <c r="H19"/>
  <c r="I19"/>
  <c r="J19"/>
  <c r="K19"/>
  <c r="L19"/>
  <c r="M19"/>
  <c r="N19"/>
  <c r="O19"/>
  <c r="P19"/>
  <c r="Q19"/>
  <c r="R19"/>
  <c r="S19"/>
  <c r="T19"/>
  <c r="U19"/>
  <c r="V19"/>
  <c r="C19"/>
  <c r="C17"/>
  <c r="D17" s="1"/>
  <c r="E17" s="1"/>
  <c r="F17" s="1"/>
  <c r="G17" s="1"/>
  <c r="H17" s="1"/>
  <c r="I17" s="1"/>
  <c r="J17" s="1"/>
  <c r="K17" s="1"/>
  <c r="L17" s="1"/>
  <c r="M17" s="1"/>
  <c r="N17" s="1"/>
  <c r="O17" s="1"/>
  <c r="P17" s="1"/>
  <c r="Q17" s="1"/>
  <c r="R17" s="1"/>
  <c r="S17" s="1"/>
  <c r="T17" s="1"/>
  <c r="U17" s="1"/>
  <c r="V17" s="1"/>
  <c r="D7" i="43"/>
  <c r="D6" s="1"/>
  <c r="E7"/>
  <c r="E6" s="1"/>
  <c r="F7"/>
  <c r="F6" s="1"/>
  <c r="G7"/>
  <c r="G6" s="1"/>
  <c r="H7"/>
  <c r="H6" s="1"/>
  <c r="I7"/>
  <c r="I6" s="1"/>
  <c r="J7"/>
  <c r="J6" s="1"/>
  <c r="K7"/>
  <c r="K6" s="1"/>
  <c r="L7"/>
  <c r="L6" s="1"/>
  <c r="M7"/>
  <c r="M6" s="1"/>
  <c r="N7"/>
  <c r="N6" s="1"/>
  <c r="O7"/>
  <c r="O6" s="1"/>
  <c r="P7"/>
  <c r="P6" s="1"/>
  <c r="Q7"/>
  <c r="Q6" s="1"/>
  <c r="R7"/>
  <c r="R6" s="1"/>
  <c r="S7"/>
  <c r="S6" s="1"/>
  <c r="T7"/>
  <c r="T6" s="1"/>
  <c r="U7"/>
  <c r="U6" s="1"/>
  <c r="V7"/>
  <c r="V6" s="1"/>
  <c r="C7"/>
  <c r="C6" s="1"/>
  <c r="B78"/>
  <c r="B58"/>
  <c r="A78"/>
  <c r="A68"/>
  <c r="A58"/>
  <c r="A48"/>
  <c r="C17"/>
  <c r="D17" s="1"/>
  <c r="E17" s="1"/>
  <c r="F17" s="1"/>
  <c r="G17" s="1"/>
  <c r="H17" s="1"/>
  <c r="I17" s="1"/>
  <c r="J17" s="1"/>
  <c r="K17" s="1"/>
  <c r="L17" s="1"/>
  <c r="M17" s="1"/>
  <c r="N17" s="1"/>
  <c r="O17" s="1"/>
  <c r="P17" s="1"/>
  <c r="Q17" s="1"/>
  <c r="R17" s="1"/>
  <c r="S17" s="1"/>
  <c r="T17" s="1"/>
  <c r="U17" s="1"/>
  <c r="V17" s="1"/>
  <c r="A119" i="55"/>
  <c r="A118"/>
  <c r="B86"/>
  <c r="B87"/>
  <c r="B92" i="51"/>
  <c r="B91"/>
  <c r="A100"/>
  <c r="A101"/>
  <c r="A116" i="48"/>
  <c r="A117"/>
  <c r="A107"/>
  <c r="A108"/>
  <c r="A109"/>
  <c r="A106"/>
  <c r="A96"/>
  <c r="A87" i="43"/>
  <c r="A86"/>
  <c r="B77" i="38"/>
  <c r="B76"/>
  <c r="B57"/>
  <c r="B56"/>
  <c r="D30" i="55"/>
  <c r="E30"/>
  <c r="F30"/>
  <c r="G30"/>
  <c r="H30"/>
  <c r="I30"/>
  <c r="J30"/>
  <c r="K30"/>
  <c r="L30"/>
  <c r="M30"/>
  <c r="N30"/>
  <c r="O30"/>
  <c r="P30"/>
  <c r="Q30"/>
  <c r="R30"/>
  <c r="S30"/>
  <c r="T30"/>
  <c r="U30"/>
  <c r="V30"/>
  <c r="C30"/>
  <c r="B59" i="43"/>
  <c r="A92" i="51"/>
  <c r="A93"/>
  <c r="A91"/>
  <c r="A82"/>
  <c r="A71"/>
  <c r="A60"/>
  <c r="A109" i="55"/>
  <c r="A110"/>
  <c r="A111"/>
  <c r="A99"/>
  <c r="A87"/>
  <c r="A75"/>
  <c r="C50"/>
  <c r="D50" s="1"/>
  <c r="E50" s="1"/>
  <c r="F50" s="1"/>
  <c r="G50" s="1"/>
  <c r="H50" s="1"/>
  <c r="I50" s="1"/>
  <c r="J50" s="1"/>
  <c r="K50" s="1"/>
  <c r="L50" s="1"/>
  <c r="M50" s="1"/>
  <c r="N50" s="1"/>
  <c r="O50" s="1"/>
  <c r="P50" s="1"/>
  <c r="Q50" s="1"/>
  <c r="R50" s="1"/>
  <c r="S50" s="1"/>
  <c r="T50" s="1"/>
  <c r="U50" s="1"/>
  <c r="V50" s="1"/>
  <c r="AM42" i="66" l="1"/>
  <c r="B69" i="51"/>
  <c r="AO41" i="66"/>
  <c r="B68" i="43"/>
  <c r="B66" i="38"/>
  <c r="I8" i="45"/>
  <c r="T9"/>
  <c r="AG9" s="1"/>
  <c r="AJ5"/>
  <c r="AG13"/>
  <c r="V13"/>
  <c r="B95" i="65"/>
  <c r="I7" i="45"/>
  <c r="I71" i="65"/>
  <c r="K71"/>
  <c r="H71"/>
  <c r="E71"/>
  <c r="C71"/>
  <c r="J71"/>
  <c r="D71"/>
  <c r="L71"/>
  <c r="G71"/>
  <c r="M71"/>
  <c r="F71"/>
  <c r="N71"/>
  <c r="O71"/>
  <c r="P71"/>
  <c r="Q71"/>
  <c r="Q75" s="1"/>
  <c r="R71"/>
  <c r="S71"/>
  <c r="S11" i="45"/>
  <c r="AF11" s="1"/>
  <c r="T6"/>
  <c r="B96" i="65"/>
  <c r="P96" s="1"/>
  <c r="I4" i="45"/>
  <c r="B94" i="65"/>
  <c r="I6" i="45"/>
  <c r="T7"/>
  <c r="B97" i="65"/>
  <c r="U97" s="1"/>
  <c r="I5" i="45"/>
  <c r="AF5"/>
  <c r="C12" i="55"/>
  <c r="P72" s="1"/>
  <c r="V12" i="45"/>
  <c r="T71" i="65"/>
  <c r="T83" s="1"/>
  <c r="B67" i="38"/>
  <c r="I9" i="45"/>
  <c r="T8"/>
  <c r="V8" s="1"/>
  <c r="AG14"/>
  <c r="V14"/>
  <c r="V10"/>
  <c r="S42" i="66"/>
  <c r="Q84" i="65"/>
  <c r="Q60"/>
  <c r="S17"/>
  <c r="R17" i="48"/>
  <c r="R72" i="65"/>
  <c r="O57" i="66"/>
  <c r="P108" i="65"/>
  <c r="P67" i="66"/>
  <c r="R38" s="1"/>
  <c r="AM38" s="1"/>
  <c r="S82" i="65"/>
  <c r="S58"/>
  <c r="T70"/>
  <c r="T28" i="48"/>
  <c r="U28" i="65"/>
  <c r="R65" i="66"/>
  <c r="R106" i="65"/>
  <c r="R55" i="66" s="1"/>
  <c r="U68"/>
  <c r="W41" s="1"/>
  <c r="U109" i="65"/>
  <c r="U58" i="66" s="1"/>
  <c r="U39" i="48"/>
  <c r="V39" i="65"/>
  <c r="U71"/>
  <c r="V61"/>
  <c r="V85"/>
  <c r="B83" i="48"/>
  <c r="B94"/>
  <c r="C22" i="55"/>
  <c r="C73" s="1"/>
  <c r="AA13" i="45"/>
  <c r="C33" i="55" s="1"/>
  <c r="AB13" i="45"/>
  <c r="T11"/>
  <c r="AG11" s="1"/>
  <c r="AL9"/>
  <c r="B109" i="48"/>
  <c r="B70" i="51"/>
  <c r="S9" i="45"/>
  <c r="AF9" s="1"/>
  <c r="B84" i="48"/>
  <c r="T4" i="45"/>
  <c r="AA8"/>
  <c r="C9" i="51" s="1"/>
  <c r="AB14" i="45"/>
  <c r="AJ12"/>
  <c r="AL12"/>
  <c r="C43" i="48"/>
  <c r="T5" i="45"/>
  <c r="AG5" s="1"/>
  <c r="AJ9"/>
  <c r="B85" i="48"/>
  <c r="AA7" i="45"/>
  <c r="C31" i="48" s="1"/>
  <c r="AJ11" i="45"/>
  <c r="J48" i="43"/>
  <c r="G48"/>
  <c r="B71" i="51"/>
  <c r="B82"/>
  <c r="B98" i="55"/>
  <c r="B85"/>
  <c r="B84"/>
  <c r="B95" i="48"/>
  <c r="B108" i="55"/>
  <c r="B93" i="51"/>
  <c r="E28" i="38"/>
  <c r="E17"/>
  <c r="E48" i="43"/>
  <c r="U48"/>
  <c r="O48"/>
  <c r="S48"/>
  <c r="I48"/>
  <c r="I38" s="1"/>
  <c r="R48"/>
  <c r="M48"/>
  <c r="V48"/>
  <c r="V38" s="1"/>
  <c r="Q48"/>
  <c r="K48"/>
  <c r="F48"/>
  <c r="N48"/>
  <c r="D48"/>
  <c r="C48"/>
  <c r="C58" s="1"/>
  <c r="C91" i="66" s="1"/>
  <c r="E31" s="1"/>
  <c r="T48" i="43"/>
  <c r="P48"/>
  <c r="P38" s="1"/>
  <c r="L48"/>
  <c r="L38" s="1"/>
  <c r="H48"/>
  <c r="A79"/>
  <c r="A77" i="38"/>
  <c r="A76"/>
  <c r="C37" i="48"/>
  <c r="D37" s="1"/>
  <c r="E37" s="1"/>
  <c r="F37" s="1"/>
  <c r="G37" s="1"/>
  <c r="H37" s="1"/>
  <c r="I37" s="1"/>
  <c r="J37" s="1"/>
  <c r="K37" s="1"/>
  <c r="L37" s="1"/>
  <c r="M37" s="1"/>
  <c r="N37" s="1"/>
  <c r="O37" s="1"/>
  <c r="P37" s="1"/>
  <c r="Q37" s="1"/>
  <c r="R37" s="1"/>
  <c r="S37" s="1"/>
  <c r="T37" s="1"/>
  <c r="U37" s="1"/>
  <c r="V37" s="1"/>
  <c r="T38" i="43" l="1"/>
  <c r="T68" s="1"/>
  <c r="Q38"/>
  <c r="Q68" s="1"/>
  <c r="AD31" i="66"/>
  <c r="E58" i="43"/>
  <c r="E91" i="66" s="1"/>
  <c r="G31" s="1"/>
  <c r="E38" i="43"/>
  <c r="E68" s="1"/>
  <c r="E88" i="66" s="1"/>
  <c r="J58" i="43"/>
  <c r="J91" i="66" s="1"/>
  <c r="L31" s="1"/>
  <c r="J38" i="43"/>
  <c r="N58"/>
  <c r="N91" i="66" s="1"/>
  <c r="P31" s="1"/>
  <c r="N38" i="43"/>
  <c r="N68" s="1"/>
  <c r="S58"/>
  <c r="S91" i="66" s="1"/>
  <c r="U31" s="1"/>
  <c r="S38" i="43"/>
  <c r="D58"/>
  <c r="D91" i="66" s="1"/>
  <c r="F31" s="1"/>
  <c r="D38" i="43"/>
  <c r="D68" s="1"/>
  <c r="D88" i="66" s="1"/>
  <c r="U58" i="43"/>
  <c r="U91" i="66" s="1"/>
  <c r="W31" s="1"/>
  <c r="U38" i="43"/>
  <c r="R38"/>
  <c r="R68" s="1"/>
  <c r="G38"/>
  <c r="G68" s="1"/>
  <c r="G88" i="66" s="1"/>
  <c r="H58" i="43"/>
  <c r="H91" i="66" s="1"/>
  <c r="J31" s="1"/>
  <c r="H38" i="43"/>
  <c r="H68" s="1"/>
  <c r="H88" i="66" s="1"/>
  <c r="K58" i="43"/>
  <c r="K91" i="66" s="1"/>
  <c r="M31" s="1"/>
  <c r="K38" i="43"/>
  <c r="K68" s="1"/>
  <c r="M58"/>
  <c r="M91" i="66" s="1"/>
  <c r="O31" s="1"/>
  <c r="M38" i="43"/>
  <c r="M68" s="1"/>
  <c r="O58"/>
  <c r="O91" i="66" s="1"/>
  <c r="Q31" s="1"/>
  <c r="O38" i="43"/>
  <c r="F38"/>
  <c r="F68" s="1"/>
  <c r="F88" i="66" s="1"/>
  <c r="B80" i="51"/>
  <c r="V4" i="45"/>
  <c r="P68" i="43"/>
  <c r="V68"/>
  <c r="J72" i="55"/>
  <c r="J84" s="1"/>
  <c r="J140" i="66" s="1"/>
  <c r="L40" s="1"/>
  <c r="I68" i="43"/>
  <c r="L68"/>
  <c r="F72" i="55"/>
  <c r="F84" s="1"/>
  <c r="F140" i="66" s="1"/>
  <c r="H40" s="1"/>
  <c r="T72" i="55"/>
  <c r="M72"/>
  <c r="M84" s="1"/>
  <c r="S72"/>
  <c r="S84" s="1"/>
  <c r="S140" i="66" s="1"/>
  <c r="U40" s="1"/>
  <c r="D94" i="65"/>
  <c r="K94"/>
  <c r="L94"/>
  <c r="J94"/>
  <c r="H94"/>
  <c r="E94"/>
  <c r="F94"/>
  <c r="C94"/>
  <c r="G94"/>
  <c r="I94"/>
  <c r="M94"/>
  <c r="N94"/>
  <c r="O94"/>
  <c r="P94"/>
  <c r="Q94"/>
  <c r="R59"/>
  <c r="R95" s="1"/>
  <c r="R83"/>
  <c r="N83"/>
  <c r="N59"/>
  <c r="N63" s="1"/>
  <c r="N75"/>
  <c r="E59"/>
  <c r="E75"/>
  <c r="E83"/>
  <c r="S59"/>
  <c r="S95" s="1"/>
  <c r="S83"/>
  <c r="O59"/>
  <c r="O63" s="1"/>
  <c r="O83"/>
  <c r="O75"/>
  <c r="C59"/>
  <c r="C83"/>
  <c r="C75"/>
  <c r="I59"/>
  <c r="I83"/>
  <c r="I75"/>
  <c r="Q83"/>
  <c r="Q87" s="1"/>
  <c r="Q59"/>
  <c r="Q95" s="1"/>
  <c r="G59"/>
  <c r="F59"/>
  <c r="F83"/>
  <c r="F75"/>
  <c r="D83"/>
  <c r="D59"/>
  <c r="D75"/>
  <c r="H59"/>
  <c r="H83"/>
  <c r="H75"/>
  <c r="N95"/>
  <c r="E72" i="55"/>
  <c r="E84" s="1"/>
  <c r="E140" i="66" s="1"/>
  <c r="G40" s="1"/>
  <c r="G72" i="55"/>
  <c r="G84" s="1"/>
  <c r="G140" i="66" s="1"/>
  <c r="I40" s="1"/>
  <c r="B96" i="55"/>
  <c r="U72"/>
  <c r="N72"/>
  <c r="D72"/>
  <c r="D84" s="1"/>
  <c r="D140" i="66" s="1"/>
  <c r="F40" s="1"/>
  <c r="K72" i="55"/>
  <c r="K84" s="1"/>
  <c r="K140" i="66" s="1"/>
  <c r="M40" s="1"/>
  <c r="H72" i="55"/>
  <c r="H84" s="1"/>
  <c r="H140" i="66" s="1"/>
  <c r="J40" s="1"/>
  <c r="T59" i="65"/>
  <c r="T95" s="1"/>
  <c r="R94"/>
  <c r="V7" i="45"/>
  <c r="V11"/>
  <c r="H97" i="65"/>
  <c r="F97"/>
  <c r="F63" i="66" s="1"/>
  <c r="G97" i="65"/>
  <c r="G63" i="66" s="1"/>
  <c r="C97" i="65"/>
  <c r="C63" i="66" s="1"/>
  <c r="E97" i="65"/>
  <c r="E63" i="66" s="1"/>
  <c r="L97" i="65"/>
  <c r="D97"/>
  <c r="D63" i="66" s="1"/>
  <c r="J97" i="65"/>
  <c r="K97"/>
  <c r="O97"/>
  <c r="I97"/>
  <c r="I63" i="66" s="1"/>
  <c r="N97" i="65"/>
  <c r="M97"/>
  <c r="P97"/>
  <c r="Q97"/>
  <c r="R97"/>
  <c r="S97"/>
  <c r="T97"/>
  <c r="L83"/>
  <c r="L59"/>
  <c r="L75"/>
  <c r="G83"/>
  <c r="G75"/>
  <c r="C96"/>
  <c r="C62" i="66" s="1"/>
  <c r="I96" i="65"/>
  <c r="J96"/>
  <c r="E96"/>
  <c r="E62" i="66" s="1"/>
  <c r="D96" i="65"/>
  <c r="D62" i="66" s="1"/>
  <c r="F96" i="65"/>
  <c r="F62" i="66" s="1"/>
  <c r="H96" i="65"/>
  <c r="G96"/>
  <c r="G62" i="66" s="1"/>
  <c r="K96" i="65"/>
  <c r="L96"/>
  <c r="M96"/>
  <c r="N96"/>
  <c r="O96"/>
  <c r="P83"/>
  <c r="P59"/>
  <c r="P63" s="1"/>
  <c r="P75"/>
  <c r="M83"/>
  <c r="K16" i="63" s="1"/>
  <c r="M59" i="65"/>
  <c r="M75"/>
  <c r="J83"/>
  <c r="J59"/>
  <c r="J75"/>
  <c r="K83"/>
  <c r="K59"/>
  <c r="K75"/>
  <c r="V5" i="45"/>
  <c r="R72" i="55"/>
  <c r="L72"/>
  <c r="L60" s="1"/>
  <c r="Q72"/>
  <c r="Q60" s="1"/>
  <c r="V6" i="45"/>
  <c r="O72" i="55"/>
  <c r="O84" s="1"/>
  <c r="O140" i="66" s="1"/>
  <c r="Q40" s="1"/>
  <c r="V72" i="55"/>
  <c r="I72"/>
  <c r="I84" s="1"/>
  <c r="I140" i="66" s="1"/>
  <c r="K40" s="1"/>
  <c r="B96" i="48"/>
  <c r="S94" i="65"/>
  <c r="V9" i="45"/>
  <c r="P57" i="66"/>
  <c r="Q108" i="65"/>
  <c r="Q67" i="66"/>
  <c r="S38" s="1"/>
  <c r="T42"/>
  <c r="R84" i="65"/>
  <c r="R60"/>
  <c r="R75"/>
  <c r="Q96"/>
  <c r="T17"/>
  <c r="S17" i="48"/>
  <c r="S72" i="65"/>
  <c r="T82"/>
  <c r="T58"/>
  <c r="T94" s="1"/>
  <c r="U70"/>
  <c r="U28" i="48"/>
  <c r="V28" i="65"/>
  <c r="S106"/>
  <c r="S55" i="66" s="1"/>
  <c r="S65"/>
  <c r="AE31"/>
  <c r="AF31"/>
  <c r="C78" i="43"/>
  <c r="C85" i="66" s="1"/>
  <c r="O78" i="43"/>
  <c r="O85" i="66" s="1"/>
  <c r="V68"/>
  <c r="X41" s="1"/>
  <c r="V109" i="65"/>
  <c r="V58" i="66" s="1"/>
  <c r="B58" s="1"/>
  <c r="B41" s="1"/>
  <c r="T66"/>
  <c r="V44" s="1"/>
  <c r="T107" i="65"/>
  <c r="J78" i="43"/>
  <c r="J85" i="66" s="1"/>
  <c r="D78" i="43"/>
  <c r="D85" i="66" s="1"/>
  <c r="N78" i="43"/>
  <c r="N85" i="66" s="1"/>
  <c r="E78" i="43"/>
  <c r="E85" i="66" s="1"/>
  <c r="S78" i="43"/>
  <c r="S85" i="66" s="1"/>
  <c r="K78" i="43"/>
  <c r="K85" i="66" s="1"/>
  <c r="K11"/>
  <c r="L13" i="63"/>
  <c r="U59" i="65"/>
  <c r="U83"/>
  <c r="V39" i="48"/>
  <c r="V71" i="65"/>
  <c r="V97"/>
  <c r="G58" i="43"/>
  <c r="B81" i="51"/>
  <c r="AL13" i="45"/>
  <c r="C34" i="55"/>
  <c r="C74" s="1"/>
  <c r="B97" i="48"/>
  <c r="J68" i="43"/>
  <c r="L58"/>
  <c r="I58"/>
  <c r="V58"/>
  <c r="R58"/>
  <c r="C38"/>
  <c r="C68" s="1"/>
  <c r="C88" i="66" s="1"/>
  <c r="Q58" i="43"/>
  <c r="U68"/>
  <c r="AL14" i="45"/>
  <c r="C45" i="55"/>
  <c r="N75" s="1"/>
  <c r="N87" s="1"/>
  <c r="P84"/>
  <c r="P140" i="66" s="1"/>
  <c r="R40" s="1"/>
  <c r="B97" i="55"/>
  <c r="F28" i="38"/>
  <c r="E28" i="51"/>
  <c r="E17"/>
  <c r="F17" i="38"/>
  <c r="S68" i="43"/>
  <c r="F58"/>
  <c r="O68"/>
  <c r="P58"/>
  <c r="T58"/>
  <c r="AE5" i="45"/>
  <c r="M78" i="43" l="1"/>
  <c r="M85" i="66" s="1"/>
  <c r="U78" i="43"/>
  <c r="U85" i="66" s="1"/>
  <c r="K3" i="63"/>
  <c r="H78" i="43"/>
  <c r="H85" i="66" s="1"/>
  <c r="AJ31"/>
  <c r="Y16" i="63"/>
  <c r="V16"/>
  <c r="M140" i="66"/>
  <c r="O40" s="1"/>
  <c r="K12" i="63"/>
  <c r="Y3"/>
  <c r="V3"/>
  <c r="Z13"/>
  <c r="W13"/>
  <c r="AN42" i="66"/>
  <c r="AP41"/>
  <c r="L88"/>
  <c r="Q88" s="1"/>
  <c r="V88" s="1"/>
  <c r="K88"/>
  <c r="P88" s="1"/>
  <c r="U88" s="1"/>
  <c r="Q63" i="65"/>
  <c r="T60" i="55"/>
  <c r="T96" s="1"/>
  <c r="K63" i="66"/>
  <c r="P63" s="1"/>
  <c r="U63" s="1"/>
  <c r="U60" i="55"/>
  <c r="U96" s="1"/>
  <c r="T84"/>
  <c r="T140" i="66" s="1"/>
  <c r="V40" s="1"/>
  <c r="U84" i="55"/>
  <c r="U140" i="66" s="1"/>
  <c r="W40" s="1"/>
  <c r="I88"/>
  <c r="N88" s="1"/>
  <c r="S88" s="1"/>
  <c r="N60" i="55"/>
  <c r="N96" s="1"/>
  <c r="I60"/>
  <c r="I96" s="1"/>
  <c r="S60"/>
  <c r="S96" s="1"/>
  <c r="J60"/>
  <c r="J96" s="1"/>
  <c r="V60"/>
  <c r="V96" s="1"/>
  <c r="M60"/>
  <c r="M96" s="1"/>
  <c r="K60"/>
  <c r="K96" s="1"/>
  <c r="L84"/>
  <c r="L140" i="66" s="1"/>
  <c r="N40" s="1"/>
  <c r="Q84" i="55"/>
  <c r="Q140" i="66" s="1"/>
  <c r="S40" s="1"/>
  <c r="H60" i="55"/>
  <c r="H96" s="1"/>
  <c r="H62" i="66"/>
  <c r="M62" s="1"/>
  <c r="J62"/>
  <c r="O62" s="1"/>
  <c r="L63"/>
  <c r="Q63" s="1"/>
  <c r="V63" s="1"/>
  <c r="AH40"/>
  <c r="V84" i="55"/>
  <c r="V140" i="66" s="1"/>
  <c r="X40" s="1"/>
  <c r="L62"/>
  <c r="Q62" s="1"/>
  <c r="I62"/>
  <c r="N62" s="1"/>
  <c r="H63"/>
  <c r="M63" s="1"/>
  <c r="R63" s="1"/>
  <c r="N63"/>
  <c r="S63" s="1"/>
  <c r="R84" i="55"/>
  <c r="R140" i="66" s="1"/>
  <c r="T40" s="1"/>
  <c r="R60" i="55"/>
  <c r="R96" s="1"/>
  <c r="G60"/>
  <c r="G96" s="1"/>
  <c r="G135" i="66" s="1"/>
  <c r="O60" i="55"/>
  <c r="O96" s="1"/>
  <c r="P95" i="65"/>
  <c r="P99" s="1"/>
  <c r="P116" s="1"/>
  <c r="M95"/>
  <c r="M63"/>
  <c r="P107"/>
  <c r="P66" i="66"/>
  <c r="R44" s="1"/>
  <c r="P87" i="65"/>
  <c r="K66" i="66"/>
  <c r="M44" s="1"/>
  <c r="K107" i="65"/>
  <c r="K87"/>
  <c r="G87"/>
  <c r="G107"/>
  <c r="G66" i="66"/>
  <c r="I44" s="1"/>
  <c r="D95" i="65"/>
  <c r="D61" i="66" s="1"/>
  <c r="D63" i="65"/>
  <c r="F95"/>
  <c r="F61" i="66" s="1"/>
  <c r="F63" i="65"/>
  <c r="C66" i="66"/>
  <c r="E44" s="1"/>
  <c r="C107" i="65"/>
  <c r="C87"/>
  <c r="N107"/>
  <c r="N66" i="66"/>
  <c r="P44" s="1"/>
  <c r="N87" i="65"/>
  <c r="E60" i="66"/>
  <c r="J60" s="1"/>
  <c r="O60" s="1"/>
  <c r="T60" s="1"/>
  <c r="K95" i="65"/>
  <c r="K99" s="1"/>
  <c r="K116" s="1"/>
  <c r="K63"/>
  <c r="J107"/>
  <c r="J66" i="66"/>
  <c r="L44" s="1"/>
  <c r="J87" i="65"/>
  <c r="L107"/>
  <c r="L66" i="66"/>
  <c r="N44" s="1"/>
  <c r="L87" i="65"/>
  <c r="F107"/>
  <c r="F66" i="66"/>
  <c r="H44" s="1"/>
  <c r="F87" i="65"/>
  <c r="Q66" i="66"/>
  <c r="S44" s="1"/>
  <c r="Q107" i="65"/>
  <c r="Q56" i="66" s="1"/>
  <c r="O107" i="65"/>
  <c r="O66" i="66"/>
  <c r="Q44" s="1"/>
  <c r="O87" i="65"/>
  <c r="E107"/>
  <c r="E87"/>
  <c r="E66" i="66"/>
  <c r="G44" s="1"/>
  <c r="F60"/>
  <c r="K60" s="1"/>
  <c r="P60" s="1"/>
  <c r="E60" i="55"/>
  <c r="E96" s="1"/>
  <c r="E135" i="66" s="1"/>
  <c r="P60" i="55"/>
  <c r="P96" s="1"/>
  <c r="F60"/>
  <c r="F96" s="1"/>
  <c r="F135" i="66" s="1"/>
  <c r="H66"/>
  <c r="J44" s="1"/>
  <c r="H107" i="65"/>
  <c r="H87"/>
  <c r="D66" i="66"/>
  <c r="F44" s="1"/>
  <c r="D107" i="65"/>
  <c r="D87"/>
  <c r="G95"/>
  <c r="G61" i="66" s="1"/>
  <c r="G63" i="65"/>
  <c r="I107"/>
  <c r="J15" i="66"/>
  <c r="I66"/>
  <c r="K44" s="1"/>
  <c r="J16" i="63"/>
  <c r="I87" i="65"/>
  <c r="C95"/>
  <c r="C61" i="66" s="1"/>
  <c r="C63" i="65"/>
  <c r="S66" i="66"/>
  <c r="U44" s="1"/>
  <c r="S107" i="65"/>
  <c r="S56" i="66" s="1"/>
  <c r="E95" i="65"/>
  <c r="E61" i="66" s="1"/>
  <c r="E63" i="65"/>
  <c r="R66" i="66"/>
  <c r="T44" s="1"/>
  <c r="AO44" s="1"/>
  <c r="R107" i="65"/>
  <c r="R56" i="66" s="1"/>
  <c r="G60"/>
  <c r="L60" s="1"/>
  <c r="Q60" s="1"/>
  <c r="D60"/>
  <c r="I60" s="1"/>
  <c r="N60" s="1"/>
  <c r="S60" s="1"/>
  <c r="J95" i="65"/>
  <c r="J99" s="1"/>
  <c r="J116" s="1"/>
  <c r="J63"/>
  <c r="M107"/>
  <c r="M66" i="66"/>
  <c r="O44" s="1"/>
  <c r="M87" i="65"/>
  <c r="L95"/>
  <c r="L63"/>
  <c r="H95"/>
  <c r="H99" s="1"/>
  <c r="H116" s="1"/>
  <c r="H63"/>
  <c r="I95"/>
  <c r="I63"/>
  <c r="N99"/>
  <c r="N116" s="1"/>
  <c r="C60" i="66"/>
  <c r="H60" s="1"/>
  <c r="M60" s="1"/>
  <c r="R60" s="1"/>
  <c r="N84" i="55"/>
  <c r="N140" i="66" s="1"/>
  <c r="P40" s="1"/>
  <c r="K62"/>
  <c r="P62" s="1"/>
  <c r="J63"/>
  <c r="O63" s="1"/>
  <c r="T63" s="1"/>
  <c r="O95" i="65"/>
  <c r="O99" s="1"/>
  <c r="O116" s="1"/>
  <c r="S60"/>
  <c r="S84"/>
  <c r="S75"/>
  <c r="Q99"/>
  <c r="Q116" s="1"/>
  <c r="U42" i="66"/>
  <c r="R108" i="65"/>
  <c r="R67" i="66"/>
  <c r="T38" s="1"/>
  <c r="AN38" s="1"/>
  <c r="R87" i="65"/>
  <c r="Q57" i="66"/>
  <c r="U17" i="65"/>
  <c r="T72"/>
  <c r="T17" i="48"/>
  <c r="R96" i="65"/>
  <c r="R63"/>
  <c r="V28" i="48"/>
  <c r="V70" i="65"/>
  <c r="U58"/>
  <c r="U94" s="1"/>
  <c r="U82"/>
  <c r="T106"/>
  <c r="T65" i="66"/>
  <c r="AF40"/>
  <c r="AJ40"/>
  <c r="AI40"/>
  <c r="AG40"/>
  <c r="T91"/>
  <c r="V31" s="1"/>
  <c r="T78" i="43"/>
  <c r="T85" i="66" s="1"/>
  <c r="L91"/>
  <c r="N31" s="1"/>
  <c r="L78" i="43"/>
  <c r="L85" i="66" s="1"/>
  <c r="K108" i="55"/>
  <c r="K130" i="66" s="1"/>
  <c r="P108" i="55"/>
  <c r="P130" i="66" s="1"/>
  <c r="E108" i="55"/>
  <c r="E130" i="66" s="1"/>
  <c r="J108" i="55"/>
  <c r="J130" i="66" s="1"/>
  <c r="S108" i="55"/>
  <c r="S130" i="66" s="1"/>
  <c r="D108" i="55"/>
  <c r="D130" i="66" s="1"/>
  <c r="I108" i="55"/>
  <c r="I130" i="66" s="1"/>
  <c r="F91"/>
  <c r="H31" s="1"/>
  <c r="F78" i="43"/>
  <c r="F85" i="66" s="1"/>
  <c r="N143"/>
  <c r="P37" s="1"/>
  <c r="N111" i="55"/>
  <c r="N133" i="66" s="1"/>
  <c r="Q91"/>
  <c r="S31" s="1"/>
  <c r="Q78" i="43"/>
  <c r="Q85" i="66" s="1"/>
  <c r="V91"/>
  <c r="X31" s="1"/>
  <c r="V78" i="43"/>
  <c r="V85" i="66" s="1"/>
  <c r="U66"/>
  <c r="W44" s="1"/>
  <c r="U107" i="65"/>
  <c r="Y41" i="66"/>
  <c r="G108" i="55"/>
  <c r="G130" i="66" s="1"/>
  <c r="O108" i="55"/>
  <c r="O130" i="66" s="1"/>
  <c r="H108" i="55"/>
  <c r="H130" i="66" s="1"/>
  <c r="M108" i="55"/>
  <c r="M130" i="66" s="1"/>
  <c r="I91"/>
  <c r="K31" s="1"/>
  <c r="I78" i="43"/>
  <c r="I85" i="66" s="1"/>
  <c r="P91"/>
  <c r="R31" s="1"/>
  <c r="P78" i="43"/>
  <c r="P85" i="66" s="1"/>
  <c r="R91"/>
  <c r="T31" s="1"/>
  <c r="R78" i="43"/>
  <c r="R85" i="66" s="1"/>
  <c r="G91"/>
  <c r="I31" s="1"/>
  <c r="G78" i="43"/>
  <c r="G85" i="66" s="1"/>
  <c r="F108" i="55"/>
  <c r="F130" i="66" s="1"/>
  <c r="J12"/>
  <c r="L12" s="1"/>
  <c r="M88"/>
  <c r="R88" s="1"/>
  <c r="J88"/>
  <c r="V59" i="65"/>
  <c r="V83"/>
  <c r="T56" i="66"/>
  <c r="L3" i="63"/>
  <c r="K16" i="66"/>
  <c r="J16"/>
  <c r="U95" i="65"/>
  <c r="J12" i="63"/>
  <c r="J3"/>
  <c r="L96" i="55"/>
  <c r="Q96"/>
  <c r="U75"/>
  <c r="U87" s="1"/>
  <c r="P75"/>
  <c r="V75"/>
  <c r="D75"/>
  <c r="O75"/>
  <c r="T75"/>
  <c r="J75"/>
  <c r="M75"/>
  <c r="S75"/>
  <c r="L75"/>
  <c r="F75"/>
  <c r="I75"/>
  <c r="H75"/>
  <c r="R75"/>
  <c r="Q75"/>
  <c r="K75"/>
  <c r="G75"/>
  <c r="E75"/>
  <c r="G28" i="38"/>
  <c r="F28" i="51"/>
  <c r="G17" i="38"/>
  <c r="F17" i="51"/>
  <c r="AE14" i="45"/>
  <c r="C37" i="51"/>
  <c r="D37" s="1"/>
  <c r="E37" s="1"/>
  <c r="F37" s="1"/>
  <c r="G37" s="1"/>
  <c r="H37" s="1"/>
  <c r="I37" s="1"/>
  <c r="J37" s="1"/>
  <c r="K37" s="1"/>
  <c r="L37" s="1"/>
  <c r="M37" s="1"/>
  <c r="N37" s="1"/>
  <c r="O37" s="1"/>
  <c r="P37" s="1"/>
  <c r="Q37" s="1"/>
  <c r="R37" s="1"/>
  <c r="S37" s="1"/>
  <c r="T37" s="1"/>
  <c r="U37" s="1"/>
  <c r="V37" s="1"/>
  <c r="A98" i="55"/>
  <c r="A97"/>
  <c r="A86"/>
  <c r="A85"/>
  <c r="A74"/>
  <c r="A73"/>
  <c r="C39"/>
  <c r="D39" s="1"/>
  <c r="E39" s="1"/>
  <c r="F39" s="1"/>
  <c r="G39" s="1"/>
  <c r="H39" s="1"/>
  <c r="I39" s="1"/>
  <c r="J39" s="1"/>
  <c r="K39" s="1"/>
  <c r="L39" s="1"/>
  <c r="M39" s="1"/>
  <c r="N39" s="1"/>
  <c r="O39" s="1"/>
  <c r="P39" s="1"/>
  <c r="Q39" s="1"/>
  <c r="R39" s="1"/>
  <c r="S39" s="1"/>
  <c r="T39" s="1"/>
  <c r="U39" s="1"/>
  <c r="V39" s="1"/>
  <c r="C28"/>
  <c r="D28" s="1"/>
  <c r="E28" s="1"/>
  <c r="F28" s="1"/>
  <c r="G28" s="1"/>
  <c r="H28" s="1"/>
  <c r="I28" s="1"/>
  <c r="J28" s="1"/>
  <c r="K28" s="1"/>
  <c r="L28" s="1"/>
  <c r="M28" s="1"/>
  <c r="N28" s="1"/>
  <c r="O28" s="1"/>
  <c r="P28" s="1"/>
  <c r="Q28" s="1"/>
  <c r="R28" s="1"/>
  <c r="S28" s="1"/>
  <c r="T28" s="1"/>
  <c r="U28" s="1"/>
  <c r="V28" s="1"/>
  <c r="A81" i="51"/>
  <c r="A80"/>
  <c r="A70"/>
  <c r="A69"/>
  <c r="A59"/>
  <c r="A58"/>
  <c r="C26"/>
  <c r="D26" s="1"/>
  <c r="E26" s="1"/>
  <c r="F26" s="1"/>
  <c r="G26" s="1"/>
  <c r="C15"/>
  <c r="D15" s="1"/>
  <c r="E15" s="1"/>
  <c r="F15" s="1"/>
  <c r="G15" s="1"/>
  <c r="H15" s="1"/>
  <c r="I15" s="1"/>
  <c r="J15" s="1"/>
  <c r="K15" s="1"/>
  <c r="H60"/>
  <c r="A97" i="48"/>
  <c r="A95"/>
  <c r="A94"/>
  <c r="A85"/>
  <c r="A84"/>
  <c r="A83"/>
  <c r="A82"/>
  <c r="A73"/>
  <c r="A72"/>
  <c r="A71"/>
  <c r="A70"/>
  <c r="C48"/>
  <c r="D48" s="1"/>
  <c r="C26"/>
  <c r="D26" s="1"/>
  <c r="E26" s="1"/>
  <c r="F26" s="1"/>
  <c r="G26" s="1"/>
  <c r="H26" s="1"/>
  <c r="C15"/>
  <c r="D15" s="1"/>
  <c r="E15" s="1"/>
  <c r="F15" s="1"/>
  <c r="G15" s="1"/>
  <c r="AG31" i="66" l="1"/>
  <c r="AM31"/>
  <c r="Y12" i="63"/>
  <c r="V12"/>
  <c r="X3"/>
  <c r="U3"/>
  <c r="U16"/>
  <c r="X16"/>
  <c r="P12"/>
  <c r="E22" i="64" s="1"/>
  <c r="X12" i="63"/>
  <c r="U12"/>
  <c r="W3"/>
  <c r="Z3"/>
  <c r="AM40" i="66"/>
  <c r="AN40"/>
  <c r="AK40"/>
  <c r="AP40"/>
  <c r="U108" i="55"/>
  <c r="U130" i="66" s="1"/>
  <c r="AO40"/>
  <c r="Q108" i="55"/>
  <c r="Q130" i="66" s="1"/>
  <c r="L12" i="63"/>
  <c r="T108" i="55"/>
  <c r="T130" i="66" s="1"/>
  <c r="AG44"/>
  <c r="AK44"/>
  <c r="K12"/>
  <c r="V108" i="55"/>
  <c r="V130" i="66" s="1"/>
  <c r="C99" i="65"/>
  <c r="C116" s="1"/>
  <c r="I61" i="66"/>
  <c r="N61" s="1"/>
  <c r="S61" s="1"/>
  <c r="Q111" i="65"/>
  <c r="Q117" s="1"/>
  <c r="Q118" s="1"/>
  <c r="AM44" i="66"/>
  <c r="L108" i="55"/>
  <c r="L130" i="66" s="1"/>
  <c r="N108" i="55"/>
  <c r="N130" i="66" s="1"/>
  <c r="D99" i="65"/>
  <c r="D116" s="1"/>
  <c r="L61" i="66"/>
  <c r="Q61" s="1"/>
  <c r="G99" i="65"/>
  <c r="G116" s="1"/>
  <c r="AF44" i="66"/>
  <c r="R108" i="55"/>
  <c r="R130" i="66" s="1"/>
  <c r="AI44"/>
  <c r="I56"/>
  <c r="I111" i="65"/>
  <c r="I117" s="1"/>
  <c r="G56" i="66"/>
  <c r="G111" i="65"/>
  <c r="G117" s="1"/>
  <c r="AE44" i="66"/>
  <c r="AD44"/>
  <c r="B63"/>
  <c r="I99" i="65"/>
  <c r="I116" s="1"/>
  <c r="H61" i="66"/>
  <c r="M61" s="1"/>
  <c r="R61" s="1"/>
  <c r="K61"/>
  <c r="P61" s="1"/>
  <c r="U61" s="1"/>
  <c r="AL44"/>
  <c r="D56"/>
  <c r="D111" i="65"/>
  <c r="D117" s="1"/>
  <c r="O56" i="66"/>
  <c r="O111" i="65"/>
  <c r="O117" s="1"/>
  <c r="O118" s="1"/>
  <c r="J56" i="66"/>
  <c r="J111" i="65"/>
  <c r="J117" s="1"/>
  <c r="J118" s="1"/>
  <c r="M56" i="66"/>
  <c r="M111" i="65"/>
  <c r="M117" s="1"/>
  <c r="L15" i="66"/>
  <c r="M15"/>
  <c r="H56"/>
  <c r="H111" i="65"/>
  <c r="H117" s="1"/>
  <c r="N56" i="66"/>
  <c r="N111" i="65"/>
  <c r="N117" s="1"/>
  <c r="N118" s="1"/>
  <c r="K56" i="66"/>
  <c r="K111" i="65"/>
  <c r="K117" s="1"/>
  <c r="K118" s="1"/>
  <c r="E56" i="66"/>
  <c r="E111" i="65"/>
  <c r="E117" s="1"/>
  <c r="F56" i="66"/>
  <c r="F111" i="65"/>
  <c r="F117" s="1"/>
  <c r="L56" i="66"/>
  <c r="L111" i="65"/>
  <c r="L117" s="1"/>
  <c r="C56" i="66"/>
  <c r="C111" i="65"/>
  <c r="C117" s="1"/>
  <c r="P56" i="66"/>
  <c r="P111" i="65"/>
  <c r="P117" s="1"/>
  <c r="P118" s="1"/>
  <c r="U60" i="66"/>
  <c r="F99" i="65"/>
  <c r="F116" s="1"/>
  <c r="AJ44" i="66"/>
  <c r="AH44"/>
  <c r="J61"/>
  <c r="O61" s="1"/>
  <c r="T61" s="1"/>
  <c r="AN44"/>
  <c r="L99" i="65"/>
  <c r="L116" s="1"/>
  <c r="M99"/>
  <c r="M116" s="1"/>
  <c r="E99"/>
  <c r="E116" s="1"/>
  <c r="H118"/>
  <c r="AP31" i="66"/>
  <c r="S96" i="65"/>
  <c r="S63"/>
  <c r="R62" i="66"/>
  <c r="R99" i="65"/>
  <c r="R116" s="1"/>
  <c r="S108"/>
  <c r="S67" i="66"/>
  <c r="U38" s="1"/>
  <c r="S87" i="65"/>
  <c r="V42" i="66"/>
  <c r="T60" i="65"/>
  <c r="T84"/>
  <c r="T75"/>
  <c r="V17"/>
  <c r="U72"/>
  <c r="U17" i="48"/>
  <c r="R57" i="66"/>
  <c r="R111" i="65"/>
  <c r="R117" s="1"/>
  <c r="U65" i="66"/>
  <c r="U106" i="65"/>
  <c r="U55" i="66" s="1"/>
  <c r="V82" i="65"/>
  <c r="V58"/>
  <c r="V94" s="1"/>
  <c r="V60" i="66" s="1"/>
  <c r="T55"/>
  <c r="Q60" i="51"/>
  <c r="Q71" s="1"/>
  <c r="P60"/>
  <c r="I60"/>
  <c r="I71" s="1"/>
  <c r="AO31" i="66"/>
  <c r="AH31"/>
  <c r="AI31"/>
  <c r="AK31"/>
  <c r="AL31"/>
  <c r="AN31"/>
  <c r="AL40"/>
  <c r="L135"/>
  <c r="Q135" s="1"/>
  <c r="V135" s="1"/>
  <c r="V66"/>
  <c r="X44" s="1"/>
  <c r="AP44" s="1"/>
  <c r="V107" i="65"/>
  <c r="U143" i="66"/>
  <c r="W37" s="1"/>
  <c r="U111" i="55"/>
  <c r="U133" i="66" s="1"/>
  <c r="Y31"/>
  <c r="J135"/>
  <c r="O135" s="1"/>
  <c r="T135" s="1"/>
  <c r="K135"/>
  <c r="P135" s="1"/>
  <c r="U135" s="1"/>
  <c r="M12"/>
  <c r="E60" i="51"/>
  <c r="E71" s="1"/>
  <c r="M60"/>
  <c r="U60"/>
  <c r="D60"/>
  <c r="D71" s="1"/>
  <c r="L60"/>
  <c r="L71" s="1"/>
  <c r="T60"/>
  <c r="T71" s="1"/>
  <c r="B85" i="66"/>
  <c r="O88"/>
  <c r="T88" s="1"/>
  <c r="M16"/>
  <c r="L16"/>
  <c r="U56"/>
  <c r="K15"/>
  <c r="L16" i="63"/>
  <c r="V95" i="65"/>
  <c r="O12" i="63"/>
  <c r="O3"/>
  <c r="D4" i="64" s="1"/>
  <c r="P3" i="63"/>
  <c r="E4" i="64" s="1"/>
  <c r="E87" i="55"/>
  <c r="E63"/>
  <c r="E99" s="1"/>
  <c r="E138" i="66" s="1"/>
  <c r="R87" i="55"/>
  <c r="R63"/>
  <c r="R99" s="1"/>
  <c r="L87"/>
  <c r="L63"/>
  <c r="L99" s="1"/>
  <c r="T87"/>
  <c r="T63"/>
  <c r="T99" s="1"/>
  <c r="C73" i="48"/>
  <c r="U63" i="55"/>
  <c r="U99" s="1"/>
  <c r="K87"/>
  <c r="K63"/>
  <c r="K99" s="1"/>
  <c r="I87"/>
  <c r="I63"/>
  <c r="I99" s="1"/>
  <c r="M87"/>
  <c r="K9" i="63" s="1"/>
  <c r="M63" i="55"/>
  <c r="M99" s="1"/>
  <c r="D87"/>
  <c r="F60" i="51"/>
  <c r="J60"/>
  <c r="N60"/>
  <c r="R60"/>
  <c r="R71" s="1"/>
  <c r="V60"/>
  <c r="N63" i="55"/>
  <c r="N99" s="1"/>
  <c r="Q87"/>
  <c r="Q63"/>
  <c r="Q99" s="1"/>
  <c r="F87"/>
  <c r="F63"/>
  <c r="F99" s="1"/>
  <c r="F138" i="66" s="1"/>
  <c r="J87" i="55"/>
  <c r="J63"/>
  <c r="J99" s="1"/>
  <c r="V87"/>
  <c r="V63"/>
  <c r="V99" s="1"/>
  <c r="P87"/>
  <c r="P63"/>
  <c r="P99" s="1"/>
  <c r="G87"/>
  <c r="G63"/>
  <c r="G99" s="1"/>
  <c r="G138" i="66" s="1"/>
  <c r="H87" i="55"/>
  <c r="H63"/>
  <c r="H99" s="1"/>
  <c r="S87"/>
  <c r="S63"/>
  <c r="S99" s="1"/>
  <c r="O87"/>
  <c r="O63"/>
  <c r="O99" s="1"/>
  <c r="G28" i="51"/>
  <c r="G58" s="1"/>
  <c r="G69" s="1"/>
  <c r="G17"/>
  <c r="G59" s="1"/>
  <c r="H71"/>
  <c r="C60"/>
  <c r="G60"/>
  <c r="K60"/>
  <c r="O60"/>
  <c r="S60"/>
  <c r="G74" i="55"/>
  <c r="D70" i="48"/>
  <c r="K74" i="55"/>
  <c r="S74"/>
  <c r="I74"/>
  <c r="M74"/>
  <c r="U74"/>
  <c r="O74"/>
  <c r="E74"/>
  <c r="Q74"/>
  <c r="F70" i="48"/>
  <c r="G70"/>
  <c r="H70"/>
  <c r="E70"/>
  <c r="C70"/>
  <c r="C82" s="1"/>
  <c r="C71"/>
  <c r="C83" s="1"/>
  <c r="D73"/>
  <c r="G72"/>
  <c r="G84" s="1"/>
  <c r="C58" i="51"/>
  <c r="D59"/>
  <c r="E59"/>
  <c r="K73" i="55"/>
  <c r="S73"/>
  <c r="F73"/>
  <c r="J73"/>
  <c r="N73"/>
  <c r="R73"/>
  <c r="V73"/>
  <c r="E73"/>
  <c r="M73"/>
  <c r="U73"/>
  <c r="G73"/>
  <c r="O73"/>
  <c r="D74"/>
  <c r="H74"/>
  <c r="L74"/>
  <c r="P74"/>
  <c r="T74"/>
  <c r="I73"/>
  <c r="Q73"/>
  <c r="D73"/>
  <c r="H73"/>
  <c r="L73"/>
  <c r="P73"/>
  <c r="T73"/>
  <c r="F74"/>
  <c r="J74"/>
  <c r="N74"/>
  <c r="R74"/>
  <c r="V74"/>
  <c r="V86" s="1"/>
  <c r="H26" i="51"/>
  <c r="L15"/>
  <c r="M15" s="1"/>
  <c r="F58"/>
  <c r="F69" s="1"/>
  <c r="F59"/>
  <c r="D58"/>
  <c r="D69" s="1"/>
  <c r="C59"/>
  <c r="E58"/>
  <c r="E69" s="1"/>
  <c r="D71" i="48"/>
  <c r="D83" s="1"/>
  <c r="E48"/>
  <c r="F48" s="1"/>
  <c r="G48" s="1"/>
  <c r="H48" s="1"/>
  <c r="H73" s="1"/>
  <c r="I26"/>
  <c r="J26" s="1"/>
  <c r="K26" s="1"/>
  <c r="L26" s="1"/>
  <c r="M26" s="1"/>
  <c r="N26" s="1"/>
  <c r="O26" s="1"/>
  <c r="H71"/>
  <c r="H83" s="1"/>
  <c r="H15"/>
  <c r="F72"/>
  <c r="F84" s="1"/>
  <c r="F71"/>
  <c r="F83" s="1"/>
  <c r="G71"/>
  <c r="G83" s="1"/>
  <c r="C72"/>
  <c r="C84" s="1"/>
  <c r="E72"/>
  <c r="E84" s="1"/>
  <c r="E71"/>
  <c r="E83" s="1"/>
  <c r="D72"/>
  <c r="D84" s="1"/>
  <c r="V9" i="63" l="1"/>
  <c r="Y9"/>
  <c r="W12"/>
  <c r="Z12"/>
  <c r="Z16"/>
  <c r="W16"/>
  <c r="AO42" i="66"/>
  <c r="P22" i="64"/>
  <c r="D22"/>
  <c r="C118" i="65"/>
  <c r="E118"/>
  <c r="D118"/>
  <c r="Q49" i="51"/>
  <c r="Q82" s="1"/>
  <c r="L118" i="65"/>
  <c r="F118"/>
  <c r="M118"/>
  <c r="I118"/>
  <c r="G118"/>
  <c r="C41" i="66"/>
  <c r="B68"/>
  <c r="R118" i="65"/>
  <c r="T96"/>
  <c r="T63"/>
  <c r="T108"/>
  <c r="T67" i="66"/>
  <c r="V38" s="1"/>
  <c r="T87" i="65"/>
  <c r="S57" i="66"/>
  <c r="S111" i="65"/>
  <c r="S117" s="1"/>
  <c r="S62" i="66"/>
  <c r="S99" i="65"/>
  <c r="S116" s="1"/>
  <c r="W42" i="66"/>
  <c r="B60"/>
  <c r="C42" s="1"/>
  <c r="I49" i="51"/>
  <c r="I82" s="1"/>
  <c r="U84" i="65"/>
  <c r="U60"/>
  <c r="U75"/>
  <c r="V72"/>
  <c r="V17" i="48"/>
  <c r="V106" i="65"/>
  <c r="V65" i="66"/>
  <c r="L14" i="63"/>
  <c r="K10" i="66"/>
  <c r="P71" i="51"/>
  <c r="P93" s="1"/>
  <c r="P117" i="66" s="1"/>
  <c r="P49" i="51"/>
  <c r="P82" s="1"/>
  <c r="J49"/>
  <c r="J82" s="1"/>
  <c r="U49"/>
  <c r="U82" s="1"/>
  <c r="U71"/>
  <c r="U93" s="1"/>
  <c r="U117" i="66" s="1"/>
  <c r="M49" i="51"/>
  <c r="M82" s="1"/>
  <c r="V49"/>
  <c r="V82" s="1"/>
  <c r="T125" i="66"/>
  <c r="V39" s="1"/>
  <c r="T93" i="51"/>
  <c r="T117" i="66" s="1"/>
  <c r="H108"/>
  <c r="J48" s="1"/>
  <c r="H107" i="48"/>
  <c r="H98" i="66" s="1"/>
  <c r="E123"/>
  <c r="G45" s="1"/>
  <c r="E91" i="51"/>
  <c r="E115" i="66" s="1"/>
  <c r="F123"/>
  <c r="H45" s="1"/>
  <c r="F91" i="51"/>
  <c r="F115" i="66" s="1"/>
  <c r="O143"/>
  <c r="Q37" s="1"/>
  <c r="O111" i="55"/>
  <c r="O133" i="66" s="1"/>
  <c r="H143"/>
  <c r="J37" s="1"/>
  <c r="H111" i="55"/>
  <c r="H133" i="66" s="1"/>
  <c r="P143"/>
  <c r="R37" s="1"/>
  <c r="P111" i="55"/>
  <c r="P133" i="66" s="1"/>
  <c r="J143"/>
  <c r="L37" s="1"/>
  <c r="J111" i="55"/>
  <c r="J133" i="66" s="1"/>
  <c r="Q143"/>
  <c r="S37" s="1"/>
  <c r="Q111" i="55"/>
  <c r="Q133" i="66" s="1"/>
  <c r="T49" i="51"/>
  <c r="T82" s="1"/>
  <c r="M71"/>
  <c r="K11" i="63" s="1"/>
  <c r="F108" i="66"/>
  <c r="H48" s="1"/>
  <c r="F107" i="48"/>
  <c r="F98" i="66" s="1"/>
  <c r="Q125"/>
  <c r="S39" s="1"/>
  <c r="Q93" i="51"/>
  <c r="Q117" i="66" s="1"/>
  <c r="H125"/>
  <c r="J39" s="1"/>
  <c r="H93" i="51"/>
  <c r="H117" i="66" s="1"/>
  <c r="K143"/>
  <c r="M37" s="1"/>
  <c r="K111" i="55"/>
  <c r="K133" i="66" s="1"/>
  <c r="R143"/>
  <c r="T37" s="1"/>
  <c r="R111" i="55"/>
  <c r="R133" i="66" s="1"/>
  <c r="G108"/>
  <c r="I48" s="1"/>
  <c r="G107" i="48"/>
  <c r="G98" i="66" s="1"/>
  <c r="C109"/>
  <c r="E49" s="1"/>
  <c r="AD49" s="1"/>
  <c r="C108" i="48"/>
  <c r="C99" i="66" s="1"/>
  <c r="D108"/>
  <c r="F48" s="1"/>
  <c r="D107" i="48"/>
  <c r="D98" i="66" s="1"/>
  <c r="V142"/>
  <c r="X34" s="1"/>
  <c r="V110" i="55"/>
  <c r="V132" i="66" s="1"/>
  <c r="G109"/>
  <c r="I49" s="1"/>
  <c r="G108" i="48"/>
  <c r="G99" i="66" s="1"/>
  <c r="R125"/>
  <c r="T39" s="1"/>
  <c r="R93" i="51"/>
  <c r="R117" i="66" s="1"/>
  <c r="D143"/>
  <c r="F37" s="1"/>
  <c r="D111" i="55"/>
  <c r="D133" i="66" s="1"/>
  <c r="I143"/>
  <c r="K37" s="1"/>
  <c r="I111" i="55"/>
  <c r="I133" i="66" s="1"/>
  <c r="L143"/>
  <c r="N37" s="1"/>
  <c r="L111" i="55"/>
  <c r="L133" i="66" s="1"/>
  <c r="E143"/>
  <c r="G37" s="1"/>
  <c r="E111" i="55"/>
  <c r="E133" i="66" s="1"/>
  <c r="E108"/>
  <c r="G48" s="1"/>
  <c r="E107" i="48"/>
  <c r="E98" i="66" s="1"/>
  <c r="C108"/>
  <c r="E48" s="1"/>
  <c r="AD48" s="1"/>
  <c r="C107" i="48"/>
  <c r="C98" i="66" s="1"/>
  <c r="M143"/>
  <c r="O37" s="1"/>
  <c r="M111" i="55"/>
  <c r="M133" i="66" s="1"/>
  <c r="T143"/>
  <c r="V37" s="1"/>
  <c r="T111" i="55"/>
  <c r="T133" i="66" s="1"/>
  <c r="Y44"/>
  <c r="D109"/>
  <c r="F49" s="1"/>
  <c r="D108" i="48"/>
  <c r="D99" i="66" s="1"/>
  <c r="E109"/>
  <c r="G49" s="1"/>
  <c r="E108" i="48"/>
  <c r="E99" i="66" s="1"/>
  <c r="F109"/>
  <c r="H49" s="1"/>
  <c r="F108" i="48"/>
  <c r="F99" i="66" s="1"/>
  <c r="D123"/>
  <c r="F45" s="1"/>
  <c r="D91" i="51"/>
  <c r="D115" i="66" s="1"/>
  <c r="C107"/>
  <c r="E47" s="1"/>
  <c r="AD47" s="1"/>
  <c r="C106" i="48"/>
  <c r="C97" i="66" s="1"/>
  <c r="J13"/>
  <c r="L13" s="1"/>
  <c r="I125"/>
  <c r="K39" s="1"/>
  <c r="I93" i="51"/>
  <c r="I117" i="66" s="1"/>
  <c r="D125"/>
  <c r="F39" s="1"/>
  <c r="D93" i="51"/>
  <c r="D117" i="66" s="1"/>
  <c r="G123"/>
  <c r="I45" s="1"/>
  <c r="G91" i="51"/>
  <c r="G115" i="66" s="1"/>
  <c r="S143"/>
  <c r="U37" s="1"/>
  <c r="S111" i="55"/>
  <c r="S133" i="66" s="1"/>
  <c r="G143"/>
  <c r="I37" s="1"/>
  <c r="G111" i="55"/>
  <c r="G133" i="66" s="1"/>
  <c r="V143"/>
  <c r="X37" s="1"/>
  <c r="V111" i="55"/>
  <c r="V133" i="66" s="1"/>
  <c r="F143"/>
  <c r="H37" s="1"/>
  <c r="F111" i="55"/>
  <c r="F133" i="66" s="1"/>
  <c r="L125"/>
  <c r="N39" s="1"/>
  <c r="L93" i="51"/>
  <c r="L117" i="66" s="1"/>
  <c r="E125"/>
  <c r="G39" s="1"/>
  <c r="E93" i="51"/>
  <c r="E117" i="66" s="1"/>
  <c r="O22" i="64"/>
  <c r="O4"/>
  <c r="B31" i="66"/>
  <c r="L138"/>
  <c r="Q138" s="1"/>
  <c r="V138" s="1"/>
  <c r="J5"/>
  <c r="L5" s="1"/>
  <c r="J138"/>
  <c r="O138" s="1"/>
  <c r="T138" s="1"/>
  <c r="K138"/>
  <c r="P138" s="1"/>
  <c r="U138" s="1"/>
  <c r="E49" i="51"/>
  <c r="E82" s="1"/>
  <c r="E121" i="66" s="1"/>
  <c r="B88"/>
  <c r="C31" s="1"/>
  <c r="L6" i="63"/>
  <c r="K8" i="66"/>
  <c r="V56"/>
  <c r="B56" s="1"/>
  <c r="B44" s="1"/>
  <c r="K5"/>
  <c r="L9" i="63"/>
  <c r="V61" i="66"/>
  <c r="B61" s="1"/>
  <c r="C44" s="1"/>
  <c r="H58" i="48"/>
  <c r="D58"/>
  <c r="E77" i="55"/>
  <c r="E58" i="48"/>
  <c r="J11" i="63"/>
  <c r="F58" i="48"/>
  <c r="G58"/>
  <c r="J9" i="63"/>
  <c r="J77" i="55"/>
  <c r="D77"/>
  <c r="K77"/>
  <c r="R49" i="51"/>
  <c r="R82" s="1"/>
  <c r="V71"/>
  <c r="H77" i="55"/>
  <c r="O85"/>
  <c r="O77"/>
  <c r="U85"/>
  <c r="U77"/>
  <c r="R85"/>
  <c r="R77"/>
  <c r="S85"/>
  <c r="S77"/>
  <c r="P85"/>
  <c r="P77"/>
  <c r="V85"/>
  <c r="V77"/>
  <c r="L77"/>
  <c r="I77"/>
  <c r="G77"/>
  <c r="F77"/>
  <c r="Q85"/>
  <c r="Q77"/>
  <c r="T85"/>
  <c r="T77"/>
  <c r="M85"/>
  <c r="K7" i="63" s="1"/>
  <c r="M77" i="55"/>
  <c r="N85"/>
  <c r="N77"/>
  <c r="J71" i="51"/>
  <c r="C85" i="48"/>
  <c r="F71" i="51"/>
  <c r="N71"/>
  <c r="N49"/>
  <c r="N82" s="1"/>
  <c r="F49"/>
  <c r="F82" s="1"/>
  <c r="F121" i="66" s="1"/>
  <c r="O49" i="51"/>
  <c r="O82" s="1"/>
  <c r="S49"/>
  <c r="S82" s="1"/>
  <c r="H28"/>
  <c r="H58" s="1"/>
  <c r="H69" s="1"/>
  <c r="I28" i="38"/>
  <c r="H17" i="51"/>
  <c r="H59" s="1"/>
  <c r="H48" s="1"/>
  <c r="H81" s="1"/>
  <c r="I17" i="38"/>
  <c r="R86" i="55"/>
  <c r="P86"/>
  <c r="O86"/>
  <c r="S86"/>
  <c r="N86"/>
  <c r="L86"/>
  <c r="U86"/>
  <c r="K86"/>
  <c r="J86"/>
  <c r="H86"/>
  <c r="Q86"/>
  <c r="M86"/>
  <c r="K6" i="63" s="1"/>
  <c r="F86" i="55"/>
  <c r="T86"/>
  <c r="D86"/>
  <c r="E86"/>
  <c r="I86"/>
  <c r="G86"/>
  <c r="E85"/>
  <c r="I85"/>
  <c r="G85"/>
  <c r="F85"/>
  <c r="H85"/>
  <c r="J85"/>
  <c r="L85"/>
  <c r="D85"/>
  <c r="K85"/>
  <c r="S71" i="51"/>
  <c r="C71"/>
  <c r="O71"/>
  <c r="G49"/>
  <c r="G82" s="1"/>
  <c r="G121" i="66" s="1"/>
  <c r="G71" i="51"/>
  <c r="C49"/>
  <c r="C82" s="1"/>
  <c r="C121" i="66" s="1"/>
  <c r="D49" i="51"/>
  <c r="D82" s="1"/>
  <c r="D121" i="66" s="1"/>
  <c r="H49" i="51"/>
  <c r="H82" s="1"/>
  <c r="L49"/>
  <c r="L82" s="1"/>
  <c r="K71"/>
  <c r="C69"/>
  <c r="E70"/>
  <c r="G70"/>
  <c r="F70"/>
  <c r="D70"/>
  <c r="F82" i="48"/>
  <c r="H82"/>
  <c r="D82"/>
  <c r="G82"/>
  <c r="E82"/>
  <c r="D85"/>
  <c r="H85"/>
  <c r="K49" i="51"/>
  <c r="K82" s="1"/>
  <c r="C70"/>
  <c r="C62"/>
  <c r="F62"/>
  <c r="D62"/>
  <c r="G62"/>
  <c r="E62"/>
  <c r="K71" i="48"/>
  <c r="K83" s="1"/>
  <c r="C60"/>
  <c r="C96" s="1"/>
  <c r="C104" i="66" s="1"/>
  <c r="S62" i="55"/>
  <c r="S98" s="1"/>
  <c r="C47" i="51"/>
  <c r="C80" s="1"/>
  <c r="C119" i="66" s="1"/>
  <c r="U62" i="55"/>
  <c r="U98" s="1"/>
  <c r="M62"/>
  <c r="M98" s="1"/>
  <c r="I62"/>
  <c r="I98" s="1"/>
  <c r="E62"/>
  <c r="E98" s="1"/>
  <c r="E137" i="66" s="1"/>
  <c r="K62" i="55"/>
  <c r="K98" s="1"/>
  <c r="L70" i="48"/>
  <c r="J70"/>
  <c r="I70"/>
  <c r="I58" s="1"/>
  <c r="J71"/>
  <c r="J83" s="1"/>
  <c r="D59"/>
  <c r="I48"/>
  <c r="J48" s="1"/>
  <c r="K48" s="1"/>
  <c r="H72"/>
  <c r="D48" i="51"/>
  <c r="D81" s="1"/>
  <c r="D120" i="66" s="1"/>
  <c r="E48" i="51"/>
  <c r="E81" s="1"/>
  <c r="E120" i="66" s="1"/>
  <c r="N62" i="55"/>
  <c r="N98" s="1"/>
  <c r="P61"/>
  <c r="P62"/>
  <c r="P98" s="1"/>
  <c r="G61"/>
  <c r="M61"/>
  <c r="V61"/>
  <c r="F61"/>
  <c r="S61"/>
  <c r="Q62"/>
  <c r="Q98" s="1"/>
  <c r="J62"/>
  <c r="J98" s="1"/>
  <c r="L61"/>
  <c r="Q61"/>
  <c r="L62"/>
  <c r="L98" s="1"/>
  <c r="E61"/>
  <c r="R61"/>
  <c r="K61"/>
  <c r="V62"/>
  <c r="V98" s="1"/>
  <c r="F62"/>
  <c r="F98" s="1"/>
  <c r="F137" i="66" s="1"/>
  <c r="H61" i="55"/>
  <c r="I61"/>
  <c r="H62"/>
  <c r="H98" s="1"/>
  <c r="N61"/>
  <c r="O62"/>
  <c r="O98" s="1"/>
  <c r="G62"/>
  <c r="G98" s="1"/>
  <c r="G137" i="66" s="1"/>
  <c r="R62" i="55"/>
  <c r="R98" s="1"/>
  <c r="T61"/>
  <c r="T62"/>
  <c r="T98" s="1"/>
  <c r="O61"/>
  <c r="U61"/>
  <c r="J61"/>
  <c r="E47" i="51"/>
  <c r="F47"/>
  <c r="I26"/>
  <c r="F48"/>
  <c r="F81" s="1"/>
  <c r="F120" i="66" s="1"/>
  <c r="G47" i="51"/>
  <c r="G48"/>
  <c r="G81" s="1"/>
  <c r="G120" i="66" s="1"/>
  <c r="C48" i="51"/>
  <c r="C81" s="1"/>
  <c r="C120" i="66" s="1"/>
  <c r="D47" i="51"/>
  <c r="N15"/>
  <c r="F73" i="48"/>
  <c r="E73"/>
  <c r="G73"/>
  <c r="C61"/>
  <c r="C97" s="1"/>
  <c r="C105" i="66" s="1"/>
  <c r="I15" i="48"/>
  <c r="P26"/>
  <c r="D60"/>
  <c r="E60"/>
  <c r="C75"/>
  <c r="C58"/>
  <c r="G59"/>
  <c r="F59"/>
  <c r="F60"/>
  <c r="E59"/>
  <c r="D75"/>
  <c r="I71"/>
  <c r="I83" s="1"/>
  <c r="C59"/>
  <c r="G60"/>
  <c r="H59"/>
  <c r="D61"/>
  <c r="D97" s="1"/>
  <c r="D105" i="66" s="1"/>
  <c r="A67" i="38"/>
  <c r="A69" i="43"/>
  <c r="A59"/>
  <c r="A49"/>
  <c r="C28"/>
  <c r="A66" i="38"/>
  <c r="A57"/>
  <c r="A56"/>
  <c r="A47"/>
  <c r="A46"/>
  <c r="C26"/>
  <c r="D26" s="1"/>
  <c r="C15"/>
  <c r="D15" s="1"/>
  <c r="E15" s="1"/>
  <c r="F15" s="1"/>
  <c r="G15" s="1"/>
  <c r="J137" i="66" l="1"/>
  <c r="O137" s="1"/>
  <c r="T137" s="1"/>
  <c r="V11" i="63"/>
  <c r="Y11"/>
  <c r="V7"/>
  <c r="Y7"/>
  <c r="V6"/>
  <c r="Y6"/>
  <c r="X11"/>
  <c r="U11"/>
  <c r="Z14"/>
  <c r="W14"/>
  <c r="Z9"/>
  <c r="W9"/>
  <c r="W6"/>
  <c r="Z6"/>
  <c r="U9"/>
  <c r="X9"/>
  <c r="AM37" i="66"/>
  <c r="AP37"/>
  <c r="AJ37"/>
  <c r="J121"/>
  <c r="O121" s="1"/>
  <c r="T121" s="1"/>
  <c r="AE49"/>
  <c r="P125"/>
  <c r="R39" s="1"/>
  <c r="D11"/>
  <c r="D13" i="63"/>
  <c r="S118" i="65"/>
  <c r="I121" i="66"/>
  <c r="N121" s="1"/>
  <c r="S121" s="1"/>
  <c r="T62"/>
  <c r="T99" i="65"/>
  <c r="T116" s="1"/>
  <c r="X42" i="66"/>
  <c r="V60" i="65"/>
  <c r="V84"/>
  <c r="V75"/>
  <c r="U96"/>
  <c r="U63"/>
  <c r="AO38" i="66"/>
  <c r="U108" i="65"/>
  <c r="U67" i="66"/>
  <c r="W38" s="1"/>
  <c r="U87" i="65"/>
  <c r="T57" i="66"/>
  <c r="T111" i="65"/>
  <c r="T117" s="1"/>
  <c r="AP42" i="66"/>
  <c r="V55"/>
  <c r="B55" s="1"/>
  <c r="C112" i="65"/>
  <c r="AF48" i="66"/>
  <c r="AG49"/>
  <c r="AN39"/>
  <c r="AG45"/>
  <c r="M13"/>
  <c r="AF49"/>
  <c r="AH48"/>
  <c r="AH45"/>
  <c r="AF39"/>
  <c r="AH49"/>
  <c r="AE48"/>
  <c r="AF45"/>
  <c r="AO39"/>
  <c r="U125"/>
  <c r="W39" s="1"/>
  <c r="AG48"/>
  <c r="AI48"/>
  <c r="AN37"/>
  <c r="AO37"/>
  <c r="AF37"/>
  <c r="AI37"/>
  <c r="AK37"/>
  <c r="AL37"/>
  <c r="AG37"/>
  <c r="AH37"/>
  <c r="L141"/>
  <c r="N35" s="1"/>
  <c r="L109" i="55"/>
  <c r="L131" i="66" s="1"/>
  <c r="G141"/>
  <c r="I35" s="1"/>
  <c r="G109" i="55"/>
  <c r="G131" i="66" s="1"/>
  <c r="F142"/>
  <c r="H34" s="1"/>
  <c r="F110" i="55"/>
  <c r="F132" i="66" s="1"/>
  <c r="J142"/>
  <c r="L34" s="1"/>
  <c r="J110" i="55"/>
  <c r="J132" i="66" s="1"/>
  <c r="N142"/>
  <c r="P34" s="1"/>
  <c r="N110" i="55"/>
  <c r="N132" i="66" s="1"/>
  <c r="R142"/>
  <c r="T34" s="1"/>
  <c r="R110" i="55"/>
  <c r="R132" i="66" s="1"/>
  <c r="T141"/>
  <c r="V35" s="1"/>
  <c r="T109" i="55"/>
  <c r="T131" i="66" s="1"/>
  <c r="D141"/>
  <c r="F35" s="1"/>
  <c r="D109" i="55"/>
  <c r="D131" i="66" s="1"/>
  <c r="G142"/>
  <c r="I34" s="1"/>
  <c r="AH34" s="1"/>
  <c r="G110" i="55"/>
  <c r="G132" i="66" s="1"/>
  <c r="T142"/>
  <c r="V34" s="1"/>
  <c r="AO34" s="1"/>
  <c r="T110" i="55"/>
  <c r="T132" i="66" s="1"/>
  <c r="L142"/>
  <c r="N34" s="1"/>
  <c r="L110" i="55"/>
  <c r="L132" i="66" s="1"/>
  <c r="P142"/>
  <c r="R34" s="1"/>
  <c r="P110" i="55"/>
  <c r="P132" i="66" s="1"/>
  <c r="C110"/>
  <c r="E46" s="1"/>
  <c r="E28" s="1"/>
  <c r="C109" i="48"/>
  <c r="C100" i="66" s="1"/>
  <c r="S141"/>
  <c r="U35" s="1"/>
  <c r="S109" i="55"/>
  <c r="S131" i="66" s="1"/>
  <c r="O141"/>
  <c r="Q35" s="1"/>
  <c r="O109" i="55"/>
  <c r="O131" i="66" s="1"/>
  <c r="I108"/>
  <c r="K48" s="1"/>
  <c r="I107" i="48"/>
  <c r="I98" i="66" s="1"/>
  <c r="J108"/>
  <c r="L48" s="1"/>
  <c r="AJ48" s="1"/>
  <c r="J107" i="48"/>
  <c r="J98" i="66" s="1"/>
  <c r="K108"/>
  <c r="M48" s="1"/>
  <c r="K107" i="48"/>
  <c r="K98" i="66" s="1"/>
  <c r="H110"/>
  <c r="J46" s="1"/>
  <c r="H109" i="48"/>
  <c r="H100" i="66" s="1"/>
  <c r="G107"/>
  <c r="I47" s="1"/>
  <c r="G106" i="48"/>
  <c r="G97" i="66" s="1"/>
  <c r="F107"/>
  <c r="H47" s="1"/>
  <c r="F106" i="48"/>
  <c r="F97" i="66" s="1"/>
  <c r="E124"/>
  <c r="G43" s="1"/>
  <c r="G27" s="1"/>
  <c r="E92" i="51"/>
  <c r="E116" i="66" s="1"/>
  <c r="K141"/>
  <c r="M35" s="1"/>
  <c r="K109" i="55"/>
  <c r="K131" i="66" s="1"/>
  <c r="H141"/>
  <c r="J35" s="1"/>
  <c r="H109" i="55"/>
  <c r="H131" i="66" s="1"/>
  <c r="E141"/>
  <c r="G35" s="1"/>
  <c r="E109" i="55"/>
  <c r="E131" i="66" s="1"/>
  <c r="D142"/>
  <c r="F34" s="1"/>
  <c r="D110" i="55"/>
  <c r="D132" i="66" s="1"/>
  <c r="Q142"/>
  <c r="S34" s="1"/>
  <c r="Q110" i="55"/>
  <c r="Q132" i="66" s="1"/>
  <c r="U142"/>
  <c r="W34" s="1"/>
  <c r="U110" i="55"/>
  <c r="U132" i="66" s="1"/>
  <c r="O142"/>
  <c r="Q34" s="1"/>
  <c r="O110" i="55"/>
  <c r="O132" i="66" s="1"/>
  <c r="F125"/>
  <c r="H39" s="1"/>
  <c r="AG39" s="1"/>
  <c r="F93" i="51"/>
  <c r="F117" i="66" s="1"/>
  <c r="M141"/>
  <c r="O35" s="1"/>
  <c r="M109" i="55"/>
  <c r="M131" i="66" s="1"/>
  <c r="B91"/>
  <c r="D16" s="1"/>
  <c r="C124"/>
  <c r="E43" s="1"/>
  <c r="E27" s="1"/>
  <c r="C92" i="51"/>
  <c r="C116" i="66" s="1"/>
  <c r="H107"/>
  <c r="J47" s="1"/>
  <c r="H106" i="48"/>
  <c r="H97" i="66" s="1"/>
  <c r="F124"/>
  <c r="H43" s="1"/>
  <c r="H27" s="1"/>
  <c r="F92" i="51"/>
  <c r="F116" i="66" s="1"/>
  <c r="K125"/>
  <c r="M39" s="1"/>
  <c r="K93" i="51"/>
  <c r="K117" i="66" s="1"/>
  <c r="C125"/>
  <c r="E39" s="1"/>
  <c r="AD39" s="1"/>
  <c r="C93" i="51"/>
  <c r="C117" i="66" s="1"/>
  <c r="I142"/>
  <c r="K34" s="1"/>
  <c r="I110" i="55"/>
  <c r="I132" i="66" s="1"/>
  <c r="H123"/>
  <c r="J45" s="1"/>
  <c r="AI45" s="1"/>
  <c r="H91" i="51"/>
  <c r="H115" i="66" s="1"/>
  <c r="J125"/>
  <c r="L39" s="1"/>
  <c r="AJ39" s="1"/>
  <c r="J93" i="51"/>
  <c r="J117" i="66" s="1"/>
  <c r="N141"/>
  <c r="P35" s="1"/>
  <c r="N109" i="55"/>
  <c r="N131" i="66" s="1"/>
  <c r="V141"/>
  <c r="X35" s="1"/>
  <c r="V109" i="55"/>
  <c r="V131" i="66" s="1"/>
  <c r="D110"/>
  <c r="F46" s="1"/>
  <c r="F28" s="1"/>
  <c r="D109" i="48"/>
  <c r="D100" i="66" s="1"/>
  <c r="D107"/>
  <c r="F47" s="1"/>
  <c r="AE47" s="1"/>
  <c r="D106" i="48"/>
  <c r="D97" i="66" s="1"/>
  <c r="D124"/>
  <c r="F43" s="1"/>
  <c r="F27" s="1"/>
  <c r="D92" i="51"/>
  <c r="D116" i="66" s="1"/>
  <c r="C123"/>
  <c r="E45" s="1"/>
  <c r="AD45" s="1"/>
  <c r="C91" i="51"/>
  <c r="C115" i="66" s="1"/>
  <c r="O125"/>
  <c r="Q39" s="1"/>
  <c r="O93" i="51"/>
  <c r="O117" i="66" s="1"/>
  <c r="F141"/>
  <c r="H35" s="1"/>
  <c r="F109" i="55"/>
  <c r="F131" i="66" s="1"/>
  <c r="H142"/>
  <c r="J34" s="1"/>
  <c r="H110" i="55"/>
  <c r="H132" i="66" s="1"/>
  <c r="U141"/>
  <c r="W35" s="1"/>
  <c r="U109" i="55"/>
  <c r="U131" i="66" s="1"/>
  <c r="V125"/>
  <c r="X39" s="1"/>
  <c r="AP39" s="1"/>
  <c r="V93" i="51"/>
  <c r="V117" i="66" s="1"/>
  <c r="M125"/>
  <c r="O39" s="1"/>
  <c r="M93" i="51"/>
  <c r="M117" i="66" s="1"/>
  <c r="E107"/>
  <c r="G47" s="1"/>
  <c r="E106" i="48"/>
  <c r="E97" i="66" s="1"/>
  <c r="G124"/>
  <c r="I43" s="1"/>
  <c r="I27" s="1"/>
  <c r="G92" i="51"/>
  <c r="G116" i="66" s="1"/>
  <c r="G125"/>
  <c r="I39" s="1"/>
  <c r="G93" i="51"/>
  <c r="G117" i="66" s="1"/>
  <c r="S125"/>
  <c r="U39" s="1"/>
  <c r="S93" i="51"/>
  <c r="S117" i="66" s="1"/>
  <c r="J141"/>
  <c r="L35" s="1"/>
  <c r="J109" i="55"/>
  <c r="J131" i="66" s="1"/>
  <c r="I141"/>
  <c r="K35" s="1"/>
  <c r="I109" i="55"/>
  <c r="I131" i="66" s="1"/>
  <c r="E142"/>
  <c r="G34" s="1"/>
  <c r="E110" i="55"/>
  <c r="E132" i="66" s="1"/>
  <c r="M142"/>
  <c r="O34" s="1"/>
  <c r="M110" i="55"/>
  <c r="M132" i="66" s="1"/>
  <c r="K142"/>
  <c r="M34" s="1"/>
  <c r="K110" i="55"/>
  <c r="K132" i="66" s="1"/>
  <c r="S142"/>
  <c r="U34" s="1"/>
  <c r="S110" i="55"/>
  <c r="S132" i="66" s="1"/>
  <c r="N125"/>
  <c r="P39" s="1"/>
  <c r="N93" i="51"/>
  <c r="N117" i="66" s="1"/>
  <c r="Q141"/>
  <c r="S35" s="1"/>
  <c r="Q109" i="55"/>
  <c r="Q131" i="66" s="1"/>
  <c r="P141"/>
  <c r="R35" s="1"/>
  <c r="AM35" s="1"/>
  <c r="P109" i="55"/>
  <c r="P131" i="66" s="1"/>
  <c r="R141"/>
  <c r="T35" s="1"/>
  <c r="R109" i="55"/>
  <c r="R131" i="66" s="1"/>
  <c r="P4" i="64"/>
  <c r="M5" i="66"/>
  <c r="K137"/>
  <c r="P137" s="1"/>
  <c r="U137" s="1"/>
  <c r="J4"/>
  <c r="L4" s="1"/>
  <c r="J8"/>
  <c r="M8" s="1"/>
  <c r="L137"/>
  <c r="Q137" s="1"/>
  <c r="V137" s="1"/>
  <c r="H121"/>
  <c r="M121" s="1"/>
  <c r="R121" s="1"/>
  <c r="H120"/>
  <c r="K121"/>
  <c r="P121" s="1"/>
  <c r="U121" s="1"/>
  <c r="L121"/>
  <c r="Q121" s="1"/>
  <c r="V121" s="1"/>
  <c r="J20"/>
  <c r="L7" i="63"/>
  <c r="K4" i="66"/>
  <c r="K13"/>
  <c r="L11" i="63"/>
  <c r="B66" i="66"/>
  <c r="J7" i="63"/>
  <c r="J58" i="48"/>
  <c r="J94" s="1"/>
  <c r="J6" i="63"/>
  <c r="O9"/>
  <c r="D7" i="64" s="1"/>
  <c r="P9" i="63"/>
  <c r="E7" i="64" s="1"/>
  <c r="J20" i="63"/>
  <c r="P11"/>
  <c r="E14" i="64" s="1"/>
  <c r="O11" i="63"/>
  <c r="D14" i="64" s="1"/>
  <c r="I15" i="38"/>
  <c r="I46" s="1"/>
  <c r="H15"/>
  <c r="H46" s="1"/>
  <c r="Q97" i="55"/>
  <c r="Q65"/>
  <c r="M97"/>
  <c r="M65"/>
  <c r="P97"/>
  <c r="P65"/>
  <c r="Q89"/>
  <c r="V89"/>
  <c r="I97"/>
  <c r="I65"/>
  <c r="K97"/>
  <c r="K65"/>
  <c r="S97"/>
  <c r="S65"/>
  <c r="G97"/>
  <c r="G136" i="66" s="1"/>
  <c r="G65" i="55"/>
  <c r="L89"/>
  <c r="F46" i="38"/>
  <c r="G46"/>
  <c r="U97" i="55"/>
  <c r="U65"/>
  <c r="E97"/>
  <c r="E136" i="66" s="1"/>
  <c r="E65" i="55"/>
  <c r="V97"/>
  <c r="V65"/>
  <c r="C46" i="38"/>
  <c r="C56" s="1"/>
  <c r="C47"/>
  <c r="C57" s="1"/>
  <c r="D47"/>
  <c r="D57" s="1"/>
  <c r="D46"/>
  <c r="D56" s="1"/>
  <c r="J97" i="55"/>
  <c r="J65"/>
  <c r="T97"/>
  <c r="T65"/>
  <c r="N97"/>
  <c r="N65"/>
  <c r="H97"/>
  <c r="H65"/>
  <c r="R97"/>
  <c r="R65"/>
  <c r="L97"/>
  <c r="L65"/>
  <c r="F97"/>
  <c r="F136" i="66" s="1"/>
  <c r="F65" i="55"/>
  <c r="D89"/>
  <c r="J89"/>
  <c r="H89"/>
  <c r="G89"/>
  <c r="E89"/>
  <c r="M89"/>
  <c r="T89"/>
  <c r="R89"/>
  <c r="E46" i="38"/>
  <c r="O97" i="55"/>
  <c r="O65"/>
  <c r="K89"/>
  <c r="F89"/>
  <c r="I89"/>
  <c r="N89"/>
  <c r="P89"/>
  <c r="S89"/>
  <c r="U89"/>
  <c r="O89"/>
  <c r="D28" i="43"/>
  <c r="D49" s="1"/>
  <c r="D51" s="1"/>
  <c r="C49"/>
  <c r="C51" s="1"/>
  <c r="E73" i="51"/>
  <c r="H70"/>
  <c r="G73"/>
  <c r="J28" i="38"/>
  <c r="I28" i="51"/>
  <c r="I58" s="1"/>
  <c r="I69" s="1"/>
  <c r="I17"/>
  <c r="I59" s="1"/>
  <c r="J17" i="38"/>
  <c r="E51" i="51"/>
  <c r="I82" i="48"/>
  <c r="J82"/>
  <c r="L82"/>
  <c r="H75"/>
  <c r="H84"/>
  <c r="E61"/>
  <c r="E97" s="1"/>
  <c r="E105" i="66" s="1"/>
  <c r="E85" i="48"/>
  <c r="F85"/>
  <c r="G85"/>
  <c r="D51" i="51"/>
  <c r="G51"/>
  <c r="F51"/>
  <c r="C73"/>
  <c r="C84"/>
  <c r="H62"/>
  <c r="C51"/>
  <c r="D73"/>
  <c r="F73"/>
  <c r="C87" i="48"/>
  <c r="K70"/>
  <c r="K58" s="1"/>
  <c r="F75"/>
  <c r="D87"/>
  <c r="G75"/>
  <c r="L71"/>
  <c r="E75"/>
  <c r="J59"/>
  <c r="J95" s="1"/>
  <c r="H61"/>
  <c r="H97" s="1"/>
  <c r="H105" i="66" s="1"/>
  <c r="D95" i="48"/>
  <c r="D103" i="66" s="1"/>
  <c r="G61" i="48"/>
  <c r="G97" s="1"/>
  <c r="G105" i="66" s="1"/>
  <c r="F61" i="48"/>
  <c r="F97" s="1"/>
  <c r="F105" i="66" s="1"/>
  <c r="I73" i="48"/>
  <c r="L48"/>
  <c r="K73"/>
  <c r="K85" s="1"/>
  <c r="J73"/>
  <c r="I72"/>
  <c r="I84" s="1"/>
  <c r="H47" i="51"/>
  <c r="H51" s="1"/>
  <c r="E80"/>
  <c r="F80"/>
  <c r="D80"/>
  <c r="J26"/>
  <c r="O15"/>
  <c r="G80"/>
  <c r="E95" i="48"/>
  <c r="E103" i="66" s="1"/>
  <c r="F95" i="48"/>
  <c r="F103" i="66" s="1"/>
  <c r="C95" i="48"/>
  <c r="C103" i="66" s="1"/>
  <c r="D94" i="48"/>
  <c r="D102" i="66" s="1"/>
  <c r="D63" i="48"/>
  <c r="C94"/>
  <c r="C102" i="66" s="1"/>
  <c r="C63" i="48"/>
  <c r="E96"/>
  <c r="E104" i="66" s="1"/>
  <c r="Q26" i="48"/>
  <c r="F94"/>
  <c r="F102" i="66" s="1"/>
  <c r="F96" i="48"/>
  <c r="F104" i="66" s="1"/>
  <c r="G95" i="48"/>
  <c r="G103" i="66" s="1"/>
  <c r="H60" i="48"/>
  <c r="G94"/>
  <c r="G102" i="66" s="1"/>
  <c r="H95" i="48"/>
  <c r="H103" i="66" s="1"/>
  <c r="G96" i="48"/>
  <c r="G104" i="66" s="1"/>
  <c r="I59" i="48"/>
  <c r="K59"/>
  <c r="H94"/>
  <c r="D96"/>
  <c r="D104" i="66" s="1"/>
  <c r="J15" i="48"/>
  <c r="E94"/>
  <c r="E102" i="66" s="1"/>
  <c r="E28" i="43"/>
  <c r="F28" s="1"/>
  <c r="G28" s="1"/>
  <c r="H28" s="1"/>
  <c r="E26" i="38"/>
  <c r="E47" s="1"/>
  <c r="E57" s="1"/>
  <c r="P7" i="63" l="1"/>
  <c r="E9" i="64" s="1"/>
  <c r="X7" i="63"/>
  <c r="U7"/>
  <c r="U20"/>
  <c r="X20"/>
  <c r="U6"/>
  <c r="X6"/>
  <c r="W11"/>
  <c r="Z11"/>
  <c r="Z7"/>
  <c r="W7"/>
  <c r="AI47" i="66"/>
  <c r="Y42"/>
  <c r="AL39"/>
  <c r="AE43"/>
  <c r="AD43"/>
  <c r="AD27" s="1"/>
  <c r="AE46"/>
  <c r="AE28" s="1"/>
  <c r="AD46"/>
  <c r="AD28" s="1"/>
  <c r="D3" i="63"/>
  <c r="O11" i="66"/>
  <c r="N11"/>
  <c r="U57"/>
  <c r="U111" i="65"/>
  <c r="U117" s="1"/>
  <c r="U62" i="66"/>
  <c r="U99" i="65"/>
  <c r="U116" s="1"/>
  <c r="L10" i="63"/>
  <c r="V108" i="65"/>
  <c r="K9" i="66"/>
  <c r="V67"/>
  <c r="X38" s="1"/>
  <c r="V87" i="65"/>
  <c r="T118"/>
  <c r="AN35" i="66"/>
  <c r="AG35"/>
  <c r="V96" i="65"/>
  <c r="V63"/>
  <c r="B65" i="66"/>
  <c r="B42"/>
  <c r="AH39"/>
  <c r="AF47"/>
  <c r="AG43"/>
  <c r="AG27" s="1"/>
  <c r="AH47"/>
  <c r="P14" i="64"/>
  <c r="AI39" i="66"/>
  <c r="AH43"/>
  <c r="AH27" s="1"/>
  <c r="AP35"/>
  <c r="AF43"/>
  <c r="AF27" s="1"/>
  <c r="AM34"/>
  <c r="AI34"/>
  <c r="AL35"/>
  <c r="AG47"/>
  <c r="AE39"/>
  <c r="AN34"/>
  <c r="AJ34"/>
  <c r="AK39"/>
  <c r="AM39"/>
  <c r="AP34"/>
  <c r="AO35"/>
  <c r="AL34"/>
  <c r="AG34"/>
  <c r="AK35"/>
  <c r="AI35"/>
  <c r="AF34"/>
  <c r="AJ35"/>
  <c r="AK34"/>
  <c r="AF35"/>
  <c r="AH35"/>
  <c r="AE45"/>
  <c r="G95" i="51"/>
  <c r="G101" s="1"/>
  <c r="J136" i="66"/>
  <c r="O136" s="1"/>
  <c r="T136" s="1"/>
  <c r="G110"/>
  <c r="I46" s="1"/>
  <c r="I28" s="1"/>
  <c r="G109" i="48"/>
  <c r="G100" i="66" s="1"/>
  <c r="H109"/>
  <c r="J49" s="1"/>
  <c r="AI49" s="1"/>
  <c r="H108" i="48"/>
  <c r="H99" i="66" s="1"/>
  <c r="D79"/>
  <c r="F36" s="1"/>
  <c r="F26" s="1"/>
  <c r="D76" i="38"/>
  <c r="D73" i="66" s="1"/>
  <c r="I109"/>
  <c r="K49" s="1"/>
  <c r="I108" i="48"/>
  <c r="I99" i="66" s="1"/>
  <c r="E110"/>
  <c r="G46" s="1"/>
  <c r="G28" s="1"/>
  <c r="E109" i="48"/>
  <c r="E100" i="66" s="1"/>
  <c r="L107"/>
  <c r="N47" s="1"/>
  <c r="L106" i="48"/>
  <c r="L97" i="66" s="1"/>
  <c r="C80"/>
  <c r="E33" s="1"/>
  <c r="C77" i="38"/>
  <c r="C74" i="66" s="1"/>
  <c r="K110"/>
  <c r="M46" s="1"/>
  <c r="K109" i="48"/>
  <c r="K100" i="66" s="1"/>
  <c r="I107"/>
  <c r="K47" s="1"/>
  <c r="I106" i="48"/>
  <c r="I97" i="66" s="1"/>
  <c r="J17"/>
  <c r="L17" s="1"/>
  <c r="I123"/>
  <c r="K45" s="1"/>
  <c r="I91" i="51"/>
  <c r="I115" i="66" s="1"/>
  <c r="J107"/>
  <c r="L47" s="1"/>
  <c r="AJ47" s="1"/>
  <c r="J106" i="48"/>
  <c r="J97" i="66" s="1"/>
  <c r="H124"/>
  <c r="J43" s="1"/>
  <c r="J27" s="1"/>
  <c r="H92" i="51"/>
  <c r="H116" i="66" s="1"/>
  <c r="C79"/>
  <c r="E36" s="1"/>
  <c r="C76" i="38"/>
  <c r="C73" i="66" s="1"/>
  <c r="F110"/>
  <c r="H46" s="1"/>
  <c r="H28" s="1"/>
  <c r="F109" i="48"/>
  <c r="F100" i="66" s="1"/>
  <c r="E80"/>
  <c r="G33" s="1"/>
  <c r="E77" i="38"/>
  <c r="E74" i="66" s="1"/>
  <c r="D80"/>
  <c r="F33" s="1"/>
  <c r="D77" i="38"/>
  <c r="D74" i="66" s="1"/>
  <c r="B117"/>
  <c r="B39" s="1"/>
  <c r="F95" i="51"/>
  <c r="F101" s="1"/>
  <c r="D95"/>
  <c r="D101" s="1"/>
  <c r="E95"/>
  <c r="E101" s="1"/>
  <c r="Y39" i="66"/>
  <c r="O7" i="64"/>
  <c r="M4" i="66"/>
  <c r="K136"/>
  <c r="P136" s="1"/>
  <c r="U136" s="1"/>
  <c r="L8"/>
  <c r="L136"/>
  <c r="Q136" s="1"/>
  <c r="V136" s="1"/>
  <c r="E119"/>
  <c r="G119"/>
  <c r="D119"/>
  <c r="F119"/>
  <c r="B121"/>
  <c r="C39" s="1"/>
  <c r="J21"/>
  <c r="M21" s="1"/>
  <c r="H102"/>
  <c r="J102"/>
  <c r="J103"/>
  <c r="J15" i="38"/>
  <c r="K15" s="1"/>
  <c r="O16" i="66"/>
  <c r="N16"/>
  <c r="J19"/>
  <c r="D15"/>
  <c r="D16" i="63"/>
  <c r="M20" i="66"/>
  <c r="L20"/>
  <c r="K113" i="55"/>
  <c r="K119" s="1"/>
  <c r="J113"/>
  <c r="J119" s="1"/>
  <c r="L113"/>
  <c r="L119" s="1"/>
  <c r="G113"/>
  <c r="G119" s="1"/>
  <c r="Q113"/>
  <c r="Q119" s="1"/>
  <c r="O7" i="63"/>
  <c r="D9" i="64" s="1"/>
  <c r="S113" i="55"/>
  <c r="S119" s="1"/>
  <c r="U113"/>
  <c r="U119" s="1"/>
  <c r="P113"/>
  <c r="P119" s="1"/>
  <c r="N113"/>
  <c r="N119" s="1"/>
  <c r="F113"/>
  <c r="F119" s="1"/>
  <c r="T113"/>
  <c r="T119" s="1"/>
  <c r="D113"/>
  <c r="D119" s="1"/>
  <c r="O113"/>
  <c r="O119" s="1"/>
  <c r="E113"/>
  <c r="E119" s="1"/>
  <c r="V113"/>
  <c r="V119" s="1"/>
  <c r="D111" i="48"/>
  <c r="D117" s="1"/>
  <c r="I113" i="55"/>
  <c r="I119" s="1"/>
  <c r="O20" i="63"/>
  <c r="D21" i="64" s="1"/>
  <c r="P20" i="63"/>
  <c r="E21" i="64" s="1"/>
  <c r="J21" i="63"/>
  <c r="M113" i="55"/>
  <c r="M119" s="1"/>
  <c r="O6" i="63"/>
  <c r="D16" i="64" s="1"/>
  <c r="P6" i="63"/>
  <c r="E16" i="64" s="1"/>
  <c r="J17" i="63"/>
  <c r="J19"/>
  <c r="R113" i="55"/>
  <c r="L58" i="48"/>
  <c r="L94" s="1"/>
  <c r="L102" i="66" s="1"/>
  <c r="F101" i="55"/>
  <c r="F118" s="1"/>
  <c r="R101"/>
  <c r="N101"/>
  <c r="N118" s="1"/>
  <c r="J101"/>
  <c r="J118" s="1"/>
  <c r="M101"/>
  <c r="E101"/>
  <c r="E118" s="1"/>
  <c r="U101"/>
  <c r="U118" s="1"/>
  <c r="G101"/>
  <c r="G118" s="1"/>
  <c r="K101"/>
  <c r="K118" s="1"/>
  <c r="L101"/>
  <c r="L118" s="1"/>
  <c r="H101"/>
  <c r="T101"/>
  <c r="T118" s="1"/>
  <c r="P101"/>
  <c r="P118" s="1"/>
  <c r="Q101"/>
  <c r="Q118" s="1"/>
  <c r="O101"/>
  <c r="O118" s="1"/>
  <c r="V101"/>
  <c r="V118" s="1"/>
  <c r="S101"/>
  <c r="S118" s="1"/>
  <c r="I101"/>
  <c r="I118" s="1"/>
  <c r="E56" i="38"/>
  <c r="H113" i="55"/>
  <c r="C95" i="51"/>
  <c r="C101" s="1"/>
  <c r="J46" i="38"/>
  <c r="E63" i="48"/>
  <c r="K28" i="38"/>
  <c r="J28" i="51"/>
  <c r="J58" s="1"/>
  <c r="J69" s="1"/>
  <c r="K17" i="38"/>
  <c r="J17" i="51"/>
  <c r="J59" s="1"/>
  <c r="I48"/>
  <c r="I81" s="1"/>
  <c r="I120" i="66" s="1"/>
  <c r="I70" i="51"/>
  <c r="K94" i="48"/>
  <c r="K102" i="66" s="1"/>
  <c r="K82" i="48"/>
  <c r="L59"/>
  <c r="L95" s="1"/>
  <c r="L103" i="66" s="1"/>
  <c r="L83" i="48"/>
  <c r="F87"/>
  <c r="G87"/>
  <c r="J85"/>
  <c r="I61"/>
  <c r="I97" s="1"/>
  <c r="I105" i="66" s="1"/>
  <c r="I85" i="48"/>
  <c r="E87"/>
  <c r="C100" i="51"/>
  <c r="I62"/>
  <c r="F84"/>
  <c r="F100" s="1"/>
  <c r="G84"/>
  <c r="G100" s="1"/>
  <c r="E84"/>
  <c r="E100" s="1"/>
  <c r="D84"/>
  <c r="D100" s="1"/>
  <c r="H73"/>
  <c r="C111" i="48"/>
  <c r="D59" i="43"/>
  <c r="C59"/>
  <c r="H87" i="48"/>
  <c r="G63"/>
  <c r="C99"/>
  <c r="M70"/>
  <c r="M71"/>
  <c r="M83" s="1"/>
  <c r="K20" i="63" s="1"/>
  <c r="F63" i="48"/>
  <c r="I75"/>
  <c r="K61"/>
  <c r="K97" s="1"/>
  <c r="K105" i="66" s="1"/>
  <c r="J61" i="48"/>
  <c r="J97" s="1"/>
  <c r="J105" i="66" s="1"/>
  <c r="M48" i="48"/>
  <c r="L73"/>
  <c r="L85" s="1"/>
  <c r="J72"/>
  <c r="J84" s="1"/>
  <c r="E99"/>
  <c r="E116" s="1"/>
  <c r="H63"/>
  <c r="I47" i="51"/>
  <c r="P15"/>
  <c r="K26"/>
  <c r="H80"/>
  <c r="H119" i="66" s="1"/>
  <c r="G99" i="48"/>
  <c r="G116" s="1"/>
  <c r="K15"/>
  <c r="I94"/>
  <c r="I102" i="66" s="1"/>
  <c r="F99" i="48"/>
  <c r="F116" s="1"/>
  <c r="R26"/>
  <c r="D99"/>
  <c r="D116" s="1"/>
  <c r="I60"/>
  <c r="K95"/>
  <c r="K103" i="66" s="1"/>
  <c r="I95" i="48"/>
  <c r="I103" i="66" s="1"/>
  <c r="H96" i="48"/>
  <c r="H104" i="66" s="1"/>
  <c r="D39" i="43"/>
  <c r="C39"/>
  <c r="F49"/>
  <c r="F51" s="1"/>
  <c r="H49"/>
  <c r="H51" s="1"/>
  <c r="I28"/>
  <c r="E49"/>
  <c r="G49"/>
  <c r="G51" s="1"/>
  <c r="D49" i="38"/>
  <c r="D36"/>
  <c r="E36"/>
  <c r="D37"/>
  <c r="D67" s="1"/>
  <c r="D77" i="66" s="1"/>
  <c r="C37" i="38"/>
  <c r="C67" s="1"/>
  <c r="C77" i="66" s="1"/>
  <c r="E37" i="38"/>
  <c r="E67" s="1"/>
  <c r="E77" i="66" s="1"/>
  <c r="C49" i="38"/>
  <c r="C36"/>
  <c r="F26"/>
  <c r="F47" s="1"/>
  <c r="F57" s="1"/>
  <c r="E49"/>
  <c r="J28" i="66" l="1"/>
  <c r="AD36"/>
  <c r="AE27"/>
  <c r="V20" i="63"/>
  <c r="Y20"/>
  <c r="U17"/>
  <c r="X17"/>
  <c r="U21"/>
  <c r="X21"/>
  <c r="Z10"/>
  <c r="W10"/>
  <c r="X19"/>
  <c r="U19"/>
  <c r="AP38" i="66"/>
  <c r="AI43"/>
  <c r="AI27" s="1"/>
  <c r="AF46"/>
  <c r="AF28" s="1"/>
  <c r="AD33"/>
  <c r="O14" i="64"/>
  <c r="U118" i="65"/>
  <c r="V62" i="66"/>
  <c r="B62" s="1"/>
  <c r="C38" s="1"/>
  <c r="V99" i="65"/>
  <c r="V116" s="1"/>
  <c r="V57" i="66"/>
  <c r="B57" s="1"/>
  <c r="V111" i="65"/>
  <c r="V117" s="1"/>
  <c r="Y38" i="66"/>
  <c r="D14" i="63"/>
  <c r="D10" i="66"/>
  <c r="G102" i="51"/>
  <c r="AE33" i="66"/>
  <c r="AG46"/>
  <c r="AG28" s="1"/>
  <c r="AK47"/>
  <c r="AH46"/>
  <c r="AH28" s="1"/>
  <c r="E102" i="51"/>
  <c r="AI46" i="66"/>
  <c r="AI28" s="1"/>
  <c r="F102" i="51"/>
  <c r="D4" i="67"/>
  <c r="AE36" i="66"/>
  <c r="AF33"/>
  <c r="M17"/>
  <c r="D102" i="51"/>
  <c r="H119" i="55"/>
  <c r="O16" i="64"/>
  <c r="P7"/>
  <c r="F80" i="66"/>
  <c r="H33" s="1"/>
  <c r="F77" i="38"/>
  <c r="F74" i="66" s="1"/>
  <c r="J109"/>
  <c r="L49" s="1"/>
  <c r="J108" i="48"/>
  <c r="J99" i="66" s="1"/>
  <c r="C92"/>
  <c r="E32" s="1"/>
  <c r="C79" i="43"/>
  <c r="C86" i="66" s="1"/>
  <c r="J14"/>
  <c r="M14" s="1"/>
  <c r="I124"/>
  <c r="K43" s="1"/>
  <c r="K27" s="1"/>
  <c r="I92" i="51"/>
  <c r="I116" i="66" s="1"/>
  <c r="J123"/>
  <c r="L45" s="1"/>
  <c r="AJ45" s="1"/>
  <c r="J91" i="51"/>
  <c r="J115" i="66" s="1"/>
  <c r="M108"/>
  <c r="O48" s="1"/>
  <c r="M107" i="48"/>
  <c r="M98" i="66" s="1"/>
  <c r="I110"/>
  <c r="K46" s="1"/>
  <c r="K28" s="1"/>
  <c r="I109" i="48"/>
  <c r="I100" i="66" s="1"/>
  <c r="K107"/>
  <c r="M47" s="1"/>
  <c r="K106" i="48"/>
  <c r="K97" i="66" s="1"/>
  <c r="L21"/>
  <c r="L110"/>
  <c r="N46" s="1"/>
  <c r="L109" i="48"/>
  <c r="L100" i="66" s="1"/>
  <c r="D92"/>
  <c r="F32" s="1"/>
  <c r="F25" s="1"/>
  <c r="D79" i="43"/>
  <c r="D86" i="66" s="1"/>
  <c r="J110"/>
  <c r="L46" s="1"/>
  <c r="L28" s="1"/>
  <c r="J109" i="48"/>
  <c r="J100" i="66" s="1"/>
  <c r="L108"/>
  <c r="N48" s="1"/>
  <c r="AK48" s="1"/>
  <c r="L107" i="48"/>
  <c r="L98" i="66" s="1"/>
  <c r="E79"/>
  <c r="G36" s="1"/>
  <c r="E76" i="38"/>
  <c r="E73" i="66" s="1"/>
  <c r="O21" i="64"/>
  <c r="B125" i="66"/>
  <c r="O15"/>
  <c r="N15"/>
  <c r="M19"/>
  <c r="L19"/>
  <c r="J18"/>
  <c r="D79" i="38"/>
  <c r="E111" i="48"/>
  <c r="E117" s="1"/>
  <c r="E118" s="1"/>
  <c r="D118"/>
  <c r="F111"/>
  <c r="F117" s="1"/>
  <c r="F118" s="1"/>
  <c r="G111"/>
  <c r="G117" s="1"/>
  <c r="G118" s="1"/>
  <c r="R119" i="55"/>
  <c r="F37" i="38"/>
  <c r="F67" s="1"/>
  <c r="F77" i="66" s="1"/>
  <c r="H111" i="48"/>
  <c r="H117" s="1"/>
  <c r="J18" i="63"/>
  <c r="P19"/>
  <c r="E19" i="64" s="1"/>
  <c r="O19" i="63"/>
  <c r="D19" i="64" s="1"/>
  <c r="O17" i="63"/>
  <c r="D17" i="64" s="1"/>
  <c r="P17" i="63"/>
  <c r="E17" i="64" s="1"/>
  <c r="J15" i="63"/>
  <c r="M82" i="48"/>
  <c r="K19" i="63" s="1"/>
  <c r="M58" i="48"/>
  <c r="M94" s="1"/>
  <c r="M102" i="66" s="1"/>
  <c r="H95" i="51"/>
  <c r="H101" s="1"/>
  <c r="O21" i="63"/>
  <c r="D18" i="64" s="1"/>
  <c r="P21" i="63"/>
  <c r="E18" i="64" s="1"/>
  <c r="H118" i="55"/>
  <c r="H99" i="48"/>
  <c r="H116" s="1"/>
  <c r="C102" i="51"/>
  <c r="L15" i="38"/>
  <c r="K46"/>
  <c r="I73" i="51"/>
  <c r="I51"/>
  <c r="K28"/>
  <c r="K58" s="1"/>
  <c r="K69" s="1"/>
  <c r="L28" i="38"/>
  <c r="J48" i="51"/>
  <c r="J81" s="1"/>
  <c r="J120" i="66" s="1"/>
  <c r="J70" i="51"/>
  <c r="K17"/>
  <c r="K59" s="1"/>
  <c r="L17" i="38"/>
  <c r="C61" i="43"/>
  <c r="D61"/>
  <c r="M118" i="55"/>
  <c r="M120" s="1"/>
  <c r="C116" i="48"/>
  <c r="R118" i="55"/>
  <c r="C117" i="48"/>
  <c r="D69" i="43"/>
  <c r="D89" i="66" s="1"/>
  <c r="D41" i="43"/>
  <c r="C69"/>
  <c r="C89" i="66" s="1"/>
  <c r="C41" i="43"/>
  <c r="E59"/>
  <c r="E51"/>
  <c r="H84" i="51"/>
  <c r="J62"/>
  <c r="G59" i="43"/>
  <c r="F59"/>
  <c r="H59"/>
  <c r="C79" i="38"/>
  <c r="C59"/>
  <c r="I87" i="48"/>
  <c r="O120" i="55"/>
  <c r="E39" i="43"/>
  <c r="D59" i="38"/>
  <c r="E59"/>
  <c r="M59" i="48"/>
  <c r="N70"/>
  <c r="N71"/>
  <c r="N83" s="1"/>
  <c r="N48"/>
  <c r="M73"/>
  <c r="M85" s="1"/>
  <c r="K18" i="63" s="1"/>
  <c r="L61" i="48"/>
  <c r="L97" s="1"/>
  <c r="L105" i="66" s="1"/>
  <c r="K72" i="48"/>
  <c r="K84" s="1"/>
  <c r="Q15" i="51"/>
  <c r="L26"/>
  <c r="J47"/>
  <c r="I80"/>
  <c r="I119" i="66" s="1"/>
  <c r="S26" i="48"/>
  <c r="J87"/>
  <c r="J60"/>
  <c r="J75"/>
  <c r="I96"/>
  <c r="I104" i="66" s="1"/>
  <c r="I63" i="48"/>
  <c r="L15"/>
  <c r="G39" i="43"/>
  <c r="F39"/>
  <c r="H39"/>
  <c r="D66" i="38"/>
  <c r="D76" i="66" s="1"/>
  <c r="J28" i="43"/>
  <c r="I49"/>
  <c r="D39" i="38"/>
  <c r="C66"/>
  <c r="C76" i="66" s="1"/>
  <c r="C39" i="38"/>
  <c r="G26"/>
  <c r="G47" s="1"/>
  <c r="E66"/>
  <c r="E76" i="66" s="1"/>
  <c r="AF36" l="1"/>
  <c r="AF26" s="1"/>
  <c r="D3" i="67" s="1"/>
  <c r="G26" i="66"/>
  <c r="V18" i="63"/>
  <c r="Y18"/>
  <c r="Y19"/>
  <c r="V19"/>
  <c r="X15"/>
  <c r="U15"/>
  <c r="X18"/>
  <c r="U18"/>
  <c r="F4" i="67"/>
  <c r="AJ49" i="66"/>
  <c r="G4" i="67"/>
  <c r="E4"/>
  <c r="AD32" i="66"/>
  <c r="AJ46"/>
  <c r="AJ28" s="1"/>
  <c r="AG33"/>
  <c r="V118" i="65"/>
  <c r="B67" i="66"/>
  <c r="B38"/>
  <c r="N10"/>
  <c r="O10"/>
  <c r="AK46"/>
  <c r="AE32"/>
  <c r="P16" i="64"/>
  <c r="L14" i="66"/>
  <c r="H120" i="55"/>
  <c r="O17" i="64"/>
  <c r="P21"/>
  <c r="F92" i="66"/>
  <c r="H32" s="1"/>
  <c r="H25" s="1"/>
  <c r="F79" i="43"/>
  <c r="F86" i="66" s="1"/>
  <c r="M110"/>
  <c r="O46" s="1"/>
  <c r="M109" i="48"/>
  <c r="M100" i="66" s="1"/>
  <c r="H92"/>
  <c r="J32" s="1"/>
  <c r="H79" i="43"/>
  <c r="H86" i="66" s="1"/>
  <c r="J124"/>
  <c r="L43" s="1"/>
  <c r="L27" s="1"/>
  <c r="J92" i="51"/>
  <c r="J116" i="66" s="1"/>
  <c r="O19" i="64"/>
  <c r="K123" i="66"/>
  <c r="M45" s="1"/>
  <c r="K91" i="51"/>
  <c r="K115" i="66" s="1"/>
  <c r="K109"/>
  <c r="M49" s="1"/>
  <c r="M28" s="1"/>
  <c r="K108" i="48"/>
  <c r="K99" i="66" s="1"/>
  <c r="N108"/>
  <c r="P48" s="1"/>
  <c r="AL48" s="1"/>
  <c r="N107" i="48"/>
  <c r="N98" i="66" s="1"/>
  <c r="G92"/>
  <c r="I32" s="1"/>
  <c r="G79" i="43"/>
  <c r="G86" i="66" s="1"/>
  <c r="E92"/>
  <c r="G32" s="1"/>
  <c r="G25" s="1"/>
  <c r="E79" i="43"/>
  <c r="E86" i="66" s="1"/>
  <c r="M107"/>
  <c r="O47" s="1"/>
  <c r="M106" i="48"/>
  <c r="M97" i="66" s="1"/>
  <c r="P18" i="64"/>
  <c r="O9"/>
  <c r="P9"/>
  <c r="I95" i="51"/>
  <c r="I101" s="1"/>
  <c r="D11" i="63"/>
  <c r="D13" i="66"/>
  <c r="L18"/>
  <c r="M18"/>
  <c r="C81" i="43"/>
  <c r="D81"/>
  <c r="D87" s="1"/>
  <c r="E79" i="38"/>
  <c r="R120" i="55"/>
  <c r="I111" i="48"/>
  <c r="I117" s="1"/>
  <c r="P18" i="63"/>
  <c r="E20" i="64" s="1"/>
  <c r="O18" i="63"/>
  <c r="D20" i="64" s="1"/>
  <c r="N82" i="48"/>
  <c r="N58"/>
  <c r="N94" s="1"/>
  <c r="N102" i="66" s="1"/>
  <c r="O15" i="63"/>
  <c r="D13" i="64" s="1"/>
  <c r="P15" i="63"/>
  <c r="E13" i="64" s="1"/>
  <c r="I99" i="48"/>
  <c r="I116" s="1"/>
  <c r="C71" i="43"/>
  <c r="D71"/>
  <c r="D86" s="1"/>
  <c r="G57" i="38"/>
  <c r="G37"/>
  <c r="G67" s="1"/>
  <c r="G77" i="66" s="1"/>
  <c r="H118" i="48"/>
  <c r="C118"/>
  <c r="L46" i="38"/>
  <c r="M15"/>
  <c r="J51" i="51"/>
  <c r="L28"/>
  <c r="L58" s="1"/>
  <c r="L69" s="1"/>
  <c r="M28" i="38"/>
  <c r="J73" i="51"/>
  <c r="K48"/>
  <c r="K81" s="1"/>
  <c r="K120" i="66" s="1"/>
  <c r="K70" i="51"/>
  <c r="L17"/>
  <c r="L59" s="1"/>
  <c r="M17" i="38"/>
  <c r="F61" i="43"/>
  <c r="G61"/>
  <c r="E61"/>
  <c r="F56" i="38"/>
  <c r="H100" i="51"/>
  <c r="H102" s="1"/>
  <c r="H69" i="43"/>
  <c r="H89" i="66" s="1"/>
  <c r="H41" i="43"/>
  <c r="E69"/>
  <c r="E89" i="66" s="1"/>
  <c r="E41" i="43"/>
  <c r="I59"/>
  <c r="I51"/>
  <c r="G69"/>
  <c r="G89" i="66" s="1"/>
  <c r="G41" i="43"/>
  <c r="H61"/>
  <c r="F69"/>
  <c r="F89" i="66" s="1"/>
  <c r="F41" i="43"/>
  <c r="K62" i="51"/>
  <c r="I84"/>
  <c r="I100" s="1"/>
  <c r="F120" i="55"/>
  <c r="Q120"/>
  <c r="K120"/>
  <c r="S120"/>
  <c r="T120"/>
  <c r="P120"/>
  <c r="U120"/>
  <c r="J120"/>
  <c r="V120"/>
  <c r="I39" i="43"/>
  <c r="O70" i="48"/>
  <c r="O71"/>
  <c r="O83" s="1"/>
  <c r="M95"/>
  <c r="M103" i="66" s="1"/>
  <c r="N59" i="48"/>
  <c r="M61"/>
  <c r="M97" s="1"/>
  <c r="M105" i="66" s="1"/>
  <c r="O48" i="48"/>
  <c r="N73"/>
  <c r="N85" s="1"/>
  <c r="L72"/>
  <c r="L84" s="1"/>
  <c r="I120" i="55"/>
  <c r="L120"/>
  <c r="G120"/>
  <c r="N120"/>
  <c r="E120"/>
  <c r="R15" i="51"/>
  <c r="J80"/>
  <c r="M26"/>
  <c r="K47"/>
  <c r="K87" i="48"/>
  <c r="K60"/>
  <c r="K75"/>
  <c r="J96"/>
  <c r="J104" i="66" s="1"/>
  <c r="J111" i="48"/>
  <c r="J117" s="1"/>
  <c r="J63"/>
  <c r="M15"/>
  <c r="T26"/>
  <c r="C69" i="38"/>
  <c r="D69"/>
  <c r="D84" s="1"/>
  <c r="E69"/>
  <c r="E84" s="1"/>
  <c r="K28" i="43"/>
  <c r="J49"/>
  <c r="E39" i="38"/>
  <c r="F49"/>
  <c r="F36"/>
  <c r="H26"/>
  <c r="H47" s="1"/>
  <c r="B5" i="67" l="1"/>
  <c r="B11" s="1"/>
  <c r="C11" s="1"/>
  <c r="C5"/>
  <c r="AJ43" i="66"/>
  <c r="AJ27" s="1"/>
  <c r="H4" i="67" s="1"/>
  <c r="D10" i="63"/>
  <c r="D9" i="66"/>
  <c r="AH32"/>
  <c r="I102" i="51"/>
  <c r="AI32" i="66"/>
  <c r="J95" i="51"/>
  <c r="J101" s="1"/>
  <c r="AF32" i="66"/>
  <c r="AG32"/>
  <c r="P17" i="64"/>
  <c r="P19"/>
  <c r="O20"/>
  <c r="O108" i="66"/>
  <c r="Q48" s="1"/>
  <c r="O107" i="48"/>
  <c r="O98" i="66" s="1"/>
  <c r="I92"/>
  <c r="K32" s="1"/>
  <c r="I79" i="43"/>
  <c r="I86" i="66" s="1"/>
  <c r="F79"/>
  <c r="H36" s="1"/>
  <c r="F76" i="38"/>
  <c r="F73" i="66" s="1"/>
  <c r="N107"/>
  <c r="P47" s="1"/>
  <c r="AL47" s="1"/>
  <c r="N106" i="48"/>
  <c r="N97" i="66" s="1"/>
  <c r="N110"/>
  <c r="P46" s="1"/>
  <c r="N109" i="48"/>
  <c r="N100" i="66" s="1"/>
  <c r="K124"/>
  <c r="M43" s="1"/>
  <c r="M27" s="1"/>
  <c r="K92" i="51"/>
  <c r="K116" i="66" s="1"/>
  <c r="L123"/>
  <c r="N45" s="1"/>
  <c r="AK45" s="1"/>
  <c r="L91" i="51"/>
  <c r="L115" i="66" s="1"/>
  <c r="L109"/>
  <c r="N49" s="1"/>
  <c r="N28" s="1"/>
  <c r="L108" i="48"/>
  <c r="L99" i="66" s="1"/>
  <c r="G80"/>
  <c r="I33" s="1"/>
  <c r="G77" i="38"/>
  <c r="G74" i="66" s="1"/>
  <c r="O18" i="64"/>
  <c r="O13"/>
  <c r="J119" i="66"/>
  <c r="J3"/>
  <c r="L3" s="1"/>
  <c r="N13"/>
  <c r="O13"/>
  <c r="C87" i="43"/>
  <c r="E81"/>
  <c r="E87" s="1"/>
  <c r="F81"/>
  <c r="F87" s="1"/>
  <c r="J4" i="63"/>
  <c r="G81" i="43"/>
  <c r="H81"/>
  <c r="C86"/>
  <c r="I118" i="48"/>
  <c r="O82"/>
  <c r="O58"/>
  <c r="O94" s="1"/>
  <c r="O102" i="66" s="1"/>
  <c r="D88" i="43"/>
  <c r="J99" i="48"/>
  <c r="J116" s="1"/>
  <c r="J118" s="1"/>
  <c r="H71" i="43"/>
  <c r="G71"/>
  <c r="G86" s="1"/>
  <c r="E71"/>
  <c r="E86" s="1"/>
  <c r="F71"/>
  <c r="F86" s="1"/>
  <c r="H57" i="38"/>
  <c r="H37"/>
  <c r="H67" s="1"/>
  <c r="H77" i="66" s="1"/>
  <c r="K51" i="51"/>
  <c r="N15" i="38"/>
  <c r="M46"/>
  <c r="K73" i="51"/>
  <c r="N28" i="38"/>
  <c r="M28" i="51"/>
  <c r="M58" s="1"/>
  <c r="M69" s="1"/>
  <c r="K17" i="63" s="1"/>
  <c r="M17" i="51"/>
  <c r="M59" s="1"/>
  <c r="N17" i="38"/>
  <c r="L70" i="51"/>
  <c r="L48"/>
  <c r="L81" s="1"/>
  <c r="L120" i="66" s="1"/>
  <c r="I61" i="43"/>
  <c r="G56" i="38"/>
  <c r="F59"/>
  <c r="J59" i="43"/>
  <c r="J51"/>
  <c r="I69"/>
  <c r="I89" i="66" s="1"/>
  <c r="I41" i="43"/>
  <c r="J84" i="51"/>
  <c r="J100" s="1"/>
  <c r="L62"/>
  <c r="C85" i="38"/>
  <c r="J39" i="43"/>
  <c r="P70" i="48"/>
  <c r="P71"/>
  <c r="P83" s="1"/>
  <c r="O59"/>
  <c r="N95"/>
  <c r="N103" i="66" s="1"/>
  <c r="P48" i="48"/>
  <c r="O73"/>
  <c r="O85" s="1"/>
  <c r="N61"/>
  <c r="N97" s="1"/>
  <c r="N105" i="66" s="1"/>
  <c r="M72" i="48"/>
  <c r="M84" s="1"/>
  <c r="K21" i="63" s="1"/>
  <c r="K80" i="51"/>
  <c r="L47"/>
  <c r="S15"/>
  <c r="N26"/>
  <c r="U26" i="48"/>
  <c r="L87"/>
  <c r="L60"/>
  <c r="L75"/>
  <c r="N15"/>
  <c r="K96"/>
  <c r="K104" i="66" s="1"/>
  <c r="K63" i="48"/>
  <c r="K111"/>
  <c r="K117" s="1"/>
  <c r="C84" i="38"/>
  <c r="D85"/>
  <c r="D86" s="1"/>
  <c r="L28" i="43"/>
  <c r="K49"/>
  <c r="E85" i="38"/>
  <c r="E86" s="1"/>
  <c r="F39"/>
  <c r="F66"/>
  <c r="F76" i="66" s="1"/>
  <c r="G49" i="38"/>
  <c r="G36"/>
  <c r="I26"/>
  <c r="I47" s="1"/>
  <c r="G5" i="67" l="1"/>
  <c r="D5"/>
  <c r="C27" s="1"/>
  <c r="B27" s="1"/>
  <c r="D27" s="1"/>
  <c r="AF25" i="66"/>
  <c r="F5" i="67"/>
  <c r="AG36" i="66"/>
  <c r="AG26" s="1"/>
  <c r="E3" i="67" s="1"/>
  <c r="H26" i="66"/>
  <c r="E5" i="67"/>
  <c r="AG25" i="66"/>
  <c r="E2" i="67" s="1"/>
  <c r="V17" i="63"/>
  <c r="Y17"/>
  <c r="V21"/>
  <c r="Y21"/>
  <c r="P4"/>
  <c r="E5" i="64" s="1"/>
  <c r="U4" i="63"/>
  <c r="X4"/>
  <c r="AK49" i="66"/>
  <c r="AK28" s="1"/>
  <c r="AL46"/>
  <c r="D2" i="67"/>
  <c r="AH33" i="66"/>
  <c r="AH25" s="1"/>
  <c r="R13" i="63"/>
  <c r="O9" i="66"/>
  <c r="N9"/>
  <c r="M3"/>
  <c r="J102" i="51"/>
  <c r="P20" i="64"/>
  <c r="K95" i="51"/>
  <c r="K101" s="1"/>
  <c r="H80" i="66"/>
  <c r="J33" s="1"/>
  <c r="H77" i="38"/>
  <c r="H74" i="66" s="1"/>
  <c r="O107"/>
  <c r="Q47" s="1"/>
  <c r="O106" i="48"/>
  <c r="O97" i="66" s="1"/>
  <c r="J92"/>
  <c r="L32" s="1"/>
  <c r="J79" i="43"/>
  <c r="J86" i="66" s="1"/>
  <c r="G79"/>
  <c r="I36" s="1"/>
  <c r="G76" i="38"/>
  <c r="G73" i="66" s="1"/>
  <c r="M123"/>
  <c r="O45" s="1"/>
  <c r="M91" i="51"/>
  <c r="M115" i="66" s="1"/>
  <c r="M109"/>
  <c r="O49" s="1"/>
  <c r="O28" s="1"/>
  <c r="M108" i="48"/>
  <c r="M99" i="66" s="1"/>
  <c r="O110"/>
  <c r="Q46" s="1"/>
  <c r="O109" i="48"/>
  <c r="O100" i="66" s="1"/>
  <c r="P108"/>
  <c r="R48" s="1"/>
  <c r="AM48" s="1"/>
  <c r="P107" i="48"/>
  <c r="P98" i="66" s="1"/>
  <c r="L124"/>
  <c r="N43" s="1"/>
  <c r="N27" s="1"/>
  <c r="L92" i="51"/>
  <c r="L116" i="66" s="1"/>
  <c r="P13" i="64"/>
  <c r="K119" i="66"/>
  <c r="C86" i="38"/>
  <c r="C88" i="43"/>
  <c r="I81"/>
  <c r="O4" i="63"/>
  <c r="F79" i="38"/>
  <c r="P82" i="48"/>
  <c r="P58"/>
  <c r="P94" s="1"/>
  <c r="P102" i="66" s="1"/>
  <c r="K99" i="48"/>
  <c r="K116" s="1"/>
  <c r="K118" s="1"/>
  <c r="I71" i="43"/>
  <c r="F88"/>
  <c r="E88"/>
  <c r="I57" i="38"/>
  <c r="I37"/>
  <c r="I67" s="1"/>
  <c r="I77" i="66" s="1"/>
  <c r="O15" i="38"/>
  <c r="N46"/>
  <c r="L73" i="51"/>
  <c r="L51"/>
  <c r="O28" i="38"/>
  <c r="N28" i="51"/>
  <c r="N58" s="1"/>
  <c r="N69" s="1"/>
  <c r="O17" i="38"/>
  <c r="N17" i="51"/>
  <c r="N59" s="1"/>
  <c r="M70"/>
  <c r="K15" i="63" s="1"/>
  <c r="M48" i="51"/>
  <c r="M81" s="1"/>
  <c r="M120" i="66" s="1"/>
  <c r="G59" i="38"/>
  <c r="J61" i="43"/>
  <c r="H56" i="38"/>
  <c r="J69" i="43"/>
  <c r="J89" i="66" s="1"/>
  <c r="J41" i="43"/>
  <c r="K59"/>
  <c r="K51"/>
  <c r="M62" i="51"/>
  <c r="K84"/>
  <c r="K100" s="1"/>
  <c r="H86" i="43"/>
  <c r="K39"/>
  <c r="P59" i="48"/>
  <c r="Q70"/>
  <c r="Q71"/>
  <c r="Q83" s="1"/>
  <c r="O95"/>
  <c r="O103" i="66" s="1"/>
  <c r="O61" i="48"/>
  <c r="O97" s="1"/>
  <c r="O105" i="66" s="1"/>
  <c r="P73" i="48"/>
  <c r="P85" s="1"/>
  <c r="Q48"/>
  <c r="N72"/>
  <c r="N84" s="1"/>
  <c r="O26" i="51"/>
  <c r="L80"/>
  <c r="M47"/>
  <c r="T15"/>
  <c r="M60" i="48"/>
  <c r="M75"/>
  <c r="O15"/>
  <c r="L96"/>
  <c r="L104" i="66" s="1"/>
  <c r="L63" i="48"/>
  <c r="L111"/>
  <c r="L117" s="1"/>
  <c r="V26"/>
  <c r="F69" i="38"/>
  <c r="F84" s="1"/>
  <c r="G87" i="43"/>
  <c r="G88" s="1"/>
  <c r="M28"/>
  <c r="L49"/>
  <c r="J26" i="38"/>
  <c r="J47" s="1"/>
  <c r="G66"/>
  <c r="G76" i="66" s="1"/>
  <c r="G39" i="38"/>
  <c r="H49"/>
  <c r="H36"/>
  <c r="I26" i="66" l="1"/>
  <c r="I25"/>
  <c r="D11" i="67"/>
  <c r="E11" s="1"/>
  <c r="F11" s="1"/>
  <c r="G11" s="1"/>
  <c r="B16"/>
  <c r="V15" i="63"/>
  <c r="Y15"/>
  <c r="K102" i="51"/>
  <c r="P5" i="64"/>
  <c r="D5"/>
  <c r="AJ32" i="66"/>
  <c r="AK43"/>
  <c r="AI33"/>
  <c r="AI25" s="1"/>
  <c r="AH36"/>
  <c r="AH26" s="1"/>
  <c r="F3" i="67" s="1"/>
  <c r="P110" i="66"/>
  <c r="R46" s="1"/>
  <c r="P109" i="48"/>
  <c r="P100" i="66" s="1"/>
  <c r="O5" i="64"/>
  <c r="K92" i="66"/>
  <c r="M32" s="1"/>
  <c r="K79" i="43"/>
  <c r="K86" i="66" s="1"/>
  <c r="N109"/>
  <c r="P49" s="1"/>
  <c r="P28" s="1"/>
  <c r="N108" i="48"/>
  <c r="N99" i="66" s="1"/>
  <c r="H79"/>
  <c r="J36" s="1"/>
  <c r="H76" i="38"/>
  <c r="H73" i="66" s="1"/>
  <c r="N123"/>
  <c r="P45" s="1"/>
  <c r="AL45" s="1"/>
  <c r="N91" i="51"/>
  <c r="N115" i="66" s="1"/>
  <c r="Q108"/>
  <c r="S48" s="1"/>
  <c r="Q107" i="48"/>
  <c r="Q98" i="66" s="1"/>
  <c r="M124"/>
  <c r="O43" s="1"/>
  <c r="O27" s="1"/>
  <c r="M92" i="51"/>
  <c r="M116" i="66" s="1"/>
  <c r="P107"/>
  <c r="R47" s="1"/>
  <c r="AM47" s="1"/>
  <c r="P106" i="48"/>
  <c r="P97" i="66" s="1"/>
  <c r="I80"/>
  <c r="K33" s="1"/>
  <c r="K25" s="1"/>
  <c r="I77" i="38"/>
  <c r="I74" i="66" s="1"/>
  <c r="L95" i="51"/>
  <c r="L101" s="1"/>
  <c r="L119" i="66"/>
  <c r="J6"/>
  <c r="J81" i="43"/>
  <c r="G79" i="38"/>
  <c r="Q82" i="48"/>
  <c r="Q58"/>
  <c r="Q94" s="1"/>
  <c r="Q102" i="66" s="1"/>
  <c r="J5" i="63"/>
  <c r="L99" i="48"/>
  <c r="L116" s="1"/>
  <c r="L118" s="1"/>
  <c r="J71" i="43"/>
  <c r="J37" i="38"/>
  <c r="J67" s="1"/>
  <c r="J77" i="66" s="1"/>
  <c r="J57" i="38"/>
  <c r="P15"/>
  <c r="O46"/>
  <c r="M51" i="51"/>
  <c r="O28"/>
  <c r="O58" s="1"/>
  <c r="O69" s="1"/>
  <c r="P28" i="38"/>
  <c r="P17"/>
  <c r="O17" i="51"/>
  <c r="O59" s="1"/>
  <c r="N70"/>
  <c r="N48"/>
  <c r="N81" s="1"/>
  <c r="N120" i="66" s="1"/>
  <c r="K61" i="43"/>
  <c r="I56" i="38"/>
  <c r="K69" i="43"/>
  <c r="K89" i="66" s="1"/>
  <c r="K41" i="43"/>
  <c r="L59"/>
  <c r="L51"/>
  <c r="N62" i="51"/>
  <c r="L84"/>
  <c r="L100" s="1"/>
  <c r="M73"/>
  <c r="H59" i="38"/>
  <c r="M87" i="48"/>
  <c r="L39" i="43"/>
  <c r="R70" i="48"/>
  <c r="R71"/>
  <c r="R83" s="1"/>
  <c r="P95"/>
  <c r="P103" i="66" s="1"/>
  <c r="Q59" i="48"/>
  <c r="P61"/>
  <c r="P97" s="1"/>
  <c r="P105" i="66" s="1"/>
  <c r="Q73" i="48"/>
  <c r="Q85" s="1"/>
  <c r="R48"/>
  <c r="O72"/>
  <c r="O84" s="1"/>
  <c r="N47" i="51"/>
  <c r="P26"/>
  <c r="M80"/>
  <c r="M119" i="66" s="1"/>
  <c r="U15" i="51"/>
  <c r="N60" i="48"/>
  <c r="N87"/>
  <c r="N75"/>
  <c r="P15"/>
  <c r="M96"/>
  <c r="M104" i="66" s="1"/>
  <c r="M111" i="48"/>
  <c r="M63"/>
  <c r="F85" i="38"/>
  <c r="F86" s="1"/>
  <c r="G69"/>
  <c r="G84" s="1"/>
  <c r="H87" i="43"/>
  <c r="H88" s="1"/>
  <c r="I86"/>
  <c r="N28"/>
  <c r="M49"/>
  <c r="I49" i="38"/>
  <c r="I36"/>
  <c r="H66"/>
  <c r="H76" i="66" s="1"/>
  <c r="H39" i="38"/>
  <c r="K26"/>
  <c r="K47" s="1"/>
  <c r="J26" i="66" l="1"/>
  <c r="J25"/>
  <c r="H5" i="67"/>
  <c r="H11" s="1"/>
  <c r="AK27" i="66"/>
  <c r="I4" i="67" s="1"/>
  <c r="X5" i="63"/>
  <c r="U5"/>
  <c r="AM46" i="66"/>
  <c r="AI36"/>
  <c r="AI26" s="1"/>
  <c r="G3" i="67" s="1"/>
  <c r="AL49" i="66"/>
  <c r="AL28" s="1"/>
  <c r="L92"/>
  <c r="N32" s="1"/>
  <c r="L79" i="43"/>
  <c r="L86" i="66" s="1"/>
  <c r="R108"/>
  <c r="T48" s="1"/>
  <c r="AN48" s="1"/>
  <c r="R107" i="48"/>
  <c r="R98" i="66" s="1"/>
  <c r="I79"/>
  <c r="K36" s="1"/>
  <c r="K26" s="1"/>
  <c r="I76" i="38"/>
  <c r="I73" i="66" s="1"/>
  <c r="N124"/>
  <c r="P43" s="1"/>
  <c r="P27" s="1"/>
  <c r="N92" i="51"/>
  <c r="N116" i="66" s="1"/>
  <c r="J80"/>
  <c r="L33" s="1"/>
  <c r="J77" i="38"/>
  <c r="J74" i="66" s="1"/>
  <c r="Q110"/>
  <c r="S46" s="1"/>
  <c r="Q109" i="48"/>
  <c r="Q100" i="66" s="1"/>
  <c r="O123"/>
  <c r="Q45" s="1"/>
  <c r="O91" i="51"/>
  <c r="O115" i="66" s="1"/>
  <c r="O109"/>
  <c r="Q49" s="1"/>
  <c r="Q28" s="1"/>
  <c r="O108" i="48"/>
  <c r="O99" i="66" s="1"/>
  <c r="Q107"/>
  <c r="S47" s="1"/>
  <c r="Q106" i="48"/>
  <c r="Q97" i="66" s="1"/>
  <c r="L102" i="51"/>
  <c r="M95"/>
  <c r="J7" i="66"/>
  <c r="L6"/>
  <c r="M6"/>
  <c r="H79" i="38"/>
  <c r="K81" i="43"/>
  <c r="P5" i="63"/>
  <c r="E6" i="64" s="1"/>
  <c r="O5" i="63"/>
  <c r="D6" i="64" s="1"/>
  <c r="R82" i="48"/>
  <c r="R58"/>
  <c r="R94" s="1"/>
  <c r="R102" i="66" s="1"/>
  <c r="P16" i="63"/>
  <c r="E15" i="64" s="1"/>
  <c r="O16" i="63"/>
  <c r="D15" i="64" s="1"/>
  <c r="J8" i="63"/>
  <c r="M99" i="48"/>
  <c r="K71" i="43"/>
  <c r="K37" i="38"/>
  <c r="K67" s="1"/>
  <c r="K77" i="66" s="1"/>
  <c r="K57" i="38"/>
  <c r="P46"/>
  <c r="Q15"/>
  <c r="N51" i="51"/>
  <c r="P28"/>
  <c r="P58" s="1"/>
  <c r="P69" s="1"/>
  <c r="Q28" i="38"/>
  <c r="Q17"/>
  <c r="P17" i="51"/>
  <c r="P59" s="1"/>
  <c r="O70"/>
  <c r="O48"/>
  <c r="O81" s="1"/>
  <c r="O120" i="66" s="1"/>
  <c r="N73" i="51"/>
  <c r="L61" i="43"/>
  <c r="J56" i="38"/>
  <c r="I59"/>
  <c r="M117" i="48"/>
  <c r="L69" i="43"/>
  <c r="L89" i="66" s="1"/>
  <c r="L41" i="43"/>
  <c r="M59"/>
  <c r="K4" i="63" s="1"/>
  <c r="M51" i="43"/>
  <c r="O62" i="51"/>
  <c r="M84"/>
  <c r="M39" i="43"/>
  <c r="S70" i="48"/>
  <c r="S71"/>
  <c r="S83" s="1"/>
  <c r="R59"/>
  <c r="Q95"/>
  <c r="Q103" i="66" s="1"/>
  <c r="Q61" i="48"/>
  <c r="Q97" s="1"/>
  <c r="Q105" i="66" s="1"/>
  <c r="R73" i="48"/>
  <c r="R85" s="1"/>
  <c r="S48"/>
  <c r="P72"/>
  <c r="P84" s="1"/>
  <c r="O47" i="51"/>
  <c r="N80"/>
  <c r="V15"/>
  <c r="Q26"/>
  <c r="O87" i="48"/>
  <c r="O60"/>
  <c r="O75"/>
  <c r="Q15"/>
  <c r="N96"/>
  <c r="N104" i="66" s="1"/>
  <c r="N111" i="48"/>
  <c r="N117" s="1"/>
  <c r="N63"/>
  <c r="G85" i="38"/>
  <c r="G86" s="1"/>
  <c r="H69"/>
  <c r="J86" i="43"/>
  <c r="I87"/>
  <c r="I88" s="1"/>
  <c r="N49"/>
  <c r="O28"/>
  <c r="L26" i="38"/>
  <c r="L47" s="1"/>
  <c r="J36"/>
  <c r="J49"/>
  <c r="I66"/>
  <c r="I76" i="66" s="1"/>
  <c r="I39" i="38"/>
  <c r="B23" i="26"/>
  <c r="B16"/>
  <c r="B22"/>
  <c r="B15"/>
  <c r="B21"/>
  <c r="B14"/>
  <c r="B20"/>
  <c r="B13"/>
  <c r="B19"/>
  <c r="B12"/>
  <c r="B18"/>
  <c r="B11"/>
  <c r="B17"/>
  <c r="B10"/>
  <c r="B4"/>
  <c r="B5"/>
  <c r="B6"/>
  <c r="B7"/>
  <c r="B8"/>
  <c r="B9"/>
  <c r="B3"/>
  <c r="C2"/>
  <c r="C3" s="1"/>
  <c r="Y4" i="63" l="1"/>
  <c r="V4"/>
  <c r="X8"/>
  <c r="X22" s="1"/>
  <c r="U8"/>
  <c r="U22" s="1"/>
  <c r="G2" i="67"/>
  <c r="AL43" i="66"/>
  <c r="AK32"/>
  <c r="AJ33"/>
  <c r="AJ25" s="1"/>
  <c r="N95" i="51"/>
  <c r="N101" s="1"/>
  <c r="F2" i="67"/>
  <c r="M101" i="51"/>
  <c r="R110" i="66"/>
  <c r="T46" s="1"/>
  <c r="R109" i="48"/>
  <c r="R100" i="66" s="1"/>
  <c r="K80"/>
  <c r="M33" s="1"/>
  <c r="K77" i="38"/>
  <c r="K74" i="66" s="1"/>
  <c r="P123"/>
  <c r="R45" s="1"/>
  <c r="AM45" s="1"/>
  <c r="P91" i="51"/>
  <c r="P115" i="66" s="1"/>
  <c r="P109"/>
  <c r="R49" s="1"/>
  <c r="R28" s="1"/>
  <c r="P108" i="48"/>
  <c r="P99" i="66" s="1"/>
  <c r="S108"/>
  <c r="U48" s="1"/>
  <c r="S107" i="48"/>
  <c r="S98" i="66" s="1"/>
  <c r="M92"/>
  <c r="O32" s="1"/>
  <c r="M79" i="43"/>
  <c r="M86" i="66" s="1"/>
  <c r="O124"/>
  <c r="Q43" s="1"/>
  <c r="Q27" s="1"/>
  <c r="O92" i="51"/>
  <c r="O116" i="66" s="1"/>
  <c r="J79"/>
  <c r="L36" s="1"/>
  <c r="J76" i="38"/>
  <c r="J73" i="66" s="1"/>
  <c r="R107"/>
  <c r="T47" s="1"/>
  <c r="AN47" s="1"/>
  <c r="R106" i="48"/>
  <c r="R97" i="66" s="1"/>
  <c r="O15" i="64"/>
  <c r="P6"/>
  <c r="N119" i="66"/>
  <c r="M7"/>
  <c r="L7"/>
  <c r="I79" i="38"/>
  <c r="I85" s="1"/>
  <c r="L81" i="43"/>
  <c r="M116" i="48"/>
  <c r="M118" s="1"/>
  <c r="P14" i="63"/>
  <c r="E11" i="64" s="1"/>
  <c r="O14" i="63"/>
  <c r="D11" i="64" s="1"/>
  <c r="P13" i="63"/>
  <c r="E12" i="64" s="1"/>
  <c r="O13" i="63"/>
  <c r="D12" i="64" s="1"/>
  <c r="S82" i="48"/>
  <c r="S58"/>
  <c r="S94" s="1"/>
  <c r="S102" i="66" s="1"/>
  <c r="O8" i="63"/>
  <c r="D8" i="64" s="1"/>
  <c r="P8" i="63"/>
  <c r="E8" i="64" s="1"/>
  <c r="N99" i="48"/>
  <c r="N116" s="1"/>
  <c r="N118" s="1"/>
  <c r="L71" i="43"/>
  <c r="I69" i="38"/>
  <c r="I84" s="1"/>
  <c r="L57"/>
  <c r="L37"/>
  <c r="L67" s="1"/>
  <c r="L77" i="66" s="1"/>
  <c r="Q46" i="38"/>
  <c r="R15"/>
  <c r="R28"/>
  <c r="Q28" i="51"/>
  <c r="Q58" s="1"/>
  <c r="Q69" s="1"/>
  <c r="J59" i="38"/>
  <c r="P48" i="51"/>
  <c r="P81" s="1"/>
  <c r="P120" i="66" s="1"/>
  <c r="P70" i="51"/>
  <c r="O51"/>
  <c r="Q17"/>
  <c r="Q59" s="1"/>
  <c r="R17" i="38"/>
  <c r="O73" i="51"/>
  <c r="M61" i="43"/>
  <c r="K56" i="38"/>
  <c r="M100" i="51"/>
  <c r="H84" i="38"/>
  <c r="M69" i="43"/>
  <c r="M89" i="66" s="1"/>
  <c r="M41" i="43"/>
  <c r="N59"/>
  <c r="N51"/>
  <c r="N84" i="51"/>
  <c r="N100" s="1"/>
  <c r="P62"/>
  <c r="N39" i="43"/>
  <c r="T71" i="48"/>
  <c r="T83" s="1"/>
  <c r="T70"/>
  <c r="R95"/>
  <c r="R103" i="66" s="1"/>
  <c r="S59" i="48"/>
  <c r="R61"/>
  <c r="R97" s="1"/>
  <c r="R105" i="66" s="1"/>
  <c r="S73" i="48"/>
  <c r="S85" s="1"/>
  <c r="T48"/>
  <c r="Q72"/>
  <c r="Q84" s="1"/>
  <c r="P47" i="51"/>
  <c r="O80"/>
  <c r="R26"/>
  <c r="P87" i="48"/>
  <c r="P60"/>
  <c r="P75"/>
  <c r="O96"/>
  <c r="O104" i="66" s="1"/>
  <c r="O111" i="48"/>
  <c r="O117" s="1"/>
  <c r="O63"/>
  <c r="R15"/>
  <c r="H85" i="38"/>
  <c r="K86" i="43"/>
  <c r="J87"/>
  <c r="J88" s="1"/>
  <c r="P28"/>
  <c r="O49"/>
  <c r="K49" i="38"/>
  <c r="K36"/>
  <c r="M26"/>
  <c r="M47" s="1"/>
  <c r="J39"/>
  <c r="J66"/>
  <c r="J76" i="66" s="1"/>
  <c r="D2" i="26"/>
  <c r="C23"/>
  <c r="C16"/>
  <c r="C22"/>
  <c r="C15"/>
  <c r="C21"/>
  <c r="C14"/>
  <c r="C20"/>
  <c r="C12"/>
  <c r="C18"/>
  <c r="C11"/>
  <c r="C17"/>
  <c r="C10"/>
  <c r="C19"/>
  <c r="C4"/>
  <c r="C5"/>
  <c r="C6"/>
  <c r="C7"/>
  <c r="C8"/>
  <c r="C9"/>
  <c r="C13"/>
  <c r="C2" i="23"/>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X26" i="63" l="1"/>
  <c r="X24"/>
  <c r="X25"/>
  <c r="U26"/>
  <c r="U24"/>
  <c r="U25"/>
  <c r="L26" i="66"/>
  <c r="L25"/>
  <c r="AL27"/>
  <c r="J4" i="67" s="1"/>
  <c r="I5"/>
  <c r="I11" s="1"/>
  <c r="AN46" i="66"/>
  <c r="AJ36"/>
  <c r="AM49"/>
  <c r="AM28" s="1"/>
  <c r="N102" i="51"/>
  <c r="O95"/>
  <c r="O101" s="1"/>
  <c r="M102"/>
  <c r="O12" i="64"/>
  <c r="N92" i="66"/>
  <c r="P32" s="1"/>
  <c r="N79" i="43"/>
  <c r="N86" i="66" s="1"/>
  <c r="K79"/>
  <c r="M36" s="1"/>
  <c r="K76" i="38"/>
  <c r="K73" i="66" s="1"/>
  <c r="S110"/>
  <c r="U46" s="1"/>
  <c r="S109" i="48"/>
  <c r="S100" i="66" s="1"/>
  <c r="S107"/>
  <c r="U47" s="1"/>
  <c r="S106" i="48"/>
  <c r="S97" i="66" s="1"/>
  <c r="P11" i="64"/>
  <c r="Q109" i="66"/>
  <c r="S49" s="1"/>
  <c r="S28" s="1"/>
  <c r="Q108" i="48"/>
  <c r="Q99" i="66" s="1"/>
  <c r="P124"/>
  <c r="R43" s="1"/>
  <c r="R27" s="1"/>
  <c r="P92" i="51"/>
  <c r="P116" i="66" s="1"/>
  <c r="T108"/>
  <c r="V48" s="1"/>
  <c r="AO48" s="1"/>
  <c r="T107" i="48"/>
  <c r="T98" i="66" s="1"/>
  <c r="Q123"/>
  <c r="S45" s="1"/>
  <c r="Q91" i="51"/>
  <c r="Q115" i="66" s="1"/>
  <c r="L80"/>
  <c r="N33" s="1"/>
  <c r="L77" i="38"/>
  <c r="L74" i="66" s="1"/>
  <c r="O8" i="64"/>
  <c r="O6"/>
  <c r="P15"/>
  <c r="O119" i="66"/>
  <c r="M81" i="43"/>
  <c r="J79" i="38"/>
  <c r="I86"/>
  <c r="T82" i="48"/>
  <c r="T58"/>
  <c r="T94" s="1"/>
  <c r="T102" i="66" s="1"/>
  <c r="O99" i="48"/>
  <c r="O116" s="1"/>
  <c r="O118" s="1"/>
  <c r="M71" i="43"/>
  <c r="M37" i="38"/>
  <c r="M67" s="1"/>
  <c r="M77" i="66" s="1"/>
  <c r="M57" i="38"/>
  <c r="K5" i="63" s="1"/>
  <c r="H86" i="38"/>
  <c r="R46"/>
  <c r="S15"/>
  <c r="P51" i="51"/>
  <c r="P73"/>
  <c r="S28" i="38"/>
  <c r="R28" i="51"/>
  <c r="R58" s="1"/>
  <c r="R69" s="1"/>
  <c r="S17" i="38"/>
  <c r="R17" i="51"/>
  <c r="R59" s="1"/>
  <c r="Q48"/>
  <c r="Q81" s="1"/>
  <c r="Q120" i="66" s="1"/>
  <c r="Q70" i="51"/>
  <c r="N61" i="43"/>
  <c r="L56" i="38"/>
  <c r="K59"/>
  <c r="N69" i="43"/>
  <c r="N89" i="66" s="1"/>
  <c r="N41" i="43"/>
  <c r="O59"/>
  <c r="O51"/>
  <c r="Q62" i="51"/>
  <c r="O84"/>
  <c r="O100" s="1"/>
  <c r="O39" i="43"/>
  <c r="S95" i="48"/>
  <c r="S103" i="66" s="1"/>
  <c r="U70" i="48"/>
  <c r="U71"/>
  <c r="U83" s="1"/>
  <c r="T59"/>
  <c r="S61"/>
  <c r="S97" s="1"/>
  <c r="S105" i="66" s="1"/>
  <c r="T73" i="48"/>
  <c r="T85" s="1"/>
  <c r="U48"/>
  <c r="R72"/>
  <c r="R84" s="1"/>
  <c r="Q47" i="51"/>
  <c r="P80"/>
  <c r="S26"/>
  <c r="Q60" i="48"/>
  <c r="Q87"/>
  <c r="Q75"/>
  <c r="S15"/>
  <c r="P96"/>
  <c r="P104" i="66" s="1"/>
  <c r="P111" i="48"/>
  <c r="P117" s="1"/>
  <c r="P63"/>
  <c r="J69" i="38"/>
  <c r="J84" s="1"/>
  <c r="K87" i="43"/>
  <c r="K88" s="1"/>
  <c r="L86"/>
  <c r="P49"/>
  <c r="Q28"/>
  <c r="L36" i="38"/>
  <c r="L49"/>
  <c r="N26"/>
  <c r="N47" s="1"/>
  <c r="K39"/>
  <c r="K66"/>
  <c r="K76" i="66" s="1"/>
  <c r="E2" i="26"/>
  <c r="D23"/>
  <c r="D16"/>
  <c r="D22"/>
  <c r="D15"/>
  <c r="D21"/>
  <c r="D14"/>
  <c r="D20"/>
  <c r="D13"/>
  <c r="D19"/>
  <c r="D12"/>
  <c r="D18"/>
  <c r="D11"/>
  <c r="D17"/>
  <c r="D10"/>
  <c r="D4"/>
  <c r="D5"/>
  <c r="D6"/>
  <c r="D7"/>
  <c r="D8"/>
  <c r="D9"/>
  <c r="D3"/>
  <c r="H2" i="67" l="1"/>
  <c r="AJ26" i="66"/>
  <c r="H3" i="67" s="1"/>
  <c r="M26" i="66"/>
  <c r="M25"/>
  <c r="Y5" i="63"/>
  <c r="V5"/>
  <c r="AM43" i="66"/>
  <c r="AL32"/>
  <c r="AK33"/>
  <c r="AK25" s="1"/>
  <c r="O102" i="51"/>
  <c r="P95"/>
  <c r="P101" s="1"/>
  <c r="P12" i="64"/>
  <c r="O11"/>
  <c r="P8"/>
  <c r="O92" i="66"/>
  <c r="Q32" s="1"/>
  <c r="O79" i="43"/>
  <c r="O86" i="66" s="1"/>
  <c r="Q124"/>
  <c r="S43" s="1"/>
  <c r="S27" s="1"/>
  <c r="Q92" i="51"/>
  <c r="Q116" i="66" s="1"/>
  <c r="R123"/>
  <c r="T45" s="1"/>
  <c r="AN45" s="1"/>
  <c r="R91" i="51"/>
  <c r="R115" i="66" s="1"/>
  <c r="T110"/>
  <c r="V46" s="1"/>
  <c r="T109" i="48"/>
  <c r="T100" i="66" s="1"/>
  <c r="L79"/>
  <c r="N36" s="1"/>
  <c r="L76" i="38"/>
  <c r="L73" i="66" s="1"/>
  <c r="M80"/>
  <c r="O33" s="1"/>
  <c r="O25" s="1"/>
  <c r="M77" i="38"/>
  <c r="M74" i="66" s="1"/>
  <c r="T107"/>
  <c r="V47" s="1"/>
  <c r="AO47" s="1"/>
  <c r="T106" i="48"/>
  <c r="T97" i="66" s="1"/>
  <c r="R109"/>
  <c r="T49" s="1"/>
  <c r="T28" s="1"/>
  <c r="R108" i="48"/>
  <c r="R99" i="66" s="1"/>
  <c r="U108"/>
  <c r="W48" s="1"/>
  <c r="U107" i="48"/>
  <c r="U98" i="66" s="1"/>
  <c r="P119"/>
  <c r="N81" i="43"/>
  <c r="K79" i="38"/>
  <c r="U82" i="48"/>
  <c r="U58"/>
  <c r="U94" s="1"/>
  <c r="U102" i="66" s="1"/>
  <c r="P99" i="48"/>
  <c r="P116" s="1"/>
  <c r="P118" s="1"/>
  <c r="N71" i="43"/>
  <c r="N57" i="38"/>
  <c r="N37"/>
  <c r="N67" s="1"/>
  <c r="N77" i="66" s="1"/>
  <c r="S46" i="38"/>
  <c r="T15"/>
  <c r="L59"/>
  <c r="Q73" i="51"/>
  <c r="S28"/>
  <c r="S58" s="1"/>
  <c r="S69" s="1"/>
  <c r="T28" i="38"/>
  <c r="R70" i="51"/>
  <c r="R48"/>
  <c r="R81" s="1"/>
  <c r="R120" i="66" s="1"/>
  <c r="S17" i="51"/>
  <c r="S59" s="1"/>
  <c r="T17" i="38"/>
  <c r="Q51" i="51"/>
  <c r="O61" i="43"/>
  <c r="M56" i="38"/>
  <c r="K8" i="63" s="1"/>
  <c r="O69" i="43"/>
  <c r="O89" i="66" s="1"/>
  <c r="O41" i="43"/>
  <c r="P59"/>
  <c r="P51"/>
  <c r="P84" i="51"/>
  <c r="P100" s="1"/>
  <c r="R62"/>
  <c r="P39" i="43"/>
  <c r="T95" i="48"/>
  <c r="T103" i="66" s="1"/>
  <c r="V70" i="48"/>
  <c r="V71"/>
  <c r="V83" s="1"/>
  <c r="U59"/>
  <c r="T61"/>
  <c r="T97" s="1"/>
  <c r="T105" i="66" s="1"/>
  <c r="U73" i="48"/>
  <c r="U85" s="1"/>
  <c r="V48"/>
  <c r="S72"/>
  <c r="S84" s="1"/>
  <c r="R47" i="51"/>
  <c r="T26"/>
  <c r="Q80"/>
  <c r="Q96" i="48"/>
  <c r="Q104" i="66" s="1"/>
  <c r="Q111" i="48"/>
  <c r="Q117" s="1"/>
  <c r="Q63"/>
  <c r="T15"/>
  <c r="R60"/>
  <c r="R75"/>
  <c r="J85" i="38"/>
  <c r="J86" s="1"/>
  <c r="K69"/>
  <c r="K84" s="1"/>
  <c r="L87" i="43"/>
  <c r="L88" s="1"/>
  <c r="M86"/>
  <c r="R28"/>
  <c r="Q49"/>
  <c r="M49" i="38"/>
  <c r="M36"/>
  <c r="O26"/>
  <c r="O47" s="1"/>
  <c r="L66"/>
  <c r="L76" i="66" s="1"/>
  <c r="L39" i="38"/>
  <c r="F2" i="26"/>
  <c r="E23"/>
  <c r="E16"/>
  <c r="E22"/>
  <c r="E15"/>
  <c r="E21"/>
  <c r="E14"/>
  <c r="E20"/>
  <c r="E19"/>
  <c r="E12"/>
  <c r="E18"/>
  <c r="E11"/>
  <c r="E17"/>
  <c r="E13"/>
  <c r="E10"/>
  <c r="E3"/>
  <c r="E5"/>
  <c r="E4"/>
  <c r="E8"/>
  <c r="E9"/>
  <c r="E7"/>
  <c r="E6"/>
  <c r="N26" i="66" l="1"/>
  <c r="N25"/>
  <c r="AM27"/>
  <c r="K4" i="67" s="1"/>
  <c r="J5"/>
  <c r="J11" s="1"/>
  <c r="Y8" i="63"/>
  <c r="Y22" s="1"/>
  <c r="V8"/>
  <c r="V22" s="1"/>
  <c r="P102" i="51"/>
  <c r="AO46" i="66"/>
  <c r="AN49"/>
  <c r="AN28" s="1"/>
  <c r="AK36"/>
  <c r="AK26" s="1"/>
  <c r="I3" i="67" s="1"/>
  <c r="Q95" i="51"/>
  <c r="Q101" s="1"/>
  <c r="S109" i="66"/>
  <c r="U49" s="1"/>
  <c r="U28" s="1"/>
  <c r="S108" i="48"/>
  <c r="S99" i="66" s="1"/>
  <c r="P92"/>
  <c r="R32" s="1"/>
  <c r="P79" i="43"/>
  <c r="P86" i="66" s="1"/>
  <c r="N80"/>
  <c r="P33" s="1"/>
  <c r="N77" i="38"/>
  <c r="N74" i="66" s="1"/>
  <c r="M79"/>
  <c r="O36" s="1"/>
  <c r="O26" s="1"/>
  <c r="M76" i="38"/>
  <c r="M73" i="66" s="1"/>
  <c r="U107"/>
  <c r="W47" s="1"/>
  <c r="U106" i="48"/>
  <c r="U97" i="66" s="1"/>
  <c r="U110"/>
  <c r="W46" s="1"/>
  <c r="U109" i="48"/>
  <c r="U100" i="66" s="1"/>
  <c r="R124"/>
  <c r="T43" s="1"/>
  <c r="T27" s="1"/>
  <c r="R92" i="51"/>
  <c r="R116" i="66" s="1"/>
  <c r="S123"/>
  <c r="U45" s="1"/>
  <c r="S91" i="51"/>
  <c r="S115" i="66" s="1"/>
  <c r="V108"/>
  <c r="X48" s="1"/>
  <c r="AP48" s="1"/>
  <c r="V107" i="48"/>
  <c r="V98" i="66" s="1"/>
  <c r="B98" s="1"/>
  <c r="B48" s="1"/>
  <c r="Q119"/>
  <c r="L20" i="63"/>
  <c r="K20" i="66"/>
  <c r="L79" i="38"/>
  <c r="O81" i="43"/>
  <c r="V82" i="48"/>
  <c r="V58"/>
  <c r="V94" s="1"/>
  <c r="V102" i="66" s="1"/>
  <c r="Q99" i="48"/>
  <c r="Q116" s="1"/>
  <c r="Q118" s="1"/>
  <c r="O71" i="43"/>
  <c r="O57" i="38"/>
  <c r="O37"/>
  <c r="O67" s="1"/>
  <c r="O77" i="66" s="1"/>
  <c r="T46" i="38"/>
  <c r="U15"/>
  <c r="R51" i="51"/>
  <c r="T28"/>
  <c r="T58" s="1"/>
  <c r="T69" s="1"/>
  <c r="U28" i="38"/>
  <c r="S48" i="51"/>
  <c r="S81" s="1"/>
  <c r="S120" i="66" s="1"/>
  <c r="S70" i="51"/>
  <c r="T17"/>
  <c r="T59" s="1"/>
  <c r="U17" i="38"/>
  <c r="P61" i="43"/>
  <c r="N56" i="38"/>
  <c r="P69" i="43"/>
  <c r="P89" i="66" s="1"/>
  <c r="P41" i="43"/>
  <c r="Q59"/>
  <c r="Q51"/>
  <c r="Q84" i="51"/>
  <c r="Q100" s="1"/>
  <c r="S62"/>
  <c r="R73"/>
  <c r="M59" i="38"/>
  <c r="R87" i="48"/>
  <c r="Q39" i="43"/>
  <c r="U95" i="48"/>
  <c r="U103" i="66" s="1"/>
  <c r="V59" i="48"/>
  <c r="U61"/>
  <c r="U97" s="1"/>
  <c r="U105" i="66" s="1"/>
  <c r="V73" i="48"/>
  <c r="V85" s="1"/>
  <c r="T72"/>
  <c r="T84" s="1"/>
  <c r="S47" i="51"/>
  <c r="U26"/>
  <c r="R80"/>
  <c r="R119" i="66" s="1"/>
  <c r="S87" i="48"/>
  <c r="S60"/>
  <c r="S75"/>
  <c r="R96"/>
  <c r="R104" i="66" s="1"/>
  <c r="R63" i="48"/>
  <c r="R111"/>
  <c r="U15"/>
  <c r="L69" i="38"/>
  <c r="L84" s="1"/>
  <c r="K85"/>
  <c r="K86" s="1"/>
  <c r="M87" i="43"/>
  <c r="M88" s="1"/>
  <c r="N86"/>
  <c r="S28"/>
  <c r="R49"/>
  <c r="P26" i="38"/>
  <c r="P47" s="1"/>
  <c r="M66"/>
  <c r="M76" i="66" s="1"/>
  <c r="M39" i="38"/>
  <c r="N49"/>
  <c r="N36"/>
  <c r="G2" i="26"/>
  <c r="F23"/>
  <c r="F22"/>
  <c r="F21"/>
  <c r="F16"/>
  <c r="F15"/>
  <c r="F13"/>
  <c r="F12"/>
  <c r="F11"/>
  <c r="F14"/>
  <c r="F18"/>
  <c r="F20"/>
  <c r="F19"/>
  <c r="F4"/>
  <c r="F5"/>
  <c r="F6"/>
  <c r="F7"/>
  <c r="F8"/>
  <c r="F17"/>
  <c r="F10"/>
  <c r="F3"/>
  <c r="F9"/>
  <c r="B29" i="20"/>
  <c r="A29"/>
  <c r="B28"/>
  <c r="A28"/>
  <c r="B20"/>
  <c r="A20"/>
  <c r="B15"/>
  <c r="A15"/>
  <c r="Y26" i="63" l="1"/>
  <c r="Y24"/>
  <c r="Y25"/>
  <c r="V25"/>
  <c r="V26"/>
  <c r="V24"/>
  <c r="Z20"/>
  <c r="W20"/>
  <c r="AM32" i="66"/>
  <c r="I2" i="67"/>
  <c r="AN43" i="66"/>
  <c r="AL33"/>
  <c r="AL25" s="1"/>
  <c r="Q102" i="51"/>
  <c r="B102" i="66"/>
  <c r="C47" s="1"/>
  <c r="V110"/>
  <c r="X46" s="1"/>
  <c r="V109" i="48"/>
  <c r="V100" i="66" s="1"/>
  <c r="B100" s="1"/>
  <c r="B46" s="1"/>
  <c r="Y48"/>
  <c r="T109"/>
  <c r="V49" s="1"/>
  <c r="V28" s="1"/>
  <c r="T108" i="48"/>
  <c r="T99" i="66" s="1"/>
  <c r="S124"/>
  <c r="U43" s="1"/>
  <c r="U27" s="1"/>
  <c r="S92" i="51"/>
  <c r="S116" i="66" s="1"/>
  <c r="N79"/>
  <c r="P36" s="1"/>
  <c r="N76" i="38"/>
  <c r="N73" i="66" s="1"/>
  <c r="T123"/>
  <c r="V45" s="1"/>
  <c r="AO45" s="1"/>
  <c r="T91" i="51"/>
  <c r="T115" i="66" s="1"/>
  <c r="O80"/>
  <c r="Q33" s="1"/>
  <c r="O77" i="38"/>
  <c r="O74" i="66" s="1"/>
  <c r="V107"/>
  <c r="X47" s="1"/>
  <c r="AP47" s="1"/>
  <c r="V106" i="48"/>
  <c r="V97" i="66" s="1"/>
  <c r="B97" s="1"/>
  <c r="Q92"/>
  <c r="S32" s="1"/>
  <c r="Q79" i="43"/>
  <c r="Q86" i="66" s="1"/>
  <c r="R95" i="51"/>
  <c r="K19" i="66"/>
  <c r="L19" i="63"/>
  <c r="L18"/>
  <c r="K18" i="66"/>
  <c r="M79" i="38"/>
  <c r="P81" i="43"/>
  <c r="R99" i="48"/>
  <c r="P71" i="43"/>
  <c r="P37" i="38"/>
  <c r="P67" s="1"/>
  <c r="P77" i="66" s="1"/>
  <c r="P57" i="38"/>
  <c r="U46"/>
  <c r="V15"/>
  <c r="S73" i="51"/>
  <c r="S51"/>
  <c r="V28" i="38"/>
  <c r="U28" i="51"/>
  <c r="U58" s="1"/>
  <c r="U69" s="1"/>
  <c r="T48"/>
  <c r="T81" s="1"/>
  <c r="T120" i="66" s="1"/>
  <c r="T70" i="51"/>
  <c r="U17"/>
  <c r="U59" s="1"/>
  <c r="V17" i="38"/>
  <c r="N59"/>
  <c r="Q61" i="43"/>
  <c r="O56" i="38"/>
  <c r="R117" i="48"/>
  <c r="R59" i="43"/>
  <c r="R51"/>
  <c r="Q69"/>
  <c r="Q89" i="66" s="1"/>
  <c r="Q41" i="43"/>
  <c r="R84" i="51"/>
  <c r="T62"/>
  <c r="R39" i="43"/>
  <c r="V95" i="48"/>
  <c r="V103" i="66" s="1"/>
  <c r="B103" s="1"/>
  <c r="V61" i="48"/>
  <c r="V97" s="1"/>
  <c r="V105" i="66" s="1"/>
  <c r="B105" s="1"/>
  <c r="C46" s="1"/>
  <c r="U72" i="48"/>
  <c r="U84" s="1"/>
  <c r="T47" i="51"/>
  <c r="S80"/>
  <c r="V26"/>
  <c r="S96" i="48"/>
  <c r="S104" i="66" s="1"/>
  <c r="S63" i="48"/>
  <c r="S111"/>
  <c r="S117" s="1"/>
  <c r="T87"/>
  <c r="T60"/>
  <c r="T75"/>
  <c r="V15"/>
  <c r="L85" i="38"/>
  <c r="L86" s="1"/>
  <c r="M69"/>
  <c r="N87" i="43"/>
  <c r="N88" s="1"/>
  <c r="O86"/>
  <c r="S49"/>
  <c r="T28"/>
  <c r="Q26" i="38"/>
  <c r="Q47" s="1"/>
  <c r="N66"/>
  <c r="N76" i="66" s="1"/>
  <c r="N39" i="38"/>
  <c r="O49"/>
  <c r="O36"/>
  <c r="H2" i="26"/>
  <c r="G23"/>
  <c r="G16"/>
  <c r="G22"/>
  <c r="G15"/>
  <c r="G21"/>
  <c r="G14"/>
  <c r="G20"/>
  <c r="G13"/>
  <c r="G19"/>
  <c r="G12"/>
  <c r="G18"/>
  <c r="G11"/>
  <c r="G17"/>
  <c r="G10"/>
  <c r="G4"/>
  <c r="G5"/>
  <c r="G6"/>
  <c r="G7"/>
  <c r="G8"/>
  <c r="G9"/>
  <c r="G3"/>
  <c r="B10" i="20"/>
  <c r="A10"/>
  <c r="P26" i="66" l="1"/>
  <c r="P25"/>
  <c r="AN27"/>
  <c r="L4" i="67" s="1"/>
  <c r="K5"/>
  <c r="K11" s="1"/>
  <c r="W19" i="63"/>
  <c r="Z19"/>
  <c r="Z18"/>
  <c r="W18"/>
  <c r="AL36" i="66"/>
  <c r="AO49"/>
  <c r="AO28" s="1"/>
  <c r="AP46"/>
  <c r="S95" i="51"/>
  <c r="S101" s="1"/>
  <c r="R101"/>
  <c r="T124" i="66"/>
  <c r="V43" s="1"/>
  <c r="V27" s="1"/>
  <c r="T92" i="51"/>
  <c r="T116" i="66" s="1"/>
  <c r="Y46"/>
  <c r="B108"/>
  <c r="C48"/>
  <c r="R92"/>
  <c r="T32" s="1"/>
  <c r="R79" i="43"/>
  <c r="R86" i="66" s="1"/>
  <c r="Y47"/>
  <c r="U109"/>
  <c r="W49" s="1"/>
  <c r="W28" s="1"/>
  <c r="U108" i="48"/>
  <c r="U99" i="66" s="1"/>
  <c r="U123"/>
  <c r="W45" s="1"/>
  <c r="U91" i="51"/>
  <c r="U115" i="66" s="1"/>
  <c r="O79"/>
  <c r="Q36" s="1"/>
  <c r="O76" i="38"/>
  <c r="O73" i="66" s="1"/>
  <c r="P80"/>
  <c r="R33" s="1"/>
  <c r="R25" s="1"/>
  <c r="P77" i="38"/>
  <c r="P74" i="66" s="1"/>
  <c r="B107"/>
  <c r="B47"/>
  <c r="S119"/>
  <c r="B110"/>
  <c r="Q81" i="43"/>
  <c r="N79" i="38"/>
  <c r="N85" s="1"/>
  <c r="O10" i="63"/>
  <c r="D10" i="64" s="1"/>
  <c r="P10" i="63"/>
  <c r="E10" i="64" s="1"/>
  <c r="J23" i="63"/>
  <c r="R116" i="48"/>
  <c r="R118" s="1"/>
  <c r="S99"/>
  <c r="S116" s="1"/>
  <c r="S118" s="1"/>
  <c r="Q71" i="43"/>
  <c r="N69" i="38"/>
  <c r="N84" s="1"/>
  <c r="Q37"/>
  <c r="Q67" s="1"/>
  <c r="Q77" i="66" s="1"/>
  <c r="Q57" i="38"/>
  <c r="V46"/>
  <c r="O59"/>
  <c r="T73" i="51"/>
  <c r="V28"/>
  <c r="V58" s="1"/>
  <c r="V69" s="1"/>
  <c r="U48"/>
  <c r="U81" s="1"/>
  <c r="U120" i="66" s="1"/>
  <c r="U70" i="51"/>
  <c r="T51"/>
  <c r="V17"/>
  <c r="V59" s="1"/>
  <c r="R61" i="43"/>
  <c r="P56" i="38"/>
  <c r="R100" i="51"/>
  <c r="M84" i="38"/>
  <c r="R69" i="43"/>
  <c r="R89" i="66" s="1"/>
  <c r="R41" i="43"/>
  <c r="S59"/>
  <c r="S51"/>
  <c r="U62" i="51"/>
  <c r="S84"/>
  <c r="S100" s="1"/>
  <c r="S39" i="43"/>
  <c r="V72" i="48"/>
  <c r="V84" s="1"/>
  <c r="T80" i="51"/>
  <c r="U47"/>
  <c r="T96" i="48"/>
  <c r="T104" i="66" s="1"/>
  <c r="T63" i="48"/>
  <c r="T111"/>
  <c r="T117" s="1"/>
  <c r="U60"/>
  <c r="U87"/>
  <c r="U75"/>
  <c r="M85" i="38"/>
  <c r="O87" i="43"/>
  <c r="O88" s="1"/>
  <c r="P86"/>
  <c r="T49"/>
  <c r="U28"/>
  <c r="R26" i="38"/>
  <c r="R47" s="1"/>
  <c r="P36"/>
  <c r="P49"/>
  <c r="O39"/>
  <c r="O66"/>
  <c r="O76" i="66" s="1"/>
  <c r="I2" i="26"/>
  <c r="H23"/>
  <c r="H16"/>
  <c r="H22"/>
  <c r="H15"/>
  <c r="H21"/>
  <c r="H14"/>
  <c r="H20"/>
  <c r="H13"/>
  <c r="H19"/>
  <c r="H12"/>
  <c r="H18"/>
  <c r="H11"/>
  <c r="H17"/>
  <c r="H4"/>
  <c r="H5"/>
  <c r="H6"/>
  <c r="H7"/>
  <c r="H8"/>
  <c r="H9"/>
  <c r="H10"/>
  <c r="H3"/>
  <c r="G26" i="63" l="1"/>
  <c r="G27"/>
  <c r="G31"/>
  <c r="G25"/>
  <c r="G28"/>
  <c r="G32"/>
  <c r="G33"/>
  <c r="J2" i="67"/>
  <c r="AL26" i="66"/>
  <c r="J3" i="67" s="1"/>
  <c r="M3" i="63"/>
  <c r="F36" s="1"/>
  <c r="Q26" i="66"/>
  <c r="Q25"/>
  <c r="AO43"/>
  <c r="AN32"/>
  <c r="AM33"/>
  <c r="AM25" s="1"/>
  <c r="O10" i="64"/>
  <c r="S102" i="51"/>
  <c r="R102"/>
  <c r="T95"/>
  <c r="T101" s="1"/>
  <c r="P79" i="66"/>
  <c r="R36" s="1"/>
  <c r="R26" s="1"/>
  <c r="P76" i="38"/>
  <c r="P73" i="66" s="1"/>
  <c r="V109"/>
  <c r="X49" s="1"/>
  <c r="X28" s="1"/>
  <c r="V108" i="48"/>
  <c r="V99" i="66" s="1"/>
  <c r="B99" s="1"/>
  <c r="B49" s="1"/>
  <c r="V123"/>
  <c r="X45" s="1"/>
  <c r="AP45" s="1"/>
  <c r="V91" i="51"/>
  <c r="V115" i="66" s="1"/>
  <c r="B115" s="1"/>
  <c r="S92"/>
  <c r="U32" s="1"/>
  <c r="S79" i="43"/>
  <c r="S86" i="66" s="1"/>
  <c r="U124"/>
  <c r="W43" s="1"/>
  <c r="W27" s="1"/>
  <c r="U92" i="51"/>
  <c r="U116" i="66" s="1"/>
  <c r="Q80"/>
  <c r="S33" s="1"/>
  <c r="S25" s="1"/>
  <c r="Q77" i="38"/>
  <c r="Q74" i="66" s="1"/>
  <c r="T119"/>
  <c r="L21" i="63"/>
  <c r="K21" i="66"/>
  <c r="D20" i="63"/>
  <c r="D20" i="66"/>
  <c r="K17"/>
  <c r="L17" i="63"/>
  <c r="R81" i="43"/>
  <c r="O79" i="38"/>
  <c r="O85" s="1"/>
  <c r="N86"/>
  <c r="T99" i="48"/>
  <c r="T116" s="1"/>
  <c r="T118" s="1"/>
  <c r="R71" i="43"/>
  <c r="O69" i="38"/>
  <c r="O84" s="1"/>
  <c r="R57"/>
  <c r="R37"/>
  <c r="R67" s="1"/>
  <c r="R77" i="66" s="1"/>
  <c r="M86" i="38"/>
  <c r="U51" i="51"/>
  <c r="U73"/>
  <c r="V48"/>
  <c r="V81" s="1"/>
  <c r="V120" i="66" s="1"/>
  <c r="V70" i="51"/>
  <c r="S61" i="43"/>
  <c r="P59" i="38"/>
  <c r="Q56"/>
  <c r="T59" i="43"/>
  <c r="T51"/>
  <c r="S69"/>
  <c r="S89" i="66" s="1"/>
  <c r="S41" i="43"/>
  <c r="T84" i="51"/>
  <c r="T100" s="1"/>
  <c r="V62"/>
  <c r="T39" i="43"/>
  <c r="V47" i="51"/>
  <c r="U80"/>
  <c r="V87" i="48"/>
  <c r="V60"/>
  <c r="V75"/>
  <c r="U96"/>
  <c r="U104" i="66" s="1"/>
  <c r="U111" i="48"/>
  <c r="U117" s="1"/>
  <c r="U63"/>
  <c r="P87" i="43"/>
  <c r="P88" s="1"/>
  <c r="Q86"/>
  <c r="V28"/>
  <c r="U49"/>
  <c r="Q49" i="38"/>
  <c r="Q36"/>
  <c r="P66"/>
  <c r="P76" i="66" s="1"/>
  <c r="P39" i="38"/>
  <c r="S26"/>
  <c r="S47" s="1"/>
  <c r="J2" i="26"/>
  <c r="I23"/>
  <c r="I16"/>
  <c r="I22"/>
  <c r="I15"/>
  <c r="I21"/>
  <c r="I12"/>
  <c r="I18"/>
  <c r="I11"/>
  <c r="I17"/>
  <c r="I14"/>
  <c r="I20"/>
  <c r="I19"/>
  <c r="I10"/>
  <c r="I3"/>
  <c r="I13"/>
  <c r="I6"/>
  <c r="I5"/>
  <c r="I9"/>
  <c r="I4"/>
  <c r="I8"/>
  <c r="I7"/>
  <c r="L5" i="67" l="1"/>
  <c r="L11" s="1"/>
  <c r="AO27" i="66"/>
  <c r="M4" i="67" s="1"/>
  <c r="Z17" i="63"/>
  <c r="W17"/>
  <c r="Z21"/>
  <c r="W21"/>
  <c r="AP49" i="66"/>
  <c r="AP28" s="1"/>
  <c r="AM36"/>
  <c r="T102" i="51"/>
  <c r="P10" i="64"/>
  <c r="U95" i="51"/>
  <c r="U101" s="1"/>
  <c r="T92" i="66"/>
  <c r="V32" s="1"/>
  <c r="T79" i="43"/>
  <c r="T86" i="66" s="1"/>
  <c r="V124"/>
  <c r="X43" s="1"/>
  <c r="X27" s="1"/>
  <c r="V92" i="51"/>
  <c r="V116" i="66" s="1"/>
  <c r="B116" s="1"/>
  <c r="Q79"/>
  <c r="S36" s="1"/>
  <c r="S26" s="1"/>
  <c r="Q76" i="38"/>
  <c r="Q73" i="66" s="1"/>
  <c r="Q20" i="63"/>
  <c r="R20"/>
  <c r="Y45" i="66"/>
  <c r="R80"/>
  <c r="T33" s="1"/>
  <c r="R77" i="38"/>
  <c r="R74" i="66" s="1"/>
  <c r="Y49"/>
  <c r="U119"/>
  <c r="B120"/>
  <c r="D18" i="63"/>
  <c r="D18" i="66"/>
  <c r="K14"/>
  <c r="L15" i="63"/>
  <c r="D19"/>
  <c r="D19" i="66"/>
  <c r="N20"/>
  <c r="O20"/>
  <c r="D53" i="63"/>
  <c r="P79" i="38"/>
  <c r="P85" s="1"/>
  <c r="S81" i="43"/>
  <c r="U99" i="48"/>
  <c r="U116" s="1"/>
  <c r="U118" s="1"/>
  <c r="S71" i="43"/>
  <c r="P69" i="38"/>
  <c r="P84" s="1"/>
  <c r="O86"/>
  <c r="S37"/>
  <c r="S67" s="1"/>
  <c r="S77" i="66" s="1"/>
  <c r="S57" i="38"/>
  <c r="V51" i="51"/>
  <c r="V73"/>
  <c r="T61" i="43"/>
  <c r="R56" i="38"/>
  <c r="Q59"/>
  <c r="U59" i="43"/>
  <c r="U51"/>
  <c r="T69"/>
  <c r="T89" i="66" s="1"/>
  <c r="T41" i="43"/>
  <c r="U84" i="51"/>
  <c r="U100" s="1"/>
  <c r="U39" i="43"/>
  <c r="V80" i="51"/>
  <c r="V119" i="66" s="1"/>
  <c r="V96" i="48"/>
  <c r="V104" i="66" s="1"/>
  <c r="B104" s="1"/>
  <c r="V63" i="48"/>
  <c r="V111"/>
  <c r="V117" s="1"/>
  <c r="R86" i="43"/>
  <c r="Q87"/>
  <c r="Q88" s="1"/>
  <c r="V49"/>
  <c r="T26" i="38"/>
  <c r="T47" s="1"/>
  <c r="R49"/>
  <c r="R36"/>
  <c r="Q39"/>
  <c r="Q66"/>
  <c r="Q76" i="66" s="1"/>
  <c r="K2" i="26"/>
  <c r="J19"/>
  <c r="J13"/>
  <c r="J16"/>
  <c r="J15"/>
  <c r="J14"/>
  <c r="J20"/>
  <c r="J23"/>
  <c r="J21"/>
  <c r="J12"/>
  <c r="J11"/>
  <c r="J10"/>
  <c r="J22"/>
  <c r="J18"/>
  <c r="J17"/>
  <c r="J4"/>
  <c r="J5"/>
  <c r="J6"/>
  <c r="J7"/>
  <c r="J8"/>
  <c r="J3"/>
  <c r="J9"/>
  <c r="K2" i="67" l="1"/>
  <c r="AM26" i="66"/>
  <c r="K3" i="67" s="1"/>
  <c r="Z15" i="63"/>
  <c r="W15"/>
  <c r="AP43" i="66"/>
  <c r="AO32"/>
  <c r="AN33"/>
  <c r="AN25" s="1"/>
  <c r="U102" i="51"/>
  <c r="R79" i="66"/>
  <c r="T36" s="1"/>
  <c r="R76" i="38"/>
  <c r="R73" i="66" s="1"/>
  <c r="S80"/>
  <c r="U33" s="1"/>
  <c r="S77" i="38"/>
  <c r="S74" i="66" s="1"/>
  <c r="S20" i="63"/>
  <c r="R19"/>
  <c r="Q18"/>
  <c r="R18"/>
  <c r="Y43" i="66"/>
  <c r="B109"/>
  <c r="C49"/>
  <c r="U92"/>
  <c r="W32" s="1"/>
  <c r="U79" i="43"/>
  <c r="U86" i="66" s="1"/>
  <c r="S19" i="63"/>
  <c r="C43" i="66"/>
  <c r="B45"/>
  <c r="V95" i="51"/>
  <c r="V101" s="1"/>
  <c r="B119" i="66"/>
  <c r="Q19" i="63"/>
  <c r="S18"/>
  <c r="D51"/>
  <c r="N18" i="66"/>
  <c r="O18"/>
  <c r="N19"/>
  <c r="O19"/>
  <c r="D52" i="63"/>
  <c r="T81" i="43"/>
  <c r="Q79" i="38"/>
  <c r="P86"/>
  <c r="V99" i="48"/>
  <c r="V116" s="1"/>
  <c r="V118" s="1"/>
  <c r="T71" i="43"/>
  <c r="T37" i="38"/>
  <c r="T67" s="1"/>
  <c r="T77" i="66" s="1"/>
  <c r="T57" i="38"/>
  <c r="U61" i="43"/>
  <c r="S56" i="38"/>
  <c r="V59" i="43"/>
  <c r="V51"/>
  <c r="U69"/>
  <c r="U89" i="66" s="1"/>
  <c r="U41" i="43"/>
  <c r="V84" i="51"/>
  <c r="V100" s="1"/>
  <c r="R59" i="38"/>
  <c r="V39" i="43"/>
  <c r="Q69" i="38"/>
  <c r="Q84" s="1"/>
  <c r="R87" i="43"/>
  <c r="R88" s="1"/>
  <c r="S86"/>
  <c r="R66" i="38"/>
  <c r="R76" i="66" s="1"/>
  <c r="R39" i="38"/>
  <c r="S49"/>
  <c r="S36"/>
  <c r="U26"/>
  <c r="U47" s="1"/>
  <c r="L2" i="26"/>
  <c r="K23"/>
  <c r="K16"/>
  <c r="K22"/>
  <c r="K15"/>
  <c r="K21"/>
  <c r="K14"/>
  <c r="K20"/>
  <c r="K12"/>
  <c r="K18"/>
  <c r="K11"/>
  <c r="K17"/>
  <c r="K10"/>
  <c r="K13"/>
  <c r="K19"/>
  <c r="K4"/>
  <c r="K5"/>
  <c r="K6"/>
  <c r="K7"/>
  <c r="K8"/>
  <c r="K9"/>
  <c r="K3"/>
  <c r="T26" i="66" l="1"/>
  <c r="T25"/>
  <c r="AP27"/>
  <c r="N4" i="67" s="1"/>
  <c r="M5"/>
  <c r="M11" s="1"/>
  <c r="B123" i="66"/>
  <c r="C45"/>
  <c r="AN36"/>
  <c r="AN26" s="1"/>
  <c r="L3" i="67"/>
  <c r="V92" i="66"/>
  <c r="X32" s="1"/>
  <c r="V79" i="43"/>
  <c r="V86" i="66" s="1"/>
  <c r="B86" s="1"/>
  <c r="B32" s="1"/>
  <c r="V102" i="51"/>
  <c r="S79" i="66"/>
  <c r="U36" s="1"/>
  <c r="S76" i="38"/>
  <c r="S73" i="66" s="1"/>
  <c r="T80"/>
  <c r="V33" s="1"/>
  <c r="T77" i="38"/>
  <c r="T74" i="66" s="1"/>
  <c r="B124"/>
  <c r="B43"/>
  <c r="K3"/>
  <c r="L4" i="63"/>
  <c r="R79" i="38"/>
  <c r="U81" i="43"/>
  <c r="U71"/>
  <c r="U37" i="38"/>
  <c r="U67" s="1"/>
  <c r="U77" i="66" s="1"/>
  <c r="U57" i="38"/>
  <c r="V61" i="43"/>
  <c r="S59" i="38"/>
  <c r="T56"/>
  <c r="V69" i="43"/>
  <c r="V89" i="66" s="1"/>
  <c r="B89" s="1"/>
  <c r="C32" s="1"/>
  <c r="V41" i="43"/>
  <c r="Q85" i="38"/>
  <c r="Q86" s="1"/>
  <c r="R69"/>
  <c r="S87" i="43"/>
  <c r="S88" s="1"/>
  <c r="T86"/>
  <c r="V26" i="38"/>
  <c r="V47" s="1"/>
  <c r="S66"/>
  <c r="S76" i="66" s="1"/>
  <c r="S39" i="38"/>
  <c r="T36"/>
  <c r="T49"/>
  <c r="M2" i="26"/>
  <c r="L23"/>
  <c r="L16"/>
  <c r="L22"/>
  <c r="L15"/>
  <c r="L21"/>
  <c r="L14"/>
  <c r="L20"/>
  <c r="L13"/>
  <c r="L19"/>
  <c r="L12"/>
  <c r="L18"/>
  <c r="L11"/>
  <c r="L17"/>
  <c r="L4"/>
  <c r="L5"/>
  <c r="L6"/>
  <c r="L7"/>
  <c r="L8"/>
  <c r="L9"/>
  <c r="L10"/>
  <c r="L3"/>
  <c r="U26" i="66" l="1"/>
  <c r="U25"/>
  <c r="W4" i="63"/>
  <c r="Z4"/>
  <c r="AP32" i="66"/>
  <c r="L2" i="67"/>
  <c r="AO33" i="66"/>
  <c r="AO25" s="1"/>
  <c r="Y32"/>
  <c r="U80"/>
  <c r="W33" s="1"/>
  <c r="W25" s="1"/>
  <c r="U77" i="38"/>
  <c r="U74" i="66" s="1"/>
  <c r="T79"/>
  <c r="V36" s="1"/>
  <c r="T76" i="38"/>
  <c r="T73" i="66" s="1"/>
  <c r="B92"/>
  <c r="D15" i="63"/>
  <c r="D14" i="66"/>
  <c r="D21" i="63"/>
  <c r="H28" s="1"/>
  <c r="D21" i="66"/>
  <c r="S79" i="38"/>
  <c r="V81" i="43"/>
  <c r="V71"/>
  <c r="V37" i="38"/>
  <c r="V67" s="1"/>
  <c r="V77" i="66" s="1"/>
  <c r="V57" i="38"/>
  <c r="T59"/>
  <c r="U56"/>
  <c r="R84"/>
  <c r="R85"/>
  <c r="S69"/>
  <c r="S84" s="1"/>
  <c r="U86" i="43"/>
  <c r="T87"/>
  <c r="T88" s="1"/>
  <c r="U49" i="38"/>
  <c r="U36"/>
  <c r="T66"/>
  <c r="T76" i="66" s="1"/>
  <c r="T39" i="38"/>
  <c r="N2" i="26"/>
  <c r="M23"/>
  <c r="M16"/>
  <c r="M22"/>
  <c r="M15"/>
  <c r="M21"/>
  <c r="M14"/>
  <c r="M20"/>
  <c r="M13"/>
  <c r="M12"/>
  <c r="M18"/>
  <c r="M11"/>
  <c r="M17"/>
  <c r="M19"/>
  <c r="M3"/>
  <c r="M10"/>
  <c r="M7"/>
  <c r="M6"/>
  <c r="M8"/>
  <c r="M5"/>
  <c r="M4"/>
  <c r="M9"/>
  <c r="N5" i="67" l="1"/>
  <c r="N11" s="1"/>
  <c r="V26" i="66"/>
  <c r="V25"/>
  <c r="B21" i="67"/>
  <c r="R15" i="63"/>
  <c r="Q15"/>
  <c r="R16"/>
  <c r="AO36" i="66"/>
  <c r="S16" i="63"/>
  <c r="Q21"/>
  <c r="R21"/>
  <c r="E28" s="1"/>
  <c r="V80" i="66"/>
  <c r="X33" s="1"/>
  <c r="V77" i="38"/>
  <c r="V74" i="66" s="1"/>
  <c r="U79"/>
  <c r="W36" s="1"/>
  <c r="W26" s="1"/>
  <c r="U76" i="38"/>
  <c r="U73" i="66" s="1"/>
  <c r="S3" i="63"/>
  <c r="R3"/>
  <c r="S21"/>
  <c r="F28" s="1"/>
  <c r="B77" i="66"/>
  <c r="C33" s="1"/>
  <c r="Q3" i="63"/>
  <c r="L5"/>
  <c r="K6" i="66"/>
  <c r="O14"/>
  <c r="N14"/>
  <c r="D17" i="63"/>
  <c r="S17" s="1"/>
  <c r="D17" i="66"/>
  <c r="N21"/>
  <c r="O21"/>
  <c r="T79" i="38"/>
  <c r="R86"/>
  <c r="U59"/>
  <c r="V56"/>
  <c r="S85"/>
  <c r="S86" s="1"/>
  <c r="T69"/>
  <c r="T84" s="1"/>
  <c r="U87" i="43"/>
  <c r="U88" s="1"/>
  <c r="V86"/>
  <c r="U39" i="38"/>
  <c r="U66"/>
  <c r="U76" i="66" s="1"/>
  <c r="V49" i="38"/>
  <c r="V36"/>
  <c r="O2" i="26"/>
  <c r="N16"/>
  <c r="N15"/>
  <c r="N23"/>
  <c r="N22"/>
  <c r="N21"/>
  <c r="N19"/>
  <c r="N20"/>
  <c r="N13"/>
  <c r="N18"/>
  <c r="N17"/>
  <c r="N10"/>
  <c r="N14"/>
  <c r="N12"/>
  <c r="N4"/>
  <c r="N5"/>
  <c r="N6"/>
  <c r="N7"/>
  <c r="N8"/>
  <c r="N9"/>
  <c r="N11"/>
  <c r="N3"/>
  <c r="H27" i="63" l="1"/>
  <c r="M2" i="67"/>
  <c r="AO26" i="66"/>
  <c r="M3" i="67" s="1"/>
  <c r="D28" i="63"/>
  <c r="B60" i="67" s="1"/>
  <c r="D21"/>
  <c r="C16"/>
  <c r="D16" s="1"/>
  <c r="E16" s="1"/>
  <c r="F16" s="1"/>
  <c r="G16" s="1"/>
  <c r="H16" s="1"/>
  <c r="I16" s="1"/>
  <c r="J16" s="1"/>
  <c r="K16" s="1"/>
  <c r="L16" s="1"/>
  <c r="M16" s="1"/>
  <c r="N16" s="1"/>
  <c r="Z5" i="63"/>
  <c r="W5"/>
  <c r="AP33" i="66"/>
  <c r="AP25" s="1"/>
  <c r="B74"/>
  <c r="B80" s="1"/>
  <c r="R17" i="63"/>
  <c r="Q17"/>
  <c r="D49"/>
  <c r="V79" i="66"/>
  <c r="X36" s="1"/>
  <c r="V76" i="38"/>
  <c r="V73" i="66" s="1"/>
  <c r="D50" i="63"/>
  <c r="R14"/>
  <c r="E27" s="1"/>
  <c r="Y33" i="66"/>
  <c r="Q14" i="63"/>
  <c r="S14"/>
  <c r="K7" i="66"/>
  <c r="L8" i="63"/>
  <c r="D4"/>
  <c r="D3" i="66"/>
  <c r="N17"/>
  <c r="O17"/>
  <c r="U79" i="38"/>
  <c r="V59"/>
  <c r="U69"/>
  <c r="U84" s="1"/>
  <c r="T85"/>
  <c r="T86" s="1"/>
  <c r="V87" i="43"/>
  <c r="V88" s="1"/>
  <c r="V66" i="38"/>
  <c r="V76" i="66" s="1"/>
  <c r="B76" s="1"/>
  <c r="C36" s="1"/>
  <c r="V39" i="38"/>
  <c r="P2" i="26"/>
  <c r="O23"/>
  <c r="O16"/>
  <c r="O22"/>
  <c r="O15"/>
  <c r="O21"/>
  <c r="O14"/>
  <c r="O20"/>
  <c r="O19"/>
  <c r="O13"/>
  <c r="O12"/>
  <c r="O18"/>
  <c r="O11"/>
  <c r="O17"/>
  <c r="O10"/>
  <c r="O4"/>
  <c r="O5"/>
  <c r="O6"/>
  <c r="O7"/>
  <c r="O8"/>
  <c r="O9"/>
  <c r="O3"/>
  <c r="E51" i="63" l="1"/>
  <c r="K51" s="1"/>
  <c r="X26" i="66"/>
  <c r="X25"/>
  <c r="E53" i="63"/>
  <c r="K53" s="1"/>
  <c r="E52"/>
  <c r="K52" s="1"/>
  <c r="E54"/>
  <c r="K54" s="1"/>
  <c r="W8"/>
  <c r="W22" s="1"/>
  <c r="Z8"/>
  <c r="Z22" s="1"/>
  <c r="AP36" i="66"/>
  <c r="B73"/>
  <c r="B36" s="1"/>
  <c r="B33"/>
  <c r="R4" i="63"/>
  <c r="Y36" i="66"/>
  <c r="Q4" i="63"/>
  <c r="S4"/>
  <c r="N3" i="66"/>
  <c r="O3"/>
  <c r="D37" i="63"/>
  <c r="V79" i="38"/>
  <c r="V85" s="1"/>
  <c r="V69"/>
  <c r="V84" s="1"/>
  <c r="U85"/>
  <c r="U86" s="1"/>
  <c r="Q2" i="26"/>
  <c r="P23"/>
  <c r="P16"/>
  <c r="P22"/>
  <c r="P15"/>
  <c r="P21"/>
  <c r="P14"/>
  <c r="P20"/>
  <c r="P13"/>
  <c r="P19"/>
  <c r="P12"/>
  <c r="P18"/>
  <c r="P11"/>
  <c r="P17"/>
  <c r="P10"/>
  <c r="P4"/>
  <c r="P5"/>
  <c r="P6"/>
  <c r="P7"/>
  <c r="P8"/>
  <c r="P9"/>
  <c r="P3"/>
  <c r="W25" i="63" l="1"/>
  <c r="W26"/>
  <c r="W24"/>
  <c r="Z25"/>
  <c r="Z26"/>
  <c r="Z24"/>
  <c r="N2" i="67"/>
  <c r="AP26" i="66"/>
  <c r="N3" i="67" s="1"/>
  <c r="B79" i="66"/>
  <c r="D5" i="63"/>
  <c r="D6" i="66"/>
  <c r="V86" i="38"/>
  <c r="R2" i="26"/>
  <c r="Q23"/>
  <c r="Q16"/>
  <c r="Q22"/>
  <c r="Q15"/>
  <c r="Q21"/>
  <c r="Q12"/>
  <c r="Q18"/>
  <c r="Q11"/>
  <c r="Q17"/>
  <c r="Q14"/>
  <c r="Q20"/>
  <c r="Q13"/>
  <c r="Q19"/>
  <c r="Q3"/>
  <c r="Q10"/>
  <c r="Q7"/>
  <c r="Q9"/>
  <c r="Q4"/>
  <c r="Q8"/>
  <c r="Q6"/>
  <c r="Q5"/>
  <c r="N6" i="66" l="1"/>
  <c r="O6"/>
  <c r="S2" i="26"/>
  <c r="R13"/>
  <c r="R19"/>
  <c r="R23"/>
  <c r="R22"/>
  <c r="R21"/>
  <c r="R14"/>
  <c r="R20"/>
  <c r="R15"/>
  <c r="R18"/>
  <c r="R16"/>
  <c r="R12"/>
  <c r="R11"/>
  <c r="R10"/>
  <c r="R4"/>
  <c r="R5"/>
  <c r="R6"/>
  <c r="R7"/>
  <c r="R8"/>
  <c r="R3"/>
  <c r="R17"/>
  <c r="R9"/>
  <c r="Q13" i="63" l="1"/>
  <c r="S13"/>
  <c r="T2" i="26"/>
  <c r="S23"/>
  <c r="S16"/>
  <c r="S22"/>
  <c r="S15"/>
  <c r="S21"/>
  <c r="S14"/>
  <c r="S20"/>
  <c r="S12"/>
  <c r="S18"/>
  <c r="S11"/>
  <c r="S17"/>
  <c r="S10"/>
  <c r="S19"/>
  <c r="S4"/>
  <c r="S5"/>
  <c r="S6"/>
  <c r="S7"/>
  <c r="S8"/>
  <c r="S13"/>
  <c r="S9"/>
  <c r="S3"/>
  <c r="U2" l="1"/>
  <c r="T23"/>
  <c r="T16"/>
  <c r="T22"/>
  <c r="T15"/>
  <c r="T21"/>
  <c r="T14"/>
  <c r="T20"/>
  <c r="T13"/>
  <c r="T19"/>
  <c r="T12"/>
  <c r="T18"/>
  <c r="T11"/>
  <c r="T10"/>
  <c r="T4"/>
  <c r="T5"/>
  <c r="T6"/>
  <c r="T7"/>
  <c r="T8"/>
  <c r="T9"/>
  <c r="T17"/>
  <c r="T3"/>
  <c r="V2" l="1"/>
  <c r="U23"/>
  <c r="U16"/>
  <c r="U22"/>
  <c r="U15"/>
  <c r="U21"/>
  <c r="U14"/>
  <c r="U20"/>
  <c r="U19"/>
  <c r="U12"/>
  <c r="U18"/>
  <c r="U11"/>
  <c r="U17"/>
  <c r="U13"/>
  <c r="U10"/>
  <c r="U3"/>
  <c r="U9"/>
  <c r="U4"/>
  <c r="U8"/>
  <c r="U6"/>
  <c r="U5"/>
  <c r="U7"/>
  <c r="K23" i="63" l="1"/>
  <c r="W2" i="26"/>
  <c r="V23"/>
  <c r="V22"/>
  <c r="V16"/>
  <c r="V15"/>
  <c r="V13"/>
  <c r="V12"/>
  <c r="V11"/>
  <c r="V17"/>
  <c r="V21"/>
  <c r="V20"/>
  <c r="V19"/>
  <c r="V18"/>
  <c r="V14"/>
  <c r="V4"/>
  <c r="V5"/>
  <c r="V6"/>
  <c r="V7"/>
  <c r="V8"/>
  <c r="V9"/>
  <c r="V10"/>
  <c r="V3"/>
  <c r="N3" i="63" l="1"/>
  <c r="N4" s="1"/>
  <c r="Q5" i="64"/>
  <c r="N5"/>
  <c r="X2" i="26"/>
  <c r="W23"/>
  <c r="W16"/>
  <c r="W22"/>
  <c r="W15"/>
  <c r="W21"/>
  <c r="W14"/>
  <c r="W13"/>
  <c r="W20"/>
  <c r="W19"/>
  <c r="W12"/>
  <c r="W18"/>
  <c r="W11"/>
  <c r="W17"/>
  <c r="W4"/>
  <c r="W5"/>
  <c r="W6"/>
  <c r="W7"/>
  <c r="W8"/>
  <c r="W10"/>
  <c r="W9"/>
  <c r="W3"/>
  <c r="Y2" l="1"/>
  <c r="X23"/>
  <c r="X16"/>
  <c r="X22"/>
  <c r="X15"/>
  <c r="X21"/>
  <c r="X14"/>
  <c r="X20"/>
  <c r="X13"/>
  <c r="X19"/>
  <c r="X12"/>
  <c r="X18"/>
  <c r="X11"/>
  <c r="X10"/>
  <c r="X17"/>
  <c r="X4"/>
  <c r="X5"/>
  <c r="X6"/>
  <c r="X7"/>
  <c r="X8"/>
  <c r="X9"/>
  <c r="X3"/>
  <c r="Z2" l="1"/>
  <c r="Y23"/>
  <c r="Y16"/>
  <c r="Y22"/>
  <c r="Y15"/>
  <c r="Y19"/>
  <c r="Y12"/>
  <c r="Y18"/>
  <c r="Y11"/>
  <c r="Y17"/>
  <c r="Y21"/>
  <c r="Y14"/>
  <c r="Y20"/>
  <c r="Y10"/>
  <c r="Y3"/>
  <c r="Y13"/>
  <c r="Y9"/>
  <c r="Y5"/>
  <c r="Y7"/>
  <c r="Y6"/>
  <c r="Y4"/>
  <c r="Y8"/>
  <c r="AA2" l="1"/>
  <c r="Z20"/>
  <c r="Z13"/>
  <c r="Z16"/>
  <c r="Z15"/>
  <c r="Z21"/>
  <c r="Z14"/>
  <c r="Z23"/>
  <c r="Z12"/>
  <c r="Z11"/>
  <c r="Z22"/>
  <c r="Z19"/>
  <c r="Z18"/>
  <c r="Z4"/>
  <c r="Z5"/>
  <c r="Z6"/>
  <c r="Z7"/>
  <c r="Z8"/>
  <c r="Z3"/>
  <c r="Z17"/>
  <c r="Z10"/>
  <c r="Z9"/>
  <c r="Q16" i="63" l="1"/>
  <c r="D27" s="1"/>
  <c r="D44"/>
  <c r="AB2" i="26"/>
  <c r="AA23"/>
  <c r="AA16"/>
  <c r="AA22"/>
  <c r="AA15"/>
  <c r="AA21"/>
  <c r="AA14"/>
  <c r="AA19"/>
  <c r="AA12"/>
  <c r="AA18"/>
  <c r="AA11"/>
  <c r="AA17"/>
  <c r="AA13"/>
  <c r="AA4"/>
  <c r="AA5"/>
  <c r="AA6"/>
  <c r="AA7"/>
  <c r="AA8"/>
  <c r="AA20"/>
  <c r="AA10"/>
  <c r="AA9"/>
  <c r="AA3"/>
  <c r="AC2" l="1"/>
  <c r="AB23"/>
  <c r="AB16"/>
  <c r="AB22"/>
  <c r="AB15"/>
  <c r="AB21"/>
  <c r="AB14"/>
  <c r="AB20"/>
  <c r="AB13"/>
  <c r="AB19"/>
  <c r="AB12"/>
  <c r="AB18"/>
  <c r="AB11"/>
  <c r="AB10"/>
  <c r="AB4"/>
  <c r="AB5"/>
  <c r="AB6"/>
  <c r="AB7"/>
  <c r="AB8"/>
  <c r="AB9"/>
  <c r="AB17"/>
  <c r="AB3"/>
  <c r="AD2" l="1"/>
  <c r="AC23"/>
  <c r="AC16"/>
  <c r="AC22"/>
  <c r="AC15"/>
  <c r="AC21"/>
  <c r="AC14"/>
  <c r="AC13"/>
  <c r="AC19"/>
  <c r="AC12"/>
  <c r="AC18"/>
  <c r="AC11"/>
  <c r="AC17"/>
  <c r="AC20"/>
  <c r="AC10"/>
  <c r="AC3"/>
  <c r="AC4"/>
  <c r="AC8"/>
  <c r="AC6"/>
  <c r="AC7"/>
  <c r="AC5"/>
  <c r="AC9"/>
  <c r="AE2" l="1"/>
  <c r="AD16"/>
  <c r="AD15"/>
  <c r="AD23"/>
  <c r="AD22"/>
  <c r="AD20"/>
  <c r="AD14"/>
  <c r="AD19"/>
  <c r="AD18"/>
  <c r="AD17"/>
  <c r="AD21"/>
  <c r="AD12"/>
  <c r="AD13"/>
  <c r="AD4"/>
  <c r="AD5"/>
  <c r="AD6"/>
  <c r="AD7"/>
  <c r="AD11"/>
  <c r="AD10"/>
  <c r="AD8"/>
  <c r="AD3"/>
  <c r="AD9"/>
  <c r="AF2" l="1"/>
  <c r="AE23"/>
  <c r="AE16"/>
  <c r="AE22"/>
  <c r="AE15"/>
  <c r="AE21"/>
  <c r="AE14"/>
  <c r="AE20"/>
  <c r="AE13"/>
  <c r="AE19"/>
  <c r="AE12"/>
  <c r="AE18"/>
  <c r="AE11"/>
  <c r="AE17"/>
  <c r="AE4"/>
  <c r="AE5"/>
  <c r="AE6"/>
  <c r="AE7"/>
  <c r="AE8"/>
  <c r="AE10"/>
  <c r="AE3"/>
  <c r="AE9"/>
  <c r="AG2" l="1"/>
  <c r="AF23"/>
  <c r="AF16"/>
  <c r="AF22"/>
  <c r="AF15"/>
  <c r="AF21"/>
  <c r="AF14"/>
  <c r="AF20"/>
  <c r="AF13"/>
  <c r="AF19"/>
  <c r="AF12"/>
  <c r="AF18"/>
  <c r="AF11"/>
  <c r="AF10"/>
  <c r="AF17"/>
  <c r="AF4"/>
  <c r="AF5"/>
  <c r="AF6"/>
  <c r="AF7"/>
  <c r="AF8"/>
  <c r="AF9"/>
  <c r="AF3"/>
  <c r="AH2" l="1"/>
  <c r="AG23"/>
  <c r="AG16"/>
  <c r="AG22"/>
  <c r="AG15"/>
  <c r="AG19"/>
  <c r="AG12"/>
  <c r="AG18"/>
  <c r="AG11"/>
  <c r="AG17"/>
  <c r="AG21"/>
  <c r="AG14"/>
  <c r="AG13"/>
  <c r="AG10"/>
  <c r="AG3"/>
  <c r="AG20"/>
  <c r="AG7"/>
  <c r="AG8"/>
  <c r="AG9"/>
  <c r="AG6"/>
  <c r="AG5"/>
  <c r="AG4"/>
  <c r="AI2" l="1"/>
  <c r="AH13"/>
  <c r="AH20"/>
  <c r="AH23"/>
  <c r="AH22"/>
  <c r="AH21"/>
  <c r="AH14"/>
  <c r="AH16"/>
  <c r="AH19"/>
  <c r="AH18"/>
  <c r="AH15"/>
  <c r="AH12"/>
  <c r="AH11"/>
  <c r="AH4"/>
  <c r="AH5"/>
  <c r="AH6"/>
  <c r="AH7"/>
  <c r="AH3"/>
  <c r="AH10"/>
  <c r="AH8"/>
  <c r="AH9"/>
  <c r="AH17"/>
  <c r="AJ2" l="1"/>
  <c r="AI23"/>
  <c r="AI16"/>
  <c r="AI22"/>
  <c r="AI15"/>
  <c r="AI21"/>
  <c r="AI14"/>
  <c r="AI19"/>
  <c r="AI12"/>
  <c r="AI18"/>
  <c r="AI11"/>
  <c r="AI17"/>
  <c r="AI20"/>
  <c r="AI13"/>
  <c r="AI4"/>
  <c r="AI5"/>
  <c r="AI6"/>
  <c r="AI7"/>
  <c r="AI8"/>
  <c r="AI10"/>
  <c r="AI9"/>
  <c r="AI3"/>
  <c r="AK2" l="1"/>
  <c r="AJ23"/>
  <c r="AJ16"/>
  <c r="AJ22"/>
  <c r="AJ15"/>
  <c r="AJ21"/>
  <c r="AJ14"/>
  <c r="AJ20"/>
  <c r="AJ13"/>
  <c r="AJ19"/>
  <c r="AJ12"/>
  <c r="AJ18"/>
  <c r="AJ11"/>
  <c r="AJ10"/>
  <c r="AJ4"/>
  <c r="AJ5"/>
  <c r="AJ6"/>
  <c r="AJ7"/>
  <c r="AJ8"/>
  <c r="AJ9"/>
  <c r="AJ17"/>
  <c r="AJ3"/>
  <c r="AL2" l="1"/>
  <c r="AK23"/>
  <c r="AK16"/>
  <c r="AK22"/>
  <c r="AK15"/>
  <c r="AK21"/>
  <c r="AK14"/>
  <c r="AK20"/>
  <c r="AK19"/>
  <c r="AK12"/>
  <c r="AK18"/>
  <c r="AK11"/>
  <c r="AK17"/>
  <c r="AK13"/>
  <c r="AK10"/>
  <c r="AK3"/>
  <c r="AK6"/>
  <c r="AK9"/>
  <c r="AK4"/>
  <c r="AK7"/>
  <c r="AK8"/>
  <c r="AK5"/>
  <c r="AM2" l="1"/>
  <c r="AL23"/>
  <c r="AL22"/>
  <c r="AL16"/>
  <c r="AL15"/>
  <c r="AL13"/>
  <c r="AL20"/>
  <c r="AL12"/>
  <c r="AL11"/>
  <c r="AL17"/>
  <c r="AL14"/>
  <c r="AL19"/>
  <c r="AL18"/>
  <c r="AL21"/>
  <c r="AL4"/>
  <c r="AL5"/>
  <c r="AL6"/>
  <c r="AL7"/>
  <c r="AL8"/>
  <c r="AL9"/>
  <c r="AL10"/>
  <c r="AL3"/>
  <c r="AN2" l="1"/>
  <c r="AM23"/>
  <c r="AM16"/>
  <c r="AM22"/>
  <c r="AM15"/>
  <c r="AM21"/>
  <c r="AM14"/>
  <c r="AM13"/>
  <c r="AM20"/>
  <c r="AM19"/>
  <c r="AM12"/>
  <c r="AM18"/>
  <c r="AM11"/>
  <c r="AM17"/>
  <c r="AM4"/>
  <c r="AM5"/>
  <c r="AM6"/>
  <c r="AM7"/>
  <c r="AM8"/>
  <c r="AM10"/>
  <c r="AM9"/>
  <c r="AM3"/>
  <c r="AO2" l="1"/>
  <c r="AN23"/>
  <c r="AN16"/>
  <c r="AN22"/>
  <c r="AN15"/>
  <c r="AN21"/>
  <c r="AN14"/>
  <c r="AN20"/>
  <c r="AN13"/>
  <c r="AN19"/>
  <c r="AN12"/>
  <c r="AN18"/>
  <c r="AN11"/>
  <c r="AN10"/>
  <c r="AN17"/>
  <c r="AN4"/>
  <c r="AN5"/>
  <c r="AN6"/>
  <c r="AN7"/>
  <c r="AN8"/>
  <c r="AN9"/>
  <c r="AN3"/>
  <c r="AO23" l="1"/>
  <c r="AO16"/>
  <c r="AO22"/>
  <c r="AO15"/>
  <c r="AO19"/>
  <c r="AO12"/>
  <c r="AO18"/>
  <c r="AO11"/>
  <c r="AO21"/>
  <c r="AO14"/>
  <c r="AO20"/>
  <c r="AO13"/>
  <c r="AO10"/>
  <c r="AO3"/>
  <c r="AO17"/>
  <c r="AO5"/>
  <c r="AO8"/>
  <c r="AO4"/>
  <c r="AO7"/>
  <c r="AO9"/>
  <c r="AO6"/>
  <c r="C72" i="55"/>
  <c r="D60" l="1"/>
  <c r="C84"/>
  <c r="C108" s="1"/>
  <c r="D61"/>
  <c r="C85"/>
  <c r="C61"/>
  <c r="C60"/>
  <c r="C75"/>
  <c r="C109" l="1"/>
  <c r="C131" i="66" s="1"/>
  <c r="B131" s="1"/>
  <c r="B35" s="1"/>
  <c r="C141"/>
  <c r="E35" s="1"/>
  <c r="C140"/>
  <c r="E40" s="1"/>
  <c r="C77" i="55"/>
  <c r="D96"/>
  <c r="D135" i="66" s="1"/>
  <c r="I135" s="1"/>
  <c r="N135" s="1"/>
  <c r="S135" s="1"/>
  <c r="C96" i="55"/>
  <c r="C135" i="66" s="1"/>
  <c r="C87" i="55"/>
  <c r="C111" s="1"/>
  <c r="C86"/>
  <c r="C110" s="1"/>
  <c r="C130" i="66"/>
  <c r="B130" s="1"/>
  <c r="B40" s="1"/>
  <c r="D62" i="55"/>
  <c r="D98" s="1"/>
  <c r="D137" i="66" s="1"/>
  <c r="I137" s="1"/>
  <c r="N137" s="1"/>
  <c r="S137" s="1"/>
  <c r="C62" i="55"/>
  <c r="C98" s="1"/>
  <c r="C137" i="66" s="1"/>
  <c r="C97" i="55"/>
  <c r="C136" i="66" s="1"/>
  <c r="C63" i="55"/>
  <c r="C99" s="1"/>
  <c r="C138" i="66" s="1"/>
  <c r="D63" i="55"/>
  <c r="D99" s="1"/>
  <c r="D138" i="66" s="1"/>
  <c r="I138" s="1"/>
  <c r="N138" s="1"/>
  <c r="S138" s="1"/>
  <c r="D97" i="55"/>
  <c r="D136" i="66" s="1"/>
  <c r="I136" s="1"/>
  <c r="N136" s="1"/>
  <c r="S136" s="1"/>
  <c r="AE40" l="1"/>
  <c r="C4" i="67" s="1"/>
  <c r="Y40" i="66"/>
  <c r="AD40"/>
  <c r="B4" i="67" s="1"/>
  <c r="AD35" i="66"/>
  <c r="AE35"/>
  <c r="Y35"/>
  <c r="C143"/>
  <c r="E37" s="1"/>
  <c r="E26" s="1"/>
  <c r="H137"/>
  <c r="M137" s="1"/>
  <c r="R137" s="1"/>
  <c r="C142"/>
  <c r="E34" s="1"/>
  <c r="E25" s="1"/>
  <c r="Y25" s="1"/>
  <c r="H138"/>
  <c r="M138" s="1"/>
  <c r="R138" s="1"/>
  <c r="H135"/>
  <c r="M135" s="1"/>
  <c r="R135" s="1"/>
  <c r="H136"/>
  <c r="M136" s="1"/>
  <c r="R136" s="1"/>
  <c r="C101" i="55"/>
  <c r="C65"/>
  <c r="C89"/>
  <c r="D101"/>
  <c r="D118" s="1"/>
  <c r="D120" s="1"/>
  <c r="D65"/>
  <c r="C133" i="66"/>
  <c r="B133" s="1"/>
  <c r="B37" s="1"/>
  <c r="C132"/>
  <c r="B132" s="1"/>
  <c r="B34" s="1"/>
  <c r="B25" l="1"/>
  <c r="B10" i="67"/>
  <c r="C26"/>
  <c r="B26" s="1"/>
  <c r="B20"/>
  <c r="D20" s="1"/>
  <c r="AD34" i="66"/>
  <c r="AD25" s="1"/>
  <c r="AE34"/>
  <c r="AE25" s="1"/>
  <c r="Y37"/>
  <c r="AD37"/>
  <c r="AD26" s="1"/>
  <c r="AE37"/>
  <c r="AE26" s="1"/>
  <c r="B135"/>
  <c r="C40" s="1"/>
  <c r="Y34"/>
  <c r="B138"/>
  <c r="C37" s="1"/>
  <c r="B137"/>
  <c r="B136"/>
  <c r="C113" i="55"/>
  <c r="C119" s="1"/>
  <c r="D36" i="63"/>
  <c r="D54"/>
  <c r="D48"/>
  <c r="C118" i="55"/>
  <c r="AT25" i="66" l="1"/>
  <c r="AA25"/>
  <c r="AX25"/>
  <c r="AR25"/>
  <c r="AW25"/>
  <c r="AS25"/>
  <c r="AC25"/>
  <c r="Z25"/>
  <c r="AQ25"/>
  <c r="AB25"/>
  <c r="I28" i="63"/>
  <c r="J28"/>
  <c r="B15" i="67"/>
  <c r="C15" s="1"/>
  <c r="D15" s="1"/>
  <c r="E15" s="1"/>
  <c r="F15" s="1"/>
  <c r="G15" s="1"/>
  <c r="H15" s="1"/>
  <c r="I15" s="1"/>
  <c r="J15" s="1"/>
  <c r="K15" s="1"/>
  <c r="L15" s="1"/>
  <c r="M15" s="1"/>
  <c r="N15" s="1"/>
  <c r="D26"/>
  <c r="C3"/>
  <c r="C10"/>
  <c r="D10" s="1"/>
  <c r="E10" s="1"/>
  <c r="F10" s="1"/>
  <c r="G10" s="1"/>
  <c r="B2"/>
  <c r="C2"/>
  <c r="B140" i="66"/>
  <c r="D12" i="63" s="1"/>
  <c r="B3" i="67"/>
  <c r="B141" i="66"/>
  <c r="D7" i="63" s="1"/>
  <c r="C35" i="66"/>
  <c r="B143"/>
  <c r="D5" s="1"/>
  <c r="O5" s="1"/>
  <c r="B142"/>
  <c r="C34"/>
  <c r="C120" i="55"/>
  <c r="C25" i="66" l="1"/>
  <c r="H10" i="67"/>
  <c r="I10" s="1"/>
  <c r="J10" s="1"/>
  <c r="R12" i="63"/>
  <c r="D45"/>
  <c r="Q12"/>
  <c r="S12"/>
  <c r="B8" i="67"/>
  <c r="C24"/>
  <c r="B24" s="1"/>
  <c r="D24" s="1"/>
  <c r="B18"/>
  <c r="D18" s="1"/>
  <c r="D47" i="63"/>
  <c r="R7"/>
  <c r="Q7"/>
  <c r="S7"/>
  <c r="D40"/>
  <c r="C25" i="67"/>
  <c r="B25" s="1"/>
  <c r="B9"/>
  <c r="D12" i="66"/>
  <c r="N12" s="1"/>
  <c r="B19" i="67"/>
  <c r="D19" s="1"/>
  <c r="D4" i="66"/>
  <c r="O4" s="1"/>
  <c r="D9" i="63"/>
  <c r="Q10"/>
  <c r="D31" s="1"/>
  <c r="R10"/>
  <c r="E31" s="1"/>
  <c r="S10"/>
  <c r="F31" s="1"/>
  <c r="N5" i="66"/>
  <c r="D46" i="63"/>
  <c r="D6"/>
  <c r="D8" i="66"/>
  <c r="S15" i="63"/>
  <c r="F27" s="1"/>
  <c r="H25" l="1"/>
  <c r="J27"/>
  <c r="I27"/>
  <c r="K10" i="67"/>
  <c r="L10" s="1"/>
  <c r="M10" s="1"/>
  <c r="N10" s="1"/>
  <c r="B14"/>
  <c r="C14" s="1"/>
  <c r="D14" s="1"/>
  <c r="E14" s="1"/>
  <c r="F14" s="1"/>
  <c r="G14" s="1"/>
  <c r="H14" s="1"/>
  <c r="I14" s="1"/>
  <c r="J14" s="1"/>
  <c r="K14" s="1"/>
  <c r="L14" s="1"/>
  <c r="M14" s="1"/>
  <c r="N14" s="1"/>
  <c r="D25"/>
  <c r="R9" i="63"/>
  <c r="Q9"/>
  <c r="C8" i="67"/>
  <c r="D8" s="1"/>
  <c r="E8" s="1"/>
  <c r="F8" s="1"/>
  <c r="G8" s="1"/>
  <c r="B13"/>
  <c r="O12" i="66"/>
  <c r="S5" i="63"/>
  <c r="D38"/>
  <c r="R5"/>
  <c r="Q5"/>
  <c r="C9" i="67"/>
  <c r="D9" s="1"/>
  <c r="E9" s="1"/>
  <c r="F9" s="1"/>
  <c r="G9" s="1"/>
  <c r="N4" i="66"/>
  <c r="R11" i="63"/>
  <c r="D43"/>
  <c r="S11"/>
  <c r="D42"/>
  <c r="N8" i="66"/>
  <c r="O8"/>
  <c r="S9" i="63"/>
  <c r="Q11"/>
  <c r="I26" l="1"/>
  <c r="J26"/>
  <c r="H8" i="67"/>
  <c r="I8" s="1"/>
  <c r="J8" s="1"/>
  <c r="E50" i="63"/>
  <c r="J50" s="1"/>
  <c r="B59" i="67"/>
  <c r="H9"/>
  <c r="I9" s="1"/>
  <c r="J9" s="1"/>
  <c r="C13"/>
  <c r="D13" s="1"/>
  <c r="E13" s="1"/>
  <c r="F13" s="1"/>
  <c r="G13" s="1"/>
  <c r="H13" s="1"/>
  <c r="I13" s="1"/>
  <c r="J13" s="1"/>
  <c r="K13" s="1"/>
  <c r="L13" s="1"/>
  <c r="M13" s="1"/>
  <c r="N13" s="1"/>
  <c r="E48" i="63"/>
  <c r="J48" s="1"/>
  <c r="D8"/>
  <c r="D7" i="66"/>
  <c r="H26" i="63" l="1"/>
  <c r="H31" a="1"/>
  <c r="H31" s="1"/>
  <c r="H32" a="1"/>
  <c r="H32" s="1"/>
  <c r="H33" a="1"/>
  <c r="H33" s="1"/>
  <c r="E47"/>
  <c r="J47" s="1"/>
  <c r="K9" i="67"/>
  <c r="L9" s="1"/>
  <c r="M9" s="1"/>
  <c r="N9" s="1"/>
  <c r="K8"/>
  <c r="L8" s="1"/>
  <c r="M8" s="1"/>
  <c r="N8" s="1"/>
  <c r="E49" i="63"/>
  <c r="J49" s="1"/>
  <c r="R8"/>
  <c r="S6"/>
  <c r="D39"/>
  <c r="Q6"/>
  <c r="R6"/>
  <c r="S8"/>
  <c r="N7" i="66"/>
  <c r="O7"/>
  <c r="Q8" i="63"/>
  <c r="D41"/>
  <c r="D26" l="1"/>
  <c r="D33"/>
  <c r="F26"/>
  <c r="F33"/>
  <c r="F32"/>
  <c r="F25"/>
  <c r="E32"/>
  <c r="E25"/>
  <c r="E26"/>
  <c r="E33"/>
  <c r="D32"/>
  <c r="D25"/>
  <c r="I25"/>
  <c r="J25"/>
  <c r="B58" i="67" l="1"/>
  <c r="E46" i="63"/>
  <c r="I46" s="1"/>
  <c r="B57" i="67"/>
  <c r="E36" i="63"/>
  <c r="H36" s="1"/>
  <c r="E43"/>
  <c r="I43" s="1"/>
  <c r="E45"/>
  <c r="I45" s="1"/>
  <c r="E44"/>
  <c r="I44" s="1"/>
  <c r="E41"/>
  <c r="I41" s="1"/>
  <c r="E42"/>
  <c r="I42" s="1"/>
  <c r="E40"/>
  <c r="H40" s="1"/>
  <c r="E37"/>
  <c r="H37" s="1"/>
  <c r="E39"/>
  <c r="H39" s="1"/>
  <c r="E38"/>
  <c r="H38" s="1"/>
  <c r="Q8" i="64" l="1"/>
  <c r="N8"/>
  <c r="N16"/>
  <c r="Q16"/>
  <c r="N7" l="1"/>
  <c r="Q7"/>
  <c r="Q9"/>
  <c r="N9"/>
  <c r="Q11" l="1"/>
  <c r="N11"/>
  <c r="N14"/>
  <c r="Q14"/>
  <c r="N6" l="1"/>
  <c r="Q6"/>
  <c r="N10"/>
  <c r="Q10"/>
  <c r="N22" l="1"/>
  <c r="Q22"/>
  <c r="Q15"/>
  <c r="N15"/>
  <c r="Q12" l="1"/>
  <c r="N12"/>
  <c r="N13"/>
  <c r="Q13"/>
  <c r="Q17" l="1"/>
  <c r="Q4"/>
  <c r="AY25" i="66" s="1"/>
  <c r="N17" i="64" l="1"/>
  <c r="N20"/>
  <c r="Q20"/>
  <c r="N19" l="1"/>
  <c r="Q19" l="1"/>
  <c r="Q21"/>
  <c r="N21"/>
  <c r="Q18"/>
  <c r="N18"/>
  <c r="N4" l="1"/>
  <c r="AV25" i="66"/>
  <c r="N5" i="63" l="1"/>
  <c r="N6" s="1"/>
  <c r="N7" s="1"/>
  <c r="N8" s="1"/>
  <c r="N9" s="1"/>
  <c r="N10" s="1"/>
  <c r="N11" s="1"/>
  <c r="N12" s="1"/>
  <c r="N13" s="1"/>
  <c r="N14" s="1"/>
  <c r="N15" s="1"/>
  <c r="Y27" i="66"/>
  <c r="B27" s="1"/>
  <c r="Y28"/>
  <c r="Y26"/>
  <c r="N16" i="63" l="1"/>
  <c r="N17" s="1"/>
  <c r="N18" s="1"/>
  <c r="N19" s="1"/>
  <c r="N20" s="1"/>
  <c r="N21" s="1"/>
  <c r="AX26" i="66"/>
  <c r="AS26"/>
  <c r="AT26"/>
  <c r="E32" i="67" s="1"/>
  <c r="E38" s="1"/>
  <c r="AR26" i="66"/>
  <c r="AQ26"/>
  <c r="B32" i="67" s="1"/>
  <c r="AW26" i="66"/>
  <c r="AV26"/>
  <c r="AY26"/>
  <c r="AA26"/>
  <c r="C26"/>
  <c r="AC26"/>
  <c r="AB26"/>
  <c r="B26"/>
  <c r="Z26"/>
  <c r="B31" i="67"/>
  <c r="C43"/>
  <c r="C49" s="1"/>
  <c r="D31"/>
  <c r="F57" s="1"/>
  <c r="C31"/>
  <c r="C37" s="1"/>
  <c r="D43"/>
  <c r="D49" s="1"/>
  <c r="E31"/>
  <c r="E37" s="1"/>
  <c r="E43"/>
  <c r="E49" s="1"/>
  <c r="B43"/>
  <c r="B49" s="1"/>
  <c r="D32"/>
  <c r="F58" s="1"/>
  <c r="C32"/>
  <c r="C38" s="1"/>
  <c r="D44"/>
  <c r="D50" s="1"/>
  <c r="C44"/>
  <c r="C50" s="1"/>
  <c r="B44"/>
  <c r="B50" s="1"/>
  <c r="E44"/>
  <c r="E50" s="1"/>
  <c r="B28" i="66"/>
  <c r="AW28"/>
  <c r="C46" i="67" s="1"/>
  <c r="C52" s="1"/>
  <c r="AS28" i="66"/>
  <c r="D34" i="67" s="1"/>
  <c r="Z28" i="66"/>
  <c r="AC28"/>
  <c r="AR28"/>
  <c r="C34" i="67" s="1"/>
  <c r="C40" s="1"/>
  <c r="AT28" i="66"/>
  <c r="E34" i="67" s="1"/>
  <c r="E40" s="1"/>
  <c r="AX28" i="66"/>
  <c r="D46" i="67" s="1"/>
  <c r="D52" s="1"/>
  <c r="AA28" i="66"/>
  <c r="AB28"/>
  <c r="AY28"/>
  <c r="E46" i="67" s="1"/>
  <c r="E52" s="1"/>
  <c r="AV28" i="66"/>
  <c r="B46" i="67" s="1"/>
  <c r="B52" s="1"/>
  <c r="C27" i="66"/>
  <c r="AX27"/>
  <c r="D45" i="67" s="1"/>
  <c r="D51" s="1"/>
  <c r="Z27" i="66"/>
  <c r="AT27"/>
  <c r="E33" i="67" s="1"/>
  <c r="E39" s="1"/>
  <c r="AA27" i="66"/>
  <c r="AB27"/>
  <c r="AW27"/>
  <c r="C45" i="67" s="1"/>
  <c r="C51" s="1"/>
  <c r="AQ27" i="66"/>
  <c r="B33" i="67" s="1"/>
  <c r="AS27" i="66"/>
  <c r="D33" i="67" s="1"/>
  <c r="F59" s="1"/>
  <c r="AR27" i="66"/>
  <c r="C33" i="67" s="1"/>
  <c r="C39" s="1"/>
  <c r="AC27" i="66"/>
  <c r="AY27"/>
  <c r="E45" i="67" s="1"/>
  <c r="E51" s="1"/>
  <c r="AV27" i="66"/>
  <c r="B45" i="67" s="1"/>
  <c r="B51" s="1"/>
  <c r="AQ28" i="66"/>
  <c r="B34" i="67" s="1"/>
  <c r="C28" i="66"/>
  <c r="K28" i="63" l="1"/>
  <c r="L28"/>
  <c r="M28"/>
  <c r="F60" i="67"/>
  <c r="O28" i="63"/>
  <c r="P28"/>
  <c r="N28"/>
  <c r="C57" i="67"/>
  <c r="D57"/>
  <c r="E57"/>
  <c r="B40"/>
  <c r="C60"/>
  <c r="D60"/>
  <c r="E60"/>
  <c r="G57"/>
  <c r="H57"/>
  <c r="D40"/>
  <c r="G60"/>
  <c r="H60"/>
  <c r="C59"/>
  <c r="D59"/>
  <c r="E59"/>
  <c r="G59"/>
  <c r="H59"/>
  <c r="G58"/>
  <c r="H58"/>
  <c r="C58"/>
  <c r="D58"/>
  <c r="E58"/>
  <c r="L25" i="63"/>
  <c r="M25"/>
  <c r="B37" i="67"/>
  <c r="K25" i="63"/>
  <c r="N25"/>
  <c r="D37" i="67"/>
  <c r="P25" i="63"/>
  <c r="O25"/>
  <c r="O26"/>
  <c r="D38" i="67"/>
  <c r="P26" i="63"/>
  <c r="N26"/>
  <c r="K27"/>
  <c r="B39" i="67"/>
  <c r="M27" i="63"/>
  <c r="L27"/>
  <c r="N27"/>
  <c r="O27"/>
  <c r="P27"/>
  <c r="D39" i="67"/>
  <c r="M26" i="63"/>
  <c r="L26"/>
  <c r="B38" i="67"/>
  <c r="K26" i="63"/>
  <c r="M4" l="1"/>
  <c r="M5" s="1"/>
  <c r="F37" l="1"/>
  <c r="F38"/>
  <c r="M6"/>
  <c r="F39" l="1"/>
  <c r="M7"/>
  <c r="F40" l="1"/>
  <c r="M8"/>
  <c r="G40" l="1"/>
  <c r="G37"/>
  <c r="G38"/>
  <c r="F41"/>
  <c r="G41" s="1"/>
  <c r="M9"/>
  <c r="G39"/>
  <c r="M10" l="1"/>
  <c r="F42"/>
  <c r="F43" l="1"/>
  <c r="M11"/>
  <c r="F44" l="1"/>
  <c r="M12"/>
  <c r="F45" l="1"/>
  <c r="M13"/>
  <c r="F46" l="1"/>
  <c r="M14"/>
  <c r="M15" l="1"/>
  <c r="F47"/>
  <c r="F48" l="1"/>
  <c r="M16"/>
  <c r="F49" s="1"/>
  <c r="G48" l="1"/>
  <c r="G43"/>
  <c r="M17"/>
  <c r="G36"/>
  <c r="G44"/>
  <c r="G49" l="1"/>
  <c r="G45"/>
  <c r="G42"/>
  <c r="G47"/>
  <c r="G46"/>
  <c r="F50"/>
  <c r="M18"/>
  <c r="M19" l="1"/>
  <c r="F51"/>
  <c r="M20" l="1"/>
  <c r="F52"/>
  <c r="F53" l="1"/>
  <c r="G51" s="1"/>
  <c r="M21"/>
  <c r="F54" s="1"/>
  <c r="G53" l="1"/>
  <c r="G50"/>
  <c r="G54"/>
  <c r="G52"/>
</calcChain>
</file>

<file path=xl/comments1.xml><?xml version="1.0" encoding="utf-8"?>
<comments xmlns="http://schemas.openxmlformats.org/spreadsheetml/2006/main">
  <authors>
    <author>Michel André Chabaneix</author>
    <author>John Ollis</author>
  </authors>
  <commentList>
    <comment ref="W2" authorId="0">
      <text>
        <r>
          <rPr>
            <sz val="9"/>
            <color indexed="81"/>
            <rFont val="Tahoma"/>
            <family val="2"/>
          </rPr>
          <t>25% additional implementation cost from base case to accommodate smart DR for residential.</t>
        </r>
      </text>
    </comment>
    <comment ref="X2" authorId="0">
      <text>
        <r>
          <rPr>
            <sz val="9"/>
            <color indexed="81"/>
            <rFont val="Tahoma"/>
            <family val="2"/>
          </rPr>
          <t>25% additional implementation cost from base case to accommodate smart DR for residential.</t>
        </r>
      </text>
    </comment>
    <comment ref="AI2" authorId="0">
      <text>
        <r>
          <rPr>
            <sz val="9"/>
            <color indexed="81"/>
            <rFont val="Tahoma"/>
            <family val="2"/>
          </rPr>
          <t>Assuming add 50% to reflect higher cost than smart incentives and technology enablement costs for the balancing services (DR management systems)</t>
        </r>
      </text>
    </comment>
    <comment ref="S3" authorId="1">
      <text>
        <r>
          <rPr>
            <b/>
            <sz val="9"/>
            <color indexed="81"/>
            <rFont val="Tahoma"/>
            <family val="2"/>
          </rPr>
          <t>John Ollis:</t>
        </r>
        <r>
          <rPr>
            <sz val="9"/>
            <color indexed="81"/>
            <rFont val="Tahoma"/>
            <family val="2"/>
          </rPr>
          <t xml:space="preserve">
Multiple comments on BYOT and range of prices for PCTs have indicated he price of PCT is too high.  Adjusted to take average between price range of $100 and $400.</t>
        </r>
      </text>
    </comment>
    <comment ref="G4" authorId="1">
      <text>
        <r>
          <rPr>
            <b/>
            <sz val="9"/>
            <color indexed="81"/>
            <rFont val="Tahoma"/>
            <family val="2"/>
          </rPr>
          <t>John Ollis:</t>
        </r>
        <r>
          <rPr>
            <sz val="9"/>
            <color indexed="81"/>
            <rFont val="Tahoma"/>
            <family val="2"/>
          </rPr>
          <t xml:space="preserve">
200 $ per home to install 
 per Frank B. comment from BPA "NPCC RPM Comments_BPA.  Taking average.</t>
        </r>
      </text>
    </comment>
    <comment ref="S5" authorId="0">
      <text>
        <r>
          <rPr>
            <sz val="9"/>
            <color indexed="81"/>
            <rFont val="Tahoma"/>
            <family val="2"/>
          </rPr>
          <t>Assumes same technology cost as PCT.</t>
        </r>
      </text>
    </comment>
    <comment ref="T5" authorId="0">
      <text>
        <r>
          <rPr>
            <sz val="9"/>
            <color indexed="81"/>
            <rFont val="Tahoma"/>
            <family val="2"/>
          </rPr>
          <t>Assumes same installation cost as PCT.</t>
        </r>
      </text>
    </comment>
    <comment ref="N6" authorId="0">
      <text>
        <r>
          <rPr>
            <sz val="9"/>
            <color indexed="81"/>
            <rFont val="Tahoma"/>
            <family val="2"/>
          </rPr>
          <t>Based on 2009 FERC study saturation data.</t>
        </r>
      </text>
    </comment>
    <comment ref="N8" authorId="0">
      <text>
        <r>
          <rPr>
            <sz val="9"/>
            <color indexed="81"/>
            <rFont val="Tahoma"/>
            <family val="2"/>
          </rPr>
          <t xml:space="preserve">Assume 58% of cooling saturation, and 60% of commercial customers are in the small category.
</t>
        </r>
      </text>
    </comment>
    <comment ref="P8" authorId="0">
      <text>
        <r>
          <rPr>
            <sz val="9"/>
            <color indexed="81"/>
            <rFont val="Tahoma"/>
            <family val="2"/>
          </rPr>
          <t>Assumption: Assumes commercial AC is still operational in the winter due to internal heat sources (humans).</t>
        </r>
      </text>
    </comment>
    <comment ref="N9" authorId="0">
      <text>
        <r>
          <rPr>
            <sz val="9"/>
            <color indexed="81"/>
            <rFont val="Tahoma"/>
            <family val="2"/>
          </rPr>
          <t>Assume 58% of cooling saturation, and 30% of commercial customers are in the small category</t>
        </r>
      </text>
    </comment>
    <comment ref="AA10" authorId="0">
      <text>
        <r>
          <rPr>
            <sz val="9"/>
            <color indexed="81"/>
            <rFont val="Tahoma"/>
            <family val="2"/>
          </rPr>
          <t>Assumes 25% of lighting systems have automation controls</t>
        </r>
      </text>
    </comment>
    <comment ref="P11" authorId="0">
      <text>
        <r>
          <rPr>
            <sz val="9"/>
            <color indexed="81"/>
            <rFont val="Tahoma"/>
            <family val="2"/>
          </rPr>
          <t>Assume there is more irrigation activity in the summer months than in the winter.</t>
        </r>
      </text>
    </comment>
    <comment ref="P12" authorId="0">
      <text>
        <r>
          <rPr>
            <b/>
            <sz val="9"/>
            <color indexed="81"/>
            <rFont val="Tahoma"/>
            <family val="2"/>
          </rPr>
          <t>Michel André Chabaneix:</t>
        </r>
        <r>
          <rPr>
            <sz val="9"/>
            <color indexed="81"/>
            <rFont val="Tahoma"/>
            <family val="2"/>
          </rPr>
          <t xml:space="preserve">
Process related isn't affected by seasonality.</t>
        </r>
      </text>
    </comment>
    <comment ref="S12" authorId="0">
      <text>
        <r>
          <rPr>
            <sz val="9"/>
            <color indexed="81"/>
            <rFont val="Tahoma"/>
            <family val="2"/>
          </rPr>
          <t xml:space="preserve">Average of costs for customers with and without a Building Management System (BMS). $2500 on CII side assumes that roughly 50% of customers have BMS and thus their device costs are around $500; the others need some sort of low-cost BMS or gateway plus points. Does not include labor costs associated with installation and integration.  </t>
        </r>
      </text>
    </comment>
    <comment ref="S13" authorId="0">
      <text>
        <r>
          <rPr>
            <sz val="9"/>
            <color indexed="81"/>
            <rFont val="Tahoma"/>
            <family val="2"/>
          </rPr>
          <t xml:space="preserve">Average of costs for customers with and without a Building Management System (BMS). $2500 on CII side assumes that roughly 50% of customers have BMS and thus their device costs are around $500; the others need some sort of low-cost BMS or gateway plus points. Does not include labor costs associated with installation and integration.  </t>
        </r>
      </text>
    </comment>
    <comment ref="P14" authorId="0">
      <text>
        <r>
          <rPr>
            <sz val="9"/>
            <color indexed="81"/>
            <rFont val="Tahoma"/>
            <family val="2"/>
          </rPr>
          <t>Assumption: External cold would</t>
        </r>
      </text>
    </comment>
    <comment ref="I24" authorId="1">
      <text>
        <r>
          <rPr>
            <b/>
            <sz val="9"/>
            <color indexed="81"/>
            <rFont val="Tahoma"/>
            <family val="2"/>
          </rPr>
          <t>John Ollis:</t>
        </r>
        <r>
          <rPr>
            <sz val="9"/>
            <color indexed="81"/>
            <rFont val="Tahoma"/>
            <family val="2"/>
          </rPr>
          <t xml:space="preserve">
PGE uses avoided wheeling costs of 18 $ per kW-yr and that DLC and Curtailable Tariffs should be cost effective
</t>
        </r>
      </text>
    </comment>
    <comment ref="K24" authorId="1">
      <text>
        <r>
          <rPr>
            <b/>
            <sz val="9"/>
            <color indexed="81"/>
            <rFont val="Tahoma"/>
            <family val="2"/>
          </rPr>
          <t>John Ollis:</t>
        </r>
        <r>
          <rPr>
            <sz val="9"/>
            <color indexed="81"/>
            <rFont val="Tahoma"/>
            <family val="2"/>
          </rPr>
          <t xml:space="preserve">
Per instructions of the Council at the April 2015 meeting, incentives should be at the lowest part of the observed range.
</t>
        </r>
      </text>
    </comment>
    <comment ref="E27" authorId="1">
      <text>
        <r>
          <rPr>
            <b/>
            <sz val="9"/>
            <color indexed="81"/>
            <rFont val="Tahoma"/>
            <family val="2"/>
          </rPr>
          <t>John Ollis:</t>
        </r>
        <r>
          <rPr>
            <sz val="9"/>
            <color indexed="81"/>
            <rFont val="Tahoma"/>
            <family val="2"/>
          </rPr>
          <t xml:space="preserve">
These low incentive costs could be because of extensive advanced metering buildout</t>
        </r>
      </text>
    </comment>
    <comment ref="G27" authorId="1">
      <text>
        <r>
          <rPr>
            <b/>
            <sz val="9"/>
            <color indexed="81"/>
            <rFont val="Tahoma"/>
            <family val="2"/>
          </rPr>
          <t>John Ollis:</t>
        </r>
        <r>
          <rPr>
            <sz val="9"/>
            <color indexed="81"/>
            <rFont val="Tahoma"/>
            <family val="2"/>
          </rPr>
          <t xml:space="preserve">
Incentives on AutoDR water heater only has to be 25 to 40 $ per kW-yr
</t>
        </r>
      </text>
    </comment>
    <comment ref="H33" authorId="1">
      <text>
        <r>
          <rPr>
            <b/>
            <sz val="9"/>
            <color indexed="81"/>
            <rFont val="Tahoma"/>
            <family val="2"/>
          </rPr>
          <t>John Ollis:</t>
        </r>
        <r>
          <rPr>
            <sz val="9"/>
            <color indexed="81"/>
            <rFont val="Tahoma"/>
            <family val="2"/>
          </rPr>
          <t xml:space="preserve">
total costs from 52 to 68</t>
        </r>
      </text>
    </comment>
    <comment ref="J33" authorId="1">
      <text>
        <r>
          <rPr>
            <b/>
            <sz val="9"/>
            <color indexed="81"/>
            <rFont val="Tahoma"/>
            <family val="2"/>
          </rPr>
          <t>John Ollis:</t>
        </r>
        <r>
          <rPr>
            <sz val="9"/>
            <color indexed="81"/>
            <rFont val="Tahoma"/>
            <family val="2"/>
          </rPr>
          <t xml:space="preserve">
Total Incentives
32.50 $ per kW - yr (2012)
20.70 $ per kW - yr (2014)
(2014)
Pete Pengilly
36.65 $ per kW - yr (2012) 
25.75 $ per kW - yr (2014)
Total Costs 
5 year book life for AC cool credit
</t>
        </r>
      </text>
    </comment>
    <comment ref="E34" authorId="1">
      <text>
        <r>
          <rPr>
            <b/>
            <sz val="9"/>
            <color indexed="81"/>
            <rFont val="Tahoma"/>
            <family val="2"/>
          </rPr>
          <t>John Ollis:</t>
        </r>
        <r>
          <rPr>
            <sz val="9"/>
            <color indexed="81"/>
            <rFont val="Tahoma"/>
            <family val="2"/>
          </rPr>
          <t xml:space="preserve">
Claim achievable potential is 80 in Winter and 87 in summer
</t>
        </r>
      </text>
    </comment>
    <comment ref="F34" authorId="1">
      <text>
        <r>
          <rPr>
            <b/>
            <sz val="9"/>
            <color indexed="81"/>
            <rFont val="Tahoma"/>
            <family val="2"/>
          </rPr>
          <t>John Ollis:</t>
        </r>
        <r>
          <rPr>
            <sz val="9"/>
            <color indexed="81"/>
            <rFont val="Tahoma"/>
            <family val="2"/>
          </rPr>
          <t xml:space="preserve">
77$ per kW-yr total
110 $ per MWh enregy payment to 3rd party
Based on third-party program implementation experience, capacity delivery cost is in the $60-80/kW range and energy delivery cost is in the $75-150/MWh range. We are using the midpoint of the ranges. We also assume additional utility administrative costs to account program management, regulatory filings, internal book keeping, etc. These costs are estimated to be 10% of the capacity delivery cost. </t>
        </r>
      </text>
    </comment>
    <comment ref="G34" authorId="1">
      <text>
        <r>
          <rPr>
            <b/>
            <sz val="9"/>
            <color indexed="81"/>
            <rFont val="Tahoma"/>
            <family val="2"/>
          </rPr>
          <t>John Ollis:</t>
        </r>
        <r>
          <rPr>
            <sz val="9"/>
            <color indexed="81"/>
            <rFont val="Tahoma"/>
            <family val="2"/>
          </rPr>
          <t xml:space="preserve">
pay 30 to 50 $ per kW yr
</t>
        </r>
      </text>
    </comment>
    <comment ref="H34" authorId="1">
      <text>
        <r>
          <rPr>
            <b/>
            <sz val="9"/>
            <color indexed="81"/>
            <rFont val="Tahoma"/>
            <family val="2"/>
          </rPr>
          <t>John Ollis:</t>
        </r>
        <r>
          <rPr>
            <sz val="9"/>
            <color indexed="81"/>
            <rFont val="Tahoma"/>
            <family val="2"/>
          </rPr>
          <t xml:space="preserve">
Total cost 76 $ per kW-yr
</t>
        </r>
      </text>
    </comment>
    <comment ref="I34" authorId="1">
      <text>
        <r>
          <rPr>
            <b/>
            <sz val="9"/>
            <color indexed="81"/>
            <rFont val="Tahoma"/>
            <family val="2"/>
          </rPr>
          <t>John Ollis:</t>
        </r>
        <r>
          <rPr>
            <sz val="9"/>
            <color indexed="81"/>
            <rFont val="Tahoma"/>
            <family val="2"/>
          </rPr>
          <t xml:space="preserve">
cite PG&amp;E study of having simlar costs of 96 $ per kW-yr
Reservation payment on tariff is 3 or 6 $ per kW depending on advance warning.</t>
        </r>
      </text>
    </comment>
  </commentList>
</comments>
</file>

<file path=xl/sharedStrings.xml><?xml version="1.0" encoding="utf-8"?>
<sst xmlns="http://schemas.openxmlformats.org/spreadsheetml/2006/main" count="1908" uniqueCount="577">
  <si>
    <t>TOU</t>
  </si>
  <si>
    <t>Year</t>
  </si>
  <si>
    <t>Industrial</t>
  </si>
  <si>
    <t>Residential</t>
  </si>
  <si>
    <t>Commercial</t>
  </si>
  <si>
    <t xml:space="preserve"> </t>
  </si>
  <si>
    <t>Index</t>
  </si>
  <si>
    <t>Study</t>
  </si>
  <si>
    <t>Program Strategies</t>
  </si>
  <si>
    <t>Annual Attrition (%)</t>
  </si>
  <si>
    <t>Per Customer Impacts (kW)</t>
  </si>
  <si>
    <t>Marketing Cost</t>
  </si>
  <si>
    <t>Eligible Load (%)</t>
  </si>
  <si>
    <t>Program Participation (%)</t>
  </si>
  <si>
    <t>Event Participation (%)</t>
  </si>
  <si>
    <t>Single-family and Manufactured 20%; 
Multifamily 0%</t>
  </si>
  <si>
    <t>$280/water heat switch; 
$370/thermostat; 
$275/digital internet gateway</t>
  </si>
  <si>
    <t>Central Heating $32; 
Water Heating $8</t>
  </si>
  <si>
    <t>Central Heating 50%; 
Water Heating 100%</t>
  </si>
  <si>
    <t>1.74 central heat; 
0.58 water heat</t>
  </si>
  <si>
    <r>
      <t>Residential DLC (space and water heat)
[</t>
    </r>
    <r>
      <rPr>
        <i/>
        <sz val="11"/>
        <color theme="1"/>
        <rFont val="Calibri"/>
        <family val="2"/>
        <scheme val="minor"/>
      </rPr>
      <t>Table 35]</t>
    </r>
  </si>
  <si>
    <r>
      <t xml:space="preserve">Residential DLC (room and water heat)
</t>
    </r>
    <r>
      <rPr>
        <i/>
        <sz val="11"/>
        <color theme="1"/>
        <rFont val="Calibri"/>
        <family val="2"/>
        <scheme val="minor"/>
      </rPr>
      <t>[Table 38]</t>
    </r>
  </si>
  <si>
    <t>0.05 room heat;
0.58 water heat</t>
  </si>
  <si>
    <t>$280/water heat switch;
$280/baseboard switch;
$275/digital internet gateway</t>
  </si>
  <si>
    <t>Room Heating $32;
Water Heating $8</t>
  </si>
  <si>
    <t>Room Heating 50%;
Water Heating 100%</t>
  </si>
  <si>
    <t>Single-family and Manufactured 20%;
Multifamily 0% Room Heating, 20% Water Heat</t>
  </si>
  <si>
    <t>Vendor Costs</t>
  </si>
  <si>
    <t>$80/kW</t>
  </si>
  <si>
    <t>N/A</t>
  </si>
  <si>
    <t>Overhead: First Costs</t>
  </si>
  <si>
    <r>
      <t xml:space="preserve">Technology Cost </t>
    </r>
    <r>
      <rPr>
        <sz val="11"/>
        <color theme="1"/>
        <rFont val="Calibri"/>
        <family val="2"/>
        <scheme val="minor"/>
      </rPr>
      <t>(per new participant)</t>
    </r>
  </si>
  <si>
    <r>
      <t xml:space="preserve">Technical Potential 
</t>
    </r>
    <r>
      <rPr>
        <sz val="11"/>
        <color theme="1"/>
        <rFont val="Calibri"/>
        <family val="2"/>
        <scheme val="minor"/>
      </rPr>
      <t>(as a percent of gross)</t>
    </r>
  </si>
  <si>
    <r>
      <t xml:space="preserve">Residential Critical Peak Pricing
</t>
    </r>
    <r>
      <rPr>
        <i/>
        <sz val="11"/>
        <color theme="1"/>
        <rFont val="Calibri"/>
        <family val="2"/>
        <scheme val="minor"/>
      </rPr>
      <t>[Table 44]</t>
    </r>
  </si>
  <si>
    <r>
      <t xml:space="preserve">Annual Administrative Costs 
</t>
    </r>
    <r>
      <rPr>
        <sz val="11"/>
        <color theme="1"/>
        <rFont val="Calibri"/>
        <family val="2"/>
        <scheme val="minor"/>
      </rPr>
      <t>(% of annual costs)</t>
    </r>
  </si>
  <si>
    <r>
      <t xml:space="preserve">Annual Vendor Administrative Costs 
</t>
    </r>
    <r>
      <rPr>
        <sz val="11"/>
        <color theme="1"/>
        <rFont val="Calibri"/>
        <family val="2"/>
        <scheme val="minor"/>
      </rPr>
      <t>(% of annual costs)</t>
    </r>
  </si>
  <si>
    <t>Assumes administrative adder of 15%</t>
  </si>
  <si>
    <t>Smart Thermostat: $200 installation and $315 for the meter, based on $150 for the installed cost of radio frequency devices (CEC 2004 report) plus an additional $150 to upgrade to AMI and $15/customer communication charge.</t>
  </si>
  <si>
    <t>Marketing costs are based on one-half hour of staff time valued
at $50/hour (fully-loaded).</t>
  </si>
  <si>
    <t>This value accounts for annual per-customer communication of a
one-way transmission system.</t>
  </si>
  <si>
    <t>All residential customers are eligible.</t>
  </si>
  <si>
    <t>An average statewide reduction of 27% was found for the
California residential pilot CPP programs implemented in the
summer (Charles River Associates, 2005) with an on-peak rate
approximately 6 times the off-peak rate. PSE’s experience with a
C&amp;I pilot shows that winter events save about 50% less than
summer events; therefore, event participation was reduced to
15%.</t>
  </si>
  <si>
    <t>Gulf Power reported 8,500 participants as of October 2006, out of 350,000 residential customers (2.4%). (Sources: Jim Thompson presentation to PURC Energy Policy Roundtable, October 31, 2006; and FERC Form 861 data, 2005.) Gulf Power expects to reach at least 10% penetration. (Source: Dynamic Pricing, Advanced Metering and Demand Response in Electricity Markets, Severin Borenstein, Michael Jaske, and Arthur Rosenfeld, October 2002.) 2009 FERC study reports a 5% maximum participation rate.</t>
  </si>
  <si>
    <t>Event participation is captured in the average load impact.</t>
  </si>
  <si>
    <t>Based on PSE's estimate.</t>
  </si>
  <si>
    <t>$500 (per new participant)</t>
  </si>
  <si>
    <t>Assumes 10 hours of effort by staff, valued at $50/hour. An additional hour per year is assumed for ongoing marketing and customer support.</t>
  </si>
  <si>
    <r>
      <t xml:space="preserve">Incentive 
</t>
    </r>
    <r>
      <rPr>
        <sz val="11"/>
        <color theme="1"/>
        <rFont val="Calibri"/>
        <family val="2"/>
        <scheme val="minor"/>
      </rPr>
      <t>(annnual costs)</t>
    </r>
  </si>
  <si>
    <t>There are no customer incentives, but customers may have a lower bill than they would have on a standard rate.</t>
  </si>
  <si>
    <t>Standard program development assumption, including necessary internal labor, research, and IT/billing system changes.</t>
  </si>
  <si>
    <t>5% (as a percent of Load Basis)</t>
  </si>
  <si>
    <t>In the 2010 CA Statewide Nonresidential CPP Evaluation, program impacts ranged from 2.8% to 5.26% of load for SCE, SDG&amp;E and PG&amp;E. In 2011, load impacts ranged by utility: PG&amp;E averaged 5.9%, SCE averaged 5.7% and SDG&amp;E averaged 5.8%.</t>
  </si>
  <si>
    <t>Opt-in CPP programs typically exhibit low participation rates. In 2005, California experienced 1.1% participation rate across the state, which accounted for a total of 2.9% of peak load being enrolled. Individual utility participation ranged from 3.5% for PG&amp;E to 0.1% for SCE. PG&amp;E’s onpeak energy rates during High-Price Periods and Moderate-Price Periods are five times and three times higher, respectively, than on-peak energy rates during non-event days. High-Price Periods and Moderate-Price Periods are about 9.3 times and 3.3 times higher, respectively, than on-peak rates during non-event.</t>
  </si>
  <si>
    <t>Studies found 7% (composed of 5% change-of-service and 2% removals) from utilities, including: PacifiCorp, Xcel Energy, Eon US, Sacramento Municipal Utility District, Florida Power and Light (removals range from 1% to 3%). Removals are accounted for in event participation.</t>
  </si>
  <si>
    <t>Based on PSE’s central and water heating pilot. Per switch impacts are weighted by the morning and afternoon impacts.</t>
  </si>
  <si>
    <t>An additional utility administrative cost is added to the vendor program cost.</t>
  </si>
  <si>
    <t>Based on research of vendor bids and informal communications with vendors. Includes maintenance, administrative labor, and dispatch software.</t>
  </si>
  <si>
    <t>Based on PSE's Residential Demand Response Pilot Program. These costs include labor for installation.</t>
  </si>
  <si>
    <t>Assumes 0.5 hour of staff time, valued at $50/hour (fully loaded). Based on research of vendor bids and informal communications with vendors.</t>
  </si>
  <si>
    <t>Incentives range from $30 to $35 for most utilities for one piece of equipment and $8 for additional equipment. PSE’s pilot program offered $50 for both central and water heating.</t>
  </si>
  <si>
    <t>This value accounts for annual per-customer communication of a one-way transmission system.</t>
  </si>
  <si>
    <t>Assumes all electric central heating customers and associated loads qualify for the program.</t>
  </si>
  <si>
    <t>Assumes all central heating units and heat pumps can be retrofit, and the program employs a 50% cycling strategy. Due to the tank, water heaters can be shut off for the entire event (100% reduction).</t>
  </si>
  <si>
    <t>Assumes 20% of single-family and manufactured homes with electric central heating will participate. Minimal data for DLC heating programs exist; therefore, this assumption has been based on the average participation rate for national DLC cooling programs (between 15% and 20% of all residential customers, which translates to 20% to 30% of eligible customers). This is consistent with the 2009 FERC study estimate of 25% program participation for DLC cooling programs.
As customers with electric central heating will include water heating, the
water heating participation rates reflect the portion of electric water heaters
in homes with electric central heating.
Due to difficulties in reaching the multifamily segment, these customers
have been removed from the potential.</t>
  </si>
  <si>
    <t>Based on utility experience with DLC cooling programs, accounting for homeowners removing units and operational breakdowns (from 2.5% to 5.8%).</t>
  </si>
  <si>
    <t>Studies have found 7% (composed of 5 % change-of-service and 2% removals) from utilities, including: PacifiCorp, Xcel Energy, Eon US, Sacramento Municipal Utility District,,
Florida Power and Light (removals range from 1% to 3%). Removals are accounted for in event participation.</t>
  </si>
  <si>
    <t>Marketing costs are based on 0.5 hour of staff time, valued at $50/hour (fully loaded).</t>
  </si>
  <si>
    <t>Assumes all room units can be retrofit and the program employs a 50% cycling strategy. Due to the tank, water heating can be shut off for the entire event (100% reduction).</t>
  </si>
  <si>
    <t>Assumes 20% of customers with electric room heating will participate. Minimal data for DLC heating programs exists; therefore, the assumption is based on the average
participation rate for national programs for DLC AC programs (between 15% and 20% of all residential customers, which translates to 20% to 30% of eligible customers).
Due to the difficulty of reaching the multifamily segment, it is assumed that multifamily customers will only participate in this program’s water heating portion.
All customers with electric room heating will include water heating in the program; so participation rates have been adjusted to account for the percentage of electric heating
customers with electric water heat.</t>
  </si>
  <si>
    <r>
      <t xml:space="preserve">Commercial &amp; Industrial Critical Peak Pricing
</t>
    </r>
    <r>
      <rPr>
        <i/>
        <sz val="11"/>
        <color theme="1"/>
        <rFont val="Calibri"/>
        <family val="2"/>
        <scheme val="minor"/>
      </rPr>
      <t>[Table 46]</t>
    </r>
  </si>
  <si>
    <r>
      <t xml:space="preserve">Commercial &amp; Industrial Curtailment
</t>
    </r>
    <r>
      <rPr>
        <i/>
        <sz val="11"/>
        <color theme="1"/>
        <rFont val="Calibri"/>
        <family val="2"/>
        <scheme val="minor"/>
      </rPr>
      <t>[Table 41]</t>
    </r>
  </si>
  <si>
    <t>Administrative costs are rolled into the $/kW cost.</t>
  </si>
  <si>
    <t>Based on third-party aggregator bid.</t>
  </si>
  <si>
    <t>Included in third-party aggregator bid.</t>
  </si>
  <si>
    <t>Customers shed between 26.9% and 34% of load for day-of and dayahead events, respectively (2010 and 2011 Statewide Aggregator Demand Response Programs: Final Report, Christensen Associates).</t>
  </si>
  <si>
    <t>Programs across the country experience participation rates from 4% (the Mid American Curtailment Program has 4.5%) to 30% (Georgia Power and Indiana Michigan Power Company).</t>
  </si>
  <si>
    <t>Range of PJM and MidAm programs (90%-95%).</t>
  </si>
  <si>
    <t>LADWP DR Strategy_Model Input Assumptions 2013-12-19</t>
  </si>
  <si>
    <t>NCI</t>
  </si>
  <si>
    <t>CPP</t>
  </si>
  <si>
    <t>CII Curtailable Load</t>
  </si>
  <si>
    <t>Direct Load Control</t>
  </si>
  <si>
    <t>XRT</t>
  </si>
  <si>
    <t>AMP</t>
  </si>
  <si>
    <t>1. Assumed that duel-enrollment in DR programs is not allowed with this program. This value represents the maximum participation of eligible customers after adjusting to ensure dual-enrollment is not counted.
Navigant analysis, based on experience with other similar utilities and participation seen in CA IOU BIP programs, Capacity Bidding Programs, and FERC's National Assessment of Demand Resposne Potential. Participation expected to be refined for the X-Large and Large categories (i.e., the Premier Account customers), based on feedback from LADWP's Premier Accounts reps.
"2012 Load Impact Evaluation of California's Statewide Base Interruptible Program", Prepared for: Southern California Edison Co., Pacific Gas &amp; Electric Co., San Diego Gas &amp; Electric by Freeman, Sullivan &amp; Co., April 1, 2013.</t>
  </si>
  <si>
    <t>2. $/kW-yr: Annual estimate of monthly capacity incentive payments, based on incentives provided by Progress Energy Carolinas, KCP&amp;L, HECO, and CA IOUs in Capacity Bidding Programs. Based on $8/kW-month for a four month program season for LADWP.
$/kWh: Based on variable program incentives for KCP&amp;L's MPower C&amp;I curtailment program.</t>
  </si>
  <si>
    <t xml:space="preserve">3. Average of costs for customers with and without a Building Management System (BMS). $2500 on CII side assumes that roughly 50% of customers have BMS and thus their device costs are around $500; the others need some sort of low-cost BMS or gateway plus points. Does not include labor costs associated with installation and integration.     </t>
  </si>
  <si>
    <t>% of Customers w/ Eligible Equipment</t>
  </si>
  <si>
    <t xml:space="preserve">"1. ""Los Angeles Department of Water and Power Energy Efficiency and Demand Response Potential Study, Volume 1: Energy Efficiency Potential"", Global Energy Partners, February, 2011. 
In absence of additional information, small commercial CAC penetration is based on penetration of CAC for all commercial customers."       
</t>
  </si>
  <si>
    <t xml:space="preserve">2. Assumed that duel-enrollment in DR programs is not allowed with this program. This value represents the maximum participation of eligible customers after adjusting to ensure dual-enrollment is not counted.       
"3. For Res - CAC &amp; Small Comm CAC: Esource: Participation is the percent of customers with eligible equipment that participate, so the actual participation is closer to 12% of all customers for residential and less than 1% for small commercial. Source: ""Hot or Not: DLC Program Benchmarks: How Do You Compare?"",  Advanced Load Control Alliance-Spring 2012 
For Res Window AC &amp; Res Pool Pump: Navigant analysis. Information about participation in these program types is less commonly available. Direct load control for window AC is a recent development and customer participation rates are still uncertain."       
</t>
  </si>
  <si>
    <t>Red CAC 50% Cycling (25% max);
Res CAC 75% Cycling (25% max);
Res CAC 100% Cycling (25% max);
Small Comm CAC (1.2% max);
Res Window AC (5% max);
Res Poll Pump (10% max);
*maximum participation (% of customers w/ eligible equipment)</t>
  </si>
  <si>
    <t>Red CAC 50% Cycling (47%);
Res CAC 75% Cycling (47%);
Res CAC 100% Cycling (47%);
Small Comm CAC (58%);
Res Window AC (33%);
Res Poll Pump (9%);</t>
  </si>
  <si>
    <t>Red CAC 50% Cycling ($40/new participant, $40/existing participant, $40/kW (one time));
Res CAC 75% Cycling ($60/new participant, $60/existing participant, $60/kW (one time));
Res CAC 100% Cycling ($75/new participant, $75/existing participant, $75/kW (one time));
Small Comm CAC ($60/new participant, $60/existing participant, $60/kW (one time));
Res Window AC ($40/new participant, $40/existing participant, $40/kW (one time));
Res Poll Pump ($30/new participant, $30/existing participant, $30/kW (one time));</t>
  </si>
  <si>
    <t xml:space="preserve">"4. This incentive is in line with other incentives offered around the country. Source: ""Hot or Not: DLC Program Benchmarks: How Do You Compare?"",  Advanced Load Control Alliance-Spring 2012.
Choice of an annual incentive to both new and existing participants is based on incentives provided by other CA IOUs and PG&amp;E's experience that a higher rate of attrition occurs without an ongoing incentive (Discussion with Andrew Hoffman, PG&amp;E, 10/24/13). ESource says 39% of incentives are yearly and 39% are monthly with many fewer utilities providing non-cash incentives or one-time enrollment incentives.
For comparison, a 2.5 ton A/C signed up on SCE's Summer Discount Plan would be paid $56 and $159 annually for 50% and 100% cycling, respectively. A 2.5 ton A/C signed up on SDG&amp;E's Summer Saver program would be paid $29 and $95 annually for 50% and 100% cycling, respectively. The summer season (when A/C's are available for cycling) is 6 months long for SDG&amp;E and 5 months for SCE. LADWP's summer season is 4 months.
SDG&amp;E source: http://www.sdge.com/summer-saver-program
SCE source: https://www.sce.com/NR/sc3/tm2/pdf/ce177.pdf"       </t>
  </si>
  <si>
    <t>Red CAC 50% Cycling (1.1 devices per customer (load switch), $60/device (load switch));
Res CAC 75% Cycling (1.1 devices per customer (load switch), $60/device (load switch));
Res CAC 100% Cycling (1.1 devices per customer (load switch), $60/device (load switch));
Small Comm CAC (1.9 devices per customer (load switch), $100/device (load switch));
Res Window AC (1.1 devices per customer (load switch), $60/device (load switch));
Res Poll Pump (1.0 devices per customer (load switch), $60/device (load switch));</t>
  </si>
  <si>
    <t xml:space="preserve">4. Assumed in this analysis that LADWP does not offer this expanded TOU rate for mass market customers until AMI metering is in place, since interval metering is required for TOU. The costs presented here for AMI meters are only considered as part of the scenario analysis and are not included in the base case analysis. Meter quantites based on "Meter Prefix by Rate.xlsx" from LADWP.     
"5.  For X-Large, Large &amp; Medium Customers: Cost/device of AMI meter based on average cost of 600 kV and 34.5 kV C&amp;I meter costs in ""Meter and meter build up costs 11-15-13.xlsx"" from Jason Rondou, LADWP, 11/15/13. Also based on installed cost of $750 per C&amp;I TOU meter from ""LADWP DR Data Request Memo_9-26-13 JR update 10-21-13.docx"" from Jason Rondou, LADWP, 10/21/13. Does include labor costs associated with installation and integration or transformer buildup.
For Res &amp; Small Customers: Cost/device of AMI based on ""Meter and meter build up costs 11-15-13.xlsx"" file from LADWP. Does not include labor costs associated with installation and integration or transformer buildup costs."     </t>
  </si>
  <si>
    <r>
      <t xml:space="preserve">Communication Costs </t>
    </r>
    <r>
      <rPr>
        <sz val="11"/>
        <color theme="1"/>
        <rFont val="Calibri"/>
        <family val="2"/>
        <scheme val="minor"/>
      </rPr>
      <t>(per Customer Per Year)</t>
    </r>
  </si>
  <si>
    <t>X-Large (N/A);
Large (N/A);
Medium (N/A);
Small (10% max, 2.7% initial);
Residential (20% max, 0.1% initial)</t>
  </si>
  <si>
    <t>X-Large (40%);
Large (30%);
Medium (8.2%);
Auto DR | Large (10%);
Auto DR | Medium (3%);</t>
  </si>
  <si>
    <t>X-Large ($32 $/kW-yr, $0.35/kWh);
Large ($32/kW-yr, $0.35/kWh);
Medium ($32 $/kW-yr, $0.35/kWh);
Auto DR | Large ($40/kW-yr, $0.35/kWh);
Auto DR | Medium ($40/kW-yr, $0.35/kWh);</t>
  </si>
  <si>
    <t>X-Large (N/A);
Large (N/A);
Medium (N/A);
Auto DR | Large (system, $2,500);
Auto DR | Medium (system, $2,500)</t>
  </si>
  <si>
    <t>X-Large (N/A);
Large (N/A);
Medium (N/A);
Small (1.6 devices per customer (TOU switch), $425 per device (TOU switch));
Residential (1.1 devices per customer (TOU switch), $103 per device (TOU switch))</t>
  </si>
  <si>
    <t>X-Large (11.5 devices per customer (AMI meter), $550 per device (AMI meter));
Large (11.5 devices per customer (AMI meter), $550 per device (AMI meter));
Medium (4.2 devices per customer (AMI meter), $550 per device (AMI meter));
Small (1.6 devices per customer (AMI meter), $425 per device (AMI meter));
Residential (1.1 devices per customer (AMI meter), $103 per device (AMI meter))</t>
  </si>
  <si>
    <t xml:space="preserve">"5. The costs for the AMI meters required for this program are only considered as part of the scenario analysis and are not included in the base case analysis.
Meter quantites procured from ""Meter Prefix by Rate.xlsx"" from LADWP."    
"6.  For X-Large, Large &amp; Medium Customers: Cost/device of AMI meter based on average cost of 600 kV and 34.5 kV C&amp;I meter costs in ""Meter and meter build up costs 11-15-13.xlsx"" from Jason Rondou, LADWP, 11/15/13. Also based on installed cost of $750 per C&amp;I TOU meter from ""LADWP DR Data Request Memo_9-26-13 JR update 10-21-13.docx"" from Jason Rondou, LADWP, 10/21/13. Does include labor costs associated with installation and integration or transformer buildup.
For Res &amp; Small Customers: Cost/device of AMI based on ""Meter and meter build up costs 11-15-13.xlsx"" file from LADWP. Does not include labor costs associated with installation and integration or transformer buildup costs."    </t>
  </si>
  <si>
    <t>X-Large (30%);
Large (30%);
Medium (20%);
Small (3%);
Residential (11%)</t>
  </si>
  <si>
    <t xml:space="preserve">2. For X-Large &amp; Large CPP: The FSC Group, "2012 California Statewide Non-residential Critical Peak Pricing Evaluation," April 1, 2013    
3. For Med CPP &amp; Small CPP: Navigant Analysis. Participation from these customer groups are currently more uncertain within the industry.    
4. For Res CPP: Max participation at full saturation assumed to be 15%, based on SMUD's ability to surpass their 15% goal in the first year of their Res TOU &amp; CPP pilots. http://www.demandresponsetownmeeting.com/wp-content/uploads/2012/03/1A-0830-GEORGE.pdf. Adjusted to 11% to reflect participation levels in 2026, since the program is not expected to reach full saturation by then if not deployed until 2022.     </t>
  </si>
  <si>
    <t xml:space="preserve">1. For X-Large, Large &amp; Med TOU: Not included in the analysis, since these customers are already on default TOU. 
2. For Res TOU: Limited to 20% based on Oklahoma Gas &amp; Electric's experience (Email communications with Brian Eakin, Navigant, 10/25/13) as an "aggressively achievable goal" for LADWP. Small Commercial participation rates are less well known and assumed to participate at half the rate of residential. Assumed that duel-enrollment in DR programs is not allowed with this program. This value represents the maximum participation of eligible customers after adjusting to ensure dual-enrollment is not counted.     
3. LADWP Data Request for current number of customers on R1-B and A1-B TOU rates - "Monthly Rate Class Customers1.mdb"     
</t>
  </si>
  <si>
    <t>% Bill Reduction per Year</t>
  </si>
  <si>
    <t>X-Large (0%);
Large (0%);
Medium (0%);
Small (0%);
Residential (5%)</t>
  </si>
  <si>
    <t xml:space="preserve">7. This input is dependent on the actual CPP rate design and is expected to be refined once that rate is determined through further analysis. Preliminary estimate is based on typical bill savings for other utilities with CPP, such as OG&amp;E, and thought to be conservative.    
7. This input is dependent on the actual CPP rate design and is expected to be refined once that rate is determined through further analysis. Preliminary estimate is based on typical bill savings for other utilities with CPP, such as OG&amp;E, and thought to be conservative.    
7. This input is dependent on the actual CPP rate design and is expected to be refined once that rate is determined through further analysis. Preliminary estimate is based on typical bill savings for other utilities with CPP, such as OG&amp;E, and thought to be conservative.    
</t>
  </si>
  <si>
    <t>EV Service Rider</t>
  </si>
  <si>
    <t>X-Large (11.5 devices per customer (TOU meter), $550 per device (TOU meter));
Large (11.5 devices per customer (TOU meter), $550 per device (TOU meter));
Medium (4.2 devices per customer (TOU meter), $550 per device (TOU meter));
Small (1.6 devices per customer (TOU meter), $425 per device (TOU meter));
Residential (1.1 devices per customer (TOU meter), $103 per device (TOU meter))</t>
  </si>
  <si>
    <t xml:space="preserve">6. Meter quantites procured from "Meter Prefix by Rate.xlsx" from LADWP.      
7. Cost/device of TOU meter for X-Large/Large/Medium based on average cost of 600 kV and 34.5 kV C&amp;I meter costs in "Meter and meter build up costs 11-15-13.xlsx" from Jason Rondou, LADWP, 11/15/13. Also based on installed cost of $750 per C&amp;I TOU meter from "LADWP DR Data Request Memo_9-26-13 JR update 10-21-13.docx" from Jason Rondou, LADWP, 10/21/13. Cost/device of TOU meter with remote disconnect for Res/Small based on "Meter and meter build up costs 11-15-13.xlsx" file from LADWP. Does not include labor costs associated with installation and integration or transformer buildup costs.
8. NOTE: Level 2 EV chargers will be installed for these customers but we are assuming that these costs are not incurred for the purpose of DR and therefore not included in this analysis.       
</t>
  </si>
  <si>
    <t>2013 Total Qty of EV's in LADWP Territory = 4,052
2026 Total Qty of EV's in LADWP Territory = 230,000
2013 EV Service Rider Participants = 737
2026 EV Service Rider Participarion (% of Evs) = 18%
2026 EV Service Rider Participants = 39,846</t>
  </si>
  <si>
    <t xml:space="preserve">1. "According to the Center for Sustainable Energy (State Rebates) there are 4052 plug-in vehicles in LA." From "LADWP DR Data Request Memo_9-26-13 JR update 10-21-13.docx" provided by Jason Rondou, LADWP, 10/21/13.       
2. Jeffrey Dubin, et al., “Realizing the Potential of the Los Angeles Electric Vehicle Market,” Luskin Center for Innovation, UCLA Anderson School of Management, May 2011. Assumes constant growth of 3,161 EVs per year.       
3. "Partial Answers to Rates Questions Submitted via Email on August 15, 2013" in "Rates Follow Up Questions 8-15-13.docx" sent by LADWP on 9/4/13.       
4. Based on percentage of 2013 Total Qty of EV's in LADWP Territoy that are 2013 EV Service Rider Participants. Current participation assumed constant throughout analysis time period.       
5. Based on percentage of EV chargers by customer segment (e.g., Residential vs. Workplace/Public/Private). Navigant Research, "Electric Vehicle Charging Equipment ", Published 3Q 2013, "EVCE-13 Navigant Research.xlsx"       
</t>
  </si>
  <si>
    <t>CII Customers Maximum Participation (Qty of Customers) = 0
CII Customers Initial Participation (Qty of Customers) = 9</t>
  </si>
  <si>
    <t>CII Customers (3%)</t>
  </si>
  <si>
    <t xml:space="preserve">1. LADWP Data Request for current number of customers on XRT rates - "Monthly Rate Class Customers1.mdb"   
3. The analysis assumes that XRT is phased out over time.    </t>
  </si>
  <si>
    <t xml:space="preserve">2. Initial assumption; further analysis recommended   
</t>
  </si>
  <si>
    <t>CII Customers Maximum Participation (Qty of Customers) = 18
CII Customers Initial Participation (Qty of Customers) = 6</t>
  </si>
  <si>
    <t>CII Customers (5%)</t>
  </si>
  <si>
    <t xml:space="preserve">1. LADWP Data Requests and discussion with LADWP that the current number of berths participating in AMP has the potential to triple.   
</t>
  </si>
  <si>
    <t>Direct Load Control (DLC)</t>
  </si>
  <si>
    <t>Curtailable tariffs</t>
  </si>
  <si>
    <t>Time-of-use (TOU) rates</t>
  </si>
  <si>
    <t>Critical peak pricing (CPP) rates</t>
  </si>
  <si>
    <t>Peak time rebates (PTR)</t>
  </si>
  <si>
    <t>End uses are remotely cycled or shut down and customers are given a incentive payment for participating</t>
  </si>
  <si>
    <t>Eligible customers agree to reduce demand to pre-specified levels and receive an incentive payment that varies with the load curtailment level</t>
  </si>
  <si>
    <t>Divides every day into time periods and provides a schedule of rates for each period; the assumed price differential between the peak and off-peak periods is 2-to-1</t>
  </si>
  <si>
    <t>Customers pay a higher price during peak hours on a limited number of days of the year, and receive a discount during all other hours; the assumed price differential is 4.4-to-1 (based on PGE’s ongoing pilot)</t>
  </si>
  <si>
    <t>Customers are paid for peak period load reductions during a limited number of hours of the year</t>
  </si>
  <si>
    <t>Benefit-Cost Ratio</t>
  </si>
  <si>
    <t>Residential (1.54);
Small C&amp;I (1.69);
Medium C&amp;I (2.27);
Large C&amp;I (3.62)</t>
  </si>
  <si>
    <t>Large C&amp;I (2.97)</t>
  </si>
  <si>
    <t>Residential (1.18);
Small C&amp;I (0.33)</t>
  </si>
  <si>
    <t>Residential (1.85);
Small C&amp;I (1.48);
Medium C&amp;I (1.6);
Large C&amp;I (6.31)</t>
  </si>
  <si>
    <t>Residential (0.93);
Small C&amp;I (0.02)</t>
  </si>
  <si>
    <t>?</t>
  </si>
  <si>
    <t>*available within model</t>
  </si>
  <si>
    <t>Avoided peaking generation capacity ($95/kW-year);
Avoided wheeling charges ($18/kW-year);
Better pricing signals, more equitable cost allocation;
Possible environmental benefits;
Improved customer satisfaction;
Improved post-outage power restoration;
Improved distribution-level reliability;
Suppoer for more reliable integration of renewables</t>
  </si>
  <si>
    <t>Curtailment Tariff</t>
  </si>
  <si>
    <t>Automated Demand Response</t>
  </si>
  <si>
    <t>Water Heater Direct Load Control Pilot - Salem Smart Grid Project</t>
  </si>
  <si>
    <t>Smart Water Heater Direct Load Control Pilot</t>
  </si>
  <si>
    <t>PGE currently has 16 MW participating and available for curtailment in its Schedule 77, Firm Load Reduction Program. As reported previously, the tariff is callable up to 48 hours per year and PGE is on track to achieve the targeted 20 MW by 2015 as listed in Table 4-2. This past August, PGE transitioned Schedule 77 from a pilot to a program.</t>
  </si>
  <si>
    <t>As of November 14, PGE has enrolled nine customers. It is projected these customers may achieve roughly 3 MW of demand reduction, subject to validation this winter after equipment installation. We project that ADR will ramp up to 25 MW over the course of the pilot and be available for curtailment during both summer and winter seasons.</t>
  </si>
  <si>
    <t>As reported in PGE’s November 2011 IRP update, we have an operating Water Heater Direct Load Control (DLC) Pilot that is part of the Salem Smart Grid Project. This pilot is unique in that it tests responses to a mock regional pricing signal. It is, however, limited to less than 100 participants; it is not associated with “smart” appliances (i.e., the water heaters were retro-fitted with communication devices); and it is not scalable beyond the Salem demonstration project. The pilot is projected to run through 2014.</t>
  </si>
  <si>
    <t>PGE’s 2011 IRP update also described a very small pilot that would test a plug-in communication device in five “smart” electric water heaters with which PGE would test DLC. PGE is currently refining the communication interface’s technologies to achieve consistent and reliable signals to the water heater.
PGE is also exploring ways to support the Northwest Energy Efficiency Alliance and the Northwest Power and Conservation Council in order to encourage manufacturers to incorporate the sockets into their products for regional distribution.</t>
  </si>
  <si>
    <t>Critical Peak Pricing (CPP) Pilot</t>
  </si>
  <si>
    <t>The pilot experienced attrition its first year of operation, with the number of participants dropping from approximately 1,000 customers to approximately 610. The primary reasons that customers dropped out of the pilot were:
- The failure to save money;
- Difficulty in being able to shift / reduce load; and
- Discomfort and inconvenience.</t>
  </si>
  <si>
    <t>39% (first year)</t>
  </si>
  <si>
    <t>PGE concluded its CPP pilot for residential customers, Schedule 12, in October 2013, as authorized by the OPUC.
Recommendation to achieve the maximum benefit from a potential second CPP pilot:
• Pursue customer education as part of our strategic pricing roadmap to see what impact it plays on enrollment, retention and performance in our next pilot.
• Identify CPP and time-of-use requirements for new systems and programs.
• Continue to monitor DR programs and results from other utilities.
• Develop an education program to better inform customers regarding the purpose of, and how to effectively participate in, dynamic pricing options and DR programs.
• Evaluate and propose additional pilot alternatives that could help PGE develop a CPP program.
• Continue to implement PGE’s Customer Engagement Transformation program in which we will replace the current CIS and MDC. This will create the platforms on which a more cost-effective, fully scalable CPP program can be developed along with the other benefits discussed in PGE Exhibit 900 in Docket No. UE 262.</t>
  </si>
  <si>
    <t>Time-of-Day Pricing</t>
  </si>
  <si>
    <t>Time-of-Day (ToD) pricing currently applies to PGE’s Schedule 89 and Schedule 85 customers. This means that ToD pricing is available for all non-residential customers with monthly demand greater than 201 kW. As of January 2014, with Commission approval of UE 262 pricing, ToD pricing will also extend to Schedule 83 customers (i.e., non-residential customers with demand greater than 31 kW per month).</t>
  </si>
  <si>
    <t>Energy Tracker</t>
  </si>
  <si>
    <t>PGE released its Energy TrackerSM program in December 2011. This is an energy information tool that utilizes the interval data from PGE’s Advanced Metering Infrastructure system. It provides customers with energy use information that can help identify reduction and peak shifting strategies that customers may find useful to implement.
More recently, PGE is preparing a Phase 2 release of the Energy TrackerSM program, targeted for 2014. Along with a more customer-friendly look and feel, Phase 2 will provide more valuable information to customers in the form of optional alerts related to energy usage and projected billing amounts. With Phase 2 information, customers will be able to see their bill-to-date information along with a projected bill based on their current usage. Additionally, customers will be able to sign up for alerts that will notify them via email and / or text of: 1) current bill information; and 2) if they are projected to exceed preset thresholds. Because these are the two most commonly requested alerts by customers, we expect them to be used extensively.</t>
  </si>
  <si>
    <t>Future DR Actions</t>
  </si>
  <si>
    <t>Over the next three years (to 2016), PGE intends to take the following actions to further develop DR:
• Continue to implement the curtailment tariff to achieve the target 20 MW of capacity by 2015.
• Continue to develop and ramp up the ADR pilot to achieve 25 MW by 2017, and complete interim program evaluations in 2015 and 2016.
• Develop an education program and new dynamic pricing pilot (for instance the potential CPP pilot discussed above) in advance of the deployment of new CIS and MDC systems.
• Refine the smart water heater direct load control pilot. This will allow PGE to better position ourselves for the eventual introduction of scalable technologies.
• Continue to evaluate demand and energy savings associated with the two substation CVR pilot and then perform cost / benefit analysis.</t>
  </si>
  <si>
    <t>Cool Keeper Program (residential and small commercial DLC Air Conditioning program)</t>
  </si>
  <si>
    <t>Irrigation Load Control Program</t>
  </si>
  <si>
    <t>Inverted block structures for residential customers (inverted rate pricing, mandatory)</t>
  </si>
  <si>
    <t>TOU structures for residential and C&amp;I customers (optional)</t>
  </si>
  <si>
    <t>Participating Customers</t>
  </si>
  <si>
    <t>Utah (335 participating customers, 262 MWh enrolled loads);
Oregon (1,281 participating customers, 3,898 MWh enrolled loads);
Idaho (14,290 participating customers, 130,294 MWh enrolled);</t>
  </si>
  <si>
    <t>Participating customers as of December 31, 2011;
Residual on-peak portions of TOU loads and actual Inverted Rate Pricing loads after impacts of respective pricing structures, calendar year 2011.</t>
  </si>
  <si>
    <t>Impacts</t>
  </si>
  <si>
    <t>Utah (12-14 MWh shifted or saved due to rate, 3 kW coincident peak impact);
Oregon (311-355 MWh shifted or saved due to rate, 58-66 kW coincident peak impact);
Idaho (16,849-19,195 MWh shifted or saved due to rate, 1,896-2,160 kW coincident peak impact);</t>
  </si>
  <si>
    <t>Percent of Estimated Baseline Consumption Shifted or Saved</t>
  </si>
  <si>
    <t>Utah (4.5%-5.1%);
Oregon (7.4%-8.3%);
Idaho (11.5%-12.8%);</t>
  </si>
  <si>
    <t>Utah (706,948 participating customers, 7,314,347 MWh enrolled loads);
Wyoming (110,089 participating customers, 1,181,202 MWh enrolled loads);
Oregon (474,810 participating customers, 6,025,556 MWh enrolled loads);
Washington (104,404 participating customers, 1,789,050 MWh enrolled loads);
California (35,681 participating customers, 440,299 MWh enrolled loads);
Idaho (43,198 participating customers, 487,948 MWh enrolled loads);</t>
  </si>
  <si>
    <t>Utah (61,289-128,992 MWh shifted or saved due to rate, 12,940-27,235 kW coincident peak impact);
Wyoming (114,093-240,127 MWh shifted or saved due to rate, 17,054-35,893 kW coincident peak impact);
Oregon (474,810-6,025,556 MWh shifted or saved due to rate, 3,420-13,780 kW coincident peak impact);
Washington (57,658-232,347 MWh shifted or saved due to rate, 10,647-43,905 kW coincident peak impact);
California (2,243-9,037 MWh shifted or saved due to rate, 252-1,015 kW coincident peak impact);
Idaho (9,755-20,532 MWh shifted or saved due to rate, 1,098-2,311 kW coincident peak impact);</t>
  </si>
  <si>
    <t>Utah (0.8%-1.7%);
Wyoming (8.8%-16.9%);
Oregon (0.3%-1.2%);
Washington (3.1%-11.5%);
California (0.5%-2.0%);
Idaho (2.0%-4.0%);</t>
  </si>
  <si>
    <t>MW</t>
  </si>
  <si>
    <t>Winter</t>
  </si>
  <si>
    <t>Summer</t>
  </si>
  <si>
    <t>High Forecast</t>
  </si>
  <si>
    <t>Medium Forecast</t>
  </si>
  <si>
    <t>MWh/yr</t>
  </si>
  <si>
    <t>Industrial/Other</t>
  </si>
  <si>
    <t>Low Forecast</t>
  </si>
  <si>
    <t>Maximum Consumption (MWh/yr)</t>
  </si>
  <si>
    <t>Air Conditioning/Space Cooling - Residential</t>
  </si>
  <si>
    <t>Air Conditioning/Space Cooling - Commercial</t>
  </si>
  <si>
    <t>Air Conditioning/Space Cooling - Industrial</t>
  </si>
  <si>
    <t>Appliances &amp; Plug Loads - Residential</t>
  </si>
  <si>
    <t>Appliances &amp; Plug Loads - Commercial</t>
  </si>
  <si>
    <t>Appliances &amp; Plug Loads - Industrial</t>
  </si>
  <si>
    <t>Lighting - Residential</t>
  </si>
  <si>
    <t>Lighting - Commercial</t>
  </si>
  <si>
    <t>Lighting - Industrial</t>
  </si>
  <si>
    <t>Refrigeration, Motors &amp; Process Equipment - Residential</t>
  </si>
  <si>
    <t>Refrigeration, Motors &amp; Process Equipment - Commercial</t>
  </si>
  <si>
    <t>Refrigeration, Motors &amp; Process Equipment - Industrial</t>
  </si>
  <si>
    <t>Space Heating - Residential</t>
  </si>
  <si>
    <t>Space Heating - Commercial</t>
  </si>
  <si>
    <t>Space Heating - Industrial</t>
  </si>
  <si>
    <t>Water Heating - Residential</t>
  </si>
  <si>
    <t>Water Heating - Commercial</t>
  </si>
  <si>
    <t>Water Heating - Industrial</t>
  </si>
  <si>
    <t>Other - Residential</t>
  </si>
  <si>
    <t>Other - Commercial</t>
  </si>
  <si>
    <t>Refrigerated Warehouses</t>
  </si>
  <si>
    <t>Participation Rate</t>
  </si>
  <si>
    <t>Number of Res Customers</t>
  </si>
  <si>
    <t>Number of Comm Customers</t>
  </si>
  <si>
    <t>Number of Industrial Customers</t>
  </si>
  <si>
    <t>Portion of End Use from:</t>
  </si>
  <si>
    <t>NUMBER OF NEW PARTICIPANTS / INSTALLATIONS</t>
  </si>
  <si>
    <t>Number of New Participants / Installations</t>
  </si>
  <si>
    <t>Component</t>
  </si>
  <si>
    <t>d. Water Heating - Switch</t>
  </si>
  <si>
    <t>TOTAL -- NEW PART. /  INSTALL.</t>
  </si>
  <si>
    <t>NUMBER OF TOTAL PARTICIPANTS / INSTALLATIONS IN EACH YEAR</t>
  </si>
  <si>
    <t>Number of Total Participants / Installations</t>
  </si>
  <si>
    <t>TOTAL -- ANNUAL PART. / INSTALL.</t>
  </si>
  <si>
    <t>CUMULATIVE PEAK DEMAND SAVINGS (GROSS CUSTOMER LEVEL MW)</t>
  </si>
  <si>
    <t>Cumulative Peak Demand Reductions MW (Gross Customer Level)</t>
  </si>
  <si>
    <t xml:space="preserve">Total Equipment Budget </t>
  </si>
  <si>
    <t>Total Implementation Budget</t>
  </si>
  <si>
    <t>TOTAL IMPLEMENTATION COST</t>
  </si>
  <si>
    <t>TOTAL EQUIPMENT COST</t>
  </si>
  <si>
    <t>TOTAL PROGRAM COST</t>
  </si>
  <si>
    <t>DR Type</t>
  </si>
  <si>
    <t>Residential DR</t>
  </si>
  <si>
    <t>Commercial DR</t>
  </si>
  <si>
    <t>Customers</t>
  </si>
  <si>
    <t>Ramp Rate</t>
  </si>
  <si>
    <t>Turnover Rate</t>
  </si>
  <si>
    <t>Customer Information</t>
  </si>
  <si>
    <t>Eligible Residential Customers</t>
  </si>
  <si>
    <t>INPUTS</t>
  </si>
  <si>
    <t>% Residential w/ Switch</t>
  </si>
  <si>
    <t>Effective Participation</t>
  </si>
  <si>
    <t>% Residential w/ PCT</t>
  </si>
  <si>
    <t>c. Space Heating - Switch</t>
  </si>
  <si>
    <t>CALCULATIONS</t>
  </si>
  <si>
    <t>Saturation (availability)</t>
  </si>
  <si>
    <r>
      <t xml:space="preserve">Load Impact </t>
    </r>
    <r>
      <rPr>
        <sz val="10"/>
        <rFont val="Arial"/>
        <family val="2"/>
      </rPr>
      <t>(kW/customer)</t>
    </r>
  </si>
  <si>
    <t>% Commercial w/ Switch</t>
  </si>
  <si>
    <t>Eligible Commercial Customers</t>
  </si>
  <si>
    <t>Residential Space Heating - Direct Load Control</t>
  </si>
  <si>
    <t>Residential Water Heating - Direct Load Control</t>
  </si>
  <si>
    <t>% Industrial w/ Switch</t>
  </si>
  <si>
    <t>Curtailable/Interruptible Tariffs</t>
  </si>
  <si>
    <t>Load Aggregator</t>
  </si>
  <si>
    <t>Technology Cost</t>
  </si>
  <si>
    <t>Switch</t>
  </si>
  <si>
    <t>PCT</t>
  </si>
  <si>
    <t>DR Technology</t>
  </si>
  <si>
    <t>DR Component</t>
  </si>
  <si>
    <t>1A</t>
  </si>
  <si>
    <t>1B</t>
  </si>
  <si>
    <t>1C</t>
  </si>
  <si>
    <t>1D</t>
  </si>
  <si>
    <t>2A</t>
  </si>
  <si>
    <t>2B</t>
  </si>
  <si>
    <t>2C</t>
  </si>
  <si>
    <t>3A</t>
  </si>
  <si>
    <t>Water Heating - DLC</t>
  </si>
  <si>
    <t>Irrigation Pumping - DLC</t>
  </si>
  <si>
    <t>Installation Cost</t>
  </si>
  <si>
    <t>Capacity - Base</t>
  </si>
  <si>
    <t>Capacity - Smart</t>
  </si>
  <si>
    <t>Balancing</t>
  </si>
  <si>
    <t>TOTAL</t>
  </si>
  <si>
    <t xml:space="preserve"> -</t>
  </si>
  <si>
    <t>Space Cooling - CAC DLC</t>
  </si>
  <si>
    <t>Space Heating - DLC</t>
  </si>
  <si>
    <t>Water Heater Controls</t>
  </si>
  <si>
    <t>Space Cooling, Small - CAC DLC</t>
  </si>
  <si>
    <t>Space Cooling, Medium - CAC DLC</t>
  </si>
  <si>
    <t>ENABLEMENT COSTS (applied to new participants)</t>
  </si>
  <si>
    <t>IMPLEMENTATION COSTS (applied to all participants)</t>
  </si>
  <si>
    <t>TOTAL ENABLEMENT COST</t>
  </si>
  <si>
    <t>Residential Space Cooling - CAC Direct Load Control</t>
  </si>
  <si>
    <t>Residential Space Cooling - RAC Direct Load Control</t>
  </si>
  <si>
    <t>Space Cooling - RAC DLC</t>
  </si>
  <si>
    <t>a. Space Cooling - CAC PCT</t>
  </si>
  <si>
    <t>b. Space Cooling - RAC PCT</t>
  </si>
  <si>
    <t>c. Space Heating - PCT</t>
  </si>
  <si>
    <t>a. Space Cooling - CAC Switch</t>
  </si>
  <si>
    <t>b. Space Cooling - RAC Switch</t>
  </si>
  <si>
    <t xml:space="preserve">TOTAL ENABLEMENT COST </t>
  </si>
  <si>
    <t>Component A: Commercial Cooling, Small - Direct Load Control</t>
  </si>
  <si>
    <t>Component B: Commercial Space Cooling, Medium - Direct Load Control</t>
  </si>
  <si>
    <t>Component A: Residential Space Heating - Direct Load Control</t>
  </si>
  <si>
    <t>Component B: Residential Space Cooling - CAC Direct Load Control</t>
  </si>
  <si>
    <t>Component C: Residential Space Cooling - RAC Direct Load Control</t>
  </si>
  <si>
    <t>Component D: Residential Water Heating - Direct Load Control</t>
  </si>
  <si>
    <t>TOTAL ENABLEMENT COSTS</t>
  </si>
  <si>
    <t>AutoDR</t>
  </si>
  <si>
    <t>Lighting Controls</t>
  </si>
  <si>
    <t>% Industrial w/ AutoDR</t>
  </si>
  <si>
    <t>% Industrial w/ Curtailable/Interruptible Tariff Enablement</t>
  </si>
  <si>
    <t>Incentive</t>
  </si>
  <si>
    <t>RESIDENTIAL - CAPACITY - BASE DR</t>
  </si>
  <si>
    <t>RESIDENTIAL - CAPACITY - SMART DR</t>
  </si>
  <si>
    <t>COMMERCIAL - CAPACITY - BASE DR</t>
  </si>
  <si>
    <t>COMMERCIAL - CAPACITY - SMART DR</t>
  </si>
  <si>
    <r>
      <t xml:space="preserve">Enablement Cost </t>
    </r>
    <r>
      <rPr>
        <sz val="10"/>
        <rFont val="Arial"/>
        <family val="2"/>
      </rPr>
      <t>($/customer)</t>
    </r>
  </si>
  <si>
    <t>a. Space Cooling, Small - Switch</t>
  </si>
  <si>
    <t>b. Space Cooling, Medium - Switch</t>
  </si>
  <si>
    <t>Component A: Commercial Space Cooling, Small - Direct Load Control</t>
  </si>
  <si>
    <t>SUMMARY OF PROGRAM COSTS</t>
  </si>
  <si>
    <t>Component A: Irrigation Pumping - Direct Load Control</t>
  </si>
  <si>
    <t>Irrigation - Industrial</t>
  </si>
  <si>
    <t>a. Space Cooling, Small - PCT</t>
  </si>
  <si>
    <t>b. Space Cooling, Medium - AutoDR</t>
  </si>
  <si>
    <t>Refrigerated Warehouse Controls</t>
  </si>
  <si>
    <t>Agricultural / Industrial DR</t>
  </si>
  <si>
    <t>AGRICULTURAL / INDUSTRIAL - CAPACITY - BASE DR</t>
  </si>
  <si>
    <t>b. Curtailable/Interruptible Tariff</t>
  </si>
  <si>
    <t>Component B: Curtailable / Interruptible Tariffs</t>
  </si>
  <si>
    <t>Total Eligible Industrial Customers</t>
  </si>
  <si>
    <t>Eligible Agricultural Customers</t>
  </si>
  <si>
    <t>Eligible Non-Agricultural Customers</t>
  </si>
  <si>
    <t>Component C: Load Aggregator</t>
  </si>
  <si>
    <t>Component D: Refrigerated Warehouses</t>
  </si>
  <si>
    <t>a. Irrigation Pumping - Switch</t>
  </si>
  <si>
    <t>b. Curtailable/Interruptible - AutoDR</t>
  </si>
  <si>
    <t>c. Load Aggregator - AutoDR</t>
  </si>
  <si>
    <t>a. Irrigation Pumping - AutoDR</t>
  </si>
  <si>
    <t>d. Refrigerated Warehouses - Controls</t>
  </si>
  <si>
    <t>d. Water Heating - WH Controls</t>
  </si>
  <si>
    <t>% Residential w/ WH Controls</t>
  </si>
  <si>
    <t>% Commercial w/ AutoDR</t>
  </si>
  <si>
    <t>Total</t>
  </si>
  <si>
    <t>3B</t>
  </si>
  <si>
    <t>3C</t>
  </si>
  <si>
    <t>3D</t>
  </si>
  <si>
    <r>
      <t>Load Impact</t>
    </r>
    <r>
      <rPr>
        <sz val="11"/>
        <color theme="1"/>
        <rFont val="Calibri"/>
        <family val="2"/>
        <scheme val="minor"/>
      </rPr>
      <t xml:space="preserve"> (kW/customer)</t>
    </r>
  </si>
  <si>
    <r>
      <t>Enablement Costs</t>
    </r>
    <r>
      <rPr>
        <sz val="11"/>
        <color theme="1"/>
        <rFont val="Calibri"/>
        <family val="2"/>
        <scheme val="minor"/>
      </rPr>
      <t xml:space="preserve"> ($/customer)</t>
    </r>
  </si>
  <si>
    <r>
      <t xml:space="preserve">Saturation </t>
    </r>
    <r>
      <rPr>
        <sz val="11"/>
        <color theme="1"/>
        <rFont val="Calibri"/>
        <family val="2"/>
        <scheme val="minor"/>
      </rPr>
      <t>(%)</t>
    </r>
  </si>
  <si>
    <r>
      <t>Participation</t>
    </r>
    <r>
      <rPr>
        <sz val="11"/>
        <color theme="1"/>
        <rFont val="Calibri"/>
        <family val="2"/>
        <scheme val="minor"/>
      </rPr>
      <t xml:space="preserve"> (%)</t>
    </r>
  </si>
  <si>
    <r>
      <t>Saturation</t>
    </r>
    <r>
      <rPr>
        <sz val="11"/>
        <color theme="1"/>
        <rFont val="Calibri"/>
        <family val="2"/>
        <scheme val="minor"/>
      </rPr>
      <t xml:space="preserve"> (%)</t>
    </r>
  </si>
  <si>
    <r>
      <t xml:space="preserve">Load Impact </t>
    </r>
    <r>
      <rPr>
        <sz val="11"/>
        <color theme="1"/>
        <rFont val="Calibri"/>
        <family val="2"/>
        <scheme val="minor"/>
      </rPr>
      <t>(kW/customer)</t>
    </r>
  </si>
  <si>
    <r>
      <t xml:space="preserve">Participation </t>
    </r>
    <r>
      <rPr>
        <sz val="11"/>
        <color theme="1"/>
        <rFont val="Calibri"/>
        <family val="2"/>
        <scheme val="minor"/>
      </rPr>
      <t>(%)</t>
    </r>
  </si>
  <si>
    <t>Load Impact Realization Rate
(to recognize interactions between EE and DR cause a reduction in the baseline demand for DR participants. Assume 5% reduction in the impacts)</t>
  </si>
  <si>
    <r>
      <t xml:space="preserve">Implementation Cost </t>
    </r>
    <r>
      <rPr>
        <sz val="10"/>
        <rFont val="Arial"/>
        <family val="2"/>
      </rPr>
      <t>($/kW-yr)</t>
    </r>
  </si>
  <si>
    <t>% Commercial w/ PCT</t>
  </si>
  <si>
    <t>Component C: Lighting Controls</t>
  </si>
  <si>
    <t>c. Lighting Controls - AutoDR</t>
  </si>
  <si>
    <t>Implementation Cost ($/kW-yr)</t>
  </si>
  <si>
    <t>AGRICULTURAL / INDUSTRIAL - CAPACITY - SMART DR</t>
  </si>
  <si>
    <t>Navigant NW Baseline Grid Characteristics and Forecasts</t>
  </si>
  <si>
    <t>Load Impact Seasonality</t>
  </si>
  <si>
    <t>(% load impact)</t>
  </si>
  <si>
    <t>Real Levelized Costs</t>
  </si>
  <si>
    <t>MicroFin Financials</t>
  </si>
  <si>
    <t>Municipal/PUD</t>
  </si>
  <si>
    <t>Investor Owned Utility</t>
  </si>
  <si>
    <t>Indep. Power Producer</t>
  </si>
  <si>
    <t xml:space="preserve">Key Assumptions  </t>
  </si>
  <si>
    <t xml:space="preserve">Discount Rate </t>
  </si>
  <si>
    <t xml:space="preserve">Inflation Rate </t>
  </si>
  <si>
    <t>Data Source:</t>
  </si>
  <si>
    <t>Seventh Plan Assumptions +Global Inputs.xlsx</t>
  </si>
  <si>
    <t>Base year to use for inflation</t>
  </si>
  <si>
    <t xml:space="preserve"> Glossary</t>
  </si>
  <si>
    <t>Programmable Communicating Thermostats</t>
  </si>
  <si>
    <t xml:space="preserve">DLC </t>
  </si>
  <si>
    <t>CAC</t>
  </si>
  <si>
    <t>Central Air Conditioning</t>
  </si>
  <si>
    <t>RAC</t>
  </si>
  <si>
    <t>Room Air Conditioning</t>
  </si>
  <si>
    <t>Winter Peaking</t>
  </si>
  <si>
    <t>Summer Peaking</t>
  </si>
  <si>
    <t>Base</t>
  </si>
  <si>
    <t>Smart</t>
  </si>
  <si>
    <t>Base or Smart</t>
  </si>
  <si>
    <t>Type</t>
  </si>
  <si>
    <t>Ag/Industrial</t>
  </si>
  <si>
    <t>Year Round</t>
  </si>
  <si>
    <t>Peaking Type</t>
  </si>
  <si>
    <t>Formula error</t>
  </si>
  <si>
    <t>Cumulative Probabillity</t>
  </si>
  <si>
    <t>Bin 1</t>
  </si>
  <si>
    <t>Bin 2</t>
  </si>
  <si>
    <t>Pi chart percent</t>
  </si>
  <si>
    <t>Bin 3</t>
  </si>
  <si>
    <t>St. dev</t>
  </si>
  <si>
    <t>W potential 2020</t>
  </si>
  <si>
    <t>S potential 2020</t>
  </si>
  <si>
    <t>Real Levelized Costs ($/kW-yr)</t>
  </si>
  <si>
    <t>Top 60 system hours</t>
  </si>
  <si>
    <t>Q1</t>
  </si>
  <si>
    <t>Q2</t>
  </si>
  <si>
    <t>Q3</t>
  </si>
  <si>
    <t>Q4</t>
  </si>
  <si>
    <t>Assume load shifting</t>
  </si>
  <si>
    <t>Standard Hrs</t>
  </si>
  <si>
    <t>Net hours of dispatch</t>
  </si>
  <si>
    <t>Top 50 summer system hours</t>
  </si>
  <si>
    <t>Top 50 summer system hours (load shifting)</t>
  </si>
  <si>
    <t>Top 50  system hours (load shifting)</t>
  </si>
  <si>
    <t>Top 50 winter system hours</t>
  </si>
  <si>
    <t>2021 Potential W</t>
  </si>
  <si>
    <t>2021 Potential S</t>
  </si>
  <si>
    <t>Potential in 2035</t>
  </si>
  <si>
    <t>Potential in 2021</t>
  </si>
  <si>
    <t>Newly Installed kW</t>
  </si>
  <si>
    <t>$/kW</t>
  </si>
  <si>
    <t>Discount Rate Multiplier</t>
  </si>
  <si>
    <t>Bin</t>
  </si>
  <si>
    <t>$/year</t>
  </si>
  <si>
    <t>2021 Costs</t>
  </si>
  <si>
    <t>2035 Costs</t>
  </si>
  <si>
    <t>Weighted Average Costs</t>
  </si>
  <si>
    <t>Total Implementation Costs (Discounted)</t>
  </si>
  <si>
    <t>Real Levelized Costs in $2012 ($/kW-yr)</t>
  </si>
  <si>
    <t>RPM Input Preparation</t>
  </si>
  <si>
    <t xml:space="preserve">Total Lifetime Enablement Costs of an installation (Discounted) </t>
  </si>
  <si>
    <t>Res-Capacity-Base</t>
  </si>
  <si>
    <t>Com-Capacity-Base</t>
  </si>
  <si>
    <t>Ag-Ind-Capacity-Base</t>
  </si>
  <si>
    <t>Res-Capacity-Smart</t>
  </si>
  <si>
    <t>Total Potential -&gt; Total Potential Capacity (MW)</t>
  </si>
  <si>
    <t>2016 | SB1</t>
  </si>
  <si>
    <t>2018 | SB1</t>
  </si>
  <si>
    <t>2020 | SB1</t>
  </si>
  <si>
    <t>2022 | SB1</t>
  </si>
  <si>
    <t>2024 | SB1</t>
  </si>
  <si>
    <t>2026 | SB1</t>
  </si>
  <si>
    <t>2028 | SB1</t>
  </si>
  <si>
    <t>2030 | SB1</t>
  </si>
  <si>
    <t>2032 | SB1</t>
  </si>
  <si>
    <t>2034 | SB1</t>
  </si>
  <si>
    <t>Com-Capacity-Smart</t>
  </si>
  <si>
    <t>Ag-Ind-Capacity-Smart</t>
  </si>
  <si>
    <t>Cumulative kW</t>
  </si>
  <si>
    <t>2017 | SB1</t>
  </si>
  <si>
    <t>2019 | SB1</t>
  </si>
  <si>
    <t>2021 | SB1</t>
  </si>
  <si>
    <t>2023 | SB1</t>
  </si>
  <si>
    <t>2025 | SB1</t>
  </si>
  <si>
    <t>2027 | SB1</t>
  </si>
  <si>
    <t>2029 | SB1</t>
  </si>
  <si>
    <t>2031 | SB1</t>
  </si>
  <si>
    <t>2033 | SB1</t>
  </si>
  <si>
    <t>2035 | SB1</t>
  </si>
  <si>
    <t>INF</t>
  </si>
  <si>
    <t>Total for Weighting Calc</t>
  </si>
  <si>
    <t>Demand Response Price Bin 1</t>
  </si>
  <si>
    <t>Demand Response Price Bin 2</t>
  </si>
  <si>
    <t>Demand Response Price Bin 3</t>
  </si>
  <si>
    <t>New Resource Mwa</t>
  </si>
  <si>
    <t>New Resource MW</t>
  </si>
  <si>
    <t>Cumulative Potential (in MW)</t>
  </si>
  <si>
    <t>Capacity Percentage</t>
  </si>
  <si>
    <t>Shaping</t>
  </si>
  <si>
    <t>Implementation Costs -&gt; Fixed O&amp;M ($/kW-yr)</t>
  </si>
  <si>
    <t>Enablement Costs -&gt; Construction ($/kW-yr)</t>
  </si>
  <si>
    <t>Bulk System T&amp;D Loss Factor</t>
  </si>
  <si>
    <t>Bulk System T&amp;D Credit ($/kw-yr)($/dailytherm-yr)</t>
  </si>
  <si>
    <t>Bulk System T&amp;D I2R Loss Component (%)</t>
  </si>
  <si>
    <t>Local System Dist Loss Factor</t>
  </si>
  <si>
    <t>Local System Dist Credit ($/kw-yr)($/dailytherm-yr)</t>
  </si>
  <si>
    <t>Local System Dist I2R Loss Component (%)</t>
  </si>
  <si>
    <t>&lt;------This should be 1, If Transmission Deferral in Implementation costs.</t>
  </si>
  <si>
    <t>Max Acquisitions over study</t>
  </si>
  <si>
    <t>Net Levelized Fixed Costs in $/kW-year</t>
  </si>
  <si>
    <t>Program</t>
  </si>
  <si>
    <t>Bin Weighted Average in $/kW-year</t>
  </si>
  <si>
    <t>Percent of Potential</t>
  </si>
  <si>
    <t>W potential 2021</t>
  </si>
  <si>
    <t>2025 Costs</t>
  </si>
  <si>
    <t>Max</t>
  </si>
  <si>
    <t>Min</t>
  </si>
  <si>
    <t/>
  </si>
  <si>
    <t>Navigant</t>
  </si>
  <si>
    <t>Winter Volume available in 2035 (MW)</t>
  </si>
  <si>
    <t>Summer Volume available in 2035 (MW)</t>
  </si>
  <si>
    <t>Summer Volume available in 2021 (MW)</t>
  </si>
  <si>
    <t>Winter Volume Available in 2021</t>
  </si>
  <si>
    <t>Ramp per Period</t>
  </si>
  <si>
    <t>Amount Available in first five years</t>
  </si>
  <si>
    <t>Potential Ramp Predictions by RPM Decision Period</t>
  </si>
  <si>
    <t>&lt;--------------Mostly Replacement Years------------------------&gt;</t>
  </si>
  <si>
    <t>&lt;-----------------------Ramp years--------------------------&gt;</t>
  </si>
  <si>
    <t>Max Acquisitions Check - Potential Study</t>
  </si>
  <si>
    <t>Max Acquisitions Check - RPM Inputs</t>
  </si>
  <si>
    <t>Included in Update</t>
  </si>
  <si>
    <t>JO Edits below line</t>
  </si>
  <si>
    <t>Implied Load Growth Rate over Study period</t>
  </si>
  <si>
    <t>Industrial/Agricultural</t>
  </si>
  <si>
    <t>Yes</t>
  </si>
  <si>
    <t>No</t>
  </si>
  <si>
    <t>Currently Applied to DR Calculations ?</t>
  </si>
  <si>
    <t>Frozen Food, Cold Storage (Public and Grocery)</t>
  </si>
  <si>
    <t>Refrigerated Warehouses (1 for Navigant assumption, 0 for 7th Plan Sector Alignment)</t>
  </si>
  <si>
    <t>See revised forecasted demand from industrial sector net of DSI  FE2015_joedit .xlsx</t>
  </si>
  <si>
    <t>Capacity Reserve Incentives ($/kW-yr)</t>
  </si>
  <si>
    <t>PSE</t>
  </si>
  <si>
    <t>Avista</t>
  </si>
  <si>
    <t>BPA</t>
  </si>
  <si>
    <t>Pacific</t>
  </si>
  <si>
    <t>PGE</t>
  </si>
  <si>
    <t>IPC</t>
  </si>
  <si>
    <t>$ per kW-yr</t>
  </si>
  <si>
    <t>50 to 60</t>
  </si>
  <si>
    <t>AEG potential study</t>
  </si>
  <si>
    <t>AEG Potential Study</t>
  </si>
  <si>
    <t>30 to 40</t>
  </si>
  <si>
    <t>20 to 30</t>
  </si>
  <si>
    <t xml:space="preserve">75 to 120 </t>
  </si>
  <si>
    <t>http://emp.lbl.gov/sites/all/files/napdr-cost-effectiveness.pdf</t>
  </si>
  <si>
    <t>Report talks about including financial incentives in societal and total resource cost evaluations</t>
  </si>
  <si>
    <t>If financial incentives are in this is 1, if not this is 0</t>
  </si>
  <si>
    <t>Ballpark within ranges below</t>
  </si>
  <si>
    <r>
      <t>Implementation Cost</t>
    </r>
    <r>
      <rPr>
        <sz val="11"/>
        <color theme="1"/>
        <rFont val="Calibri"/>
        <family val="2"/>
        <scheme val="minor"/>
      </rPr>
      <t>($/kW-yr)</t>
    </r>
  </si>
  <si>
    <r>
      <t>Implementation Cost w/o incentives</t>
    </r>
    <r>
      <rPr>
        <sz val="11"/>
        <color theme="1"/>
        <rFont val="Calibri"/>
        <family val="2"/>
        <scheme val="minor"/>
      </rPr>
      <t xml:space="preserve"> ($/kW-yr)</t>
    </r>
  </si>
  <si>
    <t>Bin 4</t>
  </si>
  <si>
    <t>Curtailable/Interruptible Tariff</t>
  </si>
  <si>
    <t>Load Aggregator - AutoDR</t>
  </si>
  <si>
    <t>Space Cooling, Small - Switch</t>
  </si>
  <si>
    <t>Curtailable/Interruptible - AutoDR</t>
  </si>
  <si>
    <t>Refrigerated Warehouses - Controls</t>
  </si>
  <si>
    <t>Lighting Controls - AutoDR</t>
  </si>
  <si>
    <t>Space Cooling - CAC Switch</t>
  </si>
  <si>
    <t>Space Cooling, Medium - Switch</t>
  </si>
  <si>
    <t>Space Heating - Switch</t>
  </si>
  <si>
    <t>Space Cooling - RAC Switch</t>
  </si>
  <si>
    <t>Irrigation Pumping - AutoDR</t>
  </si>
  <si>
    <t>Water Heating - Switch</t>
  </si>
  <si>
    <t>Space Cooling, Medium - AutoDR</t>
  </si>
  <si>
    <t>Space Cooling, Small - PCT</t>
  </si>
  <si>
    <t>Irrigation Pumping - Switch</t>
  </si>
  <si>
    <t>Water Heating - WH Controls</t>
  </si>
  <si>
    <t>Space Cooling - CAC PCT</t>
  </si>
  <si>
    <t>Space Cooling - RAC PCT</t>
  </si>
  <si>
    <t>Space Heating - PCT</t>
  </si>
  <si>
    <t>Demand Response Price Bin 4</t>
  </si>
  <si>
    <t>Need to Change Bins Manually</t>
  </si>
  <si>
    <t>Bin for reference</t>
  </si>
  <si>
    <t>Potential Each Decision year  (Two Year period after Action Plan)(MW)</t>
  </si>
  <si>
    <t>Unit Size Conversion Capacity</t>
  </si>
  <si>
    <t>Unit Size Conversion Energy</t>
  </si>
  <si>
    <t xml:space="preserve">Energy </t>
  </si>
  <si>
    <t>Implied Mwa generated from full resource utilization</t>
  </si>
  <si>
    <t>Percent of Capacity</t>
  </si>
  <si>
    <t>http://pse.com/aboutpse/EnergySupply/Documents/IRP_2013_AppN.pdf</t>
  </si>
  <si>
    <t>60 to 75 total</t>
  </si>
  <si>
    <t>47.5 to 61.5 total</t>
  </si>
  <si>
    <t>Justification</t>
  </si>
  <si>
    <t>Used 20 $ per kW-yr, lower end of BPA's range as a proxy estimate</t>
  </si>
  <si>
    <t>Same as base</t>
  </si>
  <si>
    <t>No information on incentives for lighting.</t>
  </si>
  <si>
    <t>5 $ per kW yr, 35 $ per kW-yr fully utilized</t>
  </si>
  <si>
    <t>Used 5 $ per kW-yr, Idaho Power's costs as a proxy estimate due to extensive experience.</t>
  </si>
  <si>
    <t>80 total cost from load aggregator bid</t>
  </si>
  <si>
    <t>Used 18 $ per kW-yr, PSE IRP proxy estimate</t>
  </si>
  <si>
    <t>Used 14 $ per kW-yr, PSE IRP proxy estimate</t>
  </si>
  <si>
    <t>Used 30 $ per kW-yr, lower end of BPA's range as a proxy estimate</t>
  </si>
  <si>
    <t>Changed Implementation cost to 50 $ per kW-yr to reflect similar costs to Curtailable Interruptible Tariffs</t>
  </si>
  <si>
    <t>DO NOT EDIT NAMES - ACTIVE LOOKUPS!</t>
  </si>
  <si>
    <t>Fixed cell references</t>
  </si>
  <si>
    <t>Change Order only by changing bin manually !</t>
  </si>
  <si>
    <t>Change Order only by Cut and Insert !</t>
  </si>
  <si>
    <t>If unit size not 1</t>
  </si>
  <si>
    <t>PGE Comments</t>
  </si>
  <si>
    <t>BPA Comments</t>
  </si>
  <si>
    <t>Used 40 $ per kW-yr, Lowest of all the utilities estimated incentives as a proxy estimate</t>
  </si>
  <si>
    <t>Used 50 $ per kW-yr, Lower end of BPA's range as a proxy estimate</t>
  </si>
  <si>
    <t>IPC Website</t>
  </si>
  <si>
    <t>2021 Winter</t>
  </si>
  <si>
    <t>2026 Winter</t>
  </si>
  <si>
    <t>2035 Winter</t>
  </si>
  <si>
    <t>2035 Summer</t>
  </si>
  <si>
    <t>2021 Summer</t>
  </si>
  <si>
    <t>2026 Summer</t>
  </si>
  <si>
    <t>Potential in 2026</t>
  </si>
  <si>
    <t>Winter Volume available in 2026 (MW)</t>
  </si>
  <si>
    <t>Summer Volume available in 2026 (MW)</t>
  </si>
  <si>
    <t>Winter MW</t>
  </si>
  <si>
    <t>Summer MW</t>
  </si>
  <si>
    <t>Total Seasonal Potential</t>
  </si>
</sst>
</file>

<file path=xl/styles.xml><?xml version="1.0" encoding="utf-8"?>
<styleSheet xmlns="http://schemas.openxmlformats.org/spreadsheetml/2006/main">
  <numFmts count="16">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m/d/\ h:mm"/>
    <numFmt numFmtId="166" formatCode="0.000"/>
    <numFmt numFmtId="167" formatCode="&quot;$&quot;#,##0"/>
    <numFmt numFmtId="168" formatCode="&quot;$&quot;#,##0.00"/>
    <numFmt numFmtId="169" formatCode="0.0"/>
    <numFmt numFmtId="170" formatCode="_(&quot;$&quot;* #,##0_);_(&quot;$&quot;* \(#,##0\);_(&quot;$&quot;* &quot;-&quot;??_);_(@_)"/>
    <numFmt numFmtId="171" formatCode="_(* #,##0.0_);_(* \(#,##0.0\);_(* &quot;-&quot;??_);_(@_)"/>
    <numFmt numFmtId="172" formatCode="0.000000000000000%"/>
    <numFmt numFmtId="173" formatCode="0.0%"/>
  </numFmts>
  <fonts count="63">
    <font>
      <sz val="11"/>
      <color theme="1"/>
      <name val="Calibri"/>
      <family val="2"/>
      <scheme val="minor"/>
    </font>
    <font>
      <sz val="10"/>
      <name val="Arial"/>
      <family val="2"/>
    </font>
    <font>
      <sz val="10"/>
      <name val="Arial"/>
      <family val="2"/>
    </font>
    <font>
      <b/>
      <sz val="11"/>
      <color theme="1"/>
      <name val="Calibri"/>
      <family val="2"/>
      <scheme val="minor"/>
    </font>
    <font>
      <i/>
      <sz val="11"/>
      <color theme="1"/>
      <name val="Calibri"/>
      <family val="2"/>
      <scheme val="minor"/>
    </font>
    <font>
      <sz val="10"/>
      <name val="Palatino Linotype"/>
      <family val="1"/>
    </font>
    <font>
      <sz val="11"/>
      <color theme="1"/>
      <name val="Calibri"/>
      <family val="2"/>
      <scheme val="minor"/>
    </font>
    <font>
      <sz val="11"/>
      <name val="Calibri"/>
      <family val="2"/>
      <scheme val="minor"/>
    </font>
    <font>
      <u/>
      <sz val="9.9"/>
      <color theme="10"/>
      <name val="Calibri"/>
      <family val="2"/>
    </font>
    <font>
      <sz val="10"/>
      <name val="Arial"/>
      <family val="2"/>
    </font>
    <font>
      <u/>
      <sz val="10"/>
      <color indexed="12"/>
      <name val="Arial"/>
      <family val="2"/>
    </font>
    <font>
      <sz val="10"/>
      <color theme="1"/>
      <name val="Arial"/>
      <family val="2"/>
    </font>
    <font>
      <sz val="10"/>
      <color rgb="FF006100"/>
      <name val="Arial"/>
      <family val="2"/>
    </font>
    <font>
      <u/>
      <sz val="7.7"/>
      <color theme="10"/>
      <name val="Calibri"/>
      <family val="2"/>
    </font>
    <font>
      <u/>
      <sz val="7"/>
      <color theme="10"/>
      <name val="Arial"/>
      <family val="2"/>
    </font>
    <font>
      <b/>
      <sz val="10"/>
      <color indexed="9"/>
      <name val="Arial"/>
      <family val="2"/>
    </font>
    <font>
      <sz val="12"/>
      <name val="Times New Roman"/>
      <family val="1"/>
    </font>
    <font>
      <b/>
      <sz val="12"/>
      <name val="Times New Roman"/>
      <family val="1"/>
    </font>
    <font>
      <sz val="10"/>
      <name val="Helv"/>
      <charset val="204"/>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MS Sans Serif"/>
      <family val="2"/>
    </font>
    <font>
      <b/>
      <sz val="13"/>
      <color indexed="56"/>
      <name val="Calibri"/>
      <family val="2"/>
    </font>
    <font>
      <b/>
      <sz val="11"/>
      <name val="Calibri"/>
      <family val="2"/>
      <scheme val="minor"/>
    </font>
    <font>
      <b/>
      <sz val="10"/>
      <name val="Arial"/>
      <family val="2"/>
    </font>
    <font>
      <sz val="10"/>
      <color indexed="12"/>
      <name val="Arial"/>
      <family val="2"/>
    </font>
    <font>
      <sz val="10"/>
      <name val="Arial"/>
      <family val="2"/>
    </font>
    <font>
      <b/>
      <sz val="12"/>
      <name val="Arial"/>
      <family val="2"/>
    </font>
    <font>
      <b/>
      <u/>
      <sz val="10"/>
      <name val="Arial"/>
      <family val="2"/>
    </font>
    <font>
      <sz val="10"/>
      <color indexed="10"/>
      <name val="Arial"/>
      <family val="2"/>
    </font>
    <font>
      <i/>
      <sz val="10"/>
      <color indexed="10"/>
      <name val="Arial"/>
      <family val="2"/>
    </font>
    <font>
      <b/>
      <sz val="11"/>
      <name val="Arial"/>
      <family val="2"/>
    </font>
    <font>
      <b/>
      <sz val="12"/>
      <color theme="0"/>
      <name val="Arial"/>
      <family val="2"/>
    </font>
    <font>
      <sz val="9"/>
      <color indexed="81"/>
      <name val="Tahoma"/>
      <family val="2"/>
    </font>
    <font>
      <b/>
      <sz val="9"/>
      <color indexed="81"/>
      <name val="Tahoma"/>
      <family val="2"/>
    </font>
    <font>
      <b/>
      <sz val="14"/>
      <color rgb="FF000000"/>
      <name val="Calibri"/>
      <family val="2"/>
    </font>
    <font>
      <b/>
      <sz val="14"/>
      <color rgb="FF000000"/>
      <name val="Arial"/>
      <family val="2"/>
    </font>
    <font>
      <sz val="14"/>
      <color rgb="FF000000"/>
      <name val="Calibri"/>
      <family val="2"/>
    </font>
    <font>
      <u/>
      <sz val="11"/>
      <color theme="1"/>
      <name val="Calibri"/>
      <family val="2"/>
      <scheme val="minor"/>
    </font>
    <font>
      <sz val="11"/>
      <color theme="0" tint="-0.34998626667073579"/>
      <name val="Calibri"/>
      <family val="2"/>
      <scheme val="minor"/>
    </font>
    <font>
      <b/>
      <sz val="11"/>
      <color theme="0" tint="-0.249977111117893"/>
      <name val="Calibri"/>
      <family val="2"/>
      <scheme val="minor"/>
    </font>
    <font>
      <sz val="11"/>
      <color theme="0" tint="-0.249977111117893"/>
      <name val="Calibri"/>
      <family val="2"/>
      <scheme val="minor"/>
    </font>
    <font>
      <sz val="11"/>
      <color rgb="FF000000"/>
      <name val="Calibri"/>
      <family val="2"/>
      <scheme val="minor"/>
    </font>
    <font>
      <sz val="11"/>
      <color theme="1"/>
      <name val="Arial"/>
      <family val="2"/>
    </font>
    <font>
      <b/>
      <u/>
      <sz val="11"/>
      <color theme="1"/>
      <name val="Calibri"/>
      <family val="2"/>
      <scheme val="minor"/>
    </font>
    <font>
      <i/>
      <sz val="12"/>
      <name val="Arial"/>
      <family val="2"/>
    </font>
    <font>
      <b/>
      <sz val="10"/>
      <color theme="0" tint="-4.9989318521683403E-2"/>
      <name val="Arial"/>
      <family val="2"/>
    </font>
    <font>
      <sz val="11"/>
      <color theme="0" tint="-4.9989318521683403E-2"/>
      <name val="Calibri"/>
      <family val="2"/>
      <scheme val="minor"/>
    </font>
    <font>
      <u/>
      <sz val="11"/>
      <color theme="10"/>
      <name val="Calibri"/>
      <family val="2"/>
    </font>
  </fonts>
  <fills count="59">
    <fill>
      <patternFill patternType="none"/>
    </fill>
    <fill>
      <patternFill patternType="gray125"/>
    </fill>
    <fill>
      <patternFill patternType="solid">
        <fgColor rgb="FFFFFF0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rgb="FFC6EFCE"/>
      </patternFill>
    </fill>
    <fill>
      <patternFill patternType="solid">
        <fgColor rgb="FF92D05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4"/>
        <bgColor indexed="64"/>
      </patternFill>
    </fill>
    <fill>
      <patternFill patternType="solid">
        <fgColor indexed="47"/>
        <bgColor indexed="64"/>
      </patternFill>
    </fill>
    <fill>
      <patternFill patternType="solid">
        <fgColor indexed="8"/>
        <bgColor indexed="64"/>
      </patternFill>
    </fill>
    <fill>
      <patternFill patternType="solid">
        <fgColor indexed="43"/>
      </patternFill>
    </fill>
    <fill>
      <patternFill patternType="solid">
        <fgColor indexed="26"/>
      </patternFill>
    </fill>
    <fill>
      <patternFill patternType="solid">
        <fgColor rgb="FF00B0F0"/>
        <bgColor indexed="64"/>
      </patternFill>
    </fill>
    <fill>
      <patternFill patternType="solid">
        <fgColor indexed="41"/>
        <bgColor indexed="64"/>
      </patternFill>
    </fill>
    <fill>
      <patternFill patternType="solid">
        <fgColor theme="8" tint="0.79998168889431442"/>
        <bgColor indexed="64"/>
      </patternFill>
    </fill>
    <fill>
      <patternFill patternType="solid">
        <fgColor theme="6"/>
        <bgColor indexed="64"/>
      </patternFill>
    </fill>
    <fill>
      <patternFill patternType="solid">
        <fgColor theme="5" tint="0.59999389629810485"/>
        <bgColor indexed="64"/>
      </patternFill>
    </fill>
    <fill>
      <patternFill patternType="solid">
        <fgColor theme="1"/>
        <bgColor indexed="64"/>
      </patternFill>
    </fill>
    <fill>
      <patternFill patternType="solid">
        <fgColor theme="4" tint="0.59999389629810485"/>
        <bgColor indexed="64"/>
      </patternFill>
    </fill>
    <fill>
      <patternFill patternType="solid">
        <fgColor rgb="FFFFC000"/>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9" tint="-0.249977111117893"/>
        <bgColor indexed="64"/>
      </patternFill>
    </fill>
    <fill>
      <patternFill patternType="solid">
        <fgColor rgb="FFEBF1DE"/>
        <bgColor indexed="64"/>
      </patternFill>
    </fill>
    <fill>
      <patternFill patternType="solid">
        <fgColor theme="7" tint="0.59999389629810485"/>
        <bgColor indexed="64"/>
      </patternFill>
    </fill>
    <fill>
      <patternFill patternType="solid">
        <fgColor rgb="FFD8E4BC"/>
        <bgColor indexed="64"/>
      </patternFill>
    </fill>
    <fill>
      <patternFill patternType="solid">
        <fgColor rgb="FFBFBFBF"/>
        <bgColor indexed="64"/>
      </patternFill>
    </fill>
    <fill>
      <patternFill patternType="solid">
        <fgColor theme="3" tint="0.59999389629810485"/>
        <bgColor indexed="64"/>
      </patternFill>
    </fill>
    <fill>
      <patternFill patternType="solid">
        <fgColor rgb="FFC4D79B"/>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FFFFCC"/>
      </patternFill>
    </fill>
    <fill>
      <patternFill patternType="solid">
        <fgColor theme="0" tint="-0.249977111117893"/>
        <bgColor indexed="64"/>
      </patternFill>
    </fill>
    <fill>
      <patternFill patternType="solid">
        <fgColor theme="3" tint="0.79998168889431442"/>
        <bgColor indexed="64"/>
      </patternFill>
    </fill>
    <fill>
      <patternFill patternType="solid">
        <fgColor theme="9" tint="0.79998168889431442"/>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indexed="2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bottom style="medium">
        <color rgb="FF000000"/>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rgb="FFB2B2B2"/>
      </left>
      <right style="thin">
        <color rgb="FFB2B2B2"/>
      </right>
      <top style="thin">
        <color rgb="FFB2B2B2"/>
      </top>
      <bottom style="thin">
        <color rgb="FFB2B2B2"/>
      </bottom>
      <diagonal/>
    </border>
    <border>
      <left/>
      <right style="medium">
        <color indexed="64"/>
      </right>
      <top/>
      <bottom style="medium">
        <color indexed="64"/>
      </bottom>
      <diagonal/>
    </border>
  </borders>
  <cellStyleXfs count="106">
    <xf numFmtId="0" fontId="0" fillId="0" borderId="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8"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 fillId="0" borderId="0"/>
    <xf numFmtId="43" fontId="9" fillId="0" borderId="0" applyFont="0" applyFill="0" applyBorder="0" applyAlignment="0" applyProtection="0"/>
    <xf numFmtId="9" fontId="9" fillId="0" borderId="0" applyFont="0" applyFill="0" applyBorder="0" applyAlignment="0" applyProtection="0"/>
    <xf numFmtId="0" fontId="8" fillId="0" borderId="0" applyNumberFormat="0" applyFill="0" applyBorder="0" applyAlignment="0" applyProtection="0">
      <alignment vertical="top"/>
      <protection locked="0"/>
    </xf>
    <xf numFmtId="0" fontId="5" fillId="0" borderId="0"/>
    <xf numFmtId="0" fontId="11" fillId="0" borderId="0"/>
    <xf numFmtId="0" fontId="9" fillId="0" borderId="0"/>
    <xf numFmtId="0" fontId="12" fillId="7" borderId="0" applyNumberFormat="0" applyBorder="0" applyAlignment="0" applyProtection="0"/>
    <xf numFmtId="43" fontId="11" fillId="0" borderId="0" applyFont="0" applyFill="0" applyBorder="0" applyAlignment="0" applyProtection="0"/>
    <xf numFmtId="9" fontId="6" fillId="0" borderId="0" applyFont="0" applyFill="0" applyBorder="0" applyAlignment="0" applyProtection="0"/>
    <xf numFmtId="0" fontId="13" fillId="0" borderId="0" applyNumberFormat="0" applyFill="0" applyBorder="0" applyAlignment="0" applyProtection="0">
      <alignment vertical="top"/>
      <protection locked="0"/>
    </xf>
    <xf numFmtId="0" fontId="11" fillId="0" borderId="0"/>
    <xf numFmtId="0" fontId="11" fillId="0" borderId="0"/>
    <xf numFmtId="43" fontId="11" fillId="0" borderId="0" applyFont="0" applyFill="0" applyBorder="0" applyAlignment="0" applyProtection="0"/>
    <xf numFmtId="44" fontId="6" fillId="0" borderId="0" applyFont="0" applyFill="0" applyBorder="0" applyAlignment="0" applyProtection="0"/>
    <xf numFmtId="9" fontId="11" fillId="0" borderId="0" applyFont="0" applyFill="0" applyBorder="0" applyAlignment="0" applyProtection="0"/>
    <xf numFmtId="0" fontId="14" fillId="0" borderId="0" applyNumberFormat="0" applyFill="0" applyBorder="0" applyAlignment="0" applyProtection="0">
      <alignment vertical="top"/>
      <protection locked="0"/>
    </xf>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9" fontId="11" fillId="0" borderId="0" applyFont="0" applyFill="0" applyBorder="0" applyAlignment="0" applyProtection="0"/>
    <xf numFmtId="0" fontId="9" fillId="0" borderId="0"/>
    <xf numFmtId="0" fontId="9" fillId="0" borderId="0"/>
    <xf numFmtId="0" fontId="9" fillId="0" borderId="0">
      <alignment readingOrder="1"/>
    </xf>
    <xf numFmtId="0" fontId="18" fillId="0" borderId="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2" borderId="0" applyNumberFormat="0" applyBorder="0" applyAlignment="0" applyProtection="0"/>
    <xf numFmtId="0" fontId="19" fillId="15" borderId="0" applyNumberFormat="0" applyBorder="0" applyAlignment="0" applyProtection="0"/>
    <xf numFmtId="0" fontId="19" fillId="18" borderId="0" applyNumberFormat="0" applyBorder="0" applyAlignment="0" applyProtection="0"/>
    <xf numFmtId="0" fontId="20" fillId="19"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6" borderId="0" applyNumberFormat="0" applyBorder="0" applyAlignment="0" applyProtection="0"/>
    <xf numFmtId="0" fontId="21" fillId="10" borderId="0" applyNumberFormat="0" applyBorder="0" applyAlignment="0" applyProtection="0"/>
    <xf numFmtId="0" fontId="22" fillId="27" borderId="23" applyNumberFormat="0" applyAlignment="0" applyProtection="0"/>
    <xf numFmtId="0" fontId="23" fillId="28" borderId="24" applyNumberFormat="0" applyAlignment="0" applyProtection="0"/>
    <xf numFmtId="44" fontId="9" fillId="0" borderId="0" applyFont="0" applyFill="0" applyBorder="0" applyAlignment="0" applyProtection="0"/>
    <xf numFmtId="0" fontId="9" fillId="29" borderId="0" applyNumberFormat="0" applyAlignment="0">
      <alignment horizontal="right"/>
    </xf>
    <xf numFmtId="0" fontId="9" fillId="30" borderId="0" applyNumberFormat="0" applyAlignment="0"/>
    <xf numFmtId="165" fontId="16" fillId="0" borderId="0"/>
    <xf numFmtId="0" fontId="24" fillId="0" borderId="0" applyNumberFormat="0" applyFill="0" applyBorder="0" applyAlignment="0" applyProtection="0"/>
    <xf numFmtId="0" fontId="25" fillId="11" borderId="0" applyNumberFormat="0" applyBorder="0" applyAlignment="0" applyProtection="0"/>
    <xf numFmtId="0" fontId="17" fillId="0" borderId="0">
      <alignment horizontal="center" wrapText="1"/>
    </xf>
    <xf numFmtId="0" fontId="26" fillId="0" borderId="25" applyNumberFormat="0" applyFill="0" applyAlignment="0" applyProtection="0"/>
    <xf numFmtId="0" fontId="15" fillId="31" borderId="6">
      <alignment horizontal="left"/>
    </xf>
    <xf numFmtId="0" fontId="27" fillId="0" borderId="26" applyNumberFormat="0" applyFill="0" applyAlignment="0" applyProtection="0"/>
    <xf numFmtId="0" fontId="27" fillId="0" borderId="0" applyNumberFormat="0" applyFill="0" applyBorder="0" applyAlignment="0" applyProtection="0"/>
    <xf numFmtId="0" fontId="28" fillId="14" borderId="23" applyNumberFormat="0" applyAlignment="0" applyProtection="0"/>
    <xf numFmtId="0" fontId="29" fillId="0" borderId="27" applyNumberFormat="0" applyFill="0" applyAlignment="0" applyProtection="0"/>
    <xf numFmtId="0" fontId="30" fillId="32" borderId="0" applyNumberFormat="0" applyBorder="0" applyAlignment="0" applyProtection="0"/>
    <xf numFmtId="0" fontId="9" fillId="33" borderId="28" applyNumberFormat="0" applyFont="0" applyAlignment="0" applyProtection="0"/>
    <xf numFmtId="0" fontId="31" fillId="27" borderId="29" applyNumberFormat="0" applyAlignment="0" applyProtection="0"/>
    <xf numFmtId="0" fontId="32" fillId="0" borderId="0" applyNumberFormat="0" applyFill="0" applyBorder="0" applyAlignment="0" applyProtection="0"/>
    <xf numFmtId="0" fontId="33" fillId="0" borderId="30" applyNumberFormat="0" applyFill="0" applyAlignment="0" applyProtection="0"/>
    <xf numFmtId="0" fontId="34" fillId="0" borderId="0" applyNumberFormat="0" applyFill="0" applyBorder="0" applyAlignment="0" applyProtection="0"/>
    <xf numFmtId="0" fontId="9" fillId="0" borderId="0"/>
    <xf numFmtId="0" fontId="9" fillId="0" borderId="0"/>
    <xf numFmtId="9" fontId="9" fillId="0" borderId="0" applyFont="0" applyFill="0" applyBorder="0" applyAlignment="0" applyProtection="0"/>
    <xf numFmtId="0" fontId="35" fillId="33" borderId="28" applyNumberFormat="0" applyFont="0" applyAlignment="0" applyProtection="0"/>
    <xf numFmtId="0" fontId="36" fillId="0" borderId="31" applyNumberFormat="0" applyFill="0" applyAlignment="0" applyProtection="0"/>
    <xf numFmtId="43"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43"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40" fillId="0" borderId="0"/>
    <xf numFmtId="43" fontId="40" fillId="0" borderId="0" applyFont="0" applyFill="0" applyBorder="0" applyAlignment="0" applyProtection="0"/>
    <xf numFmtId="9" fontId="40" fillId="0" borderId="0" applyFont="0" applyFill="0" applyBorder="0" applyAlignment="0" applyProtection="0"/>
    <xf numFmtId="44" fontId="40" fillId="0" borderId="0" applyFont="0" applyFill="0" applyBorder="0" applyAlignment="0" applyProtection="0"/>
    <xf numFmtId="0" fontId="6" fillId="55" borderId="51" applyNumberFormat="0" applyFont="0" applyAlignment="0" applyProtection="0"/>
    <xf numFmtId="0" fontId="62" fillId="0" borderId="0" applyNumberFormat="0" applyFill="0" applyBorder="0" applyAlignment="0" applyProtection="0">
      <alignment vertical="top"/>
      <protection locked="0"/>
    </xf>
  </cellStyleXfs>
  <cellXfs count="550">
    <xf numFmtId="0" fontId="0" fillId="0" borderId="0" xfId="0"/>
    <xf numFmtId="0" fontId="0" fillId="0" borderId="1" xfId="0" applyFont="1" applyBorder="1" applyAlignment="1">
      <alignment horizontal="center" vertical="center" wrapText="1"/>
    </xf>
    <xf numFmtId="0" fontId="0" fillId="0" borderId="1" xfId="0" applyBorder="1"/>
    <xf numFmtId="0" fontId="0" fillId="0" borderId="1" xfId="0" applyBorder="1" applyAlignment="1">
      <alignment wrapText="1"/>
    </xf>
    <xf numFmtId="0" fontId="0" fillId="0" borderId="1" xfId="0" applyBorder="1" applyAlignment="1">
      <alignment horizontal="left" vertical="center" wrapText="1"/>
    </xf>
    <xf numFmtId="0" fontId="3" fillId="0" borderId="0" xfId="0" applyFont="1" applyAlignment="1">
      <alignment horizontal="left" vertical="center" wrapText="1"/>
    </xf>
    <xf numFmtId="9" fontId="0" fillId="0" borderId="0" xfId="2" applyFont="1"/>
    <xf numFmtId="44" fontId="0" fillId="0" borderId="0" xfId="1" applyFont="1"/>
    <xf numFmtId="9" fontId="0" fillId="0" borderId="1" xfId="2" applyFont="1" applyBorder="1" applyAlignment="1">
      <alignment horizontal="left" vertical="center" wrapText="1"/>
    </xf>
    <xf numFmtId="9" fontId="0" fillId="0" borderId="1" xfId="2" applyFont="1" applyBorder="1" applyAlignment="1">
      <alignment vertical="center" wrapText="1"/>
    </xf>
    <xf numFmtId="0" fontId="0" fillId="0" borderId="1" xfId="0" applyBorder="1" applyAlignment="1">
      <alignment vertical="center" wrapText="1"/>
    </xf>
    <xf numFmtId="44" fontId="0" fillId="0" borderId="1" xfId="1" applyFont="1" applyBorder="1" applyAlignment="1">
      <alignment vertical="center" wrapText="1"/>
    </xf>
    <xf numFmtId="6" fontId="0" fillId="0" borderId="1" xfId="0" applyNumberFormat="1" applyBorder="1" applyAlignment="1">
      <alignment vertical="center" wrapText="1"/>
    </xf>
    <xf numFmtId="9" fontId="0" fillId="0" borderId="1" xfId="2" applyFont="1" applyBorder="1" applyAlignment="1">
      <alignment vertical="center"/>
    </xf>
    <xf numFmtId="0" fontId="0" fillId="0" borderId="1" xfId="0" applyBorder="1" applyAlignment="1">
      <alignment horizontal="left" vertical="top" wrapText="1"/>
    </xf>
    <xf numFmtId="9" fontId="0" fillId="0" borderId="1" xfId="2" applyFont="1" applyBorder="1" applyAlignment="1">
      <alignment horizontal="left" vertical="top" wrapText="1"/>
    </xf>
    <xf numFmtId="9" fontId="0" fillId="0" borderId="1" xfId="2" applyFont="1" applyBorder="1" applyAlignment="1">
      <alignment wrapText="1"/>
    </xf>
    <xf numFmtId="44" fontId="0" fillId="0" borderId="1" xfId="1" applyFont="1" applyBorder="1" applyAlignment="1">
      <alignment wrapText="1"/>
    </xf>
    <xf numFmtId="9" fontId="0" fillId="0" borderId="1" xfId="2" applyFont="1" applyBorder="1"/>
    <xf numFmtId="0" fontId="0" fillId="0" borderId="1" xfId="0" applyFill="1" applyBorder="1" applyAlignment="1">
      <alignment vertical="center" wrapText="1"/>
    </xf>
    <xf numFmtId="44" fontId="0" fillId="0" borderId="1" xfId="1" applyFont="1" applyFill="1" applyBorder="1" applyAlignment="1">
      <alignment vertical="center" wrapText="1"/>
    </xf>
    <xf numFmtId="6" fontId="0" fillId="0" borderId="1" xfId="0" applyNumberFormat="1" applyBorder="1" applyAlignment="1">
      <alignment wrapText="1"/>
    </xf>
    <xf numFmtId="6" fontId="0" fillId="0" borderId="1" xfId="1" applyNumberFormat="1" applyFont="1" applyBorder="1" applyAlignment="1">
      <alignment wrapText="1"/>
    </xf>
    <xf numFmtId="0" fontId="0" fillId="0" borderId="1" xfId="0" applyFont="1" applyBorder="1" applyAlignment="1">
      <alignment horizontal="left" vertical="top" wrapText="1"/>
    </xf>
    <xf numFmtId="9" fontId="6" fillId="0" borderId="1" xfId="2" applyFont="1" applyBorder="1" applyAlignment="1">
      <alignment horizontal="center" vertical="top" wrapText="1"/>
    </xf>
    <xf numFmtId="0" fontId="0" fillId="0" borderId="1" xfId="0" applyFont="1" applyBorder="1" applyAlignment="1">
      <alignment horizontal="center" vertical="top" wrapText="1"/>
    </xf>
    <xf numFmtId="9" fontId="6" fillId="0" borderId="1" xfId="2" applyFont="1" applyBorder="1" applyAlignment="1">
      <alignment horizontal="center" vertical="center" wrapText="1"/>
    </xf>
    <xf numFmtId="44" fontId="6" fillId="0" borderId="1" xfId="1" applyFont="1" applyBorder="1" applyAlignment="1">
      <alignment horizontal="center" vertical="center" wrapText="1"/>
    </xf>
    <xf numFmtId="0" fontId="0" fillId="0" borderId="0" xfId="0" applyFont="1" applyAlignment="1">
      <alignment horizontal="left" vertical="center" wrapText="1"/>
    </xf>
    <xf numFmtId="9" fontId="0" fillId="0" borderId="1" xfId="2" applyFont="1" applyBorder="1" applyAlignment="1">
      <alignment horizontal="center" vertical="top" wrapText="1"/>
    </xf>
    <xf numFmtId="9" fontId="0" fillId="0" borderId="1" xfId="2" applyFont="1" applyBorder="1" applyAlignment="1">
      <alignment horizontal="center" vertical="center" wrapText="1"/>
    </xf>
    <xf numFmtId="9" fontId="6" fillId="0" borderId="6" xfId="2" applyFont="1" applyBorder="1" applyAlignment="1">
      <alignment horizontal="center" vertical="center" wrapText="1"/>
    </xf>
    <xf numFmtId="9" fontId="6" fillId="0" borderId="21" xfId="2" applyFont="1" applyBorder="1" applyAlignment="1">
      <alignment horizontal="center" vertical="center" wrapText="1"/>
    </xf>
    <xf numFmtId="9" fontId="0" fillId="0" borderId="6" xfId="2" applyFont="1" applyBorder="1" applyAlignment="1">
      <alignment horizontal="center" vertical="center" wrapText="1"/>
    </xf>
    <xf numFmtId="0" fontId="0" fillId="0" borderId="21" xfId="0" applyFont="1" applyBorder="1" applyAlignment="1">
      <alignment horizontal="center" vertical="center" wrapText="1"/>
    </xf>
    <xf numFmtId="0" fontId="0" fillId="0" borderId="0" xfId="0"/>
    <xf numFmtId="0" fontId="0" fillId="0" borderId="6" xfId="0" applyFont="1" applyBorder="1" applyAlignment="1">
      <alignment horizontal="center" vertical="center" wrapText="1"/>
    </xf>
    <xf numFmtId="9" fontId="0" fillId="0" borderId="22" xfId="2" applyFont="1" applyBorder="1" applyAlignment="1">
      <alignment horizontal="center" vertical="center" wrapText="1"/>
    </xf>
    <xf numFmtId="44" fontId="0" fillId="0" borderId="1" xfId="1" applyFont="1" applyBorder="1" applyAlignment="1">
      <alignment horizontal="center" vertical="center" wrapText="1"/>
    </xf>
    <xf numFmtId="0" fontId="0" fillId="0" borderId="21" xfId="0" applyBorder="1" applyAlignment="1">
      <alignment wrapText="1"/>
    </xf>
    <xf numFmtId="0" fontId="0" fillId="0" borderId="0" xfId="0"/>
    <xf numFmtId="0" fontId="3" fillId="0" borderId="1" xfId="0" applyFont="1" applyBorder="1" applyAlignment="1">
      <alignment horizontal="left" vertical="center" wrapText="1"/>
    </xf>
    <xf numFmtId="0" fontId="0" fillId="0" borderId="1" xfId="0" applyFont="1" applyBorder="1" applyAlignment="1">
      <alignment horizontal="left" vertical="center" wrapText="1"/>
    </xf>
    <xf numFmtId="0" fontId="0" fillId="0" borderId="1" xfId="0" applyBorder="1" applyAlignment="1">
      <alignment horizontal="left" vertical="top"/>
    </xf>
    <xf numFmtId="9" fontId="0" fillId="0" borderId="1" xfId="2" applyFont="1" applyBorder="1" applyAlignment="1">
      <alignment horizontal="left" vertical="top"/>
    </xf>
    <xf numFmtId="44" fontId="0" fillId="0" borderId="1" xfId="1" applyFont="1" applyBorder="1"/>
    <xf numFmtId="0" fontId="0" fillId="0" borderId="1" xfId="0" applyFill="1" applyBorder="1"/>
    <xf numFmtId="9" fontId="0" fillId="0" borderId="1" xfId="2" applyFont="1" applyBorder="1" applyAlignment="1">
      <alignment horizontal="center" vertical="center"/>
    </xf>
    <xf numFmtId="0" fontId="0" fillId="0" borderId="1" xfId="0" applyBorder="1" applyAlignment="1">
      <alignment horizontal="center" vertical="center"/>
    </xf>
    <xf numFmtId="44" fontId="0" fillId="0" borderId="1" xfId="1" applyFont="1" applyBorder="1" applyAlignment="1">
      <alignment horizontal="center" vertical="center"/>
    </xf>
    <xf numFmtId="0" fontId="0" fillId="0" borderId="1" xfId="0" applyFill="1" applyBorder="1" applyAlignment="1">
      <alignment wrapText="1"/>
    </xf>
    <xf numFmtId="0" fontId="4" fillId="0" borderId="1" xfId="0" applyFont="1" applyFill="1" applyBorder="1"/>
    <xf numFmtId="49" fontId="0" fillId="0" borderId="1" xfId="0" applyNumberFormat="1" applyBorder="1"/>
    <xf numFmtId="0" fontId="0" fillId="0" borderId="1" xfId="0" applyBorder="1" applyAlignment="1">
      <alignment horizontal="left" vertical="center"/>
    </xf>
    <xf numFmtId="0" fontId="3" fillId="0" borderId="0" xfId="0" applyFont="1"/>
    <xf numFmtId="0" fontId="0" fillId="0" borderId="0" xfId="0"/>
    <xf numFmtId="0" fontId="0" fillId="0" borderId="0" xfId="0"/>
    <xf numFmtId="0" fontId="3" fillId="0" borderId="0" xfId="0" applyFont="1"/>
    <xf numFmtId="0" fontId="0" fillId="4" borderId="1" xfId="0" applyFill="1" applyBorder="1"/>
    <xf numFmtId="0" fontId="0" fillId="4" borderId="20" xfId="0" applyFill="1" applyBorder="1" applyAlignment="1">
      <alignment horizontal="center"/>
    </xf>
    <xf numFmtId="164" fontId="0" fillId="8" borderId="1" xfId="3" applyNumberFormat="1" applyFont="1" applyFill="1" applyBorder="1" applyAlignment="1"/>
    <xf numFmtId="0" fontId="7" fillId="0" borderId="0" xfId="0" applyFont="1"/>
    <xf numFmtId="164" fontId="7" fillId="8" borderId="1" xfId="3" applyNumberFormat="1" applyFont="1" applyFill="1" applyBorder="1" applyAlignment="1"/>
    <xf numFmtId="0" fontId="0" fillId="0" borderId="0" xfId="0"/>
    <xf numFmtId="0" fontId="0" fillId="4" borderId="20" xfId="0" applyFill="1" applyBorder="1" applyAlignment="1">
      <alignment horizontal="center"/>
    </xf>
    <xf numFmtId="164" fontId="0" fillId="8" borderId="1" xfId="3" applyNumberFormat="1" applyFont="1" applyFill="1" applyBorder="1" applyAlignment="1"/>
    <xf numFmtId="164" fontId="7" fillId="8" borderId="1" xfId="3" applyNumberFormat="1" applyFont="1" applyFill="1" applyBorder="1" applyAlignment="1"/>
    <xf numFmtId="0" fontId="0" fillId="4" borderId="1" xfId="0" applyFill="1" applyBorder="1"/>
    <xf numFmtId="0" fontId="7" fillId="4" borderId="1" xfId="0" applyFont="1" applyFill="1" applyBorder="1"/>
    <xf numFmtId="3" fontId="0" fillId="0" borderId="1" xfId="0" applyNumberFormat="1" applyBorder="1" applyAlignment="1">
      <alignment horizontal="right"/>
    </xf>
    <xf numFmtId="0" fontId="0" fillId="0" borderId="0" xfId="0"/>
    <xf numFmtId="0" fontId="3" fillId="0" borderId="0" xfId="0" applyFont="1"/>
    <xf numFmtId="0" fontId="0" fillId="4" borderId="1" xfId="0" applyFill="1" applyBorder="1"/>
    <xf numFmtId="164" fontId="0" fillId="8" borderId="1" xfId="3" applyNumberFormat="1" applyFont="1" applyFill="1" applyBorder="1" applyAlignment="1"/>
    <xf numFmtId="0" fontId="7" fillId="0" borderId="0" xfId="0" applyFont="1"/>
    <xf numFmtId="0" fontId="3" fillId="4" borderId="20" xfId="0" applyFont="1" applyFill="1" applyBorder="1" applyAlignment="1">
      <alignment horizontal="center"/>
    </xf>
    <xf numFmtId="0" fontId="40" fillId="0" borderId="0" xfId="100"/>
    <xf numFmtId="0" fontId="42" fillId="0" borderId="0" xfId="100" applyFont="1"/>
    <xf numFmtId="0" fontId="40" fillId="0" borderId="0" xfId="100" applyFill="1" applyBorder="1"/>
    <xf numFmtId="0" fontId="40" fillId="35" borderId="7" xfId="100" applyFill="1" applyBorder="1"/>
    <xf numFmtId="0" fontId="38" fillId="35" borderId="8" xfId="100" applyFont="1" applyFill="1" applyBorder="1" applyAlignment="1">
      <alignment horizontal="center"/>
    </xf>
    <xf numFmtId="3" fontId="38" fillId="35" borderId="20" xfId="100" applyNumberFormat="1" applyFont="1" applyFill="1" applyBorder="1" applyAlignment="1">
      <alignment horizontal="center" wrapText="1"/>
    </xf>
    <xf numFmtId="0" fontId="40" fillId="0" borderId="2" xfId="100" applyBorder="1"/>
    <xf numFmtId="3" fontId="40" fillId="0" borderId="11" xfId="100" applyNumberFormat="1" applyBorder="1" applyAlignment="1">
      <alignment horizontal="center"/>
    </xf>
    <xf numFmtId="37" fontId="40" fillId="0" borderId="2" xfId="101" applyNumberFormat="1" applyBorder="1"/>
    <xf numFmtId="0" fontId="40" fillId="0" borderId="19" xfId="100" applyBorder="1"/>
    <xf numFmtId="3" fontId="9" fillId="0" borderId="10" xfId="102" applyNumberFormat="1" applyFont="1" applyBorder="1" applyAlignment="1">
      <alignment horizontal="center"/>
    </xf>
    <xf numFmtId="0" fontId="40" fillId="0" borderId="20" xfId="100" applyBorder="1"/>
    <xf numFmtId="3" fontId="40" fillId="0" borderId="12" xfId="100" applyNumberFormat="1" applyBorder="1" applyAlignment="1">
      <alignment horizontal="center"/>
    </xf>
    <xf numFmtId="37" fontId="9" fillId="0" borderId="19" xfId="100" applyNumberFormat="1" applyFont="1" applyBorder="1" applyAlignment="1">
      <alignment horizontal="center"/>
    </xf>
    <xf numFmtId="37" fontId="40" fillId="0" borderId="19" xfId="100" applyNumberFormat="1" applyBorder="1" applyAlignment="1">
      <alignment horizontal="center"/>
    </xf>
    <xf numFmtId="0" fontId="40" fillId="0" borderId="1" xfId="100" applyBorder="1"/>
    <xf numFmtId="3" fontId="40" fillId="0" borderId="22" xfId="100" applyNumberFormat="1" applyBorder="1" applyAlignment="1">
      <alignment horizontal="center"/>
    </xf>
    <xf numFmtId="37" fontId="40" fillId="0" borderId="1" xfId="100" applyNumberFormat="1" applyBorder="1" applyAlignment="1">
      <alignment horizontal="center"/>
    </xf>
    <xf numFmtId="0" fontId="40" fillId="0" borderId="13" xfId="100" applyBorder="1"/>
    <xf numFmtId="37" fontId="40" fillId="0" borderId="13" xfId="100" applyNumberFormat="1" applyBorder="1" applyAlignment="1">
      <alignment horizontal="center"/>
    </xf>
    <xf numFmtId="0" fontId="42" fillId="0" borderId="0" xfId="100" applyFont="1" applyBorder="1"/>
    <xf numFmtId="37" fontId="40" fillId="0" borderId="0" xfId="100" applyNumberFormat="1" applyBorder="1" applyAlignment="1">
      <alignment horizontal="center"/>
    </xf>
    <xf numFmtId="0" fontId="40" fillId="0" borderId="0" xfId="100" applyBorder="1"/>
    <xf numFmtId="0" fontId="38" fillId="35" borderId="2" xfId="100" applyFont="1" applyFill="1" applyBorder="1" applyAlignment="1">
      <alignment horizontal="center"/>
    </xf>
    <xf numFmtId="0" fontId="38" fillId="35" borderId="20" xfId="100" applyFont="1" applyFill="1" applyBorder="1" applyAlignment="1">
      <alignment horizontal="center"/>
    </xf>
    <xf numFmtId="0" fontId="40" fillId="0" borderId="10" xfId="100" applyBorder="1"/>
    <xf numFmtId="9" fontId="39" fillId="0" borderId="19" xfId="100" applyNumberFormat="1" applyFont="1" applyBorder="1" applyAlignment="1">
      <alignment horizontal="center"/>
    </xf>
    <xf numFmtId="37" fontId="40" fillId="0" borderId="20" xfId="100" applyNumberFormat="1" applyBorder="1" applyAlignment="1">
      <alignment horizontal="center"/>
    </xf>
    <xf numFmtId="0" fontId="40" fillId="35" borderId="2" xfId="100" applyFill="1" applyBorder="1" applyAlignment="1">
      <alignment vertical="center"/>
    </xf>
    <xf numFmtId="0" fontId="40" fillId="0" borderId="9" xfId="100" applyBorder="1"/>
    <xf numFmtId="37" fontId="44" fillId="0" borderId="19" xfId="100" quotePrefix="1" applyNumberFormat="1" applyFont="1" applyBorder="1" applyAlignment="1">
      <alignment horizontal="right"/>
    </xf>
    <xf numFmtId="0" fontId="9" fillId="0" borderId="1" xfId="100" applyFont="1" applyBorder="1"/>
    <xf numFmtId="0" fontId="9" fillId="0" borderId="22" xfId="100" applyFont="1" applyBorder="1"/>
    <xf numFmtId="37" fontId="9" fillId="0" borderId="1" xfId="100" applyNumberFormat="1" applyFont="1" applyBorder="1" applyAlignment="1">
      <alignment horizontal="center"/>
    </xf>
    <xf numFmtId="0" fontId="9" fillId="0" borderId="0" xfId="100" applyFont="1" applyBorder="1"/>
    <xf numFmtId="37" fontId="40" fillId="0" borderId="0" xfId="100" applyNumberFormat="1" applyBorder="1"/>
    <xf numFmtId="37" fontId="9" fillId="0" borderId="0" xfId="100" applyNumberFormat="1" applyFont="1" applyBorder="1" applyAlignment="1">
      <alignment horizontal="center"/>
    </xf>
    <xf numFmtId="0" fontId="40" fillId="0" borderId="0" xfId="100" quotePrefix="1"/>
    <xf numFmtId="0" fontId="38" fillId="35" borderId="20" xfId="100" applyFont="1" applyFill="1" applyBorder="1" applyAlignment="1">
      <alignment horizontal="center" vertical="center"/>
    </xf>
    <xf numFmtId="0" fontId="40" fillId="0" borderId="7" xfId="100" applyBorder="1"/>
    <xf numFmtId="5" fontId="9" fillId="0" borderId="19" xfId="103" applyNumberFormat="1" applyFont="1" applyFill="1" applyBorder="1" applyAlignment="1">
      <alignment horizontal="center"/>
    </xf>
    <xf numFmtId="5" fontId="9" fillId="0" borderId="19" xfId="103" applyNumberFormat="1" applyFont="1" applyBorder="1"/>
    <xf numFmtId="0" fontId="9" fillId="0" borderId="1" xfId="100" applyFont="1" applyFill="1" applyBorder="1"/>
    <xf numFmtId="5" fontId="40" fillId="0" borderId="1" xfId="100" applyNumberFormat="1" applyBorder="1" applyAlignment="1">
      <alignment horizontal="center"/>
    </xf>
    <xf numFmtId="0" fontId="9" fillId="0" borderId="0" xfId="100" applyFont="1" applyFill="1" applyBorder="1"/>
    <xf numFmtId="5" fontId="40" fillId="0" borderId="0" xfId="100" applyNumberFormat="1" applyBorder="1" applyAlignment="1">
      <alignment horizontal="center"/>
    </xf>
    <xf numFmtId="5" fontId="43" fillId="0" borderId="0" xfId="100" applyNumberFormat="1" applyFont="1" applyBorder="1" applyAlignment="1">
      <alignment horizontal="left"/>
    </xf>
    <xf numFmtId="0" fontId="38" fillId="0" borderId="2" xfId="100" applyFont="1" applyBorder="1"/>
    <xf numFmtId="0" fontId="9" fillId="0" borderId="2" xfId="100" applyFont="1" applyBorder="1"/>
    <xf numFmtId="7" fontId="39" fillId="0" borderId="0" xfId="103" applyNumberFormat="1" applyFont="1" applyBorder="1" applyAlignment="1">
      <alignment horizontal="center"/>
    </xf>
    <xf numFmtId="0" fontId="9" fillId="0" borderId="21" xfId="100" applyFont="1" applyBorder="1"/>
    <xf numFmtId="5" fontId="40" fillId="0" borderId="0" xfId="100" applyNumberFormat="1" applyBorder="1"/>
    <xf numFmtId="9" fontId="40" fillId="0" borderId="0" xfId="102" applyBorder="1"/>
    <xf numFmtId="5" fontId="40" fillId="0" borderId="0" xfId="100" applyNumberFormat="1" applyFill="1" applyBorder="1"/>
    <xf numFmtId="0" fontId="38" fillId="0" borderId="0" xfId="100" applyFont="1" applyFill="1" applyBorder="1"/>
    <xf numFmtId="0" fontId="38" fillId="0" borderId="7" xfId="100" applyFont="1" applyFill="1" applyBorder="1" applyAlignment="1">
      <alignment horizontal="center" vertical="center"/>
    </xf>
    <xf numFmtId="0" fontId="38" fillId="0" borderId="9" xfId="100" applyFont="1" applyFill="1" applyBorder="1" applyAlignment="1">
      <alignment horizontal="center" vertical="center"/>
    </xf>
    <xf numFmtId="0" fontId="38" fillId="0" borderId="2" xfId="100" applyFont="1" applyFill="1" applyBorder="1" applyAlignment="1">
      <alignment horizontal="center"/>
    </xf>
    <xf numFmtId="167" fontId="40" fillId="0" borderId="19" xfId="100" applyNumberFormat="1" applyBorder="1"/>
    <xf numFmtId="0" fontId="9" fillId="0" borderId="10" xfId="100" applyFont="1" applyBorder="1"/>
    <xf numFmtId="167" fontId="39" fillId="0" borderId="0" xfId="100" applyNumberFormat="1" applyFont="1" applyBorder="1" applyAlignment="1">
      <alignment horizontal="center"/>
    </xf>
    <xf numFmtId="167" fontId="9" fillId="0" borderId="19" xfId="100" applyNumberFormat="1" applyFont="1" applyBorder="1" applyAlignment="1">
      <alignment horizontal="center"/>
    </xf>
    <xf numFmtId="167" fontId="39" fillId="0" borderId="0" xfId="100" applyNumberFormat="1" applyFont="1" applyFill="1" applyBorder="1" applyAlignment="1">
      <alignment horizontal="center"/>
    </xf>
    <xf numFmtId="167" fontId="9" fillId="0" borderId="19" xfId="102" applyNumberFormat="1" applyFont="1" applyBorder="1" applyAlignment="1">
      <alignment horizontal="center"/>
    </xf>
    <xf numFmtId="167" fontId="9" fillId="0" borderId="19" xfId="100" applyNumberFormat="1" applyFont="1" applyFill="1" applyBorder="1" applyAlignment="1">
      <alignment horizontal="center"/>
    </xf>
    <xf numFmtId="0" fontId="9" fillId="0" borderId="10" xfId="100" applyFont="1" applyFill="1" applyBorder="1"/>
    <xf numFmtId="167" fontId="39" fillId="0" borderId="0" xfId="100" applyNumberFormat="1" applyFont="1" applyFill="1" applyBorder="1"/>
    <xf numFmtId="0" fontId="9" fillId="0" borderId="21" xfId="100" applyFont="1" applyFill="1" applyBorder="1"/>
    <xf numFmtId="0" fontId="9" fillId="0" borderId="6" xfId="100" applyFont="1" applyFill="1" applyBorder="1"/>
    <xf numFmtId="167" fontId="40" fillId="0" borderId="1" xfId="100" applyNumberFormat="1" applyBorder="1" applyAlignment="1">
      <alignment horizontal="center"/>
    </xf>
    <xf numFmtId="167" fontId="40" fillId="0" borderId="0" xfId="100" applyNumberFormat="1" applyBorder="1"/>
    <xf numFmtId="0" fontId="38" fillId="0" borderId="22" xfId="100" applyFont="1" applyFill="1" applyBorder="1"/>
    <xf numFmtId="167" fontId="9" fillId="0" borderId="1" xfId="100" applyNumberFormat="1" applyFont="1" applyBorder="1" applyAlignment="1">
      <alignment horizontal="center"/>
    </xf>
    <xf numFmtId="0" fontId="38" fillId="0" borderId="21" xfId="100" applyFont="1" applyFill="1" applyBorder="1"/>
    <xf numFmtId="167" fontId="38" fillId="0" borderId="1" xfId="100" applyNumberFormat="1" applyFont="1" applyBorder="1" applyAlignment="1">
      <alignment horizontal="center"/>
    </xf>
    <xf numFmtId="0" fontId="42" fillId="34" borderId="32" xfId="100" applyFont="1" applyFill="1" applyBorder="1" applyAlignment="1">
      <alignment horizontal="left"/>
    </xf>
    <xf numFmtId="0" fontId="9" fillId="34" borderId="33" xfId="100" applyFont="1" applyFill="1" applyBorder="1" applyAlignment="1">
      <alignment horizontal="left"/>
    </xf>
    <xf numFmtId="0" fontId="41" fillId="34" borderId="33" xfId="100" applyFont="1" applyFill="1" applyBorder="1" applyAlignment="1">
      <alignment horizontal="left"/>
    </xf>
    <xf numFmtId="0" fontId="40" fillId="34" borderId="33" xfId="100" applyFill="1" applyBorder="1"/>
    <xf numFmtId="0" fontId="40" fillId="34" borderId="34" xfId="100" applyFill="1" applyBorder="1"/>
    <xf numFmtId="0" fontId="9" fillId="34" borderId="35" xfId="100" applyFont="1" applyFill="1" applyBorder="1" applyAlignment="1">
      <alignment horizontal="left"/>
    </xf>
    <xf numFmtId="0" fontId="9" fillId="34" borderId="0" xfId="100" applyFont="1" applyFill="1" applyBorder="1" applyAlignment="1">
      <alignment horizontal="left"/>
    </xf>
    <xf numFmtId="0" fontId="9" fillId="34" borderId="1" xfId="100" applyFont="1" applyFill="1" applyBorder="1" applyAlignment="1">
      <alignment horizontal="left"/>
    </xf>
    <xf numFmtId="0" fontId="38" fillId="34" borderId="1" xfId="100" applyFont="1" applyFill="1" applyBorder="1" applyAlignment="1">
      <alignment horizontal="center"/>
    </xf>
    <xf numFmtId="0" fontId="38" fillId="34" borderId="4" xfId="100" applyFont="1" applyFill="1" applyBorder="1" applyAlignment="1">
      <alignment horizontal="center"/>
    </xf>
    <xf numFmtId="0" fontId="9" fillId="34" borderId="36" xfId="100" applyFont="1" applyFill="1" applyBorder="1" applyAlignment="1">
      <alignment horizontal="left"/>
    </xf>
    <xf numFmtId="0" fontId="9" fillId="34" borderId="18" xfId="100" applyFont="1" applyFill="1" applyBorder="1" applyAlignment="1">
      <alignment horizontal="left"/>
    </xf>
    <xf numFmtId="0" fontId="41" fillId="34" borderId="0" xfId="100" applyFont="1" applyFill="1" applyBorder="1" applyAlignment="1">
      <alignment horizontal="left"/>
    </xf>
    <xf numFmtId="0" fontId="40" fillId="34" borderId="0" xfId="100" applyFill="1" applyBorder="1"/>
    <xf numFmtId="0" fontId="40" fillId="34" borderId="37" xfId="100" applyFill="1" applyBorder="1"/>
    <xf numFmtId="0" fontId="9" fillId="0" borderId="19" xfId="100" applyFont="1" applyBorder="1"/>
    <xf numFmtId="0" fontId="9" fillId="36" borderId="0" xfId="100" applyFont="1" applyFill="1" applyBorder="1" applyAlignment="1">
      <alignment horizontal="left"/>
    </xf>
    <xf numFmtId="3" fontId="9" fillId="36" borderId="18" xfId="100" applyNumberFormat="1" applyFont="1" applyFill="1" applyBorder="1" applyAlignment="1">
      <alignment horizontal="left"/>
    </xf>
    <xf numFmtId="3" fontId="9" fillId="36" borderId="17" xfId="100" applyNumberFormat="1" applyFont="1" applyFill="1" applyBorder="1" applyAlignment="1">
      <alignment horizontal="left"/>
    </xf>
    <xf numFmtId="0" fontId="9" fillId="36" borderId="0" xfId="100" applyFont="1" applyFill="1" applyAlignment="1">
      <alignment horizontal="left"/>
    </xf>
    <xf numFmtId="0" fontId="41" fillId="36" borderId="0" xfId="100" applyFont="1" applyFill="1" applyAlignment="1">
      <alignment horizontal="left"/>
    </xf>
    <xf numFmtId="0" fontId="40" fillId="36" borderId="0" xfId="100" applyFill="1"/>
    <xf numFmtId="9" fontId="40" fillId="36" borderId="1" xfId="2" applyFont="1" applyFill="1" applyBorder="1" applyAlignment="1">
      <alignment horizontal="right"/>
    </xf>
    <xf numFmtId="9" fontId="9" fillId="36" borderId="1" xfId="2" applyFont="1" applyFill="1" applyBorder="1" applyAlignment="1">
      <alignment horizontal="right"/>
    </xf>
    <xf numFmtId="0" fontId="41" fillId="36" borderId="0" xfId="100" applyFont="1" applyFill="1" applyBorder="1" applyAlignment="1">
      <alignment horizontal="left"/>
    </xf>
    <xf numFmtId="0" fontId="40" fillId="36" borderId="0" xfId="100" applyFill="1" applyBorder="1"/>
    <xf numFmtId="0" fontId="38" fillId="36" borderId="0" xfId="100" applyFont="1" applyFill="1"/>
    <xf numFmtId="0" fontId="41" fillId="5" borderId="14" xfId="100" applyFont="1" applyFill="1" applyBorder="1" applyAlignment="1">
      <alignment horizontal="left"/>
    </xf>
    <xf numFmtId="0" fontId="41" fillId="5" borderId="15" xfId="100" applyFont="1" applyFill="1" applyBorder="1" applyAlignment="1">
      <alignment horizontal="left"/>
    </xf>
    <xf numFmtId="0" fontId="40" fillId="5" borderId="15" xfId="100" applyFill="1" applyBorder="1"/>
    <xf numFmtId="0" fontId="40" fillId="5" borderId="16" xfId="100" applyFill="1" applyBorder="1"/>
    <xf numFmtId="0" fontId="38" fillId="35" borderId="20" xfId="100" applyFont="1" applyFill="1" applyBorder="1" applyAlignment="1">
      <alignment horizontal="center" vertical="center"/>
    </xf>
    <xf numFmtId="0" fontId="38" fillId="35" borderId="2" xfId="100" applyFont="1" applyFill="1" applyBorder="1" applyAlignment="1">
      <alignment horizontal="center"/>
    </xf>
    <xf numFmtId="0" fontId="38" fillId="35" borderId="20" xfId="100" applyFont="1" applyFill="1" applyBorder="1" applyAlignment="1">
      <alignment horizontal="center"/>
    </xf>
    <xf numFmtId="0" fontId="42" fillId="34" borderId="35" xfId="100" applyFont="1" applyFill="1" applyBorder="1" applyAlignment="1">
      <alignment horizontal="left"/>
    </xf>
    <xf numFmtId="0" fontId="45" fillId="5" borderId="14" xfId="100" applyFont="1" applyFill="1" applyBorder="1"/>
    <xf numFmtId="0" fontId="38" fillId="5" borderId="15" xfId="100" applyFont="1" applyFill="1" applyBorder="1"/>
    <xf numFmtId="0" fontId="9" fillId="34" borderId="1" xfId="100" applyFont="1" applyFill="1" applyBorder="1" applyAlignment="1">
      <alignment horizontal="left" vertical="top" wrapText="1"/>
    </xf>
    <xf numFmtId="4" fontId="40" fillId="0" borderId="19" xfId="100" applyNumberFormat="1" applyFill="1" applyBorder="1" applyAlignment="1">
      <alignment horizontal="center"/>
    </xf>
    <xf numFmtId="5" fontId="38" fillId="0" borderId="0" xfId="100" applyNumberFormat="1" applyFont="1" applyFill="1" applyBorder="1"/>
    <xf numFmtId="0" fontId="0" fillId="38" borderId="1" xfId="0" applyFill="1" applyBorder="1"/>
    <xf numFmtId="0" fontId="0" fillId="40" borderId="1" xfId="0" applyFill="1" applyBorder="1"/>
    <xf numFmtId="0" fontId="3" fillId="38" borderId="1" xfId="0" applyFont="1" applyFill="1" applyBorder="1" applyAlignment="1">
      <alignment vertical="center" wrapText="1"/>
    </xf>
    <xf numFmtId="0" fontId="3" fillId="40" borderId="1" xfId="0" applyFont="1" applyFill="1" applyBorder="1" applyAlignment="1">
      <alignment vertical="center" wrapText="1"/>
    </xf>
    <xf numFmtId="0" fontId="0" fillId="38" borderId="22" xfId="0" applyFill="1" applyBorder="1"/>
    <xf numFmtId="0" fontId="0" fillId="0" borderId="1" xfId="0" applyBorder="1" applyAlignment="1">
      <alignment horizontal="left" vertical="center"/>
    </xf>
    <xf numFmtId="44" fontId="0" fillId="38" borderId="1" xfId="1" applyFont="1" applyFill="1" applyBorder="1"/>
    <xf numFmtId="44" fontId="0" fillId="40" borderId="1" xfId="1" applyFont="1" applyFill="1" applyBorder="1"/>
    <xf numFmtId="168" fontId="9" fillId="0" borderId="19" xfId="100" applyNumberFormat="1" applyFont="1" applyBorder="1" applyAlignment="1">
      <alignment horizontal="center"/>
    </xf>
    <xf numFmtId="0" fontId="3" fillId="6" borderId="1" xfId="0" applyFont="1" applyFill="1" applyBorder="1" applyAlignment="1">
      <alignment vertical="center" wrapText="1"/>
    </xf>
    <xf numFmtId="0" fontId="0" fillId="6" borderId="1" xfId="0" applyFill="1" applyBorder="1"/>
    <xf numFmtId="0" fontId="4" fillId="0" borderId="1" xfId="0" applyFont="1" applyBorder="1" applyAlignment="1">
      <alignment horizontal="center" vertical="center"/>
    </xf>
    <xf numFmtId="0" fontId="4" fillId="0" borderId="1" xfId="0" applyFont="1" applyBorder="1" applyAlignment="1">
      <alignment horizontal="center" vertical="center"/>
    </xf>
    <xf numFmtId="0" fontId="3" fillId="0" borderId="9" xfId="0" applyFont="1" applyBorder="1" applyAlignment="1">
      <alignment vertical="center"/>
    </xf>
    <xf numFmtId="0" fontId="4" fillId="0" borderId="1" xfId="0" applyFont="1" applyBorder="1" applyAlignment="1">
      <alignment horizontal="center" vertical="center"/>
    </xf>
    <xf numFmtId="0" fontId="38" fillId="35" borderId="1" xfId="100" applyFont="1" applyFill="1" applyBorder="1" applyAlignment="1">
      <alignment horizontal="center"/>
    </xf>
    <xf numFmtId="0" fontId="38" fillId="35" borderId="2" xfId="100" applyFont="1" applyFill="1" applyBorder="1" applyAlignment="1">
      <alignment horizontal="center"/>
    </xf>
    <xf numFmtId="0" fontId="38" fillId="35" borderId="20" xfId="100" applyFont="1" applyFill="1" applyBorder="1" applyAlignment="1">
      <alignment horizontal="center"/>
    </xf>
    <xf numFmtId="0" fontId="38" fillId="35" borderId="20" xfId="100" applyFont="1" applyFill="1" applyBorder="1" applyAlignment="1">
      <alignment horizontal="center" vertical="center"/>
    </xf>
    <xf numFmtId="6" fontId="0" fillId="40" borderId="1" xfId="1" applyNumberFormat="1" applyFont="1" applyFill="1" applyBorder="1"/>
    <xf numFmtId="44" fontId="0" fillId="38" borderId="1" xfId="1" applyNumberFormat="1" applyFont="1" applyFill="1" applyBorder="1"/>
    <xf numFmtId="44" fontId="0" fillId="6" borderId="1" xfId="0" applyNumberFormat="1" applyFill="1" applyBorder="1"/>
    <xf numFmtId="9" fontId="0" fillId="38" borderId="1" xfId="2" applyFont="1" applyFill="1" applyBorder="1"/>
    <xf numFmtId="0" fontId="9" fillId="0" borderId="0" xfId="93" applyFont="1" applyFill="1" applyBorder="1"/>
    <xf numFmtId="10" fontId="39" fillId="0" borderId="0" xfId="93" applyNumberFormat="1" applyFont="1" applyFill="1" applyBorder="1" applyAlignment="1">
      <alignment horizontal="right"/>
    </xf>
    <xf numFmtId="9" fontId="9" fillId="36" borderId="4" xfId="2" applyFont="1" applyFill="1" applyBorder="1" applyAlignment="1">
      <alignment horizontal="right"/>
    </xf>
    <xf numFmtId="9" fontId="9" fillId="36" borderId="18" xfId="2" applyFont="1" applyFill="1" applyBorder="1" applyAlignment="1">
      <alignment horizontal="right"/>
    </xf>
    <xf numFmtId="9" fontId="9" fillId="36" borderId="17" xfId="2" applyFont="1" applyFill="1" applyBorder="1" applyAlignment="1">
      <alignment horizontal="right"/>
    </xf>
    <xf numFmtId="166" fontId="39" fillId="0" borderId="0" xfId="93" applyNumberFormat="1" applyFont="1" applyFill="1" applyBorder="1" applyAlignment="1">
      <alignment horizontal="right"/>
    </xf>
    <xf numFmtId="39" fontId="9" fillId="0" borderId="1" xfId="100" applyNumberFormat="1" applyFont="1" applyBorder="1" applyAlignment="1">
      <alignment horizontal="center"/>
    </xf>
    <xf numFmtId="0" fontId="40" fillId="0" borderId="0" xfId="100" applyFill="1"/>
    <xf numFmtId="0" fontId="39" fillId="0" borderId="19" xfId="103" applyNumberFormat="1" applyFont="1" applyBorder="1" applyAlignment="1">
      <alignment horizontal="center"/>
    </xf>
    <xf numFmtId="168" fontId="39" fillId="0" borderId="11" xfId="103" applyNumberFormat="1" applyFont="1" applyBorder="1" applyAlignment="1">
      <alignment horizontal="center"/>
    </xf>
    <xf numFmtId="0" fontId="3" fillId="0" borderId="12" xfId="0" applyFont="1" applyBorder="1" applyAlignment="1">
      <alignment vertical="top" wrapText="1"/>
    </xf>
    <xf numFmtId="0" fontId="0" fillId="0" borderId="0" xfId="0" applyAlignment="1">
      <alignment vertical="top" wrapText="1"/>
    </xf>
    <xf numFmtId="0" fontId="38" fillId="0" borderId="1" xfId="100" applyFont="1" applyFill="1" applyBorder="1"/>
    <xf numFmtId="0" fontId="38" fillId="0" borderId="0" xfId="100" applyFont="1" applyFill="1"/>
    <xf numFmtId="0" fontId="9" fillId="0" borderId="0" xfId="100" applyFont="1" applyFill="1" applyBorder="1" applyAlignment="1">
      <alignment horizontal="left"/>
    </xf>
    <xf numFmtId="0" fontId="41" fillId="0" borderId="0" xfId="100" applyFont="1" applyFill="1" applyBorder="1" applyAlignment="1">
      <alignment horizontal="left"/>
    </xf>
    <xf numFmtId="0" fontId="9" fillId="0" borderId="0" xfId="100" applyFont="1" applyFill="1" applyAlignment="1">
      <alignment horizontal="left"/>
    </xf>
    <xf numFmtId="0" fontId="41" fillId="0" borderId="0" xfId="100" applyFont="1" applyFill="1" applyAlignment="1">
      <alignment horizontal="left"/>
    </xf>
    <xf numFmtId="169" fontId="39" fillId="0" borderId="11" xfId="1" applyNumberFormat="1" applyFont="1" applyBorder="1" applyAlignment="1">
      <alignment horizontal="center"/>
    </xf>
    <xf numFmtId="44" fontId="0" fillId="38" borderId="22" xfId="1" applyFont="1" applyFill="1" applyBorder="1"/>
    <xf numFmtId="2" fontId="39" fillId="0" borderId="11" xfId="103" applyNumberFormat="1" applyFont="1" applyBorder="1" applyAlignment="1">
      <alignment horizontal="center"/>
    </xf>
    <xf numFmtId="0" fontId="38" fillId="0" borderId="2" xfId="100" applyFont="1" applyFill="1" applyBorder="1" applyAlignment="1">
      <alignment horizontal="center" vertical="center"/>
    </xf>
    <xf numFmtId="167" fontId="39" fillId="0" borderId="19" xfId="100" applyNumberFormat="1" applyFont="1" applyFill="1" applyBorder="1" applyAlignment="1">
      <alignment horizontal="center"/>
    </xf>
    <xf numFmtId="167" fontId="39" fillId="0" borderId="20" xfId="100" applyNumberFormat="1" applyFont="1" applyFill="1" applyBorder="1"/>
    <xf numFmtId="0" fontId="39" fillId="0" borderId="0" xfId="100" applyNumberFormat="1" applyFont="1" applyBorder="1" applyAlignment="1">
      <alignment horizontal="center"/>
    </xf>
    <xf numFmtId="0" fontId="40" fillId="0" borderId="11" xfId="100" applyBorder="1"/>
    <xf numFmtId="0" fontId="9" fillId="0" borderId="10" xfId="100" applyFont="1" applyFill="1" applyBorder="1" applyAlignment="1">
      <alignment horizontal="left" vertical="center"/>
    </xf>
    <xf numFmtId="0" fontId="9" fillId="34" borderId="2" xfId="100" applyFont="1" applyFill="1" applyBorder="1" applyAlignment="1">
      <alignment horizontal="left"/>
    </xf>
    <xf numFmtId="3" fontId="9" fillId="36" borderId="4" xfId="100" applyNumberFormat="1" applyFont="1" applyFill="1" applyBorder="1" applyAlignment="1">
      <alignment horizontal="left"/>
    </xf>
    <xf numFmtId="3" fontId="9" fillId="36" borderId="2" xfId="100" applyNumberFormat="1" applyFont="1" applyFill="1" applyBorder="1" applyAlignment="1">
      <alignment horizontal="left"/>
    </xf>
    <xf numFmtId="0" fontId="9" fillId="34" borderId="14" xfId="100" applyFont="1" applyFill="1" applyBorder="1" applyAlignment="1">
      <alignment horizontal="left"/>
    </xf>
    <xf numFmtId="3" fontId="38" fillId="36" borderId="39" xfId="100" applyNumberFormat="1" applyFont="1" applyFill="1" applyBorder="1" applyAlignment="1">
      <alignment horizontal="left"/>
    </xf>
    <xf numFmtId="0" fontId="38" fillId="34" borderId="38" xfId="100" applyFont="1" applyFill="1" applyBorder="1" applyAlignment="1">
      <alignment horizontal="left"/>
    </xf>
    <xf numFmtId="169" fontId="39" fillId="0" borderId="0" xfId="100" applyNumberFormat="1" applyFont="1" applyBorder="1" applyAlignment="1">
      <alignment horizontal="center"/>
    </xf>
    <xf numFmtId="0" fontId="3" fillId="0" borderId="11" xfId="0" applyFont="1" applyBorder="1" applyAlignment="1">
      <alignment vertical="center"/>
    </xf>
    <xf numFmtId="9" fontId="7" fillId="38" borderId="1" xfId="2" applyFont="1" applyFill="1" applyBorder="1"/>
    <xf numFmtId="9" fontId="0" fillId="40" borderId="1" xfId="2" applyFont="1" applyFill="1" applyBorder="1"/>
    <xf numFmtId="0" fontId="0" fillId="0" borderId="0" xfId="0" applyFill="1" applyBorder="1"/>
    <xf numFmtId="9" fontId="0" fillId="6" borderId="1" xfId="2" applyFont="1" applyFill="1" applyBorder="1"/>
    <xf numFmtId="44" fontId="7" fillId="38" borderId="1" xfId="1" applyFont="1" applyFill="1" applyBorder="1"/>
    <xf numFmtId="170" fontId="7" fillId="38" borderId="1" xfId="1" applyNumberFormat="1" applyFont="1" applyFill="1" applyBorder="1"/>
    <xf numFmtId="0" fontId="7" fillId="38" borderId="1" xfId="0" applyFont="1" applyFill="1" applyBorder="1"/>
    <xf numFmtId="0" fontId="7" fillId="40" borderId="1" xfId="0" applyFont="1" applyFill="1" applyBorder="1"/>
    <xf numFmtId="44" fontId="7" fillId="6" borderId="1" xfId="0" applyNumberFormat="1" applyFont="1" applyFill="1" applyBorder="1"/>
    <xf numFmtId="0" fontId="7" fillId="6" borderId="1" xfId="0" applyFont="1" applyFill="1" applyBorder="1"/>
    <xf numFmtId="0" fontId="3" fillId="41" borderId="40" xfId="0" applyFont="1" applyFill="1" applyBorder="1"/>
    <xf numFmtId="0" fontId="0" fillId="41" borderId="15" xfId="0" applyFill="1" applyBorder="1"/>
    <xf numFmtId="0" fontId="0" fillId="41" borderId="16" xfId="0" applyFill="1" applyBorder="1"/>
    <xf numFmtId="0" fontId="7" fillId="0" borderId="20" xfId="0" applyFont="1" applyBorder="1" applyAlignment="1">
      <alignment wrapText="1"/>
    </xf>
    <xf numFmtId="0" fontId="7" fillId="4" borderId="20" xfId="0" applyFont="1" applyFill="1" applyBorder="1"/>
    <xf numFmtId="9" fontId="7" fillId="43" borderId="1" xfId="2" applyFont="1" applyFill="1" applyBorder="1"/>
    <xf numFmtId="9" fontId="0" fillId="43" borderId="1" xfId="2" applyFont="1" applyFill="1" applyBorder="1"/>
    <xf numFmtId="9" fontId="0" fillId="44" borderId="1" xfId="2" applyFont="1" applyFill="1" applyBorder="1"/>
    <xf numFmtId="9" fontId="0" fillId="45" borderId="1" xfId="0" applyNumberFormat="1" applyFill="1" applyBorder="1"/>
    <xf numFmtId="0" fontId="3" fillId="45" borderId="1" xfId="0" applyFont="1" applyFill="1" applyBorder="1" applyAlignment="1">
      <alignment horizontal="center" vertical="center" wrapText="1"/>
    </xf>
    <xf numFmtId="0" fontId="3" fillId="45" borderId="22" xfId="0" applyFont="1" applyFill="1" applyBorder="1" applyAlignment="1">
      <alignment horizontal="center" vertical="center" wrapText="1"/>
    </xf>
    <xf numFmtId="0" fontId="3" fillId="44" borderId="1" xfId="0" applyFont="1" applyFill="1" applyBorder="1" applyAlignment="1">
      <alignment horizontal="center" vertical="center" wrapText="1"/>
    </xf>
    <xf numFmtId="0" fontId="3" fillId="43" borderId="1" xfId="0" applyFont="1" applyFill="1" applyBorder="1" applyAlignment="1">
      <alignment horizontal="center" vertical="center" wrapText="1"/>
    </xf>
    <xf numFmtId="44" fontId="0" fillId="0" borderId="0" xfId="0" applyNumberFormat="1"/>
    <xf numFmtId="0" fontId="38" fillId="35" borderId="2" xfId="100" applyFont="1" applyFill="1" applyBorder="1" applyAlignment="1">
      <alignment horizontal="center" vertical="center"/>
    </xf>
    <xf numFmtId="0" fontId="38" fillId="35" borderId="1" xfId="100" applyFont="1" applyFill="1" applyBorder="1" applyAlignment="1">
      <alignment horizontal="center"/>
    </xf>
    <xf numFmtId="0" fontId="49" fillId="0" borderId="0" xfId="0" applyFont="1" applyAlignment="1">
      <alignment horizontal="center" vertical="center" wrapText="1" readingOrder="1"/>
    </xf>
    <xf numFmtId="0" fontId="49" fillId="0" borderId="43" xfId="0" applyFont="1" applyBorder="1" applyAlignment="1">
      <alignment horizontal="center" vertical="center" wrapText="1" readingOrder="1"/>
    </xf>
    <xf numFmtId="0" fontId="51" fillId="0" borderId="44" xfId="0" applyFont="1" applyBorder="1" applyAlignment="1">
      <alignment horizontal="center" vertical="center" wrapText="1" readingOrder="1"/>
    </xf>
    <xf numFmtId="0" fontId="51" fillId="0" borderId="0" xfId="0" applyFont="1" applyAlignment="1">
      <alignment horizontal="center" vertical="center" wrapText="1" readingOrder="1"/>
    </xf>
    <xf numFmtId="0" fontId="51" fillId="0" borderId="45" xfId="0" applyFont="1" applyBorder="1" applyAlignment="1">
      <alignment horizontal="center" vertical="center" wrapText="1" readingOrder="1"/>
    </xf>
    <xf numFmtId="0" fontId="51" fillId="0" borderId="46" xfId="0" applyFont="1" applyBorder="1" applyAlignment="1">
      <alignment horizontal="center" vertical="center" wrapText="1" readingOrder="1"/>
    </xf>
    <xf numFmtId="0" fontId="51" fillId="0" borderId="43" xfId="0" applyFont="1" applyBorder="1" applyAlignment="1">
      <alignment horizontal="center" vertical="center" wrapText="1" readingOrder="1"/>
    </xf>
    <xf numFmtId="0" fontId="51" fillId="0" borderId="47" xfId="0" applyFont="1" applyBorder="1" applyAlignment="1">
      <alignment horizontal="center" vertical="center" wrapText="1" readingOrder="1"/>
    </xf>
    <xf numFmtId="0" fontId="51" fillId="0" borderId="0" xfId="0" applyFont="1" applyFill="1" applyBorder="1" applyAlignment="1">
      <alignment horizontal="center" vertical="center" wrapText="1" readingOrder="1"/>
    </xf>
    <xf numFmtId="5" fontId="40" fillId="0" borderId="0" xfId="100" applyNumberFormat="1"/>
    <xf numFmtId="0" fontId="52" fillId="0" borderId="0" xfId="0" applyFont="1"/>
    <xf numFmtId="0" fontId="0" fillId="46" borderId="0" xfId="0" applyFill="1"/>
    <xf numFmtId="0" fontId="38" fillId="35" borderId="0" xfId="100" applyFont="1" applyFill="1" applyBorder="1" applyAlignment="1">
      <alignment horizontal="center" vertical="center"/>
    </xf>
    <xf numFmtId="3" fontId="9" fillId="2" borderId="10" xfId="102" applyNumberFormat="1" applyFont="1" applyFill="1" applyBorder="1" applyAlignment="1">
      <alignment horizontal="center"/>
    </xf>
    <xf numFmtId="169" fontId="0" fillId="0" borderId="0" xfId="0" applyNumberFormat="1"/>
    <xf numFmtId="43" fontId="0" fillId="0" borderId="0" xfId="0" applyNumberFormat="1"/>
    <xf numFmtId="170" fontId="0" fillId="0" borderId="1" xfId="1" applyNumberFormat="1" applyFont="1" applyBorder="1"/>
    <xf numFmtId="9" fontId="0" fillId="0" borderId="1" xfId="0" applyNumberFormat="1" applyBorder="1"/>
    <xf numFmtId="43" fontId="0" fillId="0" borderId="1" xfId="3" applyFont="1" applyBorder="1"/>
    <xf numFmtId="2" fontId="0" fillId="0" borderId="1" xfId="0" applyNumberFormat="1" applyBorder="1"/>
    <xf numFmtId="0" fontId="38" fillId="35" borderId="19" xfId="100" applyFont="1" applyFill="1" applyBorder="1" applyAlignment="1">
      <alignment horizontal="center" vertical="center"/>
    </xf>
    <xf numFmtId="0" fontId="3" fillId="0" borderId="1" xfId="0" applyFont="1" applyBorder="1"/>
    <xf numFmtId="169" fontId="0" fillId="0" borderId="1" xfId="0" applyNumberFormat="1" applyBorder="1"/>
    <xf numFmtId="0" fontId="3" fillId="0" borderId="1" xfId="0" applyFont="1" applyFill="1" applyBorder="1"/>
    <xf numFmtId="43" fontId="0" fillId="0" borderId="1" xfId="0" applyNumberFormat="1" applyBorder="1"/>
    <xf numFmtId="171" fontId="0" fillId="0" borderId="1" xfId="3" applyNumberFormat="1" applyFont="1" applyBorder="1"/>
    <xf numFmtId="5" fontId="0" fillId="0" borderId="1" xfId="1" applyNumberFormat="1" applyFont="1" applyBorder="1"/>
    <xf numFmtId="0" fontId="53" fillId="0" borderId="0" xfId="0" applyFont="1"/>
    <xf numFmtId="0" fontId="0" fillId="0" borderId="0" xfId="0" applyBorder="1" applyAlignment="1"/>
    <xf numFmtId="0" fontId="3" fillId="38" borderId="1" xfId="0" applyFont="1" applyFill="1" applyBorder="1" applyAlignment="1">
      <alignment horizontal="center" vertical="center"/>
    </xf>
    <xf numFmtId="0" fontId="3" fillId="40" borderId="1" xfId="0" applyFont="1" applyFill="1" applyBorder="1" applyAlignment="1">
      <alignment horizontal="center" vertical="center"/>
    </xf>
    <xf numFmtId="0" fontId="38" fillId="35" borderId="2" xfId="100" applyFont="1" applyFill="1" applyBorder="1" applyAlignment="1">
      <alignment horizontal="center" vertical="center"/>
    </xf>
    <xf numFmtId="0" fontId="38" fillId="35" borderId="1" xfId="100" applyFont="1" applyFill="1" applyBorder="1" applyAlignment="1">
      <alignment horizontal="center"/>
    </xf>
    <xf numFmtId="170" fontId="40" fillId="0" borderId="0" xfId="1" applyNumberFormat="1" applyFont="1"/>
    <xf numFmtId="1" fontId="40" fillId="0" borderId="0" xfId="100" applyNumberFormat="1"/>
    <xf numFmtId="0" fontId="9" fillId="0" borderId="20" xfId="100" applyFont="1" applyBorder="1"/>
    <xf numFmtId="0" fontId="40" fillId="0" borderId="21" xfId="100" applyBorder="1"/>
    <xf numFmtId="0" fontId="40" fillId="0" borderId="22" xfId="100" applyBorder="1"/>
    <xf numFmtId="170" fontId="0" fillId="0" borderId="0" xfId="1" applyNumberFormat="1" applyFont="1"/>
    <xf numFmtId="0" fontId="3" fillId="3" borderId="1" xfId="0" applyFont="1" applyFill="1" applyBorder="1"/>
    <xf numFmtId="0" fontId="38" fillId="35" borderId="20" xfId="100" applyFont="1" applyFill="1" applyBorder="1" applyAlignment="1">
      <alignment horizontal="center" vertical="center"/>
    </xf>
    <xf numFmtId="0" fontId="38" fillId="35" borderId="1" xfId="100" applyFont="1" applyFill="1" applyBorder="1" applyAlignment="1">
      <alignment horizontal="center"/>
    </xf>
    <xf numFmtId="0" fontId="38" fillId="35" borderId="2" xfId="100" applyFont="1" applyFill="1" applyBorder="1" applyAlignment="1">
      <alignment horizontal="center"/>
    </xf>
    <xf numFmtId="0" fontId="38" fillId="35" borderId="20" xfId="100" applyFont="1" applyFill="1" applyBorder="1" applyAlignment="1">
      <alignment horizontal="center"/>
    </xf>
    <xf numFmtId="168" fontId="40" fillId="0" borderId="0" xfId="100" applyNumberFormat="1" applyBorder="1"/>
    <xf numFmtId="0" fontId="38" fillId="35" borderId="2" xfId="100" applyFont="1" applyFill="1" applyBorder="1" applyAlignment="1">
      <alignment horizontal="center" vertical="center"/>
    </xf>
    <xf numFmtId="0" fontId="38" fillId="35" borderId="1" xfId="100" applyFont="1" applyFill="1" applyBorder="1" applyAlignment="1">
      <alignment horizontal="center"/>
    </xf>
    <xf numFmtId="0" fontId="38" fillId="35" borderId="20" xfId="100" applyFont="1" applyFill="1" applyBorder="1" applyAlignment="1">
      <alignment horizontal="center"/>
    </xf>
    <xf numFmtId="44" fontId="40" fillId="47" borderId="1" xfId="100" applyNumberFormat="1" applyFill="1" applyBorder="1"/>
    <xf numFmtId="9" fontId="9" fillId="45" borderId="1" xfId="2" applyFont="1" applyFill="1" applyBorder="1" applyAlignment="1">
      <alignment horizontal="right"/>
    </xf>
    <xf numFmtId="9" fontId="9" fillId="48" borderId="1" xfId="2" applyFont="1" applyFill="1" applyBorder="1" applyAlignment="1">
      <alignment horizontal="right"/>
    </xf>
    <xf numFmtId="3" fontId="9" fillId="4" borderId="18" xfId="100" applyNumberFormat="1" applyFont="1" applyFill="1" applyBorder="1" applyAlignment="1">
      <alignment horizontal="left"/>
    </xf>
    <xf numFmtId="9" fontId="9" fillId="45" borderId="4" xfId="2" applyFont="1" applyFill="1" applyBorder="1" applyAlignment="1">
      <alignment horizontal="right"/>
    </xf>
    <xf numFmtId="9" fontId="9" fillId="45" borderId="18" xfId="2" applyFont="1" applyFill="1" applyBorder="1" applyAlignment="1">
      <alignment horizontal="right"/>
    </xf>
    <xf numFmtId="9" fontId="9" fillId="45" borderId="17" xfId="2" applyFont="1" applyFill="1" applyBorder="1" applyAlignment="1">
      <alignment horizontal="right"/>
    </xf>
    <xf numFmtId="9" fontId="40" fillId="48" borderId="1" xfId="2" applyFont="1" applyFill="1" applyBorder="1" applyAlignment="1">
      <alignment horizontal="right"/>
    </xf>
    <xf numFmtId="44" fontId="40" fillId="0" borderId="1" xfId="1" applyNumberFormat="1" applyFont="1" applyBorder="1"/>
    <xf numFmtId="44" fontId="40" fillId="0" borderId="0" xfId="100" applyNumberFormat="1" applyFill="1" applyBorder="1"/>
    <xf numFmtId="44" fontId="40" fillId="0" borderId="0" xfId="100" applyNumberFormat="1"/>
    <xf numFmtId="44" fontId="40" fillId="47" borderId="20" xfId="100" applyNumberFormat="1" applyFill="1" applyBorder="1"/>
    <xf numFmtId="0" fontId="3" fillId="0" borderId="0" xfId="0" applyFont="1" applyAlignment="1">
      <alignment wrapText="1"/>
    </xf>
    <xf numFmtId="0" fontId="9" fillId="0" borderId="7" xfId="100" applyFont="1" applyBorder="1"/>
    <xf numFmtId="44" fontId="40" fillId="0" borderId="20" xfId="1" applyNumberFormat="1" applyFont="1" applyBorder="1"/>
    <xf numFmtId="4" fontId="40" fillId="0" borderId="0" xfId="100" applyNumberFormat="1"/>
    <xf numFmtId="1" fontId="0" fillId="0" borderId="0" xfId="0" applyNumberFormat="1"/>
    <xf numFmtId="1" fontId="0" fillId="49" borderId="0" xfId="0" applyNumberFormat="1" applyFill="1"/>
    <xf numFmtId="0" fontId="54" fillId="0" borderId="0" xfId="0" applyFont="1" applyAlignment="1">
      <alignment wrapText="1"/>
    </xf>
    <xf numFmtId="1" fontId="55" fillId="0" borderId="0" xfId="0" applyNumberFormat="1" applyFont="1"/>
    <xf numFmtId="0" fontId="55" fillId="0" borderId="0" xfId="0" applyFont="1"/>
    <xf numFmtId="9" fontId="0" fillId="49" borderId="0" xfId="2" applyFont="1" applyFill="1"/>
    <xf numFmtId="9" fontId="0" fillId="49" borderId="0" xfId="0" applyNumberFormat="1" applyFill="1"/>
    <xf numFmtId="0" fontId="56" fillId="0" borderId="48" xfId="0" applyFont="1" applyBorder="1"/>
    <xf numFmtId="10" fontId="0" fillId="50" borderId="40" xfId="0" applyNumberFormat="1" applyFill="1" applyBorder="1" applyAlignment="1">
      <alignment horizontal="center"/>
    </xf>
    <xf numFmtId="8" fontId="0" fillId="50" borderId="42" xfId="0" applyNumberFormat="1" applyFill="1" applyBorder="1" applyAlignment="1">
      <alignment horizontal="center"/>
    </xf>
    <xf numFmtId="9" fontId="0" fillId="50" borderId="42" xfId="0" applyNumberFormat="1" applyFill="1" applyBorder="1" applyAlignment="1">
      <alignment horizontal="center"/>
    </xf>
    <xf numFmtId="10" fontId="0" fillId="50" borderId="42" xfId="0" applyNumberFormat="1" applyFill="1" applyBorder="1" applyAlignment="1">
      <alignment horizontal="center"/>
    </xf>
    <xf numFmtId="0" fontId="0" fillId="2" borderId="0" xfId="0" applyFill="1"/>
    <xf numFmtId="0" fontId="0" fillId="6" borderId="0" xfId="0" applyFill="1"/>
    <xf numFmtId="5" fontId="0" fillId="6" borderId="1" xfId="1" applyNumberFormat="1" applyFont="1" applyFill="1" applyBorder="1"/>
    <xf numFmtId="0" fontId="0" fillId="51" borderId="0" xfId="0" applyFill="1"/>
    <xf numFmtId="0" fontId="0" fillId="51" borderId="1" xfId="0" applyFill="1" applyBorder="1"/>
    <xf numFmtId="5" fontId="0" fillId="51" borderId="1" xfId="1" applyNumberFormat="1" applyFont="1" applyFill="1" applyBorder="1"/>
    <xf numFmtId="0" fontId="0" fillId="42" borderId="0" xfId="0" applyFill="1"/>
    <xf numFmtId="0" fontId="0" fillId="42" borderId="1" xfId="0" applyFill="1" applyBorder="1"/>
    <xf numFmtId="5" fontId="0" fillId="42" borderId="1" xfId="1" applyNumberFormat="1" applyFont="1" applyFill="1" applyBorder="1"/>
    <xf numFmtId="172" fontId="0" fillId="0" borderId="0" xfId="0" applyNumberFormat="1"/>
    <xf numFmtId="0" fontId="0" fillId="0" borderId="0" xfId="0" quotePrefix="1"/>
    <xf numFmtId="44" fontId="0" fillId="0" borderId="1" xfId="1" applyNumberFormat="1" applyFont="1" applyBorder="1"/>
    <xf numFmtId="1" fontId="0" fillId="52" borderId="1" xfId="0" applyNumberFormat="1" applyFill="1" applyBorder="1"/>
    <xf numFmtId="0" fontId="0" fillId="0" borderId="0" xfId="0" applyAlignment="1">
      <alignment wrapText="1"/>
    </xf>
    <xf numFmtId="1" fontId="0" fillId="49" borderId="1" xfId="0" applyNumberFormat="1" applyFill="1" applyBorder="1"/>
    <xf numFmtId="0" fontId="3" fillId="0" borderId="1" xfId="0" applyFont="1" applyBorder="1" applyAlignment="1">
      <alignment wrapText="1"/>
    </xf>
    <xf numFmtId="0" fontId="0" fillId="0" borderId="0" xfId="0" applyFill="1"/>
    <xf numFmtId="0" fontId="0" fillId="52" borderId="40" xfId="0" applyFill="1" applyBorder="1"/>
    <xf numFmtId="1" fontId="0" fillId="53" borderId="0" xfId="0" applyNumberFormat="1" applyFill="1"/>
    <xf numFmtId="0" fontId="4" fillId="0" borderId="0" xfId="0" applyFont="1"/>
    <xf numFmtId="0" fontId="4" fillId="0" borderId="0" xfId="0" applyFont="1" applyFill="1" applyBorder="1"/>
    <xf numFmtId="44" fontId="7" fillId="40" borderId="1" xfId="1" applyFont="1" applyFill="1" applyBorder="1"/>
    <xf numFmtId="0" fontId="58" fillId="0" borderId="0" xfId="0" applyFont="1" applyAlignment="1">
      <alignment horizontal="left"/>
    </xf>
    <xf numFmtId="10" fontId="0" fillId="49" borderId="0" xfId="0" applyNumberFormat="1" applyFill="1"/>
    <xf numFmtId="0" fontId="38" fillId="0" borderId="19" xfId="100" applyFont="1" applyFill="1" applyBorder="1" applyAlignment="1">
      <alignment horizontal="center" vertical="center"/>
    </xf>
    <xf numFmtId="43" fontId="0" fillId="0" borderId="0" xfId="3" applyFont="1"/>
    <xf numFmtId="0" fontId="0" fillId="54" borderId="0" xfId="0" applyFill="1"/>
    <xf numFmtId="0" fontId="41" fillId="54" borderId="0" xfId="100" applyFont="1" applyFill="1" applyBorder="1" applyAlignment="1">
      <alignment horizontal="left"/>
    </xf>
    <xf numFmtId="0" fontId="59" fillId="34" borderId="0" xfId="100" applyFont="1" applyFill="1" applyBorder="1" applyAlignment="1">
      <alignment horizontal="left"/>
    </xf>
    <xf numFmtId="9" fontId="0" fillId="53" borderId="0" xfId="2" applyFont="1" applyFill="1"/>
    <xf numFmtId="43" fontId="0" fillId="49" borderId="0" xfId="3" applyNumberFormat="1" applyFont="1" applyFill="1"/>
    <xf numFmtId="0" fontId="3" fillId="40" borderId="1" xfId="0" applyFont="1" applyFill="1" applyBorder="1" applyAlignment="1">
      <alignment horizontal="center" vertical="center" wrapText="1"/>
    </xf>
    <xf numFmtId="0" fontId="3" fillId="38" borderId="1" xfId="0" applyFont="1" applyFill="1" applyBorder="1" applyAlignment="1">
      <alignment horizontal="center" vertical="center" wrapText="1"/>
    </xf>
    <xf numFmtId="0" fontId="2" fillId="0" borderId="0" xfId="93" applyFont="1"/>
    <xf numFmtId="0" fontId="0" fillId="0" borderId="3" xfId="0" applyBorder="1"/>
    <xf numFmtId="0" fontId="0" fillId="40" borderId="0" xfId="0" applyFill="1"/>
    <xf numFmtId="44" fontId="0" fillId="44" borderId="1" xfId="1" applyFont="1" applyFill="1" applyBorder="1"/>
    <xf numFmtId="44" fontId="7" fillId="43" borderId="1" xfId="1" applyFont="1" applyFill="1" applyBorder="1"/>
    <xf numFmtId="44" fontId="0" fillId="43" borderId="1" xfId="1" applyNumberFormat="1" applyFont="1" applyFill="1" applyBorder="1"/>
    <xf numFmtId="44" fontId="0" fillId="43" borderId="1" xfId="1" applyFont="1" applyFill="1" applyBorder="1"/>
    <xf numFmtId="0" fontId="0" fillId="48" borderId="0" xfId="0" applyFill="1"/>
    <xf numFmtId="0" fontId="0" fillId="48" borderId="1" xfId="0" applyFill="1" applyBorder="1"/>
    <xf numFmtId="5" fontId="0" fillId="48" borderId="1" xfId="1" applyNumberFormat="1" applyFont="1" applyFill="1" applyBorder="1"/>
    <xf numFmtId="2" fontId="0" fillId="0" borderId="0" xfId="0" applyNumberFormat="1" applyFill="1"/>
    <xf numFmtId="1" fontId="0" fillId="0" borderId="0" xfId="0" applyNumberFormat="1" applyFill="1"/>
    <xf numFmtId="1" fontId="55" fillId="0" borderId="0" xfId="0" applyNumberFormat="1" applyFont="1" applyFill="1"/>
    <xf numFmtId="9" fontId="0" fillId="0" borderId="0" xfId="2" applyFont="1" applyFill="1"/>
    <xf numFmtId="0" fontId="0" fillId="55" borderId="51" xfId="104" applyFont="1"/>
    <xf numFmtId="0" fontId="60" fillId="0" borderId="19" xfId="100" applyFont="1" applyFill="1" applyBorder="1" applyAlignment="1">
      <alignment horizontal="center" vertical="center"/>
    </xf>
    <xf numFmtId="0" fontId="61" fillId="0" borderId="0" xfId="0" applyFont="1" applyFill="1"/>
    <xf numFmtId="0" fontId="0" fillId="3" borderId="1" xfId="0" applyFill="1" applyBorder="1"/>
    <xf numFmtId="43" fontId="0" fillId="49" borderId="0" xfId="3" applyFont="1" applyFill="1"/>
    <xf numFmtId="173" fontId="0" fillId="6" borderId="1" xfId="0" applyNumberFormat="1" applyFill="1" applyBorder="1" applyAlignment="1">
      <alignment horizontal="right"/>
    </xf>
    <xf numFmtId="173" fontId="0" fillId="6" borderId="1" xfId="0" applyNumberFormat="1" applyFill="1" applyBorder="1"/>
    <xf numFmtId="173" fontId="0" fillId="51" borderId="1" xfId="0" applyNumberFormat="1" applyFill="1" applyBorder="1"/>
    <xf numFmtId="173" fontId="0" fillId="48" borderId="1" xfId="0" applyNumberFormat="1" applyFill="1" applyBorder="1"/>
    <xf numFmtId="173" fontId="0" fillId="42" borderId="1" xfId="0" applyNumberFormat="1" applyFill="1" applyBorder="1"/>
    <xf numFmtId="0" fontId="3" fillId="0" borderId="0" xfId="0" applyFont="1" applyFill="1" applyBorder="1" applyAlignment="1">
      <alignment wrapText="1"/>
    </xf>
    <xf numFmtId="1" fontId="0" fillId="0" borderId="1" xfId="0" applyNumberFormat="1" applyBorder="1" applyAlignment="1">
      <alignment wrapText="1"/>
    </xf>
    <xf numFmtId="0" fontId="0" fillId="56" borderId="1" xfId="0" applyFill="1" applyBorder="1"/>
    <xf numFmtId="170" fontId="0" fillId="56" borderId="1" xfId="1" applyNumberFormat="1" applyFont="1" applyFill="1" applyBorder="1"/>
    <xf numFmtId="0" fontId="9" fillId="56" borderId="1" xfId="100" applyFont="1" applyFill="1" applyBorder="1"/>
    <xf numFmtId="0" fontId="40" fillId="56" borderId="1" xfId="100" applyFill="1" applyBorder="1"/>
    <xf numFmtId="0" fontId="38" fillId="2" borderId="2" xfId="100" applyFont="1" applyFill="1" applyBorder="1" applyAlignment="1">
      <alignment horizontal="left" vertical="center"/>
    </xf>
    <xf numFmtId="0" fontId="3" fillId="2" borderId="0" xfId="0" applyFont="1" applyFill="1"/>
    <xf numFmtId="2" fontId="54" fillId="2" borderId="0" xfId="0" applyNumberFormat="1" applyFont="1" applyFill="1"/>
    <xf numFmtId="9" fontId="0" fillId="2" borderId="0" xfId="2" applyFont="1" applyFill="1"/>
    <xf numFmtId="2" fontId="0" fillId="2" borderId="0" xfId="0" applyNumberFormat="1" applyFill="1"/>
    <xf numFmtId="9" fontId="0" fillId="53" borderId="0" xfId="2" applyNumberFormat="1" applyFont="1" applyFill="1"/>
    <xf numFmtId="1" fontId="0" fillId="6" borderId="1" xfId="0" applyNumberFormat="1" applyFill="1" applyBorder="1"/>
    <xf numFmtId="169" fontId="0" fillId="0" borderId="0" xfId="0" applyNumberFormat="1" applyFill="1" applyBorder="1"/>
    <xf numFmtId="0" fontId="62" fillId="0" borderId="0" xfId="105" applyAlignment="1" applyProtection="1"/>
    <xf numFmtId="170" fontId="0" fillId="0" borderId="1" xfId="0" applyNumberFormat="1" applyBorder="1" applyAlignment="1">
      <alignment wrapText="1"/>
    </xf>
    <xf numFmtId="1" fontId="0" fillId="57" borderId="1" xfId="0" applyNumberFormat="1" applyFill="1" applyBorder="1"/>
    <xf numFmtId="1" fontId="0" fillId="58" borderId="1" xfId="0" applyNumberFormat="1" applyFill="1" applyBorder="1"/>
    <xf numFmtId="0" fontId="38" fillId="35" borderId="2" xfId="100" applyFont="1" applyFill="1" applyBorder="1" applyAlignment="1">
      <alignment horizontal="center" vertical="center"/>
    </xf>
    <xf numFmtId="164" fontId="0" fillId="0" borderId="1" xfId="3" applyNumberFormat="1" applyFont="1" applyBorder="1"/>
    <xf numFmtId="164" fontId="0" fillId="0" borderId="0" xfId="0" applyNumberFormat="1"/>
    <xf numFmtId="170" fontId="7" fillId="2" borderId="1" xfId="1" applyNumberFormat="1" applyFont="1" applyFill="1" applyBorder="1"/>
    <xf numFmtId="44" fontId="0" fillId="2" borderId="1" xfId="1" applyFont="1" applyFill="1" applyBorder="1"/>
    <xf numFmtId="166" fontId="0" fillId="2" borderId="0" xfId="0" applyNumberFormat="1" applyFill="1"/>
    <xf numFmtId="5" fontId="0" fillId="0" borderId="0" xfId="1" applyNumberFormat="1" applyFont="1" applyFill="1" applyBorder="1"/>
    <xf numFmtId="0" fontId="0" fillId="3" borderId="0" xfId="0" applyFill="1"/>
    <xf numFmtId="5" fontId="0" fillId="3" borderId="1" xfId="1" applyNumberFormat="1" applyFont="1" applyFill="1" applyBorder="1"/>
    <xf numFmtId="173" fontId="0" fillId="3" borderId="1" xfId="0" applyNumberFormat="1" applyFill="1" applyBorder="1"/>
    <xf numFmtId="0" fontId="3" fillId="0" borderId="1" xfId="0" applyFont="1" applyBorder="1" applyAlignment="1">
      <alignment horizontal="center" vertical="center" wrapText="1"/>
    </xf>
    <xf numFmtId="44" fontId="3" fillId="0" borderId="1" xfId="1" applyFont="1" applyBorder="1" applyAlignment="1">
      <alignment horizontal="center" vertical="center" wrapText="1"/>
    </xf>
    <xf numFmtId="0" fontId="0" fillId="0" borderId="2" xfId="0" applyFont="1" applyBorder="1" applyAlignment="1">
      <alignment horizontal="center" vertical="top" wrapText="1"/>
    </xf>
    <xf numFmtId="0" fontId="0" fillId="0" borderId="19" xfId="0" applyFont="1" applyBorder="1" applyAlignment="1">
      <alignment horizontal="center" vertical="top" wrapText="1"/>
    </xf>
    <xf numFmtId="0" fontId="0" fillId="0" borderId="20" xfId="0" applyFont="1" applyBorder="1" applyAlignment="1">
      <alignment horizontal="center" vertical="top"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9" fontId="3" fillId="0" borderId="21" xfId="2" applyFont="1" applyBorder="1" applyAlignment="1">
      <alignment horizontal="center" vertical="center" wrapText="1"/>
    </xf>
    <xf numFmtId="9" fontId="3" fillId="0" borderId="22" xfId="2" applyFont="1" applyBorder="1" applyAlignment="1">
      <alignment horizontal="center" vertical="center" wrapText="1"/>
    </xf>
    <xf numFmtId="9" fontId="3" fillId="0" borderId="1" xfId="2" applyFont="1" applyBorder="1" applyAlignment="1">
      <alignment horizontal="center" vertical="center" wrapText="1"/>
    </xf>
    <xf numFmtId="49" fontId="0" fillId="0" borderId="1" xfId="0" applyNumberFormat="1" applyBorder="1" applyAlignment="1">
      <alignment horizontal="center"/>
    </xf>
    <xf numFmtId="0" fontId="0" fillId="0" borderId="1" xfId="0" applyBorder="1" applyAlignment="1">
      <alignment vertical="center"/>
    </xf>
    <xf numFmtId="0" fontId="0" fillId="0" borderId="2"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49" fontId="0" fillId="0" borderId="2" xfId="0" applyNumberFormat="1" applyBorder="1" applyAlignment="1">
      <alignment horizontal="center" vertical="center"/>
    </xf>
    <xf numFmtId="49" fontId="0" fillId="0" borderId="19" xfId="0" applyNumberFormat="1" applyBorder="1" applyAlignment="1">
      <alignment horizontal="center" vertical="center"/>
    </xf>
    <xf numFmtId="49" fontId="0" fillId="0" borderId="20" xfId="0" applyNumberFormat="1" applyBorder="1" applyAlignment="1">
      <alignment horizontal="center" vertical="center"/>
    </xf>
    <xf numFmtId="49" fontId="0" fillId="0" borderId="2" xfId="0" applyNumberFormat="1" applyBorder="1" applyAlignment="1">
      <alignment horizontal="center" vertical="top"/>
    </xf>
    <xf numFmtId="49" fontId="0" fillId="0" borderId="19" xfId="0" applyNumberFormat="1" applyBorder="1" applyAlignment="1">
      <alignment horizontal="center" vertical="top"/>
    </xf>
    <xf numFmtId="49" fontId="0" fillId="0" borderId="20" xfId="0" applyNumberFormat="1" applyBorder="1" applyAlignment="1">
      <alignment horizontal="center" vertical="top"/>
    </xf>
    <xf numFmtId="0" fontId="0" fillId="0" borderId="2" xfId="0" applyBorder="1" applyAlignment="1">
      <alignment horizontal="center" vertical="top" wrapText="1"/>
    </xf>
    <xf numFmtId="0" fontId="0" fillId="0" borderId="19" xfId="0" applyBorder="1" applyAlignment="1">
      <alignment horizontal="center" vertical="top" wrapText="1"/>
    </xf>
    <xf numFmtId="0" fontId="0" fillId="0" borderId="20" xfId="0" applyBorder="1" applyAlignment="1">
      <alignment horizontal="center" vertical="top" wrapText="1"/>
    </xf>
    <xf numFmtId="49" fontId="0" fillId="0" borderId="1" xfId="0" applyNumberFormat="1" applyBorder="1" applyAlignment="1">
      <alignment horizontal="center" vertical="center" wrapText="1"/>
    </xf>
    <xf numFmtId="9" fontId="3" fillId="0" borderId="1" xfId="2" applyFont="1" applyBorder="1" applyAlignment="1">
      <alignment horizontal="center" vertical="top" wrapText="1"/>
    </xf>
    <xf numFmtId="0" fontId="38" fillId="35" borderId="8" xfId="100" applyFont="1" applyFill="1" applyBorder="1" applyAlignment="1">
      <alignment horizontal="center" vertical="center"/>
    </xf>
    <xf numFmtId="0" fontId="38" fillId="35" borderId="3" xfId="100" applyFont="1" applyFill="1" applyBorder="1" applyAlignment="1">
      <alignment horizontal="center" vertical="center"/>
    </xf>
    <xf numFmtId="0" fontId="50" fillId="0" borderId="0" xfId="0" applyFont="1" applyAlignment="1">
      <alignment horizontal="center" wrapText="1" readingOrder="1"/>
    </xf>
    <xf numFmtId="0" fontId="50" fillId="0" borderId="43" xfId="0" applyFont="1" applyBorder="1" applyAlignment="1">
      <alignment horizontal="center" wrapText="1" readingOrder="1"/>
    </xf>
    <xf numFmtId="0" fontId="0" fillId="0" borderId="14" xfId="0" applyBorder="1" applyAlignment="1">
      <alignment horizontal="center"/>
    </xf>
    <xf numFmtId="0" fontId="0" fillId="0" borderId="15" xfId="0" applyBorder="1" applyAlignment="1">
      <alignment horizontal="center"/>
    </xf>
    <xf numFmtId="0" fontId="0" fillId="0" borderId="32" xfId="0" applyBorder="1" applyAlignment="1">
      <alignment horizontal="center" wrapText="1"/>
    </xf>
    <xf numFmtId="0" fontId="0" fillId="0" borderId="33" xfId="0" applyBorder="1" applyAlignment="1">
      <alignment horizontal="center" wrapText="1"/>
    </xf>
    <xf numFmtId="0" fontId="0" fillId="0" borderId="34" xfId="0" applyBorder="1" applyAlignment="1">
      <alignment horizontal="center" wrapText="1"/>
    </xf>
    <xf numFmtId="0" fontId="0" fillId="0" borderId="36" xfId="0" applyBorder="1" applyAlignment="1">
      <alignment horizontal="center" wrapText="1"/>
    </xf>
    <xf numFmtId="0" fontId="0" fillId="0" borderId="48" xfId="0" applyBorder="1" applyAlignment="1">
      <alignment horizontal="center" wrapText="1"/>
    </xf>
    <xf numFmtId="0" fontId="0" fillId="0" borderId="52" xfId="0" applyBorder="1" applyAlignment="1">
      <alignment horizontal="center" wrapText="1"/>
    </xf>
    <xf numFmtId="0" fontId="38" fillId="35" borderId="2" xfId="100" applyFont="1" applyFill="1" applyBorder="1" applyAlignment="1">
      <alignment horizontal="center" vertical="center"/>
    </xf>
    <xf numFmtId="0" fontId="38" fillId="35" borderId="20" xfId="100" applyFont="1" applyFill="1" applyBorder="1" applyAlignment="1">
      <alignment horizontal="center" vertical="center"/>
    </xf>
    <xf numFmtId="5" fontId="38" fillId="35" borderId="1" xfId="100" applyNumberFormat="1" applyFont="1" applyFill="1" applyBorder="1" applyAlignment="1">
      <alignment horizontal="center"/>
    </xf>
    <xf numFmtId="0" fontId="38" fillId="35" borderId="2" xfId="100" applyFont="1" applyFill="1" applyBorder="1" applyAlignment="1">
      <alignment horizontal="center" vertical="center" wrapText="1"/>
    </xf>
    <xf numFmtId="0" fontId="38" fillId="35" borderId="20" xfId="100" applyFont="1" applyFill="1" applyBorder="1" applyAlignment="1">
      <alignment horizontal="center" vertical="center" wrapText="1"/>
    </xf>
    <xf numFmtId="5" fontId="38" fillId="35" borderId="22" xfId="100" applyNumberFormat="1" applyFont="1" applyFill="1" applyBorder="1" applyAlignment="1">
      <alignment horizontal="center"/>
    </xf>
    <xf numFmtId="0" fontId="57" fillId="0" borderId="49" xfId="0" applyFont="1" applyBorder="1" applyAlignment="1">
      <alignment horizontal="center" vertical="center" wrapText="1"/>
    </xf>
    <xf numFmtId="0" fontId="57" fillId="0" borderId="50" xfId="0" applyFont="1" applyBorder="1" applyAlignment="1">
      <alignment horizontal="center" vertical="center" wrapText="1"/>
    </xf>
    <xf numFmtId="0" fontId="57" fillId="0" borderId="42" xfId="0" applyFont="1" applyBorder="1" applyAlignment="1">
      <alignment horizontal="center" vertical="center" wrapText="1"/>
    </xf>
    <xf numFmtId="0" fontId="7" fillId="2" borderId="20" xfId="0" applyFont="1" applyFill="1" applyBorder="1" applyAlignment="1">
      <alignment horizontal="center"/>
    </xf>
    <xf numFmtId="0" fontId="7" fillId="2" borderId="1" xfId="0" applyFont="1" applyFill="1" applyBorder="1" applyAlignment="1">
      <alignment horizontal="center"/>
    </xf>
    <xf numFmtId="0" fontId="37" fillId="2" borderId="1" xfId="0" applyFont="1" applyFill="1" applyBorder="1" applyAlignment="1">
      <alignment horizontal="center"/>
    </xf>
    <xf numFmtId="0" fontId="37" fillId="34" borderId="20" xfId="0" applyFont="1" applyFill="1" applyBorder="1" applyAlignment="1">
      <alignment horizontal="center"/>
    </xf>
    <xf numFmtId="0" fontId="37" fillId="34" borderId="1" xfId="0" applyFont="1" applyFill="1" applyBorder="1" applyAlignment="1">
      <alignment horizontal="center"/>
    </xf>
    <xf numFmtId="0" fontId="3" fillId="38" borderId="1" xfId="0" applyFont="1" applyFill="1" applyBorder="1" applyAlignment="1">
      <alignment horizontal="center" vertical="center" wrapText="1"/>
    </xf>
    <xf numFmtId="0" fontId="3" fillId="40" borderId="1" xfId="0" applyFont="1" applyFill="1" applyBorder="1" applyAlignment="1">
      <alignment horizontal="center" vertical="center" wrapText="1"/>
    </xf>
    <xf numFmtId="0" fontId="0" fillId="0" borderId="2"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3" fillId="3" borderId="8" xfId="0" applyFont="1" applyFill="1" applyBorder="1" applyAlignment="1">
      <alignment horizontal="center"/>
    </xf>
    <xf numFmtId="0" fontId="3" fillId="3" borderId="12" xfId="0" applyFont="1" applyFill="1" applyBorder="1" applyAlignment="1">
      <alignment horizontal="center"/>
    </xf>
    <xf numFmtId="0" fontId="3" fillId="44" borderId="7" xfId="0" applyFont="1" applyFill="1" applyBorder="1" applyAlignment="1">
      <alignment horizontal="center" vertical="center" wrapText="1"/>
    </xf>
    <xf numFmtId="0" fontId="3" fillId="44" borderId="9" xfId="0" applyFont="1" applyFill="1" applyBorder="1" applyAlignment="1">
      <alignment horizontal="center" vertical="center" wrapText="1"/>
    </xf>
    <xf numFmtId="0" fontId="3" fillId="45" borderId="7" xfId="0" applyFont="1" applyFill="1" applyBorder="1" applyAlignment="1">
      <alignment horizontal="center" vertical="center" wrapText="1"/>
    </xf>
    <xf numFmtId="0" fontId="3" fillId="45" borderId="9" xfId="0" applyFont="1" applyFill="1" applyBorder="1" applyAlignment="1">
      <alignment horizontal="center" vertical="center" wrapText="1"/>
    </xf>
    <xf numFmtId="0" fontId="3" fillId="37" borderId="21" xfId="0" applyFont="1" applyFill="1" applyBorder="1" applyAlignment="1">
      <alignment horizontal="center"/>
    </xf>
    <xf numFmtId="0" fontId="3" fillId="37" borderId="22" xfId="0" applyFont="1" applyFill="1" applyBorder="1" applyAlignment="1">
      <alignment horizontal="center"/>
    </xf>
    <xf numFmtId="0" fontId="3" fillId="6" borderId="21" xfId="0" applyFont="1" applyFill="1" applyBorder="1" applyAlignment="1">
      <alignment horizontal="center" vertical="center"/>
    </xf>
    <xf numFmtId="0" fontId="3" fillId="6" borderId="6" xfId="0" applyFont="1" applyFill="1" applyBorder="1" applyAlignment="1">
      <alignment horizontal="center" vertical="center"/>
    </xf>
    <xf numFmtId="0" fontId="3" fillId="6" borderId="22" xfId="0" applyFont="1" applyFill="1" applyBorder="1" applyAlignment="1">
      <alignment horizontal="center" vertical="center"/>
    </xf>
    <xf numFmtId="0" fontId="3" fillId="6" borderId="2" xfId="0" applyFont="1" applyFill="1" applyBorder="1" applyAlignment="1">
      <alignment horizontal="center" vertical="center" wrapText="1"/>
    </xf>
    <xf numFmtId="0" fontId="3" fillId="6" borderId="20" xfId="0" applyFont="1" applyFill="1" applyBorder="1" applyAlignment="1">
      <alignment horizontal="center" vertical="center" wrapText="1"/>
    </xf>
    <xf numFmtId="0" fontId="0" fillId="37" borderId="1" xfId="0" applyFill="1" applyBorder="1" applyAlignment="1">
      <alignment horizontal="center"/>
    </xf>
    <xf numFmtId="0" fontId="0" fillId="3" borderId="8" xfId="0" applyFill="1" applyBorder="1" applyAlignment="1">
      <alignment horizontal="center"/>
    </xf>
    <xf numFmtId="0" fontId="0" fillId="3" borderId="3" xfId="0" applyFill="1" applyBorder="1" applyAlignment="1">
      <alignment horizontal="center"/>
    </xf>
    <xf numFmtId="0" fontId="0" fillId="3" borderId="12" xfId="0" applyFill="1" applyBorder="1" applyAlignment="1">
      <alignment horizontal="center"/>
    </xf>
    <xf numFmtId="0" fontId="3" fillId="40" borderId="1" xfId="0" applyFont="1" applyFill="1" applyBorder="1" applyAlignment="1">
      <alignment horizontal="center" vertical="center"/>
    </xf>
    <xf numFmtId="0" fontId="3" fillId="40" borderId="2" xfId="0" applyFont="1" applyFill="1" applyBorder="1" applyAlignment="1">
      <alignment horizontal="center" vertical="center" wrapText="1"/>
    </xf>
    <xf numFmtId="0" fontId="3" fillId="40" borderId="20" xfId="0" applyFont="1" applyFill="1" applyBorder="1" applyAlignment="1">
      <alignment horizontal="center" vertical="center" wrapText="1"/>
    </xf>
    <xf numFmtId="0" fontId="4" fillId="0" borderId="2"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3" fillId="5" borderId="8" xfId="0" applyFont="1" applyFill="1" applyBorder="1" applyAlignment="1">
      <alignment horizontal="center"/>
    </xf>
    <xf numFmtId="0" fontId="3" fillId="5" borderId="12" xfId="0" applyFont="1" applyFill="1" applyBorder="1" applyAlignment="1">
      <alignment horizontal="center"/>
    </xf>
    <xf numFmtId="0" fontId="3" fillId="43" borderId="7" xfId="0" applyFont="1" applyFill="1" applyBorder="1" applyAlignment="1">
      <alignment horizontal="center" vertical="center" wrapText="1"/>
    </xf>
    <xf numFmtId="0" fontId="3" fillId="43" borderId="9" xfId="0" applyFont="1" applyFill="1" applyBorder="1" applyAlignment="1">
      <alignment horizontal="center" vertical="center" wrapText="1"/>
    </xf>
    <xf numFmtId="0" fontId="3" fillId="38" borderId="1" xfId="0" applyFont="1" applyFill="1" applyBorder="1" applyAlignment="1">
      <alignment horizontal="center" vertical="center"/>
    </xf>
    <xf numFmtId="0" fontId="3" fillId="0" borderId="1" xfId="0" applyFont="1" applyBorder="1" applyAlignment="1">
      <alignment horizontal="center" vertical="center"/>
    </xf>
    <xf numFmtId="0" fontId="3" fillId="5" borderId="21" xfId="0" applyFont="1" applyFill="1" applyBorder="1" applyAlignment="1">
      <alignment horizontal="center"/>
    </xf>
    <xf numFmtId="0" fontId="3" fillId="5" borderId="6" xfId="0" applyFont="1" applyFill="1" applyBorder="1" applyAlignment="1">
      <alignment horizontal="center"/>
    </xf>
    <xf numFmtId="0" fontId="3" fillId="5" borderId="22" xfId="0" applyFont="1" applyFill="1" applyBorder="1" applyAlignment="1">
      <alignment horizontal="center"/>
    </xf>
    <xf numFmtId="0" fontId="38" fillId="35" borderId="1" xfId="100" applyFont="1" applyFill="1" applyBorder="1" applyAlignment="1">
      <alignment horizontal="center" vertical="center"/>
    </xf>
    <xf numFmtId="0" fontId="46" fillId="39" borderId="14" xfId="100" applyFont="1" applyFill="1" applyBorder="1" applyAlignment="1">
      <alignment horizontal="left"/>
    </xf>
    <xf numFmtId="0" fontId="46" fillId="39" borderId="15" xfId="100" applyFont="1" applyFill="1" applyBorder="1" applyAlignment="1">
      <alignment horizontal="left"/>
    </xf>
    <xf numFmtId="0" fontId="46" fillId="39" borderId="16" xfId="100" applyFont="1" applyFill="1" applyBorder="1" applyAlignment="1">
      <alignment horizontal="left"/>
    </xf>
    <xf numFmtId="0" fontId="38" fillId="34" borderId="2" xfId="100" applyFont="1" applyFill="1" applyBorder="1" applyAlignment="1">
      <alignment horizontal="center"/>
    </xf>
    <xf numFmtId="0" fontId="38" fillId="34" borderId="5" xfId="100" applyFont="1" applyFill="1" applyBorder="1" applyAlignment="1">
      <alignment horizontal="center"/>
    </xf>
    <xf numFmtId="0" fontId="38" fillId="35" borderId="1" xfId="100" applyFont="1" applyFill="1" applyBorder="1" applyAlignment="1">
      <alignment horizontal="center"/>
    </xf>
    <xf numFmtId="0" fontId="38" fillId="35" borderId="2" xfId="100" applyFont="1" applyFill="1" applyBorder="1" applyAlignment="1">
      <alignment horizontal="center"/>
    </xf>
    <xf numFmtId="0" fontId="38" fillId="35" borderId="20" xfId="100" applyFont="1" applyFill="1" applyBorder="1" applyAlignment="1">
      <alignment horizontal="center"/>
    </xf>
    <xf numFmtId="0" fontId="38" fillId="35" borderId="2" xfId="100" applyFont="1" applyFill="1" applyBorder="1" applyAlignment="1">
      <alignment horizontal="center" wrapText="1"/>
    </xf>
    <xf numFmtId="0" fontId="38" fillId="35" borderId="20" xfId="100" applyFont="1" applyFill="1" applyBorder="1" applyAlignment="1">
      <alignment horizontal="center" wrapText="1"/>
    </xf>
    <xf numFmtId="0" fontId="40" fillId="35" borderId="20" xfId="100" applyFill="1" applyBorder="1" applyAlignment="1">
      <alignment horizontal="center" vertical="center" wrapText="1"/>
    </xf>
    <xf numFmtId="0" fontId="38" fillId="35" borderId="21" xfId="100" applyFont="1" applyFill="1" applyBorder="1" applyAlignment="1">
      <alignment horizontal="center" vertical="center" wrapText="1"/>
    </xf>
    <xf numFmtId="0" fontId="38" fillId="35" borderId="6" xfId="100" applyFont="1" applyFill="1" applyBorder="1" applyAlignment="1">
      <alignment horizontal="center" vertical="center" wrapText="1"/>
    </xf>
    <xf numFmtId="0" fontId="38" fillId="34" borderId="21" xfId="100" applyFont="1" applyFill="1" applyBorder="1" applyAlignment="1">
      <alignment horizontal="center"/>
    </xf>
    <xf numFmtId="0" fontId="38" fillId="34" borderId="6" xfId="100" applyFont="1" applyFill="1" applyBorder="1" applyAlignment="1">
      <alignment horizontal="center"/>
    </xf>
    <xf numFmtId="0" fontId="38" fillId="34" borderId="41" xfId="100" applyFont="1" applyFill="1" applyBorder="1" applyAlignment="1">
      <alignment horizontal="center"/>
    </xf>
    <xf numFmtId="0" fontId="38" fillId="35" borderId="21" xfId="100" applyFont="1" applyFill="1" applyBorder="1" applyAlignment="1">
      <alignment horizontal="center"/>
    </xf>
    <xf numFmtId="0" fontId="38" fillId="35" borderId="6" xfId="100" applyFont="1" applyFill="1" applyBorder="1" applyAlignment="1">
      <alignment horizontal="center"/>
    </xf>
    <xf numFmtId="0" fontId="38" fillId="35" borderId="22" xfId="100" applyFont="1" applyFill="1" applyBorder="1" applyAlignment="1">
      <alignment horizontal="center"/>
    </xf>
    <xf numFmtId="5" fontId="38" fillId="35" borderId="21" xfId="100" applyNumberFormat="1" applyFont="1" applyFill="1" applyBorder="1" applyAlignment="1">
      <alignment horizontal="center"/>
    </xf>
    <xf numFmtId="5" fontId="38" fillId="35" borderId="6" xfId="100" applyNumberFormat="1" applyFont="1" applyFill="1" applyBorder="1" applyAlignment="1">
      <alignment horizontal="center"/>
    </xf>
    <xf numFmtId="0" fontId="38" fillId="35" borderId="21" xfId="100" applyFont="1" applyFill="1" applyBorder="1" applyAlignment="1">
      <alignment horizontal="center" vertical="center"/>
    </xf>
    <xf numFmtId="0" fontId="38" fillId="35" borderId="22" xfId="100" applyFont="1" applyFill="1" applyBorder="1" applyAlignment="1">
      <alignment horizontal="center" vertical="center"/>
    </xf>
    <xf numFmtId="0" fontId="38" fillId="35" borderId="7" xfId="100" applyFont="1" applyFill="1" applyBorder="1" applyAlignment="1">
      <alignment horizontal="center" vertical="center"/>
    </xf>
  </cellXfs>
  <cellStyles count="106">
    <cellStyle name="20% - Accent1 2" xfId="39"/>
    <cellStyle name="20% - Accent2 2" xfId="40"/>
    <cellStyle name="20% - Accent3 2" xfId="41"/>
    <cellStyle name="20% - Accent4 2" xfId="42"/>
    <cellStyle name="20% - Accent5 2" xfId="43"/>
    <cellStyle name="20% - Accent6 2" xfId="44"/>
    <cellStyle name="40% - Accent1 2" xfId="45"/>
    <cellStyle name="40% - Accent2 2" xfId="46"/>
    <cellStyle name="40% - Accent3 2" xfId="47"/>
    <cellStyle name="40% - Accent4 2" xfId="48"/>
    <cellStyle name="40% - Accent5 2" xfId="49"/>
    <cellStyle name="40% - Accent6 2" xfId="50"/>
    <cellStyle name="60% - Accent1 2" xfId="51"/>
    <cellStyle name="60% - Accent2 2" xfId="52"/>
    <cellStyle name="60% - Accent3 2" xfId="53"/>
    <cellStyle name="60% - Accent4 2" xfId="54"/>
    <cellStyle name="60% - Accent5 2" xfId="55"/>
    <cellStyle name="60% - Accent6 2" xfId="56"/>
    <cellStyle name="Accent1 2" xfId="57"/>
    <cellStyle name="Accent2 2" xfId="58"/>
    <cellStyle name="Accent3 2" xfId="59"/>
    <cellStyle name="Accent4 2" xfId="60"/>
    <cellStyle name="Accent5 2" xfId="61"/>
    <cellStyle name="Accent6 2" xfId="62"/>
    <cellStyle name="Bad 2" xfId="63"/>
    <cellStyle name="Calculation 2" xfId="64"/>
    <cellStyle name="Check Cell 2" xfId="65"/>
    <cellStyle name="Comma" xfId="3" builtinId="3"/>
    <cellStyle name="Comma 2" xfId="7"/>
    <cellStyle name="Comma 2 2" xfId="26"/>
    <cellStyle name="Comma 2 3" xfId="25"/>
    <cellStyle name="Comma 2 4" xfId="14"/>
    <cellStyle name="Comma 3" xfId="19"/>
    <cellStyle name="Comma 3 2" xfId="29"/>
    <cellStyle name="Comma 3 3" xfId="33"/>
    <cellStyle name="Comma 4" xfId="90"/>
    <cellStyle name="Comma 4 2" xfId="96"/>
    <cellStyle name="Comma 5" xfId="101"/>
    <cellStyle name="Currency" xfId="1" builtinId="4"/>
    <cellStyle name="Currency 2" xfId="20"/>
    <cellStyle name="Currency 3" xfId="66"/>
    <cellStyle name="Currency 4" xfId="103"/>
    <cellStyle name="Data Field" xfId="67"/>
    <cellStyle name="Data Name" xfId="68"/>
    <cellStyle name="Date/Time" xfId="69"/>
    <cellStyle name="Explanatory Text 2" xfId="70"/>
    <cellStyle name="Good 2" xfId="13"/>
    <cellStyle name="Good 3" xfId="71"/>
    <cellStyle name="Heading" xfId="72"/>
    <cellStyle name="Heading 1 2" xfId="73"/>
    <cellStyle name="Heading 2 2" xfId="74"/>
    <cellStyle name="Heading 2 3" xfId="89"/>
    <cellStyle name="Heading 3 2" xfId="75"/>
    <cellStyle name="Heading 4 2" xfId="76"/>
    <cellStyle name="Hyperlink" xfId="105" builtinId="8"/>
    <cellStyle name="Hyperlink 2" xfId="5"/>
    <cellStyle name="Hyperlink 2 2" xfId="22"/>
    <cellStyle name="Hyperlink 3" xfId="9"/>
    <cellStyle name="Hyperlink 4" xfId="16"/>
    <cellStyle name="Hyperlink 5" xfId="4"/>
    <cellStyle name="Input 2" xfId="77"/>
    <cellStyle name="Linked Cell 2" xfId="78"/>
    <cellStyle name="Neutral 2" xfId="79"/>
    <cellStyle name="Normal" xfId="0" builtinId="0"/>
    <cellStyle name="Normal 10" xfId="93"/>
    <cellStyle name="Normal 10 2" xfId="99"/>
    <cellStyle name="Normal 11" xfId="100"/>
    <cellStyle name="Normal 2" xfId="6"/>
    <cellStyle name="Normal 2 2" xfId="10"/>
    <cellStyle name="Normal 3" xfId="11"/>
    <cellStyle name="Normal 3 2" xfId="17"/>
    <cellStyle name="Normal 3 2 2" xfId="27"/>
    <cellStyle name="Normal 3 2 3" xfId="23"/>
    <cellStyle name="Normal 3 3" xfId="24"/>
    <cellStyle name="Normal 3 4" xfId="31"/>
    <cellStyle name="Normal 4" xfId="12"/>
    <cellStyle name="Normal 5" xfId="18"/>
    <cellStyle name="Normal 5 2" xfId="28"/>
    <cellStyle name="Normal 5 3" xfId="32"/>
    <cellStyle name="Normal 6" xfId="35"/>
    <cellStyle name="Normal 7" xfId="36"/>
    <cellStyle name="Normal 7 2" xfId="94"/>
    <cellStyle name="Normal 8" xfId="37"/>
    <cellStyle name="Normal 9" xfId="91"/>
    <cellStyle name="Normal 9 2" xfId="97"/>
    <cellStyle name="Note" xfId="104" builtinId="10"/>
    <cellStyle name="Note 2" xfId="80"/>
    <cellStyle name="Note 3" xfId="88"/>
    <cellStyle name="Output 2" xfId="81"/>
    <cellStyle name="Percent" xfId="2" builtinId="5"/>
    <cellStyle name="Percent 2" xfId="8"/>
    <cellStyle name="Percent 2 2" xfId="15"/>
    <cellStyle name="Percent 3" xfId="21"/>
    <cellStyle name="Percent 3 2" xfId="30"/>
    <cellStyle name="Percent 3 3" xfId="34"/>
    <cellStyle name="Percent 4" xfId="87"/>
    <cellStyle name="Percent 4 2" xfId="95"/>
    <cellStyle name="Percent 5" xfId="92"/>
    <cellStyle name="Percent 5 2" xfId="98"/>
    <cellStyle name="Percent 6" xfId="102"/>
    <cellStyle name="Style 1" xfId="38"/>
    <cellStyle name="Title 2" xfId="82"/>
    <cellStyle name="Total 2" xfId="83"/>
    <cellStyle name="Warning Text 2" xfId="84"/>
    <cellStyle name="표준_ENERGY CONSUMP" xfId="85"/>
    <cellStyle name="常规_海外市场服务网站资料操作BOM" xfId="86"/>
  </cellStyles>
  <dxfs count="3">
    <dxf>
      <fill>
        <patternFill patternType="lightDown">
          <fgColor theme="1"/>
          <bgColor theme="0" tint="-0.14996795556505021"/>
        </patternFill>
      </fill>
    </dxf>
    <dxf>
      <fill>
        <patternFill patternType="lightDown">
          <fgColor theme="1"/>
          <bgColor theme="0" tint="-0.14996795556505021"/>
        </patternFill>
      </fill>
    </dxf>
    <dxf>
      <font>
        <color rgb="FF9C0006"/>
      </font>
      <fill>
        <patternFill>
          <bgColor rgb="FFFFC7CE"/>
        </patternFill>
      </fill>
    </dxf>
  </dxfs>
  <tableStyles count="0" defaultTableStyle="TableStyleMedium2" defaultPivotStyle="PivotStyleLight16"/>
  <colors>
    <mruColors>
      <color rgb="FF9BBB59"/>
      <color rgb="FFC4D79B"/>
      <color rgb="FFD8E4BC"/>
      <color rgb="FFEBF1DE"/>
      <color rgb="FF7D98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6.xml"/><Relationship Id="rId13" Type="http://schemas.openxmlformats.org/officeDocument/2006/relationships/worksheet" Target="worksheets/sheet11.xml"/><Relationship Id="rId18" Type="http://schemas.openxmlformats.org/officeDocument/2006/relationships/worksheet" Target="worksheets/sheet16.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chartsheet" Target="chartsheets/sheet2.xml"/><Relationship Id="rId12" Type="http://schemas.openxmlformats.org/officeDocument/2006/relationships/worksheet" Target="worksheets/sheet10.xml"/><Relationship Id="rId17" Type="http://schemas.openxmlformats.org/officeDocument/2006/relationships/worksheet" Target="worksheets/sheet15.xml"/><Relationship Id="rId2" Type="http://schemas.openxmlformats.org/officeDocument/2006/relationships/worksheet" Target="worksheets/sheet2.xml"/><Relationship Id="rId16" Type="http://schemas.openxmlformats.org/officeDocument/2006/relationships/worksheet" Target="worksheets/sheet14.xml"/><Relationship Id="rId20" Type="http://schemas.openxmlformats.org/officeDocument/2006/relationships/worksheet" Target="worksheets/sheet18.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9.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3.xml"/><Relationship Id="rId23" Type="http://schemas.openxmlformats.org/officeDocument/2006/relationships/sharedStrings" Target="sharedStrings.xml"/><Relationship Id="rId10" Type="http://schemas.openxmlformats.org/officeDocument/2006/relationships/worksheet" Target="worksheets/sheet8.xml"/><Relationship Id="rId19" Type="http://schemas.openxmlformats.org/officeDocument/2006/relationships/worksheet" Target="worksheets/sheet17.xml"/><Relationship Id="rId4" Type="http://schemas.openxmlformats.org/officeDocument/2006/relationships/worksheet" Target="worksheets/sheet4.xml"/><Relationship Id="rId9" Type="http://schemas.openxmlformats.org/officeDocument/2006/relationships/worksheet" Target="worksheets/sheet7.xml"/><Relationship Id="rId14" Type="http://schemas.openxmlformats.org/officeDocument/2006/relationships/worksheet" Target="worksheets/sheet12.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lgn="ctr">
              <a:defRPr/>
            </a:pPr>
            <a:r>
              <a:rPr lang="en-US" sz="1800" b="1" i="0" baseline="0"/>
              <a:t>Demand Response Resource Programs by Cost Bin</a:t>
            </a:r>
            <a:endParaRPr lang="en-US"/>
          </a:p>
          <a:p>
            <a:pPr algn="ctr">
              <a:defRPr/>
            </a:pPr>
            <a:r>
              <a:rPr lang="en-US" sz="1800" b="1" i="0" baseline="0"/>
              <a:t> (2012$ per kW-year)</a:t>
            </a:r>
          </a:p>
        </c:rich>
      </c:tx>
    </c:title>
    <c:plotArea>
      <c:layout/>
      <c:barChart>
        <c:barDir val="col"/>
        <c:grouping val="clustered"/>
        <c:ser>
          <c:idx val="0"/>
          <c:order val="0"/>
          <c:cat>
            <c:strRef>
              <c:f>CostByType_Summary!$C$36:$C$54</c:f>
              <c:strCache>
                <c:ptCount val="19"/>
                <c:pt idx="0">
                  <c:v>Irrigation Pumping - Switch</c:v>
                </c:pt>
                <c:pt idx="1">
                  <c:v>Curtailable/Interruptible Tariff</c:v>
                </c:pt>
                <c:pt idx="2">
                  <c:v>Space Cooling, Medium - Switch</c:v>
                </c:pt>
                <c:pt idx="3">
                  <c:v>Load Aggregator - AutoDR</c:v>
                </c:pt>
                <c:pt idx="4">
                  <c:v>Curtailable/Interruptible - AutoDR</c:v>
                </c:pt>
                <c:pt idx="5">
                  <c:v>Space Cooling, Small - Switch</c:v>
                </c:pt>
                <c:pt idx="6">
                  <c:v>Refrigerated Warehouses - Controls</c:v>
                </c:pt>
                <c:pt idx="7">
                  <c:v>Space Heating - Switch</c:v>
                </c:pt>
                <c:pt idx="8">
                  <c:v>Lighting Controls - AutoDR</c:v>
                </c:pt>
                <c:pt idx="9">
                  <c:v>Irrigation Pumping - AutoDR</c:v>
                </c:pt>
                <c:pt idx="10">
                  <c:v>Water Heating - Switch</c:v>
                </c:pt>
                <c:pt idx="11">
                  <c:v>Space Cooling - CAC Switch</c:v>
                </c:pt>
                <c:pt idx="12">
                  <c:v>Space Cooling, Medium - AutoDR</c:v>
                </c:pt>
                <c:pt idx="13">
                  <c:v>Space Cooling - RAC Switch</c:v>
                </c:pt>
                <c:pt idx="14">
                  <c:v>Space Cooling, Small - PCT</c:v>
                </c:pt>
                <c:pt idx="15">
                  <c:v>Water Heating - WH Controls</c:v>
                </c:pt>
                <c:pt idx="16">
                  <c:v>Space Cooling - CAC PCT</c:v>
                </c:pt>
                <c:pt idx="17">
                  <c:v>Space Cooling - RAC PCT</c:v>
                </c:pt>
                <c:pt idx="18">
                  <c:v>Space Heating - PCT</c:v>
                </c:pt>
              </c:strCache>
            </c:strRef>
          </c:cat>
          <c:val>
            <c:numRef>
              <c:f>CostByType_Summary!$D$36:$D$54</c:f>
              <c:numCache>
                <c:formatCode>"$"#,##0_);\("$"#,##0\)</c:formatCode>
                <c:ptCount val="19"/>
                <c:pt idx="0">
                  <c:v>1.9426369375723915</c:v>
                </c:pt>
                <c:pt idx="1">
                  <c:v>19.202243154525927</c:v>
                </c:pt>
                <c:pt idx="2">
                  <c:v>27.881812059919849</c:v>
                </c:pt>
                <c:pt idx="3">
                  <c:v>28.723299484134781</c:v>
                </c:pt>
                <c:pt idx="4">
                  <c:v>29.107389068166832</c:v>
                </c:pt>
                <c:pt idx="5">
                  <c:v>35.149745750919109</c:v>
                </c:pt>
                <c:pt idx="6">
                  <c:v>42.820957513651287</c:v>
                </c:pt>
                <c:pt idx="7">
                  <c:v>54.963175662776727</c:v>
                </c:pt>
                <c:pt idx="8">
                  <c:v>54.737778125855897</c:v>
                </c:pt>
                <c:pt idx="9">
                  <c:v>58.738245449715478</c:v>
                </c:pt>
                <c:pt idx="10">
                  <c:v>61.76877629299883</c:v>
                </c:pt>
                <c:pt idx="11">
                  <c:v>65.783248726368299</c:v>
                </c:pt>
                <c:pt idx="12">
                  <c:v>79.127549401513804</c:v>
                </c:pt>
                <c:pt idx="13">
                  <c:v>79.874420066373105</c:v>
                </c:pt>
                <c:pt idx="14">
                  <c:v>113.04859482251661</c:v>
                </c:pt>
                <c:pt idx="15">
                  <c:v>143.56016424120534</c:v>
                </c:pt>
                <c:pt idx="16">
                  <c:v>144.25964390471441</c:v>
                </c:pt>
                <c:pt idx="17">
                  <c:v>144.25964390471441</c:v>
                </c:pt>
                <c:pt idx="18">
                  <c:v>144.25964390471449</c:v>
                </c:pt>
              </c:numCache>
            </c:numRef>
          </c:val>
        </c:ser>
        <c:axId val="118575104"/>
        <c:axId val="118576640"/>
      </c:barChart>
      <c:lineChart>
        <c:grouping val="standard"/>
        <c:ser>
          <c:idx val="1"/>
          <c:order val="1"/>
          <c:tx>
            <c:strRef>
              <c:f>CostByType_Summary!$H$35</c:f>
              <c:strCache>
                <c:ptCount val="1"/>
                <c:pt idx="0">
                  <c:v>Bin 1</c:v>
                </c:pt>
              </c:strCache>
            </c:strRef>
          </c:tx>
          <c:spPr>
            <a:ln w="63500" cmpd="sng"/>
          </c:spPr>
          <c:marker>
            <c:symbol val="none"/>
          </c:marker>
          <c:cat>
            <c:strRef>
              <c:f>CostByType_Summary!$C$37:$C$41</c:f>
              <c:strCache>
                <c:ptCount val="5"/>
                <c:pt idx="0">
                  <c:v>Curtailable/Interruptible Tariff</c:v>
                </c:pt>
                <c:pt idx="1">
                  <c:v>Space Cooling, Medium - Switch</c:v>
                </c:pt>
                <c:pt idx="2">
                  <c:v>Load Aggregator - AutoDR</c:v>
                </c:pt>
                <c:pt idx="3">
                  <c:v>Curtailable/Interruptible - AutoDR</c:v>
                </c:pt>
                <c:pt idx="4">
                  <c:v>Space Cooling, Small - Switch</c:v>
                </c:pt>
              </c:strCache>
            </c:strRef>
          </c:cat>
          <c:val>
            <c:numRef>
              <c:f>CostByType_Summary!$H$36:$H$40</c:f>
              <c:numCache>
                <c:formatCode>"$"#,##0_);\("$"#,##0\)</c:formatCode>
                <c:ptCount val="5"/>
                <c:pt idx="0">
                  <c:v>24.607453662383513</c:v>
                </c:pt>
                <c:pt idx="1">
                  <c:v>24.607453662383513</c:v>
                </c:pt>
                <c:pt idx="2">
                  <c:v>24.607453662383513</c:v>
                </c:pt>
                <c:pt idx="3">
                  <c:v>24.607453662383513</c:v>
                </c:pt>
                <c:pt idx="4">
                  <c:v>24.607453662383513</c:v>
                </c:pt>
              </c:numCache>
            </c:numRef>
          </c:val>
        </c:ser>
        <c:ser>
          <c:idx val="2"/>
          <c:order val="2"/>
          <c:tx>
            <c:strRef>
              <c:f>CostByType_Summary!$I$35</c:f>
              <c:strCache>
                <c:ptCount val="1"/>
                <c:pt idx="0">
                  <c:v>Bin 2</c:v>
                </c:pt>
              </c:strCache>
            </c:strRef>
          </c:tx>
          <c:spPr>
            <a:ln w="63500">
              <a:noFill/>
            </a:ln>
          </c:spPr>
          <c:marker>
            <c:symbol val="none"/>
          </c:marker>
          <c:dPt>
            <c:idx val="6"/>
            <c:spPr>
              <a:ln w="63500">
                <a:solidFill>
                  <a:srgbClr val="9BBB59">
                    <a:shade val="95000"/>
                    <a:satMod val="105000"/>
                  </a:srgbClr>
                </a:solidFill>
              </a:ln>
            </c:spPr>
          </c:dPt>
          <c:dPt>
            <c:idx val="7"/>
            <c:spPr>
              <a:ln w="63500">
                <a:solidFill>
                  <a:srgbClr val="9BBB59">
                    <a:shade val="95000"/>
                    <a:satMod val="105000"/>
                  </a:srgbClr>
                </a:solidFill>
              </a:ln>
            </c:spPr>
          </c:dPt>
          <c:dPt>
            <c:idx val="8"/>
            <c:spPr>
              <a:ln w="63500">
                <a:solidFill>
                  <a:srgbClr val="9BBB59">
                    <a:shade val="95000"/>
                    <a:satMod val="105000"/>
                  </a:srgbClr>
                </a:solidFill>
              </a:ln>
            </c:spPr>
          </c:dPt>
          <c:dPt>
            <c:idx val="9"/>
            <c:spPr>
              <a:ln w="63500">
                <a:solidFill>
                  <a:srgbClr val="9BBB59">
                    <a:shade val="95000"/>
                    <a:satMod val="105000"/>
                  </a:srgbClr>
                </a:solidFill>
              </a:ln>
            </c:spPr>
          </c:dPt>
          <c:dPt>
            <c:idx val="10"/>
            <c:spPr>
              <a:ln w="63500">
                <a:solidFill>
                  <a:schemeClr val="accent3"/>
                </a:solidFill>
              </a:ln>
            </c:spPr>
          </c:dPt>
          <c:cat>
            <c:strRef>
              <c:f>CostByType_Summary!$C$36:$C$46</c:f>
              <c:strCache>
                <c:ptCount val="11"/>
                <c:pt idx="0">
                  <c:v>Irrigation Pumping - Switch</c:v>
                </c:pt>
                <c:pt idx="1">
                  <c:v>Curtailable/Interruptible Tariff</c:v>
                </c:pt>
                <c:pt idx="2">
                  <c:v>Space Cooling, Medium - Switch</c:v>
                </c:pt>
                <c:pt idx="3">
                  <c:v>Load Aggregator - AutoDR</c:v>
                </c:pt>
                <c:pt idx="4">
                  <c:v>Curtailable/Interruptible - AutoDR</c:v>
                </c:pt>
                <c:pt idx="5">
                  <c:v>Space Cooling, Small - Switch</c:v>
                </c:pt>
                <c:pt idx="6">
                  <c:v>Refrigerated Warehouses - Controls</c:v>
                </c:pt>
                <c:pt idx="7">
                  <c:v>Space Heating - Switch</c:v>
                </c:pt>
                <c:pt idx="8">
                  <c:v>Lighting Controls - AutoDR</c:v>
                </c:pt>
                <c:pt idx="9">
                  <c:v>Irrigation Pumping - AutoDR</c:v>
                </c:pt>
                <c:pt idx="10">
                  <c:v>Water Heating - Switch</c:v>
                </c:pt>
              </c:strCache>
            </c:strRef>
          </c:cat>
          <c:val>
            <c:numRef>
              <c:f>CostByType_Summary!$I$36:$I$46</c:f>
              <c:numCache>
                <c:formatCode>General</c:formatCode>
                <c:ptCount val="11"/>
                <c:pt idx="5" formatCode="&quot;$&quot;#,##0_);\(&quot;$&quot;#,##0\)">
                  <c:v>56.55462571732847</c:v>
                </c:pt>
                <c:pt idx="6" formatCode="&quot;$&quot;#,##0_);\(&quot;$&quot;#,##0\)">
                  <c:v>56.55462571732847</c:v>
                </c:pt>
                <c:pt idx="7" formatCode="&quot;$&quot;#,##0_);\(&quot;$&quot;#,##0\)">
                  <c:v>56.55462571732847</c:v>
                </c:pt>
                <c:pt idx="8" formatCode="&quot;$&quot;#,##0_);\(&quot;$&quot;#,##0\)">
                  <c:v>56.55462571732847</c:v>
                </c:pt>
                <c:pt idx="9" formatCode="&quot;$&quot;#,##0_);\(&quot;$&quot;#,##0\)">
                  <c:v>56.55462571732847</c:v>
                </c:pt>
                <c:pt idx="10" formatCode="&quot;$&quot;#,##0_);\(&quot;$&quot;#,##0\)">
                  <c:v>56.55462571732847</c:v>
                </c:pt>
              </c:numCache>
            </c:numRef>
          </c:val>
        </c:ser>
        <c:ser>
          <c:idx val="3"/>
          <c:order val="3"/>
          <c:tx>
            <c:strRef>
              <c:f>CostByType_Summary!$J$35</c:f>
              <c:strCache>
                <c:ptCount val="1"/>
                <c:pt idx="0">
                  <c:v>Bin 3</c:v>
                </c:pt>
              </c:strCache>
            </c:strRef>
          </c:tx>
          <c:spPr>
            <a:ln w="63500">
              <a:noFill/>
            </a:ln>
          </c:spPr>
          <c:marker>
            <c:symbol val="none"/>
          </c:marker>
          <c:dPt>
            <c:idx val="12"/>
            <c:spPr>
              <a:ln w="63500">
                <a:solidFill>
                  <a:srgbClr val="8064A2"/>
                </a:solidFill>
              </a:ln>
            </c:spPr>
          </c:dPt>
          <c:dPt>
            <c:idx val="13"/>
            <c:spPr>
              <a:ln w="63500">
                <a:solidFill>
                  <a:srgbClr val="8064A2"/>
                </a:solidFill>
              </a:ln>
            </c:spPr>
          </c:dPt>
          <c:dPt>
            <c:idx val="14"/>
            <c:spPr>
              <a:ln w="63500">
                <a:solidFill>
                  <a:schemeClr val="accent4"/>
                </a:solidFill>
              </a:ln>
            </c:spPr>
          </c:dPt>
          <c:cat>
            <c:strRef>
              <c:f>CostByType_Summary!$C$36:$C$50</c:f>
              <c:strCache>
                <c:ptCount val="15"/>
                <c:pt idx="0">
                  <c:v>Irrigation Pumping - Switch</c:v>
                </c:pt>
                <c:pt idx="1">
                  <c:v>Curtailable/Interruptible Tariff</c:v>
                </c:pt>
                <c:pt idx="2">
                  <c:v>Space Cooling, Medium - Switch</c:v>
                </c:pt>
                <c:pt idx="3">
                  <c:v>Load Aggregator - AutoDR</c:v>
                </c:pt>
                <c:pt idx="4">
                  <c:v>Curtailable/Interruptible - AutoDR</c:v>
                </c:pt>
                <c:pt idx="5">
                  <c:v>Space Cooling, Small - Switch</c:v>
                </c:pt>
                <c:pt idx="6">
                  <c:v>Refrigerated Warehouses - Controls</c:v>
                </c:pt>
                <c:pt idx="7">
                  <c:v>Space Heating - Switch</c:v>
                </c:pt>
                <c:pt idx="8">
                  <c:v>Lighting Controls - AutoDR</c:v>
                </c:pt>
                <c:pt idx="9">
                  <c:v>Irrigation Pumping - AutoDR</c:v>
                </c:pt>
                <c:pt idx="10">
                  <c:v>Water Heating - Switch</c:v>
                </c:pt>
                <c:pt idx="11">
                  <c:v>Space Cooling - CAC Switch</c:v>
                </c:pt>
                <c:pt idx="12">
                  <c:v>Space Cooling, Medium - AutoDR</c:v>
                </c:pt>
                <c:pt idx="13">
                  <c:v>Space Cooling - RAC Switch</c:v>
                </c:pt>
                <c:pt idx="14">
                  <c:v>Space Cooling, Small - PCT</c:v>
                </c:pt>
              </c:strCache>
            </c:strRef>
          </c:cat>
          <c:val>
            <c:numRef>
              <c:f>CostByType_Summary!$J$36:$J$50</c:f>
              <c:numCache>
                <c:formatCode>General</c:formatCode>
                <c:ptCount val="15"/>
                <c:pt idx="11" formatCode="&quot;$&quot;#,##0_);\(&quot;$&quot;#,##0\)">
                  <c:v>77.202178734199606</c:v>
                </c:pt>
                <c:pt idx="12" formatCode="&quot;$&quot;#,##0_);\(&quot;$&quot;#,##0\)">
                  <c:v>77.202178734199606</c:v>
                </c:pt>
                <c:pt idx="13" formatCode="&quot;$&quot;#,##0_);\(&quot;$&quot;#,##0\)">
                  <c:v>77.202178734199606</c:v>
                </c:pt>
                <c:pt idx="14" formatCode="&quot;$&quot;#,##0_);\(&quot;$&quot;#,##0\)">
                  <c:v>77.202178734199606</c:v>
                </c:pt>
              </c:numCache>
            </c:numRef>
          </c:val>
        </c:ser>
        <c:ser>
          <c:idx val="4"/>
          <c:order val="4"/>
          <c:tx>
            <c:strRef>
              <c:f>CostByType_Summary!$K$35</c:f>
              <c:strCache>
                <c:ptCount val="1"/>
                <c:pt idx="0">
                  <c:v>Bin 4</c:v>
                </c:pt>
              </c:strCache>
            </c:strRef>
          </c:tx>
          <c:spPr>
            <a:ln w="63500">
              <a:noFill/>
            </a:ln>
          </c:spPr>
          <c:marker>
            <c:symbol val="none"/>
          </c:marker>
          <c:dPt>
            <c:idx val="0"/>
            <c:spPr>
              <a:ln w="63500">
                <a:solidFill>
                  <a:srgbClr val="8064A2"/>
                </a:solidFill>
              </a:ln>
            </c:spPr>
          </c:dPt>
          <c:dPt>
            <c:idx val="16"/>
            <c:spPr>
              <a:ln w="63500">
                <a:solidFill>
                  <a:schemeClr val="tx1"/>
                </a:solidFill>
              </a:ln>
            </c:spPr>
          </c:dPt>
          <c:dPt>
            <c:idx val="17"/>
            <c:spPr>
              <a:ln w="63500">
                <a:solidFill>
                  <a:schemeClr val="tx1"/>
                </a:solidFill>
              </a:ln>
            </c:spPr>
          </c:dPt>
          <c:dPt>
            <c:idx val="18"/>
            <c:spPr>
              <a:ln w="63500">
                <a:solidFill>
                  <a:schemeClr val="tx1"/>
                </a:solidFill>
              </a:ln>
            </c:spPr>
          </c:dPt>
          <c:cat>
            <c:strRef>
              <c:f>CostByType_Summary!$C$36:$C$54</c:f>
              <c:strCache>
                <c:ptCount val="19"/>
                <c:pt idx="0">
                  <c:v>Irrigation Pumping - Switch</c:v>
                </c:pt>
                <c:pt idx="1">
                  <c:v>Curtailable/Interruptible Tariff</c:v>
                </c:pt>
                <c:pt idx="2">
                  <c:v>Space Cooling, Medium - Switch</c:v>
                </c:pt>
                <c:pt idx="3">
                  <c:v>Load Aggregator - AutoDR</c:v>
                </c:pt>
                <c:pt idx="4">
                  <c:v>Curtailable/Interruptible - AutoDR</c:v>
                </c:pt>
                <c:pt idx="5">
                  <c:v>Space Cooling, Small - Switch</c:v>
                </c:pt>
                <c:pt idx="6">
                  <c:v>Refrigerated Warehouses - Controls</c:v>
                </c:pt>
                <c:pt idx="7">
                  <c:v>Space Heating - Switch</c:v>
                </c:pt>
                <c:pt idx="8">
                  <c:v>Lighting Controls - AutoDR</c:v>
                </c:pt>
                <c:pt idx="9">
                  <c:v>Irrigation Pumping - AutoDR</c:v>
                </c:pt>
                <c:pt idx="10">
                  <c:v>Water Heating - Switch</c:v>
                </c:pt>
                <c:pt idx="11">
                  <c:v>Space Cooling - CAC Switch</c:v>
                </c:pt>
                <c:pt idx="12">
                  <c:v>Space Cooling, Medium - AutoDR</c:v>
                </c:pt>
                <c:pt idx="13">
                  <c:v>Space Cooling - RAC Switch</c:v>
                </c:pt>
                <c:pt idx="14">
                  <c:v>Space Cooling, Small - PCT</c:v>
                </c:pt>
                <c:pt idx="15">
                  <c:v>Water Heating - WH Controls</c:v>
                </c:pt>
                <c:pt idx="16">
                  <c:v>Space Cooling - CAC PCT</c:v>
                </c:pt>
                <c:pt idx="17">
                  <c:v>Space Cooling - RAC PCT</c:v>
                </c:pt>
                <c:pt idx="18">
                  <c:v>Space Heating - PCT</c:v>
                </c:pt>
              </c:strCache>
            </c:strRef>
          </c:cat>
          <c:val>
            <c:numRef>
              <c:f>CostByType_Summary!$K$36:$K$54</c:f>
              <c:numCache>
                <c:formatCode>General</c:formatCode>
                <c:ptCount val="19"/>
                <c:pt idx="15" formatCode="&quot;$&quot;#,##0_);\(&quot;$&quot;#,##0\)">
                  <c:v>144.22396574738113</c:v>
                </c:pt>
                <c:pt idx="16" formatCode="&quot;$&quot;#,##0_);\(&quot;$&quot;#,##0\)">
                  <c:v>144.22396574738113</c:v>
                </c:pt>
                <c:pt idx="17" formatCode="&quot;$&quot;#,##0_);\(&quot;$&quot;#,##0\)">
                  <c:v>144.22396574738113</c:v>
                </c:pt>
                <c:pt idx="18" formatCode="&quot;$&quot;#,##0_);\(&quot;$&quot;#,##0\)">
                  <c:v>144.22396574738113</c:v>
                </c:pt>
              </c:numCache>
            </c:numRef>
          </c:val>
        </c:ser>
        <c:marker val="1"/>
        <c:axId val="118575104"/>
        <c:axId val="118576640"/>
      </c:lineChart>
      <c:catAx>
        <c:axId val="118575104"/>
        <c:scaling>
          <c:orientation val="minMax"/>
        </c:scaling>
        <c:axPos val="b"/>
        <c:tickLblPos val="low"/>
        <c:crossAx val="118576640"/>
        <c:crosses val="autoZero"/>
        <c:auto val="1"/>
        <c:lblAlgn val="ctr"/>
        <c:lblOffset val="100"/>
      </c:catAx>
      <c:valAx>
        <c:axId val="118576640"/>
        <c:scaling>
          <c:orientation val="minMax"/>
        </c:scaling>
        <c:axPos val="l"/>
        <c:majorGridlines/>
        <c:title>
          <c:tx>
            <c:rich>
              <a:bodyPr rot="-5400000" vert="horz"/>
              <a:lstStyle/>
              <a:p>
                <a:pPr>
                  <a:defRPr/>
                </a:pPr>
                <a:r>
                  <a:rPr lang="en-US"/>
                  <a:t>$</a:t>
                </a:r>
                <a:r>
                  <a:rPr lang="en-US" baseline="0"/>
                  <a:t> per kW/year</a:t>
                </a:r>
                <a:endParaRPr lang="en-US"/>
              </a:p>
            </c:rich>
          </c:tx>
        </c:title>
        <c:numFmt formatCode="&quot;$&quot;#,##0_);\(&quot;$&quot;#,##0\)" sourceLinked="1"/>
        <c:tickLblPos val="nextTo"/>
        <c:crossAx val="118575104"/>
        <c:crosses val="autoZero"/>
        <c:crossBetween val="between"/>
      </c:valAx>
    </c:plotArea>
    <c:plotVisOnly val="1"/>
    <c:dispBlanksAs val="zero"/>
  </c:chart>
  <c:printSettings>
    <c:headerFooter/>
    <c:pageMargins b="0.750000000000003" l="0.70000000000000062" r="0.70000000000000062" t="0.750000000000003"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Bin 1 in 2021 (25 $/kW-yr)</a:t>
            </a:r>
          </a:p>
        </c:rich>
      </c:tx>
      <c:layout>
        <c:manualLayout>
          <c:xMode val="edge"/>
          <c:yMode val="edge"/>
          <c:x val="2.7868110236220496E-2"/>
          <c:y val="3.2407407407407544E-2"/>
        </c:manualLayout>
      </c:layout>
      <c:overlay val="1"/>
    </c:title>
    <c:plotArea>
      <c:layout>
        <c:manualLayout>
          <c:layoutTarget val="inner"/>
          <c:xMode val="edge"/>
          <c:yMode val="edge"/>
          <c:x val="8.8888888888889281E-2"/>
          <c:y val="0.17824074074074123"/>
          <c:w val="0.43611111111111112"/>
          <c:h val="0.72685185185185264"/>
        </c:manualLayout>
      </c:layout>
      <c:pieChart>
        <c:varyColors val="1"/>
        <c:ser>
          <c:idx val="0"/>
          <c:order val="0"/>
          <c:cat>
            <c:strRef>
              <c:f>CostByType_Summary!$C$36:$C$40</c:f>
              <c:strCache>
                <c:ptCount val="5"/>
                <c:pt idx="0">
                  <c:v>Irrigation Pumping - Switch</c:v>
                </c:pt>
                <c:pt idx="1">
                  <c:v>Curtailable/Interruptible Tariff</c:v>
                </c:pt>
                <c:pt idx="2">
                  <c:v>Space Cooling, Medium - Switch</c:v>
                </c:pt>
                <c:pt idx="3">
                  <c:v>Load Aggregator - AutoDR</c:v>
                </c:pt>
                <c:pt idx="4">
                  <c:v>Curtailable/Interruptible - AutoDR</c:v>
                </c:pt>
              </c:strCache>
            </c:strRef>
          </c:cat>
          <c:val>
            <c:numRef>
              <c:f>CostByType_Summary!$F$36:$F$40</c:f>
              <c:numCache>
                <c:formatCode>0.0%</c:formatCode>
                <c:ptCount val="5"/>
                <c:pt idx="0">
                  <c:v>2.6155870480661278E-3</c:v>
                </c:pt>
                <c:pt idx="1">
                  <c:v>0.15083218643848004</c:v>
                </c:pt>
                <c:pt idx="2">
                  <c:v>1.25060929238755E-2</c:v>
                </c:pt>
                <c:pt idx="3">
                  <c:v>3.7054149847603468E-2</c:v>
                </c:pt>
                <c:pt idx="4">
                  <c:v>0.1482165993904139</c:v>
                </c:pt>
              </c:numCache>
            </c:numRef>
          </c:val>
        </c:ser>
        <c:firstSliceAng val="0"/>
      </c:pieChart>
    </c:plotArea>
    <c:legend>
      <c:legendPos val="r"/>
      <c:txPr>
        <a:bodyPr/>
        <a:lstStyle/>
        <a:p>
          <a:pPr rtl="0">
            <a:defRPr/>
          </a:pPr>
          <a:endParaRPr lang="en-US"/>
        </a:p>
      </c:txPr>
    </c:legend>
    <c:plotVisOnly val="1"/>
  </c:chart>
  <c:printSettings>
    <c:headerFooter/>
    <c:pageMargins b="0.75000000000000255" l="0.70000000000000062" r="0.70000000000000062" t="0.7500000000000025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Bin 2 in 2021 (57 $/kW-yr)</a:t>
            </a:r>
          </a:p>
        </c:rich>
      </c:tx>
      <c:layout>
        <c:manualLayout>
          <c:xMode val="edge"/>
          <c:yMode val="edge"/>
          <c:x val="5.0090332458442889E-2"/>
          <c:y val="4.629629629629646E-2"/>
        </c:manualLayout>
      </c:layout>
    </c:title>
    <c:plotArea>
      <c:layout/>
      <c:pieChart>
        <c:varyColors val="1"/>
        <c:ser>
          <c:idx val="0"/>
          <c:order val="0"/>
          <c:cat>
            <c:strRef>
              <c:f>CostByType_Summary!$C$41:$C$46</c:f>
              <c:strCache>
                <c:ptCount val="6"/>
                <c:pt idx="0">
                  <c:v>Space Cooling, Small - Switch</c:v>
                </c:pt>
                <c:pt idx="1">
                  <c:v>Refrigerated Warehouses - Controls</c:v>
                </c:pt>
                <c:pt idx="2">
                  <c:v>Space Heating - Switch</c:v>
                </c:pt>
                <c:pt idx="3">
                  <c:v>Lighting Controls - AutoDR</c:v>
                </c:pt>
                <c:pt idx="4">
                  <c:v>Irrigation Pumping - AutoDR</c:v>
                </c:pt>
                <c:pt idx="5">
                  <c:v>Water Heating - Switch</c:v>
                </c:pt>
              </c:strCache>
            </c:strRef>
          </c:cat>
          <c:val>
            <c:numRef>
              <c:f>CostByType_Summary!$F$41:$F$46</c:f>
              <c:numCache>
                <c:formatCode>0.0%</c:formatCode>
                <c:ptCount val="6"/>
                <c:pt idx="0">
                  <c:v>4.6689413582468586E-3</c:v>
                </c:pt>
                <c:pt idx="1">
                  <c:v>2.7102463888532824E-2</c:v>
                </c:pt>
                <c:pt idx="2">
                  <c:v>7.4445876227742014E-2</c:v>
                </c:pt>
                <c:pt idx="3">
                  <c:v>4.5520261600313194E-2</c:v>
                </c:pt>
                <c:pt idx="4">
                  <c:v>1.3077935240330962E-3</c:v>
                </c:pt>
                <c:pt idx="5">
                  <c:v>0.12858833166609984</c:v>
                </c:pt>
              </c:numCache>
            </c:numRef>
          </c:val>
        </c:ser>
        <c:firstSliceAng val="0"/>
      </c:pieChart>
    </c:plotArea>
    <c:legend>
      <c:legendPos val="r"/>
      <c:layout>
        <c:manualLayout>
          <c:xMode val="edge"/>
          <c:yMode val="edge"/>
          <c:x val="0.66745132814704344"/>
          <c:y val="0.13421296296296342"/>
          <c:w val="0.31335200935144686"/>
          <c:h val="0.81949074074074058"/>
        </c:manualLayout>
      </c:layout>
    </c:legend>
    <c:plotVisOnly val="1"/>
  </c:chart>
  <c:printSettings>
    <c:headerFooter/>
    <c:pageMargins b="0.75000000000000255" l="0.70000000000000062" r="0.70000000000000062" t="0.7500000000000025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Bin 3 in 2021 (77 $/kW-yr)</a:t>
            </a:r>
          </a:p>
        </c:rich>
      </c:tx>
      <c:layout>
        <c:manualLayout>
          <c:xMode val="edge"/>
          <c:yMode val="edge"/>
          <c:x val="4.8527777777777767E-2"/>
          <c:y val="3.7037037037037056E-2"/>
        </c:manualLayout>
      </c:layout>
    </c:title>
    <c:plotArea>
      <c:layout/>
      <c:pieChart>
        <c:varyColors val="1"/>
        <c:ser>
          <c:idx val="0"/>
          <c:order val="0"/>
          <c:cat>
            <c:strRef>
              <c:f>CostByType_Summary!$C$47:$C$50</c:f>
              <c:strCache>
                <c:ptCount val="4"/>
                <c:pt idx="0">
                  <c:v>Space Cooling - CAC Switch</c:v>
                </c:pt>
                <c:pt idx="1">
                  <c:v>Space Cooling, Medium - AutoDR</c:v>
                </c:pt>
                <c:pt idx="2">
                  <c:v>Space Cooling - RAC Switch</c:v>
                </c:pt>
                <c:pt idx="3">
                  <c:v>Space Cooling, Small - PCT</c:v>
                </c:pt>
              </c:strCache>
            </c:strRef>
          </c:cat>
          <c:val>
            <c:numRef>
              <c:f>CostByType_Summary!$F$47:$F$50</c:f>
              <c:numCache>
                <c:formatCode>0.0%</c:formatCode>
                <c:ptCount val="4"/>
                <c:pt idx="0">
                  <c:v>2.722680948767997E-2</c:v>
                </c:pt>
                <c:pt idx="1">
                  <c:v>5.8361766978085705E-2</c:v>
                </c:pt>
                <c:pt idx="2">
                  <c:v>1.2252064269455687E-3</c:v>
                </c:pt>
                <c:pt idx="3">
                  <c:v>5.447098251287974E-3</c:v>
                </c:pt>
              </c:numCache>
            </c:numRef>
          </c:val>
        </c:ser>
        <c:firstSliceAng val="0"/>
      </c:pieChart>
    </c:plotArea>
    <c:legend>
      <c:legendPos val="r"/>
    </c:legend>
    <c:plotVisOnly val="1"/>
  </c:chart>
  <c:printSettings>
    <c:headerFooter/>
    <c:pageMargins b="0.75000000000000255" l="0.70000000000000062" r="0.70000000000000062" t="0.7500000000000025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Bin 4 in 2021 (144 $/kW-yr)</a:t>
            </a:r>
          </a:p>
        </c:rich>
      </c:tx>
      <c:layout>
        <c:manualLayout>
          <c:xMode val="edge"/>
          <c:yMode val="edge"/>
          <c:x val="4.5749999999999999E-2"/>
          <c:y val="4.1666666666666664E-2"/>
        </c:manualLayout>
      </c:layout>
    </c:title>
    <c:plotArea>
      <c:layout/>
      <c:pieChart>
        <c:varyColors val="1"/>
        <c:ser>
          <c:idx val="0"/>
          <c:order val="0"/>
          <c:cat>
            <c:strRef>
              <c:f>CostByType_Summary!$C$51:$C$54</c:f>
              <c:strCache>
                <c:ptCount val="4"/>
                <c:pt idx="0">
                  <c:v>Water Heating - WH Controls</c:v>
                </c:pt>
                <c:pt idx="1">
                  <c:v>Space Cooling - CAC PCT</c:v>
                </c:pt>
                <c:pt idx="2">
                  <c:v>Space Cooling - RAC PCT</c:v>
                </c:pt>
                <c:pt idx="3">
                  <c:v>Space Heating - PCT</c:v>
                </c:pt>
              </c:strCache>
            </c:strRef>
          </c:cat>
          <c:val>
            <c:numRef>
              <c:f>CostByType_Summary!$F$51:$F$54</c:f>
              <c:numCache>
                <c:formatCode>0.0%</c:formatCode>
                <c:ptCount val="4"/>
                <c:pt idx="0">
                  <c:v>1.4287592407344452E-2</c:v>
                </c:pt>
                <c:pt idx="1">
                  <c:v>6.3529222137919894E-2</c:v>
                </c:pt>
                <c:pt idx="2">
                  <c:v>2.8588149962063936E-2</c:v>
                </c:pt>
                <c:pt idx="3">
                  <c:v>0.17370704453139796</c:v>
                </c:pt>
              </c:numCache>
            </c:numRef>
          </c:val>
        </c:ser>
        <c:firstSliceAng val="0"/>
      </c:pieChart>
    </c:plotArea>
    <c:legend>
      <c:legendPos val="r"/>
    </c:legend>
    <c:plotVisOnly val="1"/>
  </c:chart>
  <c:printSettings>
    <c:headerFooter/>
    <c:pageMargins b="0.75000000000000278" l="0.70000000000000062" r="0.70000000000000062" t="0.7500000000000027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chart>
    <c:title/>
    <c:plotArea>
      <c:layout/>
      <c:pieChart>
        <c:varyColors val="1"/>
        <c:ser>
          <c:idx val="0"/>
          <c:order val="0"/>
          <c:tx>
            <c:strRef>
              <c:f>CostByType_Summary!$J$2</c:f>
              <c:strCache>
                <c:ptCount val="1"/>
                <c:pt idx="0">
                  <c:v>Potential in 2021</c:v>
                </c:pt>
              </c:strCache>
            </c:strRef>
          </c:tx>
          <c:dLbls>
            <c:showPercent val="1"/>
            <c:showLeaderLines val="1"/>
          </c:dLbls>
          <c:cat>
            <c:strRef>
              <c:f>CostByType_Summary!$C$4:$C$21</c:f>
              <c:strCache>
                <c:ptCount val="18"/>
                <c:pt idx="0">
                  <c:v>b. Curtailable/Interruptible Tariff</c:v>
                </c:pt>
                <c:pt idx="1">
                  <c:v>b. Space Cooling, Medium - Switch</c:v>
                </c:pt>
                <c:pt idx="2">
                  <c:v>c. Load Aggregator - AutoDR</c:v>
                </c:pt>
                <c:pt idx="3">
                  <c:v>b. Curtailable/Interruptible - AutoDR</c:v>
                </c:pt>
                <c:pt idx="4">
                  <c:v>a. Space Cooling, Small - Switch</c:v>
                </c:pt>
                <c:pt idx="5">
                  <c:v>d. Refrigerated Warehouses - Controls</c:v>
                </c:pt>
                <c:pt idx="6">
                  <c:v>c. Space Heating - Switch</c:v>
                </c:pt>
                <c:pt idx="7">
                  <c:v>c. Lighting Controls - AutoDR</c:v>
                </c:pt>
                <c:pt idx="8">
                  <c:v>a. Irrigation Pumping - AutoDR</c:v>
                </c:pt>
                <c:pt idx="9">
                  <c:v>d. Water Heating - Switch</c:v>
                </c:pt>
                <c:pt idx="10">
                  <c:v>a. Space Cooling - CAC Switch</c:v>
                </c:pt>
                <c:pt idx="11">
                  <c:v>b. Space Cooling, Medium - AutoDR</c:v>
                </c:pt>
                <c:pt idx="12">
                  <c:v>b. Space Cooling - RAC Switch</c:v>
                </c:pt>
                <c:pt idx="13">
                  <c:v>a. Space Cooling, Small - PCT</c:v>
                </c:pt>
                <c:pt idx="14">
                  <c:v>d. Water Heating - WH Controls</c:v>
                </c:pt>
                <c:pt idx="15">
                  <c:v>a. Space Cooling - CAC PCT</c:v>
                </c:pt>
                <c:pt idx="16">
                  <c:v>b. Space Cooling - RAC PCT</c:v>
                </c:pt>
                <c:pt idx="17">
                  <c:v>c. Space Heating - PCT</c:v>
                </c:pt>
              </c:strCache>
            </c:strRef>
          </c:cat>
          <c:val>
            <c:numRef>
              <c:f>CostByType_Summary!$J$4:$J$21</c:f>
              <c:numCache>
                <c:formatCode>_(* #,##0.00_);_(* \(#,##0.00\);_(* "-"??_);_(@_)</c:formatCode>
                <c:ptCount val="18"/>
                <c:pt idx="0">
                  <c:v>557.00757114508804</c:v>
                </c:pt>
                <c:pt idx="1">
                  <c:v>46.998706438364039</c:v>
                </c:pt>
                <c:pt idx="2">
                  <c:v>139.25189278627201</c:v>
                </c:pt>
                <c:pt idx="3">
                  <c:v>557.00757114508804</c:v>
                </c:pt>
                <c:pt idx="4">
                  <c:v>17.546183736989242</c:v>
                </c:pt>
                <c:pt idx="5">
                  <c:v>101.85281300938755</c:v>
                </c:pt>
                <c:pt idx="6">
                  <c:v>279.77242002533995</c:v>
                </c:pt>
                <c:pt idx="7">
                  <c:v>171.06808856875804</c:v>
                </c:pt>
                <c:pt idx="8">
                  <c:v>4.9147726865743069</c:v>
                </c:pt>
                <c:pt idx="9">
                  <c:v>483.24327095285997</c:v>
                </c:pt>
                <c:pt idx="10">
                  <c:v>102.32011181699997</c:v>
                </c:pt>
                <c:pt idx="11">
                  <c:v>219.32729671236555</c:v>
                </c:pt>
                <c:pt idx="12">
                  <c:v>4.6044050317649994</c:v>
                </c:pt>
                <c:pt idx="13">
                  <c:v>20.470547693154121</c:v>
                </c:pt>
                <c:pt idx="14">
                  <c:v>53.69369677253998</c:v>
                </c:pt>
                <c:pt idx="15">
                  <c:v>238.74692757299991</c:v>
                </c:pt>
                <c:pt idx="16">
                  <c:v>107.43611740784996</c:v>
                </c:pt>
                <c:pt idx="17">
                  <c:v>652.80231339245984</c:v>
                </c:pt>
              </c:numCache>
            </c:numRef>
          </c:val>
        </c:ser>
        <c:firstSliceAng val="0"/>
      </c:pieChart>
    </c:plotArea>
    <c:legend>
      <c:legendPos val="r"/>
    </c:legend>
    <c:plotVisOnly val="1"/>
  </c:chart>
</c:chartSpace>
</file>

<file path=xl/charts/chart7.xml><?xml version="1.0" encoding="utf-8"?>
<c:chartSpace xmlns:c="http://schemas.openxmlformats.org/drawingml/2006/chart" xmlns:a="http://schemas.openxmlformats.org/drawingml/2006/main" xmlns:r="http://schemas.openxmlformats.org/officeDocument/2006/relationships">
  <c:lang val="en-US"/>
  <c:chart>
    <c:title/>
    <c:plotArea>
      <c:layout/>
      <c:pieChart>
        <c:varyColors val="1"/>
        <c:ser>
          <c:idx val="0"/>
          <c:order val="0"/>
          <c:tx>
            <c:strRef>
              <c:f>CostByType_Summary!$L$2</c:f>
              <c:strCache>
                <c:ptCount val="1"/>
                <c:pt idx="0">
                  <c:v>Potential in 2035</c:v>
                </c:pt>
              </c:strCache>
            </c:strRef>
          </c:tx>
          <c:dLbls>
            <c:showPercent val="1"/>
            <c:showLeaderLines val="1"/>
          </c:dLbls>
          <c:cat>
            <c:strRef>
              <c:f>CostByType_Summary!$C$4:$C$21</c:f>
              <c:strCache>
                <c:ptCount val="18"/>
                <c:pt idx="0">
                  <c:v>b. Curtailable/Interruptible Tariff</c:v>
                </c:pt>
                <c:pt idx="1">
                  <c:v>b. Space Cooling, Medium - Switch</c:v>
                </c:pt>
                <c:pt idx="2">
                  <c:v>c. Load Aggregator - AutoDR</c:v>
                </c:pt>
                <c:pt idx="3">
                  <c:v>b. Curtailable/Interruptible - AutoDR</c:v>
                </c:pt>
                <c:pt idx="4">
                  <c:v>a. Space Cooling, Small - Switch</c:v>
                </c:pt>
                <c:pt idx="5">
                  <c:v>d. Refrigerated Warehouses - Controls</c:v>
                </c:pt>
                <c:pt idx="6">
                  <c:v>c. Space Heating - Switch</c:v>
                </c:pt>
                <c:pt idx="7">
                  <c:v>c. Lighting Controls - AutoDR</c:v>
                </c:pt>
                <c:pt idx="8">
                  <c:v>a. Irrigation Pumping - AutoDR</c:v>
                </c:pt>
                <c:pt idx="9">
                  <c:v>d. Water Heating - Switch</c:v>
                </c:pt>
                <c:pt idx="10">
                  <c:v>a. Space Cooling - CAC Switch</c:v>
                </c:pt>
                <c:pt idx="11">
                  <c:v>b. Space Cooling, Medium - AutoDR</c:v>
                </c:pt>
                <c:pt idx="12">
                  <c:v>b. Space Cooling - RAC Switch</c:v>
                </c:pt>
                <c:pt idx="13">
                  <c:v>a. Space Cooling, Small - PCT</c:v>
                </c:pt>
                <c:pt idx="14">
                  <c:v>d. Water Heating - WH Controls</c:v>
                </c:pt>
                <c:pt idx="15">
                  <c:v>a. Space Cooling - CAC PCT</c:v>
                </c:pt>
                <c:pt idx="16">
                  <c:v>b. Space Cooling - RAC PCT</c:v>
                </c:pt>
                <c:pt idx="17">
                  <c:v>c. Space Heating - PCT</c:v>
                </c:pt>
              </c:strCache>
            </c:strRef>
          </c:cat>
          <c:val>
            <c:numRef>
              <c:f>CostByType_Summary!$L$4:$L$21</c:f>
              <c:numCache>
                <c:formatCode>0.00</c:formatCode>
                <c:ptCount val="18"/>
                <c:pt idx="0">
                  <c:v>645.52420134275189</c:v>
                </c:pt>
                <c:pt idx="1">
                  <c:v>54.467486636487443</c:v>
                </c:pt>
                <c:pt idx="2">
                  <c:v>161.38105033568797</c:v>
                </c:pt>
                <c:pt idx="3">
                  <c:v>645.52420134275189</c:v>
                </c:pt>
                <c:pt idx="4">
                  <c:v>20.334528344288646</c:v>
                </c:pt>
                <c:pt idx="5">
                  <c:v>118.03871110267465</c:v>
                </c:pt>
                <c:pt idx="6">
                  <c:v>325.3987690913562</c:v>
                </c:pt>
                <c:pt idx="7" formatCode="_(* #,##0.00_);_(* \(#,##0.00\);_(* &quot;-&quot;??_);_(@_)">
                  <c:v>198.25330384928387</c:v>
                </c:pt>
                <c:pt idx="8">
                  <c:v>5.6958017765536937</c:v>
                </c:pt>
                <c:pt idx="9">
                  <c:v>562.05241933961531</c:v>
                </c:pt>
                <c:pt idx="10">
                  <c:v>119.00686434898083</c:v>
                </c:pt>
                <c:pt idx="11" formatCode="_(* #,##0.00_);_(* \(#,##0.00\);_(* &quot;-&quot;??_);_(@_)">
                  <c:v>254.18160430360808</c:v>
                </c:pt>
                <c:pt idx="12">
                  <c:v>5.3553088957041384</c:v>
                </c:pt>
                <c:pt idx="13" formatCode="_(* #,##0.00_);_(* \(#,##0.00\);_(* &quot;-&quot;??_);_(@_)">
                  <c:v>23.723616401670085</c:v>
                </c:pt>
                <c:pt idx="14">
                  <c:v>62.450268815512793</c:v>
                </c:pt>
                <c:pt idx="15">
                  <c:v>277.68268348095523</c:v>
                </c:pt>
                <c:pt idx="16">
                  <c:v>124.95720756642989</c:v>
                </c:pt>
                <c:pt idx="17">
                  <c:v>759.26379454649782</c:v>
                </c:pt>
              </c:numCache>
            </c:numRef>
          </c:val>
        </c:ser>
        <c:firstSliceAng val="0"/>
      </c:pieChart>
    </c:plotArea>
    <c:legend>
      <c:legendPos val="r"/>
    </c:legend>
    <c:plotVisOnly val="1"/>
  </c:chart>
</c:chartSpace>
</file>

<file path=xl/charts/chart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Energy</a:t>
            </a:r>
            <a:r>
              <a:rPr lang="en-US" baseline="0"/>
              <a:t> Associated with DR resources</a:t>
            </a:r>
            <a:endParaRPr lang="en-US"/>
          </a:p>
        </c:rich>
      </c:tx>
    </c:title>
    <c:plotArea>
      <c:layout/>
      <c:barChart>
        <c:barDir val="col"/>
        <c:grouping val="clustered"/>
        <c:ser>
          <c:idx val="0"/>
          <c:order val="0"/>
          <c:tx>
            <c:strRef>
              <c:f>SetupForRPM!$A$43</c:f>
              <c:strCache>
                <c:ptCount val="1"/>
                <c:pt idx="0">
                  <c:v>Demand Response Price Bin 1</c:v>
                </c:pt>
              </c:strCache>
            </c:strRef>
          </c:tx>
          <c:val>
            <c:numRef>
              <c:f>SetupForRPM!$B$43:$E$43</c:f>
              <c:numCache>
                <c:formatCode>0%</c:formatCode>
                <c:ptCount val="4"/>
                <c:pt idx="0">
                  <c:v>6.6196737836987408E-3</c:v>
                </c:pt>
                <c:pt idx="1">
                  <c:v>0</c:v>
                </c:pt>
                <c:pt idx="2">
                  <c:v>1.3816814701080364E-2</c:v>
                </c:pt>
                <c:pt idx="3">
                  <c:v>6.4937560758566472E-3</c:v>
                </c:pt>
              </c:numCache>
            </c:numRef>
          </c:val>
        </c:ser>
        <c:ser>
          <c:idx val="1"/>
          <c:order val="1"/>
          <c:tx>
            <c:strRef>
              <c:f>SetupForRPM!$A$44</c:f>
              <c:strCache>
                <c:ptCount val="1"/>
                <c:pt idx="0">
                  <c:v>Demand Response Price Bin 2</c:v>
                </c:pt>
              </c:strCache>
            </c:strRef>
          </c:tx>
          <c:val>
            <c:numRef>
              <c:f>SetupForRPM!$B$44:$E$44</c:f>
              <c:numCache>
                <c:formatCode>0%</c:formatCode>
                <c:ptCount val="4"/>
                <c:pt idx="0">
                  <c:v>4.2105590522282651E-3</c:v>
                </c:pt>
                <c:pt idx="1">
                  <c:v>0</c:v>
                </c:pt>
                <c:pt idx="2">
                  <c:v>2.5594943139907937E-3</c:v>
                </c:pt>
                <c:pt idx="3">
                  <c:v>4.1304668963434875E-3</c:v>
                </c:pt>
              </c:numCache>
            </c:numRef>
          </c:val>
        </c:ser>
        <c:ser>
          <c:idx val="2"/>
          <c:order val="2"/>
          <c:tx>
            <c:strRef>
              <c:f>SetupForRPM!$A$45</c:f>
              <c:strCache>
                <c:ptCount val="1"/>
                <c:pt idx="0">
                  <c:v>Demand Response Price Bin 3</c:v>
                </c:pt>
              </c:strCache>
            </c:strRef>
          </c:tx>
          <c:val>
            <c:numRef>
              <c:f>SetupForRPM!$B$45:$E$45</c:f>
              <c:numCache>
                <c:formatCode>0%</c:formatCode>
                <c:ptCount val="4"/>
                <c:pt idx="0">
                  <c:v>0</c:v>
                </c:pt>
                <c:pt idx="1">
                  <c:v>0</c:v>
                </c:pt>
                <c:pt idx="2">
                  <c:v>2.2644927536231881E-2</c:v>
                </c:pt>
                <c:pt idx="3">
                  <c:v>0</c:v>
                </c:pt>
              </c:numCache>
            </c:numRef>
          </c:val>
        </c:ser>
        <c:ser>
          <c:idx val="3"/>
          <c:order val="3"/>
          <c:tx>
            <c:strRef>
              <c:f>SetupForRPM!$A$46</c:f>
              <c:strCache>
                <c:ptCount val="1"/>
                <c:pt idx="0">
                  <c:v>Demand Response Price Bin 4</c:v>
                </c:pt>
              </c:strCache>
            </c:strRef>
          </c:tx>
          <c:val>
            <c:numRef>
              <c:f>SetupForRPM!$B$46:$E$46</c:f>
              <c:numCache>
                <c:formatCode>0%</c:formatCode>
                <c:ptCount val="4"/>
                <c:pt idx="0">
                  <c:v>7.1542055630712887E-3</c:v>
                </c:pt>
                <c:pt idx="1">
                  <c:v>0</c:v>
                </c:pt>
                <c:pt idx="2">
                  <c:v>7.443460745175043E-3</c:v>
                </c:pt>
                <c:pt idx="3">
                  <c:v>7.0181201311650399E-3</c:v>
                </c:pt>
              </c:numCache>
            </c:numRef>
          </c:val>
        </c:ser>
        <c:axId val="128448768"/>
        <c:axId val="128008192"/>
      </c:barChart>
      <c:catAx>
        <c:axId val="128448768"/>
        <c:scaling>
          <c:orientation val="minMax"/>
        </c:scaling>
        <c:axPos val="b"/>
        <c:tickLblPos val="nextTo"/>
        <c:crossAx val="128008192"/>
        <c:crosses val="autoZero"/>
        <c:auto val="1"/>
        <c:lblAlgn val="ctr"/>
        <c:lblOffset val="100"/>
      </c:catAx>
      <c:valAx>
        <c:axId val="128008192"/>
        <c:scaling>
          <c:orientation val="minMax"/>
        </c:scaling>
        <c:axPos val="l"/>
        <c:majorGridlines/>
        <c:numFmt formatCode="0%" sourceLinked="1"/>
        <c:tickLblPos val="nextTo"/>
        <c:crossAx val="128448768"/>
        <c:crosses val="autoZero"/>
        <c:crossBetween val="between"/>
      </c:valAx>
    </c:plotArea>
    <c:legend>
      <c:legendPos val="r"/>
    </c:legend>
    <c:plotVisOnly val="1"/>
    <c:dispBlanksAs val="gap"/>
  </c:chart>
  <c:printSettings>
    <c:headerFooter/>
    <c:pageMargins b="0.75000000000000311" l="0.70000000000000062" r="0.70000000000000062" t="0.750000000000003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US"/>
  <c:clrMapOvr bg1="lt1" tx1="dk1" bg2="lt2" tx2="dk2" accent1="accent1" accent2="accent2" accent3="accent3" accent4="accent4" accent5="accent5" accent6="accent6" hlink="hlink" folHlink="folHlink"/>
  <c:chart>
    <c:title>
      <c:tx>
        <c:rich>
          <a:bodyPr/>
          <a:lstStyle/>
          <a:p>
            <a:pPr>
              <a:defRPr/>
            </a:pPr>
            <a:r>
              <a:rPr lang="en-US"/>
              <a:t>Potential Study</a:t>
            </a:r>
            <a:r>
              <a:rPr lang="en-US" baseline="0"/>
              <a:t> - Max Acquisitions</a:t>
            </a:r>
            <a:endParaRPr lang="en-US"/>
          </a:p>
        </c:rich>
      </c:tx>
    </c:title>
    <c:plotArea>
      <c:layout/>
      <c:barChart>
        <c:barDir val="col"/>
        <c:grouping val="stacked"/>
        <c:ser>
          <c:idx val="0"/>
          <c:order val="0"/>
          <c:tx>
            <c:strRef>
              <c:f>SetupForRPM!$A$8</c:f>
              <c:strCache>
                <c:ptCount val="1"/>
                <c:pt idx="0">
                  <c:v>Demand Response Price Bin 1</c:v>
                </c:pt>
              </c:strCache>
            </c:strRef>
          </c:tx>
          <c:cat>
            <c:strRef>
              <c:f>SetupForRPM!$B$7:$N$7</c:f>
              <c:strCache>
                <c:ptCount val="13"/>
                <c:pt idx="0">
                  <c:v>2016 | SB1</c:v>
                </c:pt>
                <c:pt idx="1">
                  <c:v>2017 | SB1</c:v>
                </c:pt>
                <c:pt idx="2">
                  <c:v>2018 | SB1</c:v>
                </c:pt>
                <c:pt idx="3">
                  <c:v>2019 | SB1</c:v>
                </c:pt>
                <c:pt idx="4">
                  <c:v>2020 | SB1</c:v>
                </c:pt>
                <c:pt idx="5">
                  <c:v>2021 | SB1</c:v>
                </c:pt>
                <c:pt idx="6">
                  <c:v>2022 | SB1</c:v>
                </c:pt>
                <c:pt idx="7">
                  <c:v>2024 | SB1</c:v>
                </c:pt>
                <c:pt idx="8">
                  <c:v>2026 | SB1</c:v>
                </c:pt>
                <c:pt idx="9">
                  <c:v>2028 | SB1</c:v>
                </c:pt>
                <c:pt idx="10">
                  <c:v>2030 | SB1</c:v>
                </c:pt>
                <c:pt idx="11">
                  <c:v>2032 | SB1</c:v>
                </c:pt>
                <c:pt idx="12">
                  <c:v>2034 | SB1</c:v>
                </c:pt>
              </c:strCache>
            </c:strRef>
          </c:cat>
          <c:val>
            <c:numRef>
              <c:f>SetupForRPM!$B$8:$N$8</c:f>
              <c:numCache>
                <c:formatCode>0</c:formatCode>
                <c:ptCount val="13"/>
                <c:pt idx="0">
                  <c:v>62.137554128247857</c:v>
                </c:pt>
                <c:pt idx="1">
                  <c:v>312.58329977980668</c:v>
                </c:pt>
                <c:pt idx="2">
                  <c:v>566.7767329246808</c:v>
                </c:pt>
                <c:pt idx="3">
                  <c:v>824.41164303089943</c:v>
                </c:pt>
                <c:pt idx="4">
                  <c:v>1086.0968987401225</c:v>
                </c:pt>
                <c:pt idx="5">
                  <c:v>1294.0699932324021</c:v>
                </c:pt>
                <c:pt idx="6">
                  <c:v>1325.9064736277633</c:v>
                </c:pt>
                <c:pt idx="7">
                  <c:v>1357.3295400377176</c:v>
                </c:pt>
                <c:pt idx="8">
                  <c:v>1387.8570760452603</c:v>
                </c:pt>
                <c:pt idx="9">
                  <c:v>1420.2710523222438</c:v>
                </c:pt>
                <c:pt idx="10">
                  <c:v>1452.219492921397</c:v>
                </c:pt>
                <c:pt idx="11">
                  <c:v>1484.8866011685659</c:v>
                </c:pt>
                <c:pt idx="12">
                  <c:v>1518.2885432107867</c:v>
                </c:pt>
              </c:numCache>
            </c:numRef>
          </c:val>
        </c:ser>
        <c:ser>
          <c:idx val="1"/>
          <c:order val="1"/>
          <c:tx>
            <c:strRef>
              <c:f>SetupForRPM!$A$9</c:f>
              <c:strCache>
                <c:ptCount val="1"/>
                <c:pt idx="0">
                  <c:v>Demand Response Price Bin 2</c:v>
                </c:pt>
              </c:strCache>
            </c:strRef>
          </c:tx>
          <c:cat>
            <c:strRef>
              <c:f>SetupForRPM!$B$7:$N$7</c:f>
              <c:strCache>
                <c:ptCount val="13"/>
                <c:pt idx="0">
                  <c:v>2016 | SB1</c:v>
                </c:pt>
                <c:pt idx="1">
                  <c:v>2017 | SB1</c:v>
                </c:pt>
                <c:pt idx="2">
                  <c:v>2018 | SB1</c:v>
                </c:pt>
                <c:pt idx="3">
                  <c:v>2019 | SB1</c:v>
                </c:pt>
                <c:pt idx="4">
                  <c:v>2020 | SB1</c:v>
                </c:pt>
                <c:pt idx="5">
                  <c:v>2021 | SB1</c:v>
                </c:pt>
                <c:pt idx="6">
                  <c:v>2022 | SB1</c:v>
                </c:pt>
                <c:pt idx="7">
                  <c:v>2024 | SB1</c:v>
                </c:pt>
                <c:pt idx="8">
                  <c:v>2026 | SB1</c:v>
                </c:pt>
                <c:pt idx="9">
                  <c:v>2028 | SB1</c:v>
                </c:pt>
                <c:pt idx="10">
                  <c:v>2030 | SB1</c:v>
                </c:pt>
                <c:pt idx="11">
                  <c:v>2032 | SB1</c:v>
                </c:pt>
                <c:pt idx="12">
                  <c:v>2034 | SB1</c:v>
                </c:pt>
              </c:strCache>
            </c:strRef>
          </c:cat>
          <c:val>
            <c:numRef>
              <c:f>SetupForRPM!$B$9:$N$9</c:f>
              <c:numCache>
                <c:formatCode>0</c:formatCode>
                <c:ptCount val="13"/>
                <c:pt idx="0">
                  <c:v>57.841517795277724</c:v>
                </c:pt>
                <c:pt idx="1">
                  <c:v>281.78695536000839</c:v>
                </c:pt>
                <c:pt idx="2">
                  <c:v>493.39043035570319</c:v>
                </c:pt>
                <c:pt idx="3">
                  <c:v>691.75932361306968</c:v>
                </c:pt>
                <c:pt idx="4">
                  <c:v>876.22919810387589</c:v>
                </c:pt>
                <c:pt idx="5">
                  <c:v>1044.6930498228407</c:v>
                </c:pt>
                <c:pt idx="6">
                  <c:v>1071.9996480759066</c:v>
                </c:pt>
                <c:pt idx="7">
                  <c:v>1098.9174399823621</c:v>
                </c:pt>
                <c:pt idx="8">
                  <c:v>1125.1939035478106</c:v>
                </c:pt>
                <c:pt idx="9">
                  <c:v>1151.1541655713595</c:v>
                </c:pt>
                <c:pt idx="10">
                  <c:v>1176.7856537905425</c:v>
                </c:pt>
                <c:pt idx="11">
                  <c:v>1202.9878734718225</c:v>
                </c:pt>
                <c:pt idx="12">
                  <c:v>1229.7735335037726</c:v>
                </c:pt>
              </c:numCache>
            </c:numRef>
          </c:val>
        </c:ser>
        <c:ser>
          <c:idx val="2"/>
          <c:order val="2"/>
          <c:tx>
            <c:strRef>
              <c:f>SetupForRPM!$A$10</c:f>
              <c:strCache>
                <c:ptCount val="1"/>
                <c:pt idx="0">
                  <c:v>Demand Response Price Bin 3</c:v>
                </c:pt>
              </c:strCache>
            </c:strRef>
          </c:tx>
          <c:cat>
            <c:strRef>
              <c:f>SetupForRPM!$B$7:$N$7</c:f>
              <c:strCache>
                <c:ptCount val="13"/>
                <c:pt idx="0">
                  <c:v>2016 | SB1</c:v>
                </c:pt>
                <c:pt idx="1">
                  <c:v>2017 | SB1</c:v>
                </c:pt>
                <c:pt idx="2">
                  <c:v>2018 | SB1</c:v>
                </c:pt>
                <c:pt idx="3">
                  <c:v>2019 | SB1</c:v>
                </c:pt>
                <c:pt idx="4">
                  <c:v>2020 | SB1</c:v>
                </c:pt>
                <c:pt idx="5">
                  <c:v>2021 | SB1</c:v>
                </c:pt>
                <c:pt idx="6">
                  <c:v>2022 | SB1</c:v>
                </c:pt>
                <c:pt idx="7">
                  <c:v>2024 | SB1</c:v>
                </c:pt>
                <c:pt idx="8">
                  <c:v>2026 | SB1</c:v>
                </c:pt>
                <c:pt idx="9">
                  <c:v>2028 | SB1</c:v>
                </c:pt>
                <c:pt idx="10">
                  <c:v>2030 | SB1</c:v>
                </c:pt>
                <c:pt idx="11">
                  <c:v>2032 | SB1</c:v>
                </c:pt>
                <c:pt idx="12">
                  <c:v>2034 | SB1</c:v>
                </c:pt>
              </c:strCache>
            </c:strRef>
          </c:cat>
          <c:val>
            <c:numRef>
              <c:f>SetupForRPM!$B$10:$N$10</c:f>
              <c:numCache>
                <c:formatCode>0</c:formatCode>
                <c:ptCount val="13"/>
                <c:pt idx="0">
                  <c:v>16.120239344277898</c:v>
                </c:pt>
                <c:pt idx="1">
                  <c:v>81.553657271287193</c:v>
                </c:pt>
                <c:pt idx="2">
                  <c:v>148.57720220771137</c:v>
                </c:pt>
                <c:pt idx="3">
                  <c:v>217.11953151892834</c:v>
                </c:pt>
                <c:pt idx="4">
                  <c:v>287.27137327938112</c:v>
                </c:pt>
                <c:pt idx="5">
                  <c:v>342.37497489616561</c:v>
                </c:pt>
                <c:pt idx="6">
                  <c:v>351.02297287625129</c:v>
                </c:pt>
                <c:pt idx="7">
                  <c:v>359.55387717068504</c:v>
                </c:pt>
                <c:pt idx="8">
                  <c:v>367.85928767576542</c:v>
                </c:pt>
                <c:pt idx="9">
                  <c:v>376.4060757551473</c:v>
                </c:pt>
                <c:pt idx="10">
                  <c:v>384.83628928914305</c:v>
                </c:pt>
                <c:pt idx="11">
                  <c:v>393.45531895453996</c:v>
                </c:pt>
                <c:pt idx="12">
                  <c:v>402.26739394996309</c:v>
                </c:pt>
              </c:numCache>
            </c:numRef>
          </c:val>
        </c:ser>
        <c:ser>
          <c:idx val="7"/>
          <c:order val="7"/>
          <c:tx>
            <c:strRef>
              <c:f>SetupForRPM!$A$11</c:f>
              <c:strCache>
                <c:ptCount val="1"/>
                <c:pt idx="0">
                  <c:v>Demand Response Price Bin 4</c:v>
                </c:pt>
              </c:strCache>
            </c:strRef>
          </c:tx>
          <c:val>
            <c:numRef>
              <c:f>SetupForRPM!$B$11:$N$11</c:f>
              <c:numCache>
                <c:formatCode>0</c:formatCode>
                <c:ptCount val="13"/>
                <c:pt idx="0">
                  <c:v>35.244097079913558</c:v>
                </c:pt>
                <c:pt idx="1">
                  <c:v>195.50726717765204</c:v>
                </c:pt>
                <c:pt idx="2">
                  <c:v>387.47465759304225</c:v>
                </c:pt>
                <c:pt idx="3">
                  <c:v>612.2727116162755</c:v>
                </c:pt>
                <c:pt idx="4">
                  <c:v>871.03102363212383</c:v>
                </c:pt>
                <c:pt idx="5">
                  <c:v>1038.7567416179249</c:v>
                </c:pt>
                <c:pt idx="6">
                  <c:v>1066.5266945020876</c:v>
                </c:pt>
                <c:pt idx="7">
                  <c:v>1093.8888349710751</c:v>
                </c:pt>
                <c:pt idx="8">
                  <c:v>1120.6447430829753</c:v>
                </c:pt>
                <c:pt idx="9">
                  <c:v>1146.3776150427564</c:v>
                </c:pt>
                <c:pt idx="10">
                  <c:v>1171.8017102081133</c:v>
                </c:pt>
                <c:pt idx="11">
                  <c:v>1197.7896550216974</c:v>
                </c:pt>
                <c:pt idx="12">
                  <c:v>1224.3539544093958</c:v>
                </c:pt>
              </c:numCache>
            </c:numRef>
          </c:val>
        </c:ser>
        <c:overlap val="100"/>
        <c:axId val="128050688"/>
        <c:axId val="128052224"/>
      </c:barChart>
      <c:lineChart>
        <c:grouping val="stacked"/>
        <c:ser>
          <c:idx val="3"/>
          <c:order val="3"/>
          <c:tx>
            <c:strRef>
              <c:f>SetupForRPM!$A$13</c:f>
              <c:strCache>
                <c:ptCount val="1"/>
                <c:pt idx="0">
                  <c:v>Demand Response Price Bin 1</c:v>
                </c:pt>
              </c:strCache>
            </c:strRef>
          </c:tx>
          <c:marker>
            <c:symbol val="none"/>
          </c:marker>
          <c:val>
            <c:numRef>
              <c:f>SetupForRPM!$B$13:$N$13</c:f>
              <c:numCache>
                <c:formatCode>0</c:formatCode>
                <c:ptCount val="13"/>
                <c:pt idx="0">
                  <c:v>217.21937974802449</c:v>
                </c:pt>
                <c:pt idx="1">
                  <c:v>434.43875949604899</c:v>
                </c:pt>
                <c:pt idx="2">
                  <c:v>651.65813924407348</c:v>
                </c:pt>
                <c:pt idx="3">
                  <c:v>868.87751899209798</c:v>
                </c:pt>
                <c:pt idx="4">
                  <c:v>1086.0968987401225</c:v>
                </c:pt>
                <c:pt idx="5">
                  <c:v>1303.316278488147</c:v>
                </c:pt>
                <c:pt idx="6">
                  <c:v>1518.2885432107867</c:v>
                </c:pt>
                <c:pt idx="7">
                  <c:v>1518.2885432107867</c:v>
                </c:pt>
                <c:pt idx="8">
                  <c:v>1518.2885432107867</c:v>
                </c:pt>
                <c:pt idx="9">
                  <c:v>1518.2885432107867</c:v>
                </c:pt>
                <c:pt idx="10">
                  <c:v>1518.2885432107867</c:v>
                </c:pt>
                <c:pt idx="11">
                  <c:v>1518.2885432107867</c:v>
                </c:pt>
                <c:pt idx="12">
                  <c:v>1518.2885432107867</c:v>
                </c:pt>
              </c:numCache>
            </c:numRef>
          </c:val>
        </c:ser>
        <c:ser>
          <c:idx val="4"/>
          <c:order val="4"/>
          <c:tx>
            <c:strRef>
              <c:f>SetupForRPM!$A$14</c:f>
              <c:strCache>
                <c:ptCount val="1"/>
                <c:pt idx="0">
                  <c:v>Demand Response Price Bin 2</c:v>
                </c:pt>
              </c:strCache>
            </c:strRef>
          </c:tx>
          <c:marker>
            <c:symbol val="none"/>
          </c:marker>
          <c:val>
            <c:numRef>
              <c:f>SetupForRPM!$B$14:$N$14</c:f>
              <c:numCache>
                <c:formatCode>0</c:formatCode>
                <c:ptCount val="13"/>
                <c:pt idx="0">
                  <c:v>175.24583962077517</c:v>
                </c:pt>
                <c:pt idx="1">
                  <c:v>350.49167924155034</c:v>
                </c:pt>
                <c:pt idx="2">
                  <c:v>525.73751886232549</c:v>
                </c:pt>
                <c:pt idx="3">
                  <c:v>700.98335848310069</c:v>
                </c:pt>
                <c:pt idx="4">
                  <c:v>876.22919810387589</c:v>
                </c:pt>
                <c:pt idx="5">
                  <c:v>1051.475037724651</c:v>
                </c:pt>
                <c:pt idx="6">
                  <c:v>1226.7208773454261</c:v>
                </c:pt>
                <c:pt idx="7">
                  <c:v>1229.7735335037726</c:v>
                </c:pt>
                <c:pt idx="8">
                  <c:v>1229.7735335037726</c:v>
                </c:pt>
                <c:pt idx="9">
                  <c:v>1229.7735335037726</c:v>
                </c:pt>
                <c:pt idx="10">
                  <c:v>1229.7735335037726</c:v>
                </c:pt>
                <c:pt idx="11">
                  <c:v>1229.7735335037726</c:v>
                </c:pt>
                <c:pt idx="12">
                  <c:v>1229.7735335037726</c:v>
                </c:pt>
              </c:numCache>
            </c:numRef>
          </c:val>
        </c:ser>
        <c:ser>
          <c:idx val="5"/>
          <c:order val="5"/>
          <c:tx>
            <c:strRef>
              <c:f>SetupForRPM!$A$15</c:f>
              <c:strCache>
                <c:ptCount val="1"/>
                <c:pt idx="0">
                  <c:v>Demand Response Price Bin 3</c:v>
                </c:pt>
              </c:strCache>
            </c:strRef>
          </c:tx>
          <c:marker>
            <c:symbol val="none"/>
          </c:marker>
          <c:val>
            <c:numRef>
              <c:f>SetupForRPM!$B$15:$N$15</c:f>
              <c:numCache>
                <c:formatCode>0</c:formatCode>
                <c:ptCount val="13"/>
                <c:pt idx="0">
                  <c:v>57.454274655876226</c:v>
                </c:pt>
                <c:pt idx="1">
                  <c:v>114.90854931175245</c:v>
                </c:pt>
                <c:pt idx="2">
                  <c:v>172.36282396762869</c:v>
                </c:pt>
                <c:pt idx="3">
                  <c:v>229.8170986235049</c:v>
                </c:pt>
                <c:pt idx="4">
                  <c:v>287.27137327938112</c:v>
                </c:pt>
                <c:pt idx="5">
                  <c:v>344.72564793525737</c:v>
                </c:pt>
                <c:pt idx="6">
                  <c:v>402.17992259113362</c:v>
                </c:pt>
                <c:pt idx="7">
                  <c:v>402.26739394996309</c:v>
                </c:pt>
                <c:pt idx="8">
                  <c:v>402.26739394996309</c:v>
                </c:pt>
                <c:pt idx="9">
                  <c:v>402.26739394996309</c:v>
                </c:pt>
                <c:pt idx="10">
                  <c:v>402.26739394996309</c:v>
                </c:pt>
                <c:pt idx="11">
                  <c:v>402.26739394996309</c:v>
                </c:pt>
                <c:pt idx="12">
                  <c:v>402.26739394996309</c:v>
                </c:pt>
              </c:numCache>
            </c:numRef>
          </c:val>
        </c:ser>
        <c:ser>
          <c:idx val="6"/>
          <c:order val="6"/>
          <c:tx>
            <c:strRef>
              <c:f>SetupForRPM!$A$16</c:f>
              <c:strCache>
                <c:ptCount val="1"/>
                <c:pt idx="0">
                  <c:v>Demand Response Price Bin 4</c:v>
                </c:pt>
              </c:strCache>
            </c:strRef>
          </c:tx>
          <c:marker>
            <c:symbol val="none"/>
          </c:marker>
          <c:val>
            <c:numRef>
              <c:f>SetupForRPM!$B$16:$N$16</c:f>
              <c:numCache>
                <c:formatCode>0</c:formatCode>
                <c:ptCount val="13"/>
                <c:pt idx="0">
                  <c:v>174.20620472642477</c:v>
                </c:pt>
                <c:pt idx="1">
                  <c:v>348.41240945284954</c:v>
                </c:pt>
                <c:pt idx="2">
                  <c:v>522.61861417927435</c:v>
                </c:pt>
                <c:pt idx="3">
                  <c:v>696.82481890569909</c:v>
                </c:pt>
                <c:pt idx="4">
                  <c:v>871.03102363212383</c:v>
                </c:pt>
                <c:pt idx="5">
                  <c:v>1045.2372283585487</c:v>
                </c:pt>
                <c:pt idx="6">
                  <c:v>1219.4434330849735</c:v>
                </c:pt>
                <c:pt idx="7">
                  <c:v>1224.3539544093958</c:v>
                </c:pt>
                <c:pt idx="8">
                  <c:v>1224.3539544093958</c:v>
                </c:pt>
                <c:pt idx="9">
                  <c:v>1224.3539544093958</c:v>
                </c:pt>
                <c:pt idx="10">
                  <c:v>1224.3539544093958</c:v>
                </c:pt>
                <c:pt idx="11">
                  <c:v>1224.3539544093958</c:v>
                </c:pt>
                <c:pt idx="12">
                  <c:v>1224.3539544093958</c:v>
                </c:pt>
              </c:numCache>
            </c:numRef>
          </c:val>
        </c:ser>
        <c:marker val="1"/>
        <c:axId val="128050688"/>
        <c:axId val="128052224"/>
      </c:lineChart>
      <c:catAx>
        <c:axId val="128050688"/>
        <c:scaling>
          <c:orientation val="minMax"/>
        </c:scaling>
        <c:axPos val="b"/>
        <c:tickLblPos val="nextTo"/>
        <c:crossAx val="128052224"/>
        <c:crosses val="autoZero"/>
        <c:auto val="1"/>
        <c:lblAlgn val="ctr"/>
        <c:lblOffset val="100"/>
      </c:catAx>
      <c:valAx>
        <c:axId val="128052224"/>
        <c:scaling>
          <c:orientation val="minMax"/>
        </c:scaling>
        <c:axPos val="l"/>
        <c:majorGridlines/>
        <c:numFmt formatCode="0" sourceLinked="1"/>
        <c:tickLblPos val="nextTo"/>
        <c:crossAx val="128050688"/>
        <c:crosses val="autoZero"/>
        <c:crossBetween val="between"/>
      </c:valAx>
    </c:plotArea>
    <c:legend>
      <c:legendPos val="r"/>
    </c:legend>
    <c:plotVisOnly val="1"/>
    <c:dispBlanksAs val="zero"/>
  </c:chart>
  <c:printSettings>
    <c:headerFooter alignWithMargins="0">
      <c:oddHeader>&amp;A</c:oddHeader>
      <c:oddFooter>Page &amp;P</c:oddFooter>
    </c:headerFooter>
    <c:pageMargins b="1" l="0.75000000000000255" r="0.75000000000000255" t="1" header="0.5" footer="0.5"/>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Cumulative</a:t>
            </a:r>
            <a:r>
              <a:rPr lang="en-US" baseline="0"/>
              <a:t> Demand Response Potential by Year and Price Bin</a:t>
            </a:r>
            <a:endParaRPr lang="en-US"/>
          </a:p>
        </c:rich>
      </c:tx>
    </c:title>
    <c:plotArea>
      <c:layout/>
      <c:barChart>
        <c:barDir val="col"/>
        <c:grouping val="clustered"/>
        <c:ser>
          <c:idx val="0"/>
          <c:order val="0"/>
          <c:tx>
            <c:strRef>
              <c:f>SetupForRPM!$C$56</c:f>
              <c:strCache>
                <c:ptCount val="1"/>
                <c:pt idx="0">
                  <c:v>2021 Winter</c:v>
                </c:pt>
              </c:strCache>
            </c:strRef>
          </c:tx>
          <c:spPr>
            <a:solidFill>
              <a:schemeClr val="tx2">
                <a:lumMod val="20000"/>
                <a:lumOff val="80000"/>
              </a:schemeClr>
            </a:solidFill>
            <a:ln>
              <a:solidFill>
                <a:schemeClr val="tx1"/>
              </a:solidFill>
            </a:ln>
          </c:spPr>
          <c:cat>
            <c:numRef>
              <c:f>SetupForRPM!$B$57:$B$60</c:f>
              <c:numCache>
                <c:formatCode>_("$"* #,##0_);_("$"* \(#,##0\);_("$"* "-"??_);_(@_)</c:formatCode>
                <c:ptCount val="4"/>
                <c:pt idx="0">
                  <c:v>24.607453662383513</c:v>
                </c:pt>
                <c:pt idx="1">
                  <c:v>56.55462571732847</c:v>
                </c:pt>
                <c:pt idx="2">
                  <c:v>77.202178734199606</c:v>
                </c:pt>
                <c:pt idx="3">
                  <c:v>144.22396574738113</c:v>
                </c:pt>
              </c:numCache>
            </c:numRef>
          </c:cat>
          <c:val>
            <c:numRef>
              <c:f>SetupForRPM!$C$57:$C$60</c:f>
              <c:numCache>
                <c:formatCode>0</c:formatCode>
                <c:ptCount val="4"/>
                <c:pt idx="0">
                  <c:v>1246.4550689118757</c:v>
                </c:pt>
                <c:pt idx="1">
                  <c:v>1015.859851562044</c:v>
                </c:pt>
                <c:pt idx="2">
                  <c:v>46.872316416806015</c:v>
                </c:pt>
                <c:pt idx="3">
                  <c:v>697.31404909228763</c:v>
                </c:pt>
              </c:numCache>
            </c:numRef>
          </c:val>
        </c:ser>
        <c:ser>
          <c:idx val="1"/>
          <c:order val="1"/>
          <c:tx>
            <c:strRef>
              <c:f>SetupForRPM!$D$56</c:f>
              <c:strCache>
                <c:ptCount val="1"/>
                <c:pt idx="0">
                  <c:v>2026 Winter</c:v>
                </c:pt>
              </c:strCache>
            </c:strRef>
          </c:tx>
          <c:spPr>
            <a:solidFill>
              <a:schemeClr val="accent1">
                <a:lumMod val="40000"/>
                <a:lumOff val="60000"/>
              </a:schemeClr>
            </a:solidFill>
            <a:ln>
              <a:solidFill>
                <a:sysClr val="windowText" lastClr="000000"/>
              </a:solidFill>
            </a:ln>
          </c:spPr>
          <c:cat>
            <c:numRef>
              <c:f>SetupForRPM!$B$57:$B$60</c:f>
              <c:numCache>
                <c:formatCode>_("$"* #,##0_);_("$"* \(#,##0\);_("$"* "-"??_);_(@_)</c:formatCode>
                <c:ptCount val="4"/>
                <c:pt idx="0">
                  <c:v>24.607453662383513</c:v>
                </c:pt>
                <c:pt idx="1">
                  <c:v>56.55462571732847</c:v>
                </c:pt>
                <c:pt idx="2">
                  <c:v>77.202178734199606</c:v>
                </c:pt>
                <c:pt idx="3">
                  <c:v>144.22396574738113</c:v>
                </c:pt>
              </c:numCache>
            </c:numRef>
          </c:cat>
          <c:val>
            <c:numRef>
              <c:f>SetupForRPM!$D$57:$D$60</c:f>
              <c:numCache>
                <c:formatCode>0</c:formatCode>
                <c:ptCount val="4"/>
                <c:pt idx="0">
                  <c:v>1336.7912836312526</c:v>
                </c:pt>
                <c:pt idx="1">
                  <c:v>1094.1389071463934</c:v>
                </c:pt>
                <c:pt idx="2">
                  <c:v>50.361206843545069</c:v>
                </c:pt>
                <c:pt idx="3">
                  <c:v>752.28520026357171</c:v>
                </c:pt>
              </c:numCache>
            </c:numRef>
          </c:val>
        </c:ser>
        <c:ser>
          <c:idx val="2"/>
          <c:order val="2"/>
          <c:tx>
            <c:strRef>
              <c:f>SetupForRPM!$E$56</c:f>
              <c:strCache>
                <c:ptCount val="1"/>
                <c:pt idx="0">
                  <c:v>2035 Winter</c:v>
                </c:pt>
              </c:strCache>
            </c:strRef>
          </c:tx>
          <c:spPr>
            <a:solidFill>
              <a:schemeClr val="accent1">
                <a:lumMod val="60000"/>
                <a:lumOff val="40000"/>
              </a:schemeClr>
            </a:solidFill>
            <a:ln>
              <a:solidFill>
                <a:sysClr val="windowText" lastClr="000000"/>
              </a:solidFill>
            </a:ln>
          </c:spPr>
          <c:cat>
            <c:numRef>
              <c:f>SetupForRPM!$B$57:$B$60</c:f>
              <c:numCache>
                <c:formatCode>_("$"* #,##0_);_("$"* \(#,##0\);_("$"* "-"??_);_(@_)</c:formatCode>
                <c:ptCount val="4"/>
                <c:pt idx="0">
                  <c:v>24.607453662383513</c:v>
                </c:pt>
                <c:pt idx="1">
                  <c:v>56.55462571732847</c:v>
                </c:pt>
                <c:pt idx="2">
                  <c:v>77.202178734199606</c:v>
                </c:pt>
                <c:pt idx="3">
                  <c:v>144.22396574738113</c:v>
                </c:pt>
              </c:numCache>
            </c:numRef>
          </c:cat>
          <c:val>
            <c:numRef>
              <c:f>SetupForRPM!$E$57:$E$60</c:f>
              <c:numCache>
                <c:formatCode>0</c:formatCode>
                <c:ptCount val="4"/>
                <c:pt idx="0">
                  <c:v>1462.4235633721569</c:v>
                </c:pt>
                <c:pt idx="1">
                  <c:v>1195.8321723418428</c:v>
                </c:pt>
                <c:pt idx="2">
                  <c:v>55.071795417013099</c:v>
                </c:pt>
                <c:pt idx="3">
                  <c:v>821.90485920850881</c:v>
                </c:pt>
              </c:numCache>
            </c:numRef>
          </c:val>
        </c:ser>
        <c:ser>
          <c:idx val="3"/>
          <c:order val="3"/>
          <c:tx>
            <c:strRef>
              <c:f>SetupForRPM!$F$56</c:f>
              <c:strCache>
                <c:ptCount val="1"/>
                <c:pt idx="0">
                  <c:v>2021 Summer</c:v>
                </c:pt>
              </c:strCache>
            </c:strRef>
          </c:tx>
          <c:spPr>
            <a:solidFill>
              <a:schemeClr val="accent6">
                <a:lumMod val="20000"/>
                <a:lumOff val="80000"/>
              </a:schemeClr>
            </a:solidFill>
            <a:ln>
              <a:solidFill>
                <a:sysClr val="windowText" lastClr="000000"/>
              </a:solidFill>
            </a:ln>
          </c:spPr>
          <c:cat>
            <c:numRef>
              <c:f>SetupForRPM!$B$57:$B$60</c:f>
              <c:numCache>
                <c:formatCode>_("$"* #,##0_);_("$"* \(#,##0\);_("$"* "-"??_);_(@_)</c:formatCode>
                <c:ptCount val="4"/>
                <c:pt idx="0">
                  <c:v>24.607453662383513</c:v>
                </c:pt>
                <c:pt idx="1">
                  <c:v>56.55462571732847</c:v>
                </c:pt>
                <c:pt idx="2">
                  <c:v>77.202178734199606</c:v>
                </c:pt>
                <c:pt idx="3">
                  <c:v>144.22396574738113</c:v>
                </c:pt>
              </c:numCache>
            </c:numRef>
          </c:cat>
          <c:val>
            <c:numRef>
              <c:f>SetupForRPM!$F$57:$F$60</c:f>
              <c:numCache>
                <c:formatCode>0</c:formatCode>
                <c:ptCount val="4"/>
                <c:pt idx="0">
                  <c:v>1294.0699932324019</c:v>
                </c:pt>
                <c:pt idx="1">
                  <c:v>764.10895291433474</c:v>
                </c:pt>
                <c:pt idx="2">
                  <c:v>342.37497489616567</c:v>
                </c:pt>
                <c:pt idx="3">
                  <c:v>394.89337856958031</c:v>
                </c:pt>
              </c:numCache>
            </c:numRef>
          </c:val>
        </c:ser>
        <c:ser>
          <c:idx val="4"/>
          <c:order val="4"/>
          <c:tx>
            <c:strRef>
              <c:f>SetupForRPM!$G$56</c:f>
              <c:strCache>
                <c:ptCount val="1"/>
                <c:pt idx="0">
                  <c:v>2026 Summer</c:v>
                </c:pt>
              </c:strCache>
            </c:strRef>
          </c:tx>
          <c:spPr>
            <a:solidFill>
              <a:schemeClr val="accent6">
                <a:lumMod val="40000"/>
                <a:lumOff val="60000"/>
              </a:schemeClr>
            </a:solidFill>
            <a:ln>
              <a:solidFill>
                <a:sysClr val="windowText" lastClr="000000"/>
              </a:solidFill>
            </a:ln>
          </c:spPr>
          <c:cat>
            <c:numRef>
              <c:f>SetupForRPM!$B$57:$B$60</c:f>
              <c:numCache>
                <c:formatCode>_("$"* #,##0_);_("$"* \(#,##0\);_("$"* "-"??_);_(@_)</c:formatCode>
                <c:ptCount val="4"/>
                <c:pt idx="0">
                  <c:v>24.607453662383513</c:v>
                </c:pt>
                <c:pt idx="1">
                  <c:v>56.55462571732847</c:v>
                </c:pt>
                <c:pt idx="2">
                  <c:v>77.202178734199606</c:v>
                </c:pt>
                <c:pt idx="3">
                  <c:v>144.22396574738113</c:v>
                </c:pt>
              </c:numCache>
            </c:numRef>
          </c:cat>
          <c:val>
            <c:numRef>
              <c:f>SetupForRPM!$G$57:$G$60</c:f>
              <c:numCache>
                <c:formatCode>0</c:formatCode>
                <c:ptCount val="4"/>
                <c:pt idx="0">
                  <c:v>1387.8570760452601</c:v>
                </c:pt>
                <c:pt idx="1">
                  <c:v>822.98885362672854</c:v>
                </c:pt>
                <c:pt idx="2">
                  <c:v>367.85928767576547</c:v>
                </c:pt>
                <c:pt idx="3">
                  <c:v>426.02389090924288</c:v>
                </c:pt>
              </c:numCache>
            </c:numRef>
          </c:val>
        </c:ser>
        <c:ser>
          <c:idx val="5"/>
          <c:order val="5"/>
          <c:tx>
            <c:strRef>
              <c:f>SetupForRPM!$H$56</c:f>
              <c:strCache>
                <c:ptCount val="1"/>
                <c:pt idx="0">
                  <c:v>2035 Summer</c:v>
                </c:pt>
              </c:strCache>
            </c:strRef>
          </c:tx>
          <c:spPr>
            <a:solidFill>
              <a:schemeClr val="accent6">
                <a:lumMod val="60000"/>
                <a:lumOff val="40000"/>
              </a:schemeClr>
            </a:solidFill>
            <a:ln>
              <a:solidFill>
                <a:sysClr val="windowText" lastClr="000000"/>
              </a:solidFill>
            </a:ln>
          </c:spPr>
          <c:cat>
            <c:numRef>
              <c:f>SetupForRPM!$B$57:$B$60</c:f>
              <c:numCache>
                <c:formatCode>_("$"* #,##0_);_("$"* \(#,##0\);_("$"* "-"??_);_(@_)</c:formatCode>
                <c:ptCount val="4"/>
                <c:pt idx="0">
                  <c:v>24.607453662383513</c:v>
                </c:pt>
                <c:pt idx="1">
                  <c:v>56.55462571732847</c:v>
                </c:pt>
                <c:pt idx="2">
                  <c:v>77.202178734199606</c:v>
                </c:pt>
                <c:pt idx="3">
                  <c:v>144.22396574738113</c:v>
                </c:pt>
              </c:numCache>
            </c:numRef>
          </c:cat>
          <c:val>
            <c:numRef>
              <c:f>SetupForRPM!$H$57:$H$60</c:f>
              <c:numCache>
                <c:formatCode>0</c:formatCode>
                <c:ptCount val="4"/>
                <c:pt idx="0">
                  <c:v>1518.2885432107864</c:v>
                </c:pt>
                <c:pt idx="1">
                  <c:v>899.48044276419807</c:v>
                </c:pt>
                <c:pt idx="2">
                  <c:v>402.26739394996321</c:v>
                </c:pt>
                <c:pt idx="3">
                  <c:v>465.44994631629459</c:v>
                </c:pt>
              </c:numCache>
            </c:numRef>
          </c:val>
        </c:ser>
        <c:axId val="128457344"/>
        <c:axId val="128467712"/>
      </c:barChart>
      <c:catAx>
        <c:axId val="128457344"/>
        <c:scaling>
          <c:orientation val="minMax"/>
        </c:scaling>
        <c:axPos val="b"/>
        <c:title>
          <c:tx>
            <c:rich>
              <a:bodyPr/>
              <a:lstStyle/>
              <a:p>
                <a:pPr>
                  <a:defRPr/>
                </a:pPr>
                <a:r>
                  <a:rPr lang="en-US" sz="1400"/>
                  <a:t>Demand</a:t>
                </a:r>
                <a:r>
                  <a:rPr lang="en-US" sz="1400" baseline="0"/>
                  <a:t> Response Price Bins in $ per kW-year</a:t>
                </a:r>
                <a:endParaRPr lang="en-US" sz="1400"/>
              </a:p>
            </c:rich>
          </c:tx>
        </c:title>
        <c:numFmt formatCode="_(&quot;$&quot;* #,##0_);_(&quot;$&quot;* \(#,##0\);_(&quot;$&quot;* &quot;-&quot;??_);_(@_)" sourceLinked="1"/>
        <c:tickLblPos val="nextTo"/>
        <c:crossAx val="128467712"/>
        <c:crosses val="autoZero"/>
        <c:auto val="1"/>
        <c:lblAlgn val="ctr"/>
        <c:lblOffset val="100"/>
      </c:catAx>
      <c:valAx>
        <c:axId val="128467712"/>
        <c:scaling>
          <c:orientation val="minMax"/>
        </c:scaling>
        <c:axPos val="l"/>
        <c:majorGridlines/>
        <c:title>
          <c:tx>
            <c:rich>
              <a:bodyPr rot="-5400000" vert="horz"/>
              <a:lstStyle/>
              <a:p>
                <a:pPr>
                  <a:defRPr/>
                </a:pPr>
                <a:r>
                  <a:rPr lang="en-US" sz="1400"/>
                  <a:t>Cumulative MW of</a:t>
                </a:r>
                <a:r>
                  <a:rPr lang="en-US" sz="1400" baseline="0"/>
                  <a:t> Potential</a:t>
                </a:r>
                <a:endParaRPr lang="en-US" sz="1400"/>
              </a:p>
            </c:rich>
          </c:tx>
        </c:title>
        <c:numFmt formatCode="0" sourceLinked="1"/>
        <c:tickLblPos val="nextTo"/>
        <c:crossAx val="128457344"/>
        <c:crosses val="autoZero"/>
        <c:crossBetween val="between"/>
      </c:valAx>
    </c:plotArea>
    <c:legend>
      <c:legendPos val="r"/>
    </c:legend>
    <c:plotVisOnly val="1"/>
  </c:chart>
  <c:printSettings>
    <c:headerFooter/>
    <c:pageMargins b="0.750000000000001" l="0.70000000000000062" r="0.70000000000000062" t="0.75000000000000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23905818022747369"/>
          <c:y val="3.3797624611991997E-2"/>
          <c:w val="0.73926115485564259"/>
          <c:h val="0.58834358034012857"/>
        </c:manualLayout>
      </c:layout>
      <c:areaChart>
        <c:grouping val="stacked"/>
        <c:ser>
          <c:idx val="1"/>
          <c:order val="0"/>
          <c:tx>
            <c:strRef>
              <c:f>'NW Baseline Energy by Use'!$A$3</c:f>
              <c:strCache>
                <c:ptCount val="1"/>
                <c:pt idx="0">
                  <c:v>Air Conditioning/Space Cooling - Residential</c:v>
                </c:pt>
              </c:strCache>
            </c:strRef>
          </c:tx>
          <c:cat>
            <c:numRef>
              <c:f>'NW Baseline Energy by Use'!$B$2:$AO$2</c:f>
              <c:numCache>
                <c:formatCode>General</c:formatCode>
                <c:ptCount val="4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pt idx="20">
                  <c:v>2031</c:v>
                </c:pt>
                <c:pt idx="21">
                  <c:v>2032</c:v>
                </c:pt>
                <c:pt idx="22">
                  <c:v>2033</c:v>
                </c:pt>
                <c:pt idx="23">
                  <c:v>2034</c:v>
                </c:pt>
                <c:pt idx="24">
                  <c:v>2035</c:v>
                </c:pt>
                <c:pt idx="25">
                  <c:v>2036</c:v>
                </c:pt>
                <c:pt idx="26">
                  <c:v>2037</c:v>
                </c:pt>
                <c:pt idx="27">
                  <c:v>2038</c:v>
                </c:pt>
                <c:pt idx="28">
                  <c:v>2039</c:v>
                </c:pt>
                <c:pt idx="29">
                  <c:v>2040</c:v>
                </c:pt>
                <c:pt idx="30">
                  <c:v>2041</c:v>
                </c:pt>
                <c:pt idx="31">
                  <c:v>2042</c:v>
                </c:pt>
                <c:pt idx="32">
                  <c:v>2043</c:v>
                </c:pt>
                <c:pt idx="33">
                  <c:v>2044</c:v>
                </c:pt>
                <c:pt idx="34">
                  <c:v>2045</c:v>
                </c:pt>
                <c:pt idx="35">
                  <c:v>2046</c:v>
                </c:pt>
                <c:pt idx="36">
                  <c:v>2047</c:v>
                </c:pt>
                <c:pt idx="37">
                  <c:v>2048</c:v>
                </c:pt>
                <c:pt idx="38">
                  <c:v>2049</c:v>
                </c:pt>
                <c:pt idx="39">
                  <c:v>2050</c:v>
                </c:pt>
              </c:numCache>
            </c:numRef>
          </c:cat>
          <c:val>
            <c:numRef>
              <c:f>'NW Baseline Energy by Use'!$B$3:$AO$3</c:f>
              <c:numCache>
                <c:formatCode>General</c:formatCode>
                <c:ptCount val="40"/>
                <c:pt idx="0">
                  <c:v>937875.49041188555</c:v>
                </c:pt>
                <c:pt idx="1">
                  <c:v>955572.82178553054</c:v>
                </c:pt>
                <c:pt idx="2">
                  <c:v>973533.61371793365</c:v>
                </c:pt>
                <c:pt idx="3">
                  <c:v>991761.3996921113</c:v>
                </c:pt>
                <c:pt idx="4">
                  <c:v>1010259.7578648989</c:v>
                </c:pt>
                <c:pt idx="5">
                  <c:v>1029032.3116106873</c:v>
                </c:pt>
                <c:pt idx="6">
                  <c:v>1048082.7300716016</c:v>
                </c:pt>
                <c:pt idx="7">
                  <c:v>1067414.7287141997</c:v>
                </c:pt>
                <c:pt idx="8">
                  <c:v>1087032.0698927653</c:v>
                </c:pt>
                <c:pt idx="9">
                  <c:v>1111601.3588165999</c:v>
                </c:pt>
                <c:pt idx="10">
                  <c:v>1141073.5724658968</c:v>
                </c:pt>
                <c:pt idx="11">
                  <c:v>1171254.1076339204</c:v>
                </c:pt>
                <c:pt idx="12">
                  <c:v>1202158.9769360488</c:v>
                </c:pt>
                <c:pt idx="13">
                  <c:v>1233804.6181729212</c:v>
                </c:pt>
                <c:pt idx="14">
                  <c:v>1266207.8288298433</c:v>
                </c:pt>
                <c:pt idx="15">
                  <c:v>1299385.7737480798</c:v>
                </c:pt>
                <c:pt idx="16">
                  <c:v>1333355.9929566716</c:v>
                </c:pt>
                <c:pt idx="17">
                  <c:v>1368136.4096681001</c:v>
                </c:pt>
                <c:pt idx="18">
                  <c:v>1403745.338441164</c:v>
                </c:pt>
                <c:pt idx="19">
                  <c:v>1438023.3522192</c:v>
                </c:pt>
                <c:pt idx="20">
                  <c:v>1473058.2021817716</c:v>
                </c:pt>
                <c:pt idx="21">
                  <c:v>1508865.6651532135</c:v>
                </c:pt>
                <c:pt idx="22">
                  <c:v>1545461.8348171688</c:v>
                </c:pt>
                <c:pt idx="23">
                  <c:v>1582863.0343791696</c:v>
                </c:pt>
                <c:pt idx="24">
                  <c:v>1621086.1954573654</c:v>
                </c:pt>
                <c:pt idx="25">
                  <c:v>1660148.3080037411</c:v>
                </c:pt>
                <c:pt idx="26">
                  <c:v>1700066.7963381871</c:v>
                </c:pt>
                <c:pt idx="27">
                  <c:v>1740859.4338516349</c:v>
                </c:pt>
                <c:pt idx="28">
                  <c:v>1782544.3498237492</c:v>
                </c:pt>
                <c:pt idx="29">
                  <c:v>1825140.0363712949</c:v>
                </c:pt>
                <c:pt idx="30">
                  <c:v>1868665.3555296299</c:v>
                </c:pt>
                <c:pt idx="31">
                  <c:v>1913139.5464698547</c:v>
                </c:pt>
                <c:pt idx="32">
                  <c:v>1958582.2328541661</c:v>
                </c:pt>
                <c:pt idx="33">
                  <c:v>2005013.4303320344</c:v>
                </c:pt>
                <c:pt idx="34">
                  <c:v>2052453.5541798547</c:v>
                </c:pt>
                <c:pt idx="35">
                  <c:v>2100923.4270867826</c:v>
                </c:pt>
                <c:pt idx="36">
                  <c:v>2150444.2870895127</c:v>
                </c:pt>
                <c:pt idx="37">
                  <c:v>2201037.6774516939</c:v>
                </c:pt>
                <c:pt idx="38">
                  <c:v>2252725.9257404893</c:v>
                </c:pt>
                <c:pt idx="39">
                  <c:v>2305531.4489280526</c:v>
                </c:pt>
              </c:numCache>
            </c:numRef>
          </c:val>
        </c:ser>
        <c:ser>
          <c:idx val="2"/>
          <c:order val="1"/>
          <c:tx>
            <c:strRef>
              <c:f>'NW Baseline Energy by Use'!$A$4</c:f>
              <c:strCache>
                <c:ptCount val="1"/>
                <c:pt idx="0">
                  <c:v>Appliances &amp; Plug Loads - Residential</c:v>
                </c:pt>
              </c:strCache>
            </c:strRef>
          </c:tx>
          <c:cat>
            <c:numRef>
              <c:f>'NW Baseline Energy by Use'!$B$2:$AO$2</c:f>
              <c:numCache>
                <c:formatCode>General</c:formatCode>
                <c:ptCount val="4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pt idx="20">
                  <c:v>2031</c:v>
                </c:pt>
                <c:pt idx="21">
                  <c:v>2032</c:v>
                </c:pt>
                <c:pt idx="22">
                  <c:v>2033</c:v>
                </c:pt>
                <c:pt idx="23">
                  <c:v>2034</c:v>
                </c:pt>
                <c:pt idx="24">
                  <c:v>2035</c:v>
                </c:pt>
                <c:pt idx="25">
                  <c:v>2036</c:v>
                </c:pt>
                <c:pt idx="26">
                  <c:v>2037</c:v>
                </c:pt>
                <c:pt idx="27">
                  <c:v>2038</c:v>
                </c:pt>
                <c:pt idx="28">
                  <c:v>2039</c:v>
                </c:pt>
                <c:pt idx="29">
                  <c:v>2040</c:v>
                </c:pt>
                <c:pt idx="30">
                  <c:v>2041</c:v>
                </c:pt>
                <c:pt idx="31">
                  <c:v>2042</c:v>
                </c:pt>
                <c:pt idx="32">
                  <c:v>2043</c:v>
                </c:pt>
                <c:pt idx="33">
                  <c:v>2044</c:v>
                </c:pt>
                <c:pt idx="34">
                  <c:v>2045</c:v>
                </c:pt>
                <c:pt idx="35">
                  <c:v>2046</c:v>
                </c:pt>
                <c:pt idx="36">
                  <c:v>2047</c:v>
                </c:pt>
                <c:pt idx="37">
                  <c:v>2048</c:v>
                </c:pt>
                <c:pt idx="38">
                  <c:v>2049</c:v>
                </c:pt>
                <c:pt idx="39">
                  <c:v>2050</c:v>
                </c:pt>
              </c:numCache>
            </c:numRef>
          </c:cat>
          <c:val>
            <c:numRef>
              <c:f>'NW Baseline Energy by Use'!$B$4:$AO$4</c:f>
              <c:numCache>
                <c:formatCode>General</c:formatCode>
                <c:ptCount val="40"/>
                <c:pt idx="0">
                  <c:v>15636182.40596847</c:v>
                </c:pt>
                <c:pt idx="1">
                  <c:v>16187256.877066424</c:v>
                </c:pt>
                <c:pt idx="2">
                  <c:v>16747947.035925832</c:v>
                </c:pt>
                <c:pt idx="3">
                  <c:v>17318391.714470729</c:v>
                </c:pt>
                <c:pt idx="4">
                  <c:v>17898731.576438211</c:v>
                </c:pt>
                <c:pt idx="5">
                  <c:v>18489109.140303921</c:v>
                </c:pt>
                <c:pt idx="6">
                  <c:v>19089668.802484669</c:v>
                </c:pt>
                <c:pt idx="7">
                  <c:v>19700556.860821422</c:v>
                </c:pt>
                <c:pt idx="8">
                  <c:v>20321921.610320095</c:v>
                </c:pt>
                <c:pt idx="9">
                  <c:v>21042177.969075002</c:v>
                </c:pt>
                <c:pt idx="10">
                  <c:v>21863698.072463557</c:v>
                </c:pt>
                <c:pt idx="11">
                  <c:v>22708326.657967053</c:v>
                </c:pt>
                <c:pt idx="12">
                  <c:v>23576635.994592048</c:v>
                </c:pt>
                <c:pt idx="13">
                  <c:v>24469211.587433904</c:v>
                </c:pt>
                <c:pt idx="14">
                  <c:v>25386652.471021134</c:v>
                </c:pt>
                <c:pt idx="15">
                  <c:v>26329571.508973598</c:v>
                </c:pt>
                <c:pt idx="16">
                  <c:v>27298595.700107697</c:v>
                </c:pt>
                <c:pt idx="17">
                  <c:v>28294366.491124362</c:v>
                </c:pt>
                <c:pt idx="18">
                  <c:v>29317540.096018322</c:v>
                </c:pt>
                <c:pt idx="19">
                  <c:v>30322858.477642201</c:v>
                </c:pt>
                <c:pt idx="20">
                  <c:v>31353742.867550876</c:v>
                </c:pt>
                <c:pt idx="21">
                  <c:v>32410769.587977458</c:v>
                </c:pt>
                <c:pt idx="22">
                  <c:v>33494527.127489548</c:v>
                </c:pt>
                <c:pt idx="23">
                  <c:v>34605616.387415186</c:v>
                </c:pt>
                <c:pt idx="24">
                  <c:v>35744650.933119826</c:v>
                </c:pt>
                <c:pt idx="25">
                  <c:v>36912257.250228025</c:v>
                </c:pt>
                <c:pt idx="26">
                  <c:v>38109075.005885087</c:v>
                </c:pt>
                <c:pt idx="27">
                  <c:v>39335757.315155767</c:v>
                </c:pt>
                <c:pt idx="28">
                  <c:v>40592971.012658998</c:v>
                </c:pt>
                <c:pt idx="29">
                  <c:v>41881396.929539502</c:v>
                </c:pt>
                <c:pt idx="30">
                  <c:v>43201730.175879009</c:v>
                </c:pt>
                <c:pt idx="31">
                  <c:v>44554680.428651743</c:v>
                </c:pt>
                <c:pt idx="32">
                  <c:v>45940972.225330949</c:v>
                </c:pt>
                <c:pt idx="33">
                  <c:v>47361345.26325503</c:v>
                </c:pt>
                <c:pt idx="34">
                  <c:v>48816554.704864152</c:v>
                </c:pt>
                <c:pt idx="35">
                  <c:v>50307371.488920152</c:v>
                </c:pt>
                <c:pt idx="36">
                  <c:v>51834582.647824675</c:v>
                </c:pt>
                <c:pt idx="37">
                  <c:v>53398991.631152764</c:v>
                </c:pt>
                <c:pt idx="38">
                  <c:v>55001418.635521315</c:v>
                </c:pt>
                <c:pt idx="39">
                  <c:v>56642700.940914012</c:v>
                </c:pt>
              </c:numCache>
            </c:numRef>
          </c:val>
        </c:ser>
        <c:ser>
          <c:idx val="3"/>
          <c:order val="2"/>
          <c:tx>
            <c:strRef>
              <c:f>'NW Baseline Energy by Use'!$A$5</c:f>
              <c:strCache>
                <c:ptCount val="1"/>
                <c:pt idx="0">
                  <c:v>Lighting - Residential</c:v>
                </c:pt>
              </c:strCache>
            </c:strRef>
          </c:tx>
          <c:cat>
            <c:numRef>
              <c:f>'NW Baseline Energy by Use'!$B$2:$AO$2</c:f>
              <c:numCache>
                <c:formatCode>General</c:formatCode>
                <c:ptCount val="4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pt idx="20">
                  <c:v>2031</c:v>
                </c:pt>
                <c:pt idx="21">
                  <c:v>2032</c:v>
                </c:pt>
                <c:pt idx="22">
                  <c:v>2033</c:v>
                </c:pt>
                <c:pt idx="23">
                  <c:v>2034</c:v>
                </c:pt>
                <c:pt idx="24">
                  <c:v>2035</c:v>
                </c:pt>
                <c:pt idx="25">
                  <c:v>2036</c:v>
                </c:pt>
                <c:pt idx="26">
                  <c:v>2037</c:v>
                </c:pt>
                <c:pt idx="27">
                  <c:v>2038</c:v>
                </c:pt>
                <c:pt idx="28">
                  <c:v>2039</c:v>
                </c:pt>
                <c:pt idx="29">
                  <c:v>2040</c:v>
                </c:pt>
                <c:pt idx="30">
                  <c:v>2041</c:v>
                </c:pt>
                <c:pt idx="31">
                  <c:v>2042</c:v>
                </c:pt>
                <c:pt idx="32">
                  <c:v>2043</c:v>
                </c:pt>
                <c:pt idx="33">
                  <c:v>2044</c:v>
                </c:pt>
                <c:pt idx="34">
                  <c:v>2045</c:v>
                </c:pt>
                <c:pt idx="35">
                  <c:v>2046</c:v>
                </c:pt>
                <c:pt idx="36">
                  <c:v>2047</c:v>
                </c:pt>
                <c:pt idx="37">
                  <c:v>2048</c:v>
                </c:pt>
                <c:pt idx="38">
                  <c:v>2049</c:v>
                </c:pt>
                <c:pt idx="39">
                  <c:v>2050</c:v>
                </c:pt>
              </c:numCache>
            </c:numRef>
          </c:cat>
          <c:val>
            <c:numRef>
              <c:f>'NW Baseline Energy by Use'!$B$5:$AO$5</c:f>
              <c:numCache>
                <c:formatCode>General</c:formatCode>
                <c:ptCount val="40"/>
                <c:pt idx="0">
                  <c:v>8997915.9486697055</c:v>
                </c:pt>
                <c:pt idx="1">
                  <c:v>8972143.1820987333</c:v>
                </c:pt>
                <c:pt idx="2">
                  <c:v>8944908.3407089785</c:v>
                </c:pt>
                <c:pt idx="3">
                  <c:v>8916184.3462800235</c:v>
                </c:pt>
                <c:pt idx="4">
                  <c:v>8885943.514356086</c:v>
                </c:pt>
                <c:pt idx="5">
                  <c:v>8854158.0270824451</c:v>
                </c:pt>
                <c:pt idx="6">
                  <c:v>8820799.3776441142</c:v>
                </c:pt>
                <c:pt idx="7">
                  <c:v>8785838.9204938877</c:v>
                </c:pt>
                <c:pt idx="8">
                  <c:v>8749247.3043724578</c:v>
                </c:pt>
                <c:pt idx="9">
                  <c:v>8747688.6578940004</c:v>
                </c:pt>
                <c:pt idx="10">
                  <c:v>8778258.0420600139</c:v>
                </c:pt>
                <c:pt idx="11">
                  <c:v>8806990.5873457678</c:v>
                </c:pt>
                <c:pt idx="12">
                  <c:v>8833808.4224140458</c:v>
                </c:pt>
                <c:pt idx="13">
                  <c:v>8858631.1993051562</c:v>
                </c:pt>
                <c:pt idx="14">
                  <c:v>8881376.5756197348</c:v>
                </c:pt>
                <c:pt idx="15">
                  <c:v>8901959.5341812987</c:v>
                </c:pt>
                <c:pt idx="16">
                  <c:v>8920292.9582933877</c:v>
                </c:pt>
                <c:pt idx="17">
                  <c:v>8936286.9255638942</c:v>
                </c:pt>
                <c:pt idx="18">
                  <c:v>8949849.3039461561</c:v>
                </c:pt>
                <c:pt idx="19">
                  <c:v>8947332.6972184796</c:v>
                </c:pt>
                <c:pt idx="20">
                  <c:v>8942187.0993888509</c:v>
                </c:pt>
                <c:pt idx="21">
                  <c:v>8934324.3944726512</c:v>
                </c:pt>
                <c:pt idx="22">
                  <c:v>8923654.5123737808</c:v>
                </c:pt>
                <c:pt idx="23">
                  <c:v>8910085.1212321799</c:v>
                </c:pt>
                <c:pt idx="24">
                  <c:v>8893521.2914947793</c:v>
                </c:pt>
                <c:pt idx="25">
                  <c:v>8873866.0972392969</c:v>
                </c:pt>
                <c:pt idx="26">
                  <c:v>8851019.8084580041</c:v>
                </c:pt>
                <c:pt idx="27">
                  <c:v>8824880.604376398</c:v>
                </c:pt>
                <c:pt idx="28">
                  <c:v>8795343.7378234304</c:v>
                </c:pt>
                <c:pt idx="29">
                  <c:v>8762302.2723522056</c:v>
                </c:pt>
                <c:pt idx="30">
                  <c:v>8725646.2177322861</c:v>
                </c:pt>
                <c:pt idx="31">
                  <c:v>8685263.1847422644</c:v>
                </c:pt>
                <c:pt idx="32">
                  <c:v>8641038.0254067555</c:v>
                </c:pt>
                <c:pt idx="33">
                  <c:v>8592852.4403287247</c:v>
                </c:pt>
                <c:pt idx="34">
                  <c:v>8540585.6754391436</c:v>
                </c:pt>
                <c:pt idx="35">
                  <c:v>8484113.5808537975</c:v>
                </c:pt>
                <c:pt idx="36">
                  <c:v>8423309.4377291463</c:v>
                </c:pt>
                <c:pt idx="37">
                  <c:v>8358042.9845958045</c:v>
                </c:pt>
                <c:pt idx="38">
                  <c:v>8288181.2718034824</c:v>
                </c:pt>
                <c:pt idx="39">
                  <c:v>8213587.6542075127</c:v>
                </c:pt>
              </c:numCache>
            </c:numRef>
          </c:val>
        </c:ser>
        <c:ser>
          <c:idx val="4"/>
          <c:order val="3"/>
          <c:tx>
            <c:strRef>
              <c:f>'NW Baseline Energy by Use'!$A$6</c:f>
              <c:strCache>
                <c:ptCount val="1"/>
                <c:pt idx="0">
                  <c:v>Refrigeration, Motors &amp; Process Equipment - Residential</c:v>
                </c:pt>
              </c:strCache>
            </c:strRef>
          </c:tx>
          <c:cat>
            <c:numRef>
              <c:f>'NW Baseline Energy by Use'!$B$2:$AO$2</c:f>
              <c:numCache>
                <c:formatCode>General</c:formatCode>
                <c:ptCount val="4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pt idx="20">
                  <c:v>2031</c:v>
                </c:pt>
                <c:pt idx="21">
                  <c:v>2032</c:v>
                </c:pt>
                <c:pt idx="22">
                  <c:v>2033</c:v>
                </c:pt>
                <c:pt idx="23">
                  <c:v>2034</c:v>
                </c:pt>
                <c:pt idx="24">
                  <c:v>2035</c:v>
                </c:pt>
                <c:pt idx="25">
                  <c:v>2036</c:v>
                </c:pt>
                <c:pt idx="26">
                  <c:v>2037</c:v>
                </c:pt>
                <c:pt idx="27">
                  <c:v>2038</c:v>
                </c:pt>
                <c:pt idx="28">
                  <c:v>2039</c:v>
                </c:pt>
                <c:pt idx="29">
                  <c:v>2040</c:v>
                </c:pt>
                <c:pt idx="30">
                  <c:v>2041</c:v>
                </c:pt>
                <c:pt idx="31">
                  <c:v>2042</c:v>
                </c:pt>
                <c:pt idx="32">
                  <c:v>2043</c:v>
                </c:pt>
                <c:pt idx="33">
                  <c:v>2044</c:v>
                </c:pt>
                <c:pt idx="34">
                  <c:v>2045</c:v>
                </c:pt>
                <c:pt idx="35">
                  <c:v>2046</c:v>
                </c:pt>
                <c:pt idx="36">
                  <c:v>2047</c:v>
                </c:pt>
                <c:pt idx="37">
                  <c:v>2048</c:v>
                </c:pt>
                <c:pt idx="38">
                  <c:v>2049</c:v>
                </c:pt>
                <c:pt idx="39">
                  <c:v>2050</c:v>
                </c:pt>
              </c:numCache>
            </c:numRef>
          </c:cat>
          <c:val>
            <c:numRef>
              <c:f>'NW Baseline Energy by Use'!$B$6:$AO$6</c:f>
              <c:numCache>
                <c:formatCode>General</c:formatCode>
                <c:ptCount val="40"/>
                <c:pt idx="0">
                  <c:v>2292935.7753031412</c:v>
                </c:pt>
                <c:pt idx="1">
                  <c:v>2283432.8895530147</c:v>
                </c:pt>
                <c:pt idx="2">
                  <c:v>2273497.5411116728</c:v>
                </c:pt>
                <c:pt idx="3">
                  <c:v>2263121.895943203</c:v>
                </c:pt>
                <c:pt idx="4">
                  <c:v>2252298.0051859096</c:v>
                </c:pt>
                <c:pt idx="5">
                  <c:v>2241017.7338091116</c:v>
                </c:pt>
                <c:pt idx="6">
                  <c:v>2229273.0376173593</c:v>
                </c:pt>
                <c:pt idx="7">
                  <c:v>2217055.5449190093</c:v>
                </c:pt>
                <c:pt idx="8">
                  <c:v>2204356.8320814311</c:v>
                </c:pt>
                <c:pt idx="9">
                  <c:v>2200398.286659</c:v>
                </c:pt>
                <c:pt idx="10">
                  <c:v>2204403.130482608</c:v>
                </c:pt>
                <c:pt idx="11">
                  <c:v>2207810.336821436</c:v>
                </c:pt>
                <c:pt idx="12">
                  <c:v>2210596.5558364294</c:v>
                </c:pt>
                <c:pt idx="13">
                  <c:v>2212737.7807340464</c:v>
                </c:pt>
                <c:pt idx="14">
                  <c:v>2214209.2515113577</c:v>
                </c:pt>
                <c:pt idx="15">
                  <c:v>2214985.756773001</c:v>
                </c:pt>
                <c:pt idx="16">
                  <c:v>2215041.1411834443</c:v>
                </c:pt>
                <c:pt idx="17">
                  <c:v>2214348.6036161734</c:v>
                </c:pt>
                <c:pt idx="18">
                  <c:v>2212880.6007877556</c:v>
                </c:pt>
                <c:pt idx="19">
                  <c:v>2207265.5340712802</c:v>
                </c:pt>
                <c:pt idx="20">
                  <c:v>2200832.0557185239</c:v>
                </c:pt>
                <c:pt idx="21">
                  <c:v>2193554.1643676208</c:v>
                </c:pt>
                <c:pt idx="22">
                  <c:v>2185405.2145210509</c:v>
                </c:pt>
                <c:pt idx="23">
                  <c:v>2176357.8086790894</c:v>
                </c:pt>
                <c:pt idx="24">
                  <c:v>2166384.1552823242</c:v>
                </c:pt>
                <c:pt idx="25">
                  <c:v>2155455.4972573007</c:v>
                </c:pt>
                <c:pt idx="26">
                  <c:v>2143542.4662391855</c:v>
                </c:pt>
                <c:pt idx="27">
                  <c:v>2130614.9750190563</c:v>
                </c:pt>
                <c:pt idx="28">
                  <c:v>2116642.2016525078</c:v>
                </c:pt>
                <c:pt idx="29">
                  <c:v>2101592.573236749</c:v>
                </c:pt>
                <c:pt idx="30">
                  <c:v>2085433.7493495082</c:v>
                </c:pt>
                <c:pt idx="31">
                  <c:v>2068132.6051429594</c:v>
                </c:pt>
                <c:pt idx="32">
                  <c:v>2049655.105358904</c:v>
                </c:pt>
                <c:pt idx="33">
                  <c:v>2029966.719786057</c:v>
                </c:pt>
                <c:pt idx="34">
                  <c:v>2009031.7583844867</c:v>
                </c:pt>
                <c:pt idx="35">
                  <c:v>1986813.7823981729</c:v>
                </c:pt>
                <c:pt idx="36">
                  <c:v>1963275.4786933656</c:v>
                </c:pt>
                <c:pt idx="37">
                  <c:v>1938378.6406323977</c:v>
                </c:pt>
                <c:pt idx="38">
                  <c:v>1912084.1485511099</c:v>
                </c:pt>
                <c:pt idx="39">
                  <c:v>1884351.9498319568</c:v>
                </c:pt>
              </c:numCache>
            </c:numRef>
          </c:val>
        </c:ser>
        <c:ser>
          <c:idx val="5"/>
          <c:order val="4"/>
          <c:tx>
            <c:strRef>
              <c:f>'NW Baseline Energy by Use'!$A$7</c:f>
              <c:strCache>
                <c:ptCount val="1"/>
                <c:pt idx="0">
                  <c:v>Space Heating - Residential</c:v>
                </c:pt>
              </c:strCache>
            </c:strRef>
          </c:tx>
          <c:cat>
            <c:numRef>
              <c:f>'NW Baseline Energy by Use'!$B$2:$AO$2</c:f>
              <c:numCache>
                <c:formatCode>General</c:formatCode>
                <c:ptCount val="4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pt idx="20">
                  <c:v>2031</c:v>
                </c:pt>
                <c:pt idx="21">
                  <c:v>2032</c:v>
                </c:pt>
                <c:pt idx="22">
                  <c:v>2033</c:v>
                </c:pt>
                <c:pt idx="23">
                  <c:v>2034</c:v>
                </c:pt>
                <c:pt idx="24">
                  <c:v>2035</c:v>
                </c:pt>
                <c:pt idx="25">
                  <c:v>2036</c:v>
                </c:pt>
                <c:pt idx="26">
                  <c:v>2037</c:v>
                </c:pt>
                <c:pt idx="27">
                  <c:v>2038</c:v>
                </c:pt>
                <c:pt idx="28">
                  <c:v>2039</c:v>
                </c:pt>
                <c:pt idx="29">
                  <c:v>2040</c:v>
                </c:pt>
                <c:pt idx="30">
                  <c:v>2041</c:v>
                </c:pt>
                <c:pt idx="31">
                  <c:v>2042</c:v>
                </c:pt>
                <c:pt idx="32">
                  <c:v>2043</c:v>
                </c:pt>
                <c:pt idx="33">
                  <c:v>2044</c:v>
                </c:pt>
                <c:pt idx="34">
                  <c:v>2045</c:v>
                </c:pt>
                <c:pt idx="35">
                  <c:v>2046</c:v>
                </c:pt>
                <c:pt idx="36">
                  <c:v>2047</c:v>
                </c:pt>
                <c:pt idx="37">
                  <c:v>2048</c:v>
                </c:pt>
                <c:pt idx="38">
                  <c:v>2049</c:v>
                </c:pt>
                <c:pt idx="39">
                  <c:v>2050</c:v>
                </c:pt>
              </c:numCache>
            </c:numRef>
          </c:cat>
          <c:val>
            <c:numRef>
              <c:f>'NW Baseline Energy by Use'!$B$7:$AO$7</c:f>
              <c:numCache>
                <c:formatCode>General</c:formatCode>
                <c:ptCount val="40"/>
                <c:pt idx="0">
                  <c:v>20834767.919033233</c:v>
                </c:pt>
                <c:pt idx="1">
                  <c:v>20860087.636503767</c:v>
                </c:pt>
                <c:pt idx="2">
                  <c:v>20883755.960686795</c:v>
                </c:pt>
                <c:pt idx="3">
                  <c:v>20905736.566179626</c:v>
                </c:pt>
                <c:pt idx="4">
                  <c:v>20925992.558324579</c:v>
                </c:pt>
                <c:pt idx="5">
                  <c:v>20944486.395559467</c:v>
                </c:pt>
                <c:pt idx="6">
                  <c:v>20961180.160034087</c:v>
                </c:pt>
                <c:pt idx="7">
                  <c:v>20976035.132808696</c:v>
                </c:pt>
                <c:pt idx="8">
                  <c:v>20989012.062855728</c:v>
                </c:pt>
                <c:pt idx="9">
                  <c:v>21088530.338695202</c:v>
                </c:pt>
                <c:pt idx="10">
                  <c:v>21268922.436036147</c:v>
                </c:pt>
                <c:pt idx="11">
                  <c:v>21448812.95145053</c:v>
                </c:pt>
                <c:pt idx="12">
                  <c:v>21628122.348054405</c:v>
                </c:pt>
                <c:pt idx="13">
                  <c:v>21806768.253189009</c:v>
                </c:pt>
                <c:pt idx="14">
                  <c:v>21984665.696590912</c:v>
                </c:pt>
                <c:pt idx="15">
                  <c:v>22161726.567118339</c:v>
                </c:pt>
                <c:pt idx="16">
                  <c:v>22337859.844423059</c:v>
                </c:pt>
                <c:pt idx="17">
                  <c:v>22512971.357255779</c:v>
                </c:pt>
                <c:pt idx="18">
                  <c:v>22686964.037805405</c:v>
                </c:pt>
                <c:pt idx="19">
                  <c:v>22825164.577309202</c:v>
                </c:pt>
                <c:pt idx="20">
                  <c:v>22961576.029530216</c:v>
                </c:pt>
                <c:pt idx="21">
                  <c:v>23096098.777869564</c:v>
                </c:pt>
                <c:pt idx="22">
                  <c:v>23228630.263172388</c:v>
                </c:pt>
                <c:pt idx="23">
                  <c:v>23359065.282316949</c:v>
                </c:pt>
                <c:pt idx="24">
                  <c:v>23487295.371641908</c:v>
                </c:pt>
                <c:pt idx="25">
                  <c:v>23613209.09950266</c:v>
                </c:pt>
                <c:pt idx="26">
                  <c:v>23736691.805135779</c:v>
                </c:pt>
                <c:pt idx="27">
                  <c:v>23857625.91650049</c:v>
                </c:pt>
                <c:pt idx="28">
                  <c:v>23975890.289635986</c:v>
                </c:pt>
                <c:pt idx="29">
                  <c:v>24091360.520005364</c:v>
                </c:pt>
                <c:pt idx="30">
                  <c:v>24203908.661826067</c:v>
                </c:pt>
                <c:pt idx="31">
                  <c:v>24313403.566398554</c:v>
                </c:pt>
                <c:pt idx="32">
                  <c:v>24419710.174247112</c:v>
                </c:pt>
                <c:pt idx="33">
                  <c:v>24522689.846450567</c:v>
                </c:pt>
                <c:pt idx="34">
                  <c:v>24622200.062985964</c:v>
                </c:pt>
                <c:pt idx="35">
                  <c:v>24718094.782857876</c:v>
                </c:pt>
                <c:pt idx="36">
                  <c:v>24810223.685651563</c:v>
                </c:pt>
                <c:pt idx="37">
                  <c:v>24898432.524125922</c:v>
                </c:pt>
                <c:pt idx="38">
                  <c:v>24982562.920210019</c:v>
                </c:pt>
                <c:pt idx="39">
                  <c:v>25062452.147329602</c:v>
                </c:pt>
              </c:numCache>
            </c:numRef>
          </c:val>
        </c:ser>
        <c:ser>
          <c:idx val="6"/>
          <c:order val="5"/>
          <c:tx>
            <c:strRef>
              <c:f>'NW Baseline Energy by Use'!$A$8</c:f>
              <c:strCache>
                <c:ptCount val="1"/>
                <c:pt idx="0">
                  <c:v>Water Heating - Residential</c:v>
                </c:pt>
              </c:strCache>
            </c:strRef>
          </c:tx>
          <c:cat>
            <c:numRef>
              <c:f>'NW Baseline Energy by Use'!$B$2:$AO$2</c:f>
              <c:numCache>
                <c:formatCode>General</c:formatCode>
                <c:ptCount val="4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pt idx="20">
                  <c:v>2031</c:v>
                </c:pt>
                <c:pt idx="21">
                  <c:v>2032</c:v>
                </c:pt>
                <c:pt idx="22">
                  <c:v>2033</c:v>
                </c:pt>
                <c:pt idx="23">
                  <c:v>2034</c:v>
                </c:pt>
                <c:pt idx="24">
                  <c:v>2035</c:v>
                </c:pt>
                <c:pt idx="25">
                  <c:v>2036</c:v>
                </c:pt>
                <c:pt idx="26">
                  <c:v>2037</c:v>
                </c:pt>
                <c:pt idx="27">
                  <c:v>2038</c:v>
                </c:pt>
                <c:pt idx="28">
                  <c:v>2039</c:v>
                </c:pt>
                <c:pt idx="29">
                  <c:v>2040</c:v>
                </c:pt>
                <c:pt idx="30">
                  <c:v>2041</c:v>
                </c:pt>
                <c:pt idx="31">
                  <c:v>2042</c:v>
                </c:pt>
                <c:pt idx="32">
                  <c:v>2043</c:v>
                </c:pt>
                <c:pt idx="33">
                  <c:v>2044</c:v>
                </c:pt>
                <c:pt idx="34">
                  <c:v>2045</c:v>
                </c:pt>
                <c:pt idx="35">
                  <c:v>2046</c:v>
                </c:pt>
                <c:pt idx="36">
                  <c:v>2047</c:v>
                </c:pt>
                <c:pt idx="37">
                  <c:v>2048</c:v>
                </c:pt>
                <c:pt idx="38">
                  <c:v>2049</c:v>
                </c:pt>
                <c:pt idx="39">
                  <c:v>2050</c:v>
                </c:pt>
              </c:numCache>
            </c:numRef>
          </c:cat>
          <c:val>
            <c:numRef>
              <c:f>'NW Baseline Energy by Use'!$B$8:$AO$8</c:f>
              <c:numCache>
                <c:formatCode>General</c:formatCode>
                <c:ptCount val="40"/>
                <c:pt idx="0">
                  <c:v>17117355.046416089</c:v>
                </c:pt>
                <c:pt idx="1">
                  <c:v>17235290.288918871</c:v>
                </c:pt>
                <c:pt idx="2">
                  <c:v>17353850.440147415</c:v>
                </c:pt>
                <c:pt idx="3">
                  <c:v>17473035.977434885</c:v>
                </c:pt>
                <c:pt idx="4">
                  <c:v>17592847.322828114</c:v>
                </c:pt>
                <c:pt idx="5">
                  <c:v>17713284.841910087</c:v>
                </c:pt>
                <c:pt idx="6">
                  <c:v>17834348.842604011</c:v>
                </c:pt>
                <c:pt idx="7">
                  <c:v>17956039.573959008</c:v>
                </c:pt>
                <c:pt idx="8">
                  <c:v>18078357.224916887</c:v>
                </c:pt>
                <c:pt idx="9">
                  <c:v>18277971.820391402</c:v>
                </c:pt>
                <c:pt idx="10">
                  <c:v>18551436.620124884</c:v>
                </c:pt>
                <c:pt idx="11">
                  <c:v>18828776.65011159</c:v>
                </c:pt>
                <c:pt idx="12">
                  <c:v>19110041.933032196</c:v>
                </c:pt>
                <c:pt idx="13">
                  <c:v>19395283.020375531</c:v>
                </c:pt>
                <c:pt idx="14">
                  <c:v>19684550.994962543</c:v>
                </c:pt>
                <c:pt idx="15">
                  <c:v>19977897.473384075</c:v>
                </c:pt>
                <c:pt idx="16">
                  <c:v>20275374.608348414</c:v>
                </c:pt>
                <c:pt idx="17">
                  <c:v>20577035.090934601</c:v>
                </c:pt>
                <c:pt idx="18">
                  <c:v>20882932.152747035</c:v>
                </c:pt>
                <c:pt idx="19">
                  <c:v>21161067.29256456</c:v>
                </c:pt>
                <c:pt idx="20">
                  <c:v>21442644.997068066</c:v>
                </c:pt>
                <c:pt idx="21">
                  <c:v>21727702.196860213</c:v>
                </c:pt>
                <c:pt idx="22">
                  <c:v>22016276.178203493</c:v>
                </c:pt>
                <c:pt idx="23">
                  <c:v>22308404.495553803</c:v>
                </c:pt>
                <c:pt idx="24">
                  <c:v>22604124.970004596</c:v>
                </c:pt>
                <c:pt idx="25">
                  <c:v>22903475.687602367</c:v>
                </c:pt>
                <c:pt idx="26">
                  <c:v>23206494.997529514</c:v>
                </c:pt>
                <c:pt idx="27">
                  <c:v>23513221.51015063</c:v>
                </c:pt>
                <c:pt idx="28">
                  <c:v>23823694.094918061</c:v>
                </c:pt>
                <c:pt idx="29">
                  <c:v>24137951.77472499</c:v>
                </c:pt>
                <c:pt idx="30">
                  <c:v>24456034.135404125</c:v>
                </c:pt>
                <c:pt idx="31">
                  <c:v>24777980.707940824</c:v>
                </c:pt>
                <c:pt idx="32">
                  <c:v>25103831.374231488</c:v>
                </c:pt>
                <c:pt idx="33">
                  <c:v>25433626.262527782</c:v>
                </c:pt>
                <c:pt idx="34">
                  <c:v>25767405.744406503</c:v>
                </c:pt>
                <c:pt idx="35">
                  <c:v>26105210.431567308</c:v>
                </c:pt>
                <c:pt idx="36">
                  <c:v>26447081.172453213</c:v>
                </c:pt>
                <c:pt idx="37">
                  <c:v>26793059.048688937</c:v>
                </c:pt>
                <c:pt idx="38">
                  <c:v>27143185.371331774</c:v>
                </c:pt>
                <c:pt idx="39">
                  <c:v>27497501.676929846</c:v>
                </c:pt>
              </c:numCache>
            </c:numRef>
          </c:val>
        </c:ser>
        <c:ser>
          <c:idx val="7"/>
          <c:order val="6"/>
          <c:tx>
            <c:strRef>
              <c:f>'NW Baseline Energy by Use'!$A$9</c:f>
              <c:strCache>
                <c:ptCount val="1"/>
                <c:pt idx="0">
                  <c:v>Other - Residential</c:v>
                </c:pt>
              </c:strCache>
            </c:strRef>
          </c:tx>
          <c:cat>
            <c:numRef>
              <c:f>'NW Baseline Energy by Use'!$B$2:$AO$2</c:f>
              <c:numCache>
                <c:formatCode>General</c:formatCode>
                <c:ptCount val="4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pt idx="20">
                  <c:v>2031</c:v>
                </c:pt>
                <c:pt idx="21">
                  <c:v>2032</c:v>
                </c:pt>
                <c:pt idx="22">
                  <c:v>2033</c:v>
                </c:pt>
                <c:pt idx="23">
                  <c:v>2034</c:v>
                </c:pt>
                <c:pt idx="24">
                  <c:v>2035</c:v>
                </c:pt>
                <c:pt idx="25">
                  <c:v>2036</c:v>
                </c:pt>
                <c:pt idx="26">
                  <c:v>2037</c:v>
                </c:pt>
                <c:pt idx="27">
                  <c:v>2038</c:v>
                </c:pt>
                <c:pt idx="28">
                  <c:v>2039</c:v>
                </c:pt>
                <c:pt idx="29">
                  <c:v>2040</c:v>
                </c:pt>
                <c:pt idx="30">
                  <c:v>2041</c:v>
                </c:pt>
                <c:pt idx="31">
                  <c:v>2042</c:v>
                </c:pt>
                <c:pt idx="32">
                  <c:v>2043</c:v>
                </c:pt>
                <c:pt idx="33">
                  <c:v>2044</c:v>
                </c:pt>
                <c:pt idx="34">
                  <c:v>2045</c:v>
                </c:pt>
                <c:pt idx="35">
                  <c:v>2046</c:v>
                </c:pt>
                <c:pt idx="36">
                  <c:v>2047</c:v>
                </c:pt>
                <c:pt idx="37">
                  <c:v>2048</c:v>
                </c:pt>
                <c:pt idx="38">
                  <c:v>2049</c:v>
                </c:pt>
                <c:pt idx="39">
                  <c:v>2050</c:v>
                </c:pt>
              </c:numCache>
            </c:numRef>
          </c:cat>
          <c:val>
            <c:numRef>
              <c:f>'NW Baseline Energy by Use'!$B$9:$AO$9</c:f>
              <c:numCache>
                <c:formatCode>General</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val>
        </c:ser>
        <c:axId val="130353792"/>
        <c:axId val="130371968"/>
      </c:areaChart>
      <c:catAx>
        <c:axId val="130353792"/>
        <c:scaling>
          <c:orientation val="minMax"/>
        </c:scaling>
        <c:axPos val="b"/>
        <c:numFmt formatCode="General" sourceLinked="1"/>
        <c:tickLblPos val="nextTo"/>
        <c:crossAx val="130371968"/>
        <c:crosses val="autoZero"/>
        <c:auto val="1"/>
        <c:lblAlgn val="ctr"/>
        <c:lblOffset val="100"/>
      </c:catAx>
      <c:valAx>
        <c:axId val="130371968"/>
        <c:scaling>
          <c:orientation val="minMax"/>
          <c:max val="140000000"/>
          <c:min val="0"/>
        </c:scaling>
        <c:axPos val="l"/>
        <c:majorGridlines/>
        <c:title>
          <c:tx>
            <c:rich>
              <a:bodyPr rot="-5400000" vert="horz"/>
              <a:lstStyle/>
              <a:p>
                <a:pPr>
                  <a:defRPr/>
                </a:pPr>
                <a:r>
                  <a:rPr lang="en-US"/>
                  <a:t>Total Consumption (MWh/yr)</a:t>
                </a:r>
              </a:p>
            </c:rich>
          </c:tx>
        </c:title>
        <c:numFmt formatCode="#,##0.00" sourceLinked="0"/>
        <c:tickLblPos val="nextTo"/>
        <c:crossAx val="130353792"/>
        <c:crosses val="autoZero"/>
        <c:crossBetween val="midCat"/>
      </c:valAx>
    </c:plotArea>
    <c:legend>
      <c:legendPos val="r"/>
      <c:layout>
        <c:manualLayout>
          <c:xMode val="edge"/>
          <c:yMode val="edge"/>
          <c:x val="1.1652668416447983E-2"/>
          <c:y val="0.71370390345043011"/>
          <c:w val="0.97168066491688565"/>
          <c:h val="0.27712029147041783"/>
        </c:manualLayout>
      </c:layout>
    </c:legend>
    <c:plotVisOnly val="1"/>
    <c:dispBlanksAs val="zero"/>
  </c:chart>
  <c:printSettings>
    <c:headerFooter/>
    <c:pageMargins b="0.75000000000000477" l="0.70000000000000062" r="0.70000000000000062" t="0.75000000000000477"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2418359580052494"/>
          <c:y val="5.1400554097404488E-2"/>
          <c:w val="0.7198167104112001"/>
          <c:h val="0.56121717662004578"/>
        </c:manualLayout>
      </c:layout>
      <c:areaChart>
        <c:grouping val="stacked"/>
        <c:ser>
          <c:idx val="1"/>
          <c:order val="0"/>
          <c:tx>
            <c:strRef>
              <c:f>'NW Baseline Energy by Use'!$A$10</c:f>
              <c:strCache>
                <c:ptCount val="1"/>
                <c:pt idx="0">
                  <c:v>Air Conditioning/Space Cooling - Commercial</c:v>
                </c:pt>
              </c:strCache>
            </c:strRef>
          </c:tx>
          <c:cat>
            <c:numRef>
              <c:f>'NW Baseline Energy by Use'!$B$2:$AO$2</c:f>
              <c:numCache>
                <c:formatCode>General</c:formatCode>
                <c:ptCount val="4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pt idx="20">
                  <c:v>2031</c:v>
                </c:pt>
                <c:pt idx="21">
                  <c:v>2032</c:v>
                </c:pt>
                <c:pt idx="22">
                  <c:v>2033</c:v>
                </c:pt>
                <c:pt idx="23">
                  <c:v>2034</c:v>
                </c:pt>
                <c:pt idx="24">
                  <c:v>2035</c:v>
                </c:pt>
                <c:pt idx="25">
                  <c:v>2036</c:v>
                </c:pt>
                <c:pt idx="26">
                  <c:v>2037</c:v>
                </c:pt>
                <c:pt idx="27">
                  <c:v>2038</c:v>
                </c:pt>
                <c:pt idx="28">
                  <c:v>2039</c:v>
                </c:pt>
                <c:pt idx="29">
                  <c:v>2040</c:v>
                </c:pt>
                <c:pt idx="30">
                  <c:v>2041</c:v>
                </c:pt>
                <c:pt idx="31">
                  <c:v>2042</c:v>
                </c:pt>
                <c:pt idx="32">
                  <c:v>2043</c:v>
                </c:pt>
                <c:pt idx="33">
                  <c:v>2044</c:v>
                </c:pt>
                <c:pt idx="34">
                  <c:v>2045</c:v>
                </c:pt>
                <c:pt idx="35">
                  <c:v>2046</c:v>
                </c:pt>
                <c:pt idx="36">
                  <c:v>2047</c:v>
                </c:pt>
                <c:pt idx="37">
                  <c:v>2048</c:v>
                </c:pt>
                <c:pt idx="38">
                  <c:v>2049</c:v>
                </c:pt>
                <c:pt idx="39">
                  <c:v>2050</c:v>
                </c:pt>
              </c:numCache>
            </c:numRef>
          </c:cat>
          <c:val>
            <c:numRef>
              <c:f>'NW Baseline Energy by Use'!$B$10:$AO$10</c:f>
              <c:numCache>
                <c:formatCode>General</c:formatCode>
                <c:ptCount val="40"/>
                <c:pt idx="0">
                  <c:v>17875058.364626866</c:v>
                </c:pt>
                <c:pt idx="1">
                  <c:v>18195388.394981839</c:v>
                </c:pt>
                <c:pt idx="2">
                  <c:v>18521374.301752698</c:v>
                </c:pt>
                <c:pt idx="3">
                  <c:v>18853113.913692363</c:v>
                </c:pt>
                <c:pt idx="4">
                  <c:v>19190706.961772207</c:v>
                </c:pt>
                <c:pt idx="5">
                  <c:v>19534254.602150977</c:v>
                </c:pt>
                <c:pt idx="6">
                  <c:v>19883859.957484908</c:v>
                </c:pt>
                <c:pt idx="7">
                  <c:v>20239627.620270211</c:v>
                </c:pt>
                <c:pt idx="8">
                  <c:v>20601664.215863559</c:v>
                </c:pt>
                <c:pt idx="9">
                  <c:v>21054363.133481279</c:v>
                </c:pt>
                <c:pt idx="10">
                  <c:v>21301667.815247945</c:v>
                </c:pt>
                <c:pt idx="11">
                  <c:v>21551873.137487747</c:v>
                </c:pt>
                <c:pt idx="12">
                  <c:v>21805013.076185714</c:v>
                </c:pt>
                <c:pt idx="13">
                  <c:v>22061122.004799575</c:v>
                </c:pt>
                <c:pt idx="14">
                  <c:v>22320234.69890428</c:v>
                </c:pt>
                <c:pt idx="15">
                  <c:v>22582386.34089065</c:v>
                </c:pt>
                <c:pt idx="16">
                  <c:v>22847612.524718914</c:v>
                </c:pt>
                <c:pt idx="17">
                  <c:v>23115949.260727722</c:v>
                </c:pt>
                <c:pt idx="18">
                  <c:v>23387432.980499264</c:v>
                </c:pt>
                <c:pt idx="19">
                  <c:v>23608641.186362401</c:v>
                </c:pt>
                <c:pt idx="20">
                  <c:v>23653130.997788694</c:v>
                </c:pt>
                <c:pt idx="21">
                  <c:v>23861940.770290568</c:v>
                </c:pt>
                <c:pt idx="22">
                  <c:v>24074420.689822271</c:v>
                </c:pt>
                <c:pt idx="23">
                  <c:v>24290294.71202676</c:v>
                </c:pt>
                <c:pt idx="24">
                  <c:v>24509183.339985196</c:v>
                </c:pt>
                <c:pt idx="25">
                  <c:v>24730586.152036142</c:v>
                </c:pt>
                <c:pt idx="26">
                  <c:v>24953863.164185427</c:v>
                </c:pt>
                <c:pt idx="27">
                  <c:v>25178213.427249659</c:v>
                </c:pt>
                <c:pt idx="28">
                  <c:v>25402651.409727752</c:v>
                </c:pt>
                <c:pt idx="29">
                  <c:v>25625982.114197478</c:v>
                </c:pt>
                <c:pt idx="30">
                  <c:v>25753247.421845861</c:v>
                </c:pt>
                <c:pt idx="31">
                  <c:v>25967391.015977088</c:v>
                </c:pt>
                <c:pt idx="32">
                  <c:v>26183302.576061398</c:v>
                </c:pt>
                <c:pt idx="33">
                  <c:v>26400996.665471293</c:v>
                </c:pt>
                <c:pt idx="34">
                  <c:v>26620487.968110174</c:v>
                </c:pt>
                <c:pt idx="35">
                  <c:v>26841791.011226747</c:v>
                </c:pt>
                <c:pt idx="36">
                  <c:v>27064920.808875158</c:v>
                </c:pt>
                <c:pt idx="37">
                  <c:v>27289892.124292739</c:v>
                </c:pt>
                <c:pt idx="38">
                  <c:v>27516720.216094092</c:v>
                </c:pt>
                <c:pt idx="39">
                  <c:v>27745420.087288171</c:v>
                </c:pt>
              </c:numCache>
            </c:numRef>
          </c:val>
        </c:ser>
        <c:ser>
          <c:idx val="2"/>
          <c:order val="1"/>
          <c:tx>
            <c:strRef>
              <c:f>'NW Baseline Energy by Use'!$A$11</c:f>
              <c:strCache>
                <c:ptCount val="1"/>
                <c:pt idx="0">
                  <c:v>Appliances &amp; Plug Loads - Commercial</c:v>
                </c:pt>
              </c:strCache>
            </c:strRef>
          </c:tx>
          <c:cat>
            <c:numRef>
              <c:f>'NW Baseline Energy by Use'!$B$2:$AO$2</c:f>
              <c:numCache>
                <c:formatCode>General</c:formatCode>
                <c:ptCount val="4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pt idx="20">
                  <c:v>2031</c:v>
                </c:pt>
                <c:pt idx="21">
                  <c:v>2032</c:v>
                </c:pt>
                <c:pt idx="22">
                  <c:v>2033</c:v>
                </c:pt>
                <c:pt idx="23">
                  <c:v>2034</c:v>
                </c:pt>
                <c:pt idx="24">
                  <c:v>2035</c:v>
                </c:pt>
                <c:pt idx="25">
                  <c:v>2036</c:v>
                </c:pt>
                <c:pt idx="26">
                  <c:v>2037</c:v>
                </c:pt>
                <c:pt idx="27">
                  <c:v>2038</c:v>
                </c:pt>
                <c:pt idx="28">
                  <c:v>2039</c:v>
                </c:pt>
                <c:pt idx="29">
                  <c:v>2040</c:v>
                </c:pt>
                <c:pt idx="30">
                  <c:v>2041</c:v>
                </c:pt>
                <c:pt idx="31">
                  <c:v>2042</c:v>
                </c:pt>
                <c:pt idx="32">
                  <c:v>2043</c:v>
                </c:pt>
                <c:pt idx="33">
                  <c:v>2044</c:v>
                </c:pt>
                <c:pt idx="34">
                  <c:v>2045</c:v>
                </c:pt>
                <c:pt idx="35">
                  <c:v>2046</c:v>
                </c:pt>
                <c:pt idx="36">
                  <c:v>2047</c:v>
                </c:pt>
                <c:pt idx="37">
                  <c:v>2048</c:v>
                </c:pt>
                <c:pt idx="38">
                  <c:v>2049</c:v>
                </c:pt>
                <c:pt idx="39">
                  <c:v>2050</c:v>
                </c:pt>
              </c:numCache>
            </c:numRef>
          </c:cat>
          <c:val>
            <c:numRef>
              <c:f>'NW Baseline Energy by Use'!$B$11:$AO$11</c:f>
              <c:numCache>
                <c:formatCode>General</c:formatCode>
                <c:ptCount val="40"/>
                <c:pt idx="0">
                  <c:v>7508065.5504521728</c:v>
                </c:pt>
                <c:pt idx="1">
                  <c:v>7704014.8442957075</c:v>
                </c:pt>
                <c:pt idx="2">
                  <c:v>7904807.7401940674</c:v>
                </c:pt>
                <c:pt idx="3">
                  <c:v>8110559.6537306262</c:v>
                </c:pt>
                <c:pt idx="4">
                  <c:v>8321388.9376477236</c:v>
                </c:pt>
                <c:pt idx="5">
                  <c:v>8537416.5054942705</c:v>
                </c:pt>
                <c:pt idx="6">
                  <c:v>8758766.0774807222</c:v>
                </c:pt>
                <c:pt idx="7">
                  <c:v>8985564.4509863723</c:v>
                </c:pt>
                <c:pt idx="8">
                  <c:v>9217941.1651202794</c:v>
                </c:pt>
                <c:pt idx="9">
                  <c:v>9494035.4750925601</c:v>
                </c:pt>
                <c:pt idx="10">
                  <c:v>9616931.5347121339</c:v>
                </c:pt>
                <c:pt idx="11">
                  <c:v>9741392.6555234399</c:v>
                </c:pt>
                <c:pt idx="12">
                  <c:v>9867438.6630656328</c:v>
                </c:pt>
                <c:pt idx="13">
                  <c:v>9995089.3333942257</c:v>
                </c:pt>
                <c:pt idx="14">
                  <c:v>10124364.98818545</c:v>
                </c:pt>
                <c:pt idx="15">
                  <c:v>10255285.89902232</c:v>
                </c:pt>
                <c:pt idx="16">
                  <c:v>10387872.818186792</c:v>
                </c:pt>
                <c:pt idx="17">
                  <c:v>10522146.758625796</c:v>
                </c:pt>
                <c:pt idx="18">
                  <c:v>10658128.758387435</c:v>
                </c:pt>
                <c:pt idx="19">
                  <c:v>10771449.5871528</c:v>
                </c:pt>
                <c:pt idx="20">
                  <c:v>11007978.674871022</c:v>
                </c:pt>
                <c:pt idx="21">
                  <c:v>11134990.046652315</c:v>
                </c:pt>
                <c:pt idx="22">
                  <c:v>11262149.556958672</c:v>
                </c:pt>
                <c:pt idx="23">
                  <c:v>11389671.371506117</c:v>
                </c:pt>
                <c:pt idx="24">
                  <c:v>11517840.869415985</c:v>
                </c:pt>
                <c:pt idx="25">
                  <c:v>11647025.729921211</c:v>
                </c:pt>
                <c:pt idx="26">
                  <c:v>11777689.673507271</c:v>
                </c:pt>
                <c:pt idx="27">
                  <c:v>11910406.245977068</c:v>
                </c:pt>
                <c:pt idx="28">
                  <c:v>12045875.152247015</c:v>
                </c:pt>
                <c:pt idx="29">
                  <c:v>12184939.434322517</c:v>
                </c:pt>
                <c:pt idx="30">
                  <c:v>12392433.86259583</c:v>
                </c:pt>
                <c:pt idx="31">
                  <c:v>12543531.203489164</c:v>
                </c:pt>
                <c:pt idx="32">
                  <c:v>12696345.65106868</c:v>
                </c:pt>
                <c:pt idx="33">
                  <c:v>12850895.793587187</c:v>
                </c:pt>
                <c:pt idx="34">
                  <c:v>13007200.688960493</c:v>
                </c:pt>
                <c:pt idx="35">
                  <c:v>13165279.32276376</c:v>
                </c:pt>
                <c:pt idx="36">
                  <c:v>13325150.972173484</c:v>
                </c:pt>
                <c:pt idx="37">
                  <c:v>13486835.11777797</c:v>
                </c:pt>
                <c:pt idx="38">
                  <c:v>13650351.445678186</c:v>
                </c:pt>
                <c:pt idx="39">
                  <c:v>13815719.753488246</c:v>
                </c:pt>
              </c:numCache>
            </c:numRef>
          </c:val>
        </c:ser>
        <c:ser>
          <c:idx val="3"/>
          <c:order val="2"/>
          <c:tx>
            <c:strRef>
              <c:f>'NW Baseline Energy by Use'!$A$12</c:f>
              <c:strCache>
                <c:ptCount val="1"/>
                <c:pt idx="0">
                  <c:v>Lighting - Commercial</c:v>
                </c:pt>
              </c:strCache>
            </c:strRef>
          </c:tx>
          <c:cat>
            <c:numRef>
              <c:f>'NW Baseline Energy by Use'!$B$2:$AO$2</c:f>
              <c:numCache>
                <c:formatCode>General</c:formatCode>
                <c:ptCount val="4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pt idx="20">
                  <c:v>2031</c:v>
                </c:pt>
                <c:pt idx="21">
                  <c:v>2032</c:v>
                </c:pt>
                <c:pt idx="22">
                  <c:v>2033</c:v>
                </c:pt>
                <c:pt idx="23">
                  <c:v>2034</c:v>
                </c:pt>
                <c:pt idx="24">
                  <c:v>2035</c:v>
                </c:pt>
                <c:pt idx="25">
                  <c:v>2036</c:v>
                </c:pt>
                <c:pt idx="26">
                  <c:v>2037</c:v>
                </c:pt>
                <c:pt idx="27">
                  <c:v>2038</c:v>
                </c:pt>
                <c:pt idx="28">
                  <c:v>2039</c:v>
                </c:pt>
                <c:pt idx="29">
                  <c:v>2040</c:v>
                </c:pt>
                <c:pt idx="30">
                  <c:v>2041</c:v>
                </c:pt>
                <c:pt idx="31">
                  <c:v>2042</c:v>
                </c:pt>
                <c:pt idx="32">
                  <c:v>2043</c:v>
                </c:pt>
                <c:pt idx="33">
                  <c:v>2044</c:v>
                </c:pt>
                <c:pt idx="34">
                  <c:v>2045</c:v>
                </c:pt>
                <c:pt idx="35">
                  <c:v>2046</c:v>
                </c:pt>
                <c:pt idx="36">
                  <c:v>2047</c:v>
                </c:pt>
                <c:pt idx="37">
                  <c:v>2048</c:v>
                </c:pt>
                <c:pt idx="38">
                  <c:v>2049</c:v>
                </c:pt>
                <c:pt idx="39">
                  <c:v>2050</c:v>
                </c:pt>
              </c:numCache>
            </c:numRef>
          </c:cat>
          <c:val>
            <c:numRef>
              <c:f>'NW Baseline Energy by Use'!$B$12:$AO$12</c:f>
              <c:numCache>
                <c:formatCode>General</c:formatCode>
                <c:ptCount val="40"/>
                <c:pt idx="0">
                  <c:v>12938032.97484665</c:v>
                </c:pt>
                <c:pt idx="1">
                  <c:v>13348039.527946135</c:v>
                </c:pt>
                <c:pt idx="2">
                  <c:v>13769300.352206016</c:v>
                </c:pt>
                <c:pt idx="3">
                  <c:v>14202102.077338919</c:v>
                </c:pt>
                <c:pt idx="4">
                  <c:v>14646738.562778816</c:v>
                </c:pt>
                <c:pt idx="5">
                  <c:v>15103510.624711946</c:v>
                </c:pt>
                <c:pt idx="6">
                  <c:v>15572726.387736829</c:v>
                </c:pt>
                <c:pt idx="7">
                  <c:v>16054701.663653765</c:v>
                </c:pt>
                <c:pt idx="8">
                  <c:v>16549759.656587407</c:v>
                </c:pt>
                <c:pt idx="9">
                  <c:v>17126794.013861518</c:v>
                </c:pt>
                <c:pt idx="10">
                  <c:v>17362109.721160289</c:v>
                </c:pt>
                <c:pt idx="11">
                  <c:v>17600556.508580498</c:v>
                </c:pt>
                <c:pt idx="12">
                  <c:v>17842175.23839302</c:v>
                </c:pt>
                <c:pt idx="13">
                  <c:v>18087007.07410771</c:v>
                </c:pt>
                <c:pt idx="14">
                  <c:v>18335093.778918084</c:v>
                </c:pt>
                <c:pt idx="15">
                  <c:v>18586477.649576358</c:v>
                </c:pt>
                <c:pt idx="16">
                  <c:v>18841201.523119092</c:v>
                </c:pt>
                <c:pt idx="17">
                  <c:v>19099308.704954576</c:v>
                </c:pt>
                <c:pt idx="18">
                  <c:v>19360843.289755851</c:v>
                </c:pt>
                <c:pt idx="19">
                  <c:v>19581509.3718132</c:v>
                </c:pt>
                <c:pt idx="20">
                  <c:v>20243511.133822896</c:v>
                </c:pt>
                <c:pt idx="21">
                  <c:v>20509746.104185585</c:v>
                </c:pt>
                <c:pt idx="22">
                  <c:v>20774649.740178861</c:v>
                </c:pt>
                <c:pt idx="23">
                  <c:v>21038974.692969363</c:v>
                </c:pt>
                <c:pt idx="24">
                  <c:v>21303728.470508397</c:v>
                </c:pt>
                <c:pt idx="25">
                  <c:v>21570216.000687655</c:v>
                </c:pt>
                <c:pt idx="26">
                  <c:v>21840085.651327033</c:v>
                </c:pt>
                <c:pt idx="27">
                  <c:v>22115382.052256707</c:v>
                </c:pt>
                <c:pt idx="28">
                  <c:v>22398602.855379343</c:v>
                </c:pt>
                <c:pt idx="29">
                  <c:v>22692761.356994532</c:v>
                </c:pt>
                <c:pt idx="30">
                  <c:v>23231039.839931864</c:v>
                </c:pt>
                <c:pt idx="31">
                  <c:v>23564431.953687496</c:v>
                </c:pt>
                <c:pt idx="32">
                  <c:v>23901947.09196312</c:v>
                </c:pt>
                <c:pt idx="33">
                  <c:v>24243632.315481111</c:v>
                </c:pt>
                <c:pt idx="34">
                  <c:v>24589535.562717866</c:v>
                </c:pt>
                <c:pt idx="35">
                  <c:v>24939704.929942247</c:v>
                </c:pt>
                <c:pt idx="36">
                  <c:v>25294189.408725511</c:v>
                </c:pt>
                <c:pt idx="37">
                  <c:v>25653038.15295599</c:v>
                </c:pt>
                <c:pt idx="38">
                  <c:v>26016301.22972047</c:v>
                </c:pt>
                <c:pt idx="39">
                  <c:v>26384028.873059567</c:v>
                </c:pt>
              </c:numCache>
            </c:numRef>
          </c:val>
        </c:ser>
        <c:ser>
          <c:idx val="4"/>
          <c:order val="3"/>
          <c:tx>
            <c:strRef>
              <c:f>'NW Baseline Energy by Use'!$A$13</c:f>
              <c:strCache>
                <c:ptCount val="1"/>
                <c:pt idx="0">
                  <c:v>Refrigeration, Motors &amp; Process Equipment - Commercial</c:v>
                </c:pt>
              </c:strCache>
            </c:strRef>
          </c:tx>
          <c:cat>
            <c:numRef>
              <c:f>'NW Baseline Energy by Use'!$B$2:$AO$2</c:f>
              <c:numCache>
                <c:formatCode>General</c:formatCode>
                <c:ptCount val="4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pt idx="20">
                  <c:v>2031</c:v>
                </c:pt>
                <c:pt idx="21">
                  <c:v>2032</c:v>
                </c:pt>
                <c:pt idx="22">
                  <c:v>2033</c:v>
                </c:pt>
                <c:pt idx="23">
                  <c:v>2034</c:v>
                </c:pt>
                <c:pt idx="24">
                  <c:v>2035</c:v>
                </c:pt>
                <c:pt idx="25">
                  <c:v>2036</c:v>
                </c:pt>
                <c:pt idx="26">
                  <c:v>2037</c:v>
                </c:pt>
                <c:pt idx="27">
                  <c:v>2038</c:v>
                </c:pt>
                <c:pt idx="28">
                  <c:v>2039</c:v>
                </c:pt>
                <c:pt idx="29">
                  <c:v>2040</c:v>
                </c:pt>
                <c:pt idx="30">
                  <c:v>2041</c:v>
                </c:pt>
                <c:pt idx="31">
                  <c:v>2042</c:v>
                </c:pt>
                <c:pt idx="32">
                  <c:v>2043</c:v>
                </c:pt>
                <c:pt idx="33">
                  <c:v>2044</c:v>
                </c:pt>
                <c:pt idx="34">
                  <c:v>2045</c:v>
                </c:pt>
                <c:pt idx="35">
                  <c:v>2046</c:v>
                </c:pt>
                <c:pt idx="36">
                  <c:v>2047</c:v>
                </c:pt>
                <c:pt idx="37">
                  <c:v>2048</c:v>
                </c:pt>
                <c:pt idx="38">
                  <c:v>2049</c:v>
                </c:pt>
                <c:pt idx="39">
                  <c:v>2050</c:v>
                </c:pt>
              </c:numCache>
            </c:numRef>
          </c:cat>
          <c:val>
            <c:numRef>
              <c:f>'NW Baseline Energy by Use'!$B$13:$AO$13</c:f>
              <c:numCache>
                <c:formatCode>General</c:formatCode>
                <c:ptCount val="40"/>
                <c:pt idx="0">
                  <c:v>7789867.564067537</c:v>
                </c:pt>
                <c:pt idx="1">
                  <c:v>7802224.0223681219</c:v>
                </c:pt>
                <c:pt idx="2">
                  <c:v>7811930.9489164473</c:v>
                </c:pt>
                <c:pt idx="3">
                  <c:v>7818876.8589515984</c:v>
                </c:pt>
                <c:pt idx="4">
                  <c:v>7822946.856835329</c:v>
                </c:pt>
                <c:pt idx="5">
                  <c:v>7824022.4777995022</c:v>
                </c:pt>
                <c:pt idx="6">
                  <c:v>7821981.8569591176</c:v>
                </c:pt>
                <c:pt idx="7">
                  <c:v>7816699.2394024916</c:v>
                </c:pt>
                <c:pt idx="8">
                  <c:v>7808045.1417811746</c:v>
                </c:pt>
                <c:pt idx="9">
                  <c:v>7827220.27064736</c:v>
                </c:pt>
                <c:pt idx="10">
                  <c:v>7860247.093451581</c:v>
                </c:pt>
                <c:pt idx="11">
                  <c:v>7893020.9455171563</c:v>
                </c:pt>
                <c:pt idx="12">
                  <c:v>7925531.8190021887</c:v>
                </c:pt>
                <c:pt idx="13">
                  <c:v>7957769.7363049388</c:v>
                </c:pt>
                <c:pt idx="14">
                  <c:v>7989724.3029737873</c:v>
                </c:pt>
                <c:pt idx="15">
                  <c:v>8021384.9997692546</c:v>
                </c:pt>
                <c:pt idx="16">
                  <c:v>8052741.1059087692</c:v>
                </c:pt>
                <c:pt idx="17">
                  <c:v>8083781.6171330623</c:v>
                </c:pt>
                <c:pt idx="18">
                  <c:v>8114495.5564464442</c:v>
                </c:pt>
                <c:pt idx="19">
                  <c:v>8126469.9403944006</c:v>
                </c:pt>
                <c:pt idx="20">
                  <c:v>7764929.0663065808</c:v>
                </c:pt>
                <c:pt idx="21">
                  <c:v>7741385.9451200552</c:v>
                </c:pt>
                <c:pt idx="22">
                  <c:v>7720600.6076458255</c:v>
                </c:pt>
                <c:pt idx="23">
                  <c:v>7701945.9787136344</c:v>
                </c:pt>
                <c:pt idx="24">
                  <c:v>7684578.7634441173</c:v>
                </c:pt>
                <c:pt idx="25">
                  <c:v>7667402.9358132044</c:v>
                </c:pt>
                <c:pt idx="26">
                  <c:v>7649030.4800635632</c:v>
                </c:pt>
                <c:pt idx="27">
                  <c:v>7627736.8518926939</c:v>
                </c:pt>
                <c:pt idx="28">
                  <c:v>7601412.6286672959</c:v>
                </c:pt>
                <c:pt idx="29">
                  <c:v>7567509.8588895239</c:v>
                </c:pt>
                <c:pt idx="30">
                  <c:v>7327847.4928133087</c:v>
                </c:pt>
                <c:pt idx="31">
                  <c:v>7264074.8834938761</c:v>
                </c:pt>
                <c:pt idx="32">
                  <c:v>7198556.9679919332</c:v>
                </c:pt>
                <c:pt idx="33">
                  <c:v>7131267.6438659243</c:v>
                </c:pt>
                <c:pt idx="34">
                  <c:v>7062180.1155608995</c:v>
                </c:pt>
                <c:pt idx="35">
                  <c:v>6991267.6159958076</c:v>
                </c:pt>
                <c:pt idx="36">
                  <c:v>6918502.6706937524</c:v>
                </c:pt>
                <c:pt idx="37">
                  <c:v>6843857.8324217517</c:v>
                </c:pt>
                <c:pt idx="38">
                  <c:v>6767305.0272414414</c:v>
                </c:pt>
                <c:pt idx="39">
                  <c:v>6688815.8261228558</c:v>
                </c:pt>
              </c:numCache>
            </c:numRef>
          </c:val>
        </c:ser>
        <c:ser>
          <c:idx val="5"/>
          <c:order val="4"/>
          <c:tx>
            <c:strRef>
              <c:f>'NW Baseline Energy by Use'!$A$14</c:f>
              <c:strCache>
                <c:ptCount val="1"/>
                <c:pt idx="0">
                  <c:v>Space Heating - Commercial</c:v>
                </c:pt>
              </c:strCache>
            </c:strRef>
          </c:tx>
          <c:cat>
            <c:numRef>
              <c:f>'NW Baseline Energy by Use'!$B$2:$AO$2</c:f>
              <c:numCache>
                <c:formatCode>General</c:formatCode>
                <c:ptCount val="4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pt idx="20">
                  <c:v>2031</c:v>
                </c:pt>
                <c:pt idx="21">
                  <c:v>2032</c:v>
                </c:pt>
                <c:pt idx="22">
                  <c:v>2033</c:v>
                </c:pt>
                <c:pt idx="23">
                  <c:v>2034</c:v>
                </c:pt>
                <c:pt idx="24">
                  <c:v>2035</c:v>
                </c:pt>
                <c:pt idx="25">
                  <c:v>2036</c:v>
                </c:pt>
                <c:pt idx="26">
                  <c:v>2037</c:v>
                </c:pt>
                <c:pt idx="27">
                  <c:v>2038</c:v>
                </c:pt>
                <c:pt idx="28">
                  <c:v>2039</c:v>
                </c:pt>
                <c:pt idx="29">
                  <c:v>2040</c:v>
                </c:pt>
                <c:pt idx="30">
                  <c:v>2041</c:v>
                </c:pt>
                <c:pt idx="31">
                  <c:v>2042</c:v>
                </c:pt>
                <c:pt idx="32">
                  <c:v>2043</c:v>
                </c:pt>
                <c:pt idx="33">
                  <c:v>2044</c:v>
                </c:pt>
                <c:pt idx="34">
                  <c:v>2045</c:v>
                </c:pt>
                <c:pt idx="35">
                  <c:v>2046</c:v>
                </c:pt>
                <c:pt idx="36">
                  <c:v>2047</c:v>
                </c:pt>
                <c:pt idx="37">
                  <c:v>2048</c:v>
                </c:pt>
                <c:pt idx="38">
                  <c:v>2049</c:v>
                </c:pt>
                <c:pt idx="39">
                  <c:v>2050</c:v>
                </c:pt>
              </c:numCache>
            </c:numRef>
          </c:cat>
          <c:val>
            <c:numRef>
              <c:f>'NW Baseline Energy by Use'!$B$14:$AO$14</c:f>
              <c:numCache>
                <c:formatCode>General</c:formatCode>
                <c:ptCount val="40"/>
                <c:pt idx="0">
                  <c:v>3915970.210627438</c:v>
                </c:pt>
                <c:pt idx="1">
                  <c:v>3947689.3970011468</c:v>
                </c:pt>
                <c:pt idx="2">
                  <c:v>3979101.841930849</c:v>
                </c:pt>
                <c:pt idx="3">
                  <c:v>4010182.4679344292</c:v>
                </c:pt>
                <c:pt idx="4">
                  <c:v>4040905.2511140099</c:v>
                </c:pt>
                <c:pt idx="5">
                  <c:v>4071243.2555930591</c:v>
                </c:pt>
                <c:pt idx="6">
                  <c:v>4101168.6748850713</c:v>
                </c:pt>
                <c:pt idx="7">
                  <c:v>4130652.5363674792</c:v>
                </c:pt>
                <c:pt idx="8">
                  <c:v>4159665.0747942333</c:v>
                </c:pt>
                <c:pt idx="9">
                  <c:v>4205009.0143007999</c:v>
                </c:pt>
                <c:pt idx="10">
                  <c:v>4236219.6071711509</c:v>
                </c:pt>
                <c:pt idx="11">
                  <c:v>4267598.5720281387</c:v>
                </c:pt>
                <c:pt idx="12">
                  <c:v>4299145.8770781439</c:v>
                </c:pt>
                <c:pt idx="13">
                  <c:v>4330861.170617383</c:v>
                </c:pt>
                <c:pt idx="14">
                  <c:v>4362744.3725602608</c:v>
                </c:pt>
                <c:pt idx="15">
                  <c:v>4394795.0751031721</c:v>
                </c:pt>
                <c:pt idx="16">
                  <c:v>4427013.1476899805</c:v>
                </c:pt>
                <c:pt idx="17">
                  <c:v>4459398.1240490358</c:v>
                </c:pt>
                <c:pt idx="18">
                  <c:v>4491949.820901012</c:v>
                </c:pt>
                <c:pt idx="19">
                  <c:v>4514445.2112060003</c:v>
                </c:pt>
                <c:pt idx="20">
                  <c:v>4409812.3755957419</c:v>
                </c:pt>
                <c:pt idx="21">
                  <c:v>4420586.3483140599</c:v>
                </c:pt>
                <c:pt idx="22">
                  <c:v>4432496.0947524998</c:v>
                </c:pt>
                <c:pt idx="23">
                  <c:v>4445329.7997629233</c:v>
                </c:pt>
                <c:pt idx="24">
                  <c:v>4458801.9270506054</c:v>
                </c:pt>
                <c:pt idx="25">
                  <c:v>4472541.1755712042</c:v>
                </c:pt>
                <c:pt idx="26">
                  <c:v>4486076.2459659539</c:v>
                </c:pt>
                <c:pt idx="27">
                  <c:v>4498821.4552656207</c:v>
                </c:pt>
                <c:pt idx="28">
                  <c:v>4510059.7740292288</c:v>
                </c:pt>
                <c:pt idx="29">
                  <c:v>4518924.9906394146</c:v>
                </c:pt>
                <c:pt idx="30">
                  <c:v>4457865.2429147363</c:v>
                </c:pt>
                <c:pt idx="31">
                  <c:v>4456975.3830211544</c:v>
                </c:pt>
                <c:pt idx="32">
                  <c:v>4455707.1412816811</c:v>
                </c:pt>
                <c:pt idx="33">
                  <c:v>4454053.9495423501</c:v>
                </c:pt>
                <c:pt idx="34">
                  <c:v>4452008.8795449492</c:v>
                </c:pt>
                <c:pt idx="35">
                  <c:v>4449565.0004863888</c:v>
                </c:pt>
                <c:pt idx="36">
                  <c:v>4446715.1948845275</c:v>
                </c:pt>
                <c:pt idx="37">
                  <c:v>4443452.5308927046</c:v>
                </c:pt>
                <c:pt idx="38">
                  <c:v>4439769.7022842867</c:v>
                </c:pt>
                <c:pt idx="39">
                  <c:v>4435659.3990701716</c:v>
                </c:pt>
              </c:numCache>
            </c:numRef>
          </c:val>
        </c:ser>
        <c:ser>
          <c:idx val="6"/>
          <c:order val="5"/>
          <c:tx>
            <c:strRef>
              <c:f>'NW Baseline Energy by Use'!$A$15</c:f>
              <c:strCache>
                <c:ptCount val="1"/>
                <c:pt idx="0">
                  <c:v>Water Heating - Commercial</c:v>
                </c:pt>
              </c:strCache>
            </c:strRef>
          </c:tx>
          <c:cat>
            <c:numRef>
              <c:f>'NW Baseline Energy by Use'!$B$2:$AO$2</c:f>
              <c:numCache>
                <c:formatCode>General</c:formatCode>
                <c:ptCount val="4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pt idx="20">
                  <c:v>2031</c:v>
                </c:pt>
                <c:pt idx="21">
                  <c:v>2032</c:v>
                </c:pt>
                <c:pt idx="22">
                  <c:v>2033</c:v>
                </c:pt>
                <c:pt idx="23">
                  <c:v>2034</c:v>
                </c:pt>
                <c:pt idx="24">
                  <c:v>2035</c:v>
                </c:pt>
                <c:pt idx="25">
                  <c:v>2036</c:v>
                </c:pt>
                <c:pt idx="26">
                  <c:v>2037</c:v>
                </c:pt>
                <c:pt idx="27">
                  <c:v>2038</c:v>
                </c:pt>
                <c:pt idx="28">
                  <c:v>2039</c:v>
                </c:pt>
                <c:pt idx="29">
                  <c:v>2040</c:v>
                </c:pt>
                <c:pt idx="30">
                  <c:v>2041</c:v>
                </c:pt>
                <c:pt idx="31">
                  <c:v>2042</c:v>
                </c:pt>
                <c:pt idx="32">
                  <c:v>2043</c:v>
                </c:pt>
                <c:pt idx="33">
                  <c:v>2044</c:v>
                </c:pt>
                <c:pt idx="34">
                  <c:v>2045</c:v>
                </c:pt>
                <c:pt idx="35">
                  <c:v>2046</c:v>
                </c:pt>
                <c:pt idx="36">
                  <c:v>2047</c:v>
                </c:pt>
                <c:pt idx="37">
                  <c:v>2048</c:v>
                </c:pt>
                <c:pt idx="38">
                  <c:v>2049</c:v>
                </c:pt>
                <c:pt idx="39">
                  <c:v>2050</c:v>
                </c:pt>
              </c:numCache>
            </c:numRef>
          </c:cat>
          <c:val>
            <c:numRef>
              <c:f>'NW Baseline Energy by Use'!$B$15:$AO$15</c:f>
              <c:numCache>
                <c:formatCode>General</c:formatCode>
                <c:ptCount val="40"/>
                <c:pt idx="0">
                  <c:v>1370406.4787949231</c:v>
                </c:pt>
                <c:pt idx="1">
                  <c:v>1396918.1803642253</c:v>
                </c:pt>
                <c:pt idx="2">
                  <c:v>1423941.9386672839</c:v>
                </c:pt>
                <c:pt idx="3">
                  <c:v>1451487.7534755939</c:v>
                </c:pt>
                <c:pt idx="4">
                  <c:v>1479565.5652454831</c:v>
                </c:pt>
                <c:pt idx="5">
                  <c:v>1508185.7626721803</c:v>
                </c:pt>
                <c:pt idx="6">
                  <c:v>1537358.7398990202</c:v>
                </c:pt>
                <c:pt idx="7">
                  <c:v>1567095.0871010229</c:v>
                </c:pt>
                <c:pt idx="8">
                  <c:v>1597405.8048489315</c:v>
                </c:pt>
                <c:pt idx="9">
                  <c:v>1634846.5493942399</c:v>
                </c:pt>
                <c:pt idx="10">
                  <c:v>1650878.7137444564</c:v>
                </c:pt>
                <c:pt idx="11">
                  <c:v>1667064.4550130954</c:v>
                </c:pt>
                <c:pt idx="12">
                  <c:v>1683405.1969316725</c:v>
                </c:pt>
                <c:pt idx="13">
                  <c:v>1699902.4510605682</c:v>
                </c:pt>
                <c:pt idx="14">
                  <c:v>1716557.5166923865</c:v>
                </c:pt>
                <c:pt idx="15">
                  <c:v>1733371.9299871523</c:v>
                </c:pt>
                <c:pt idx="16">
                  <c:v>1750347.1655587906</c:v>
                </c:pt>
                <c:pt idx="17">
                  <c:v>1767484.7897229171</c:v>
                </c:pt>
                <c:pt idx="18">
                  <c:v>1784786.1466032176</c:v>
                </c:pt>
                <c:pt idx="19">
                  <c:v>1798181.0307215999</c:v>
                </c:pt>
                <c:pt idx="20">
                  <c:v>1815571.8529729359</c:v>
                </c:pt>
                <c:pt idx="21">
                  <c:v>1829522.2735632362</c:v>
                </c:pt>
                <c:pt idx="22">
                  <c:v>1843536.7306424105</c:v>
                </c:pt>
                <c:pt idx="23">
                  <c:v>1857622.4621851556</c:v>
                </c:pt>
                <c:pt idx="24">
                  <c:v>1871788.7291466852</c:v>
                </c:pt>
                <c:pt idx="25">
                  <c:v>1886047.7486085161</c:v>
                </c:pt>
                <c:pt idx="26">
                  <c:v>1900414.3919745467</c:v>
                </c:pt>
                <c:pt idx="27">
                  <c:v>1914907.416922336</c:v>
                </c:pt>
                <c:pt idx="28">
                  <c:v>1929549.2824588281</c:v>
                </c:pt>
                <c:pt idx="29">
                  <c:v>1944367.3553905252</c:v>
                </c:pt>
                <c:pt idx="30">
                  <c:v>1961433.639697639</c:v>
                </c:pt>
                <c:pt idx="31">
                  <c:v>1976759.5314293606</c:v>
                </c:pt>
                <c:pt idx="32">
                  <c:v>1992202.3453770666</c:v>
                </c:pt>
                <c:pt idx="33">
                  <c:v>2007762.9441325504</c:v>
                </c:pt>
                <c:pt idx="34">
                  <c:v>2023442.1963380456</c:v>
                </c:pt>
                <c:pt idx="35">
                  <c:v>2039240.9767252163</c:v>
                </c:pt>
                <c:pt idx="36">
                  <c:v>2055160.1661543562</c:v>
                </c:pt>
                <c:pt idx="37">
                  <c:v>2071200.6516537999</c:v>
                </c:pt>
                <c:pt idx="38">
                  <c:v>2087363.3264595477</c:v>
                </c:pt>
                <c:pt idx="39">
                  <c:v>2103649.0900551011</c:v>
                </c:pt>
              </c:numCache>
            </c:numRef>
          </c:val>
        </c:ser>
        <c:ser>
          <c:idx val="7"/>
          <c:order val="6"/>
          <c:tx>
            <c:strRef>
              <c:f>'NW Baseline Energy by Use'!$A$16</c:f>
              <c:strCache>
                <c:ptCount val="1"/>
                <c:pt idx="0">
                  <c:v>Other - Commercial</c:v>
                </c:pt>
              </c:strCache>
            </c:strRef>
          </c:tx>
          <c:cat>
            <c:numRef>
              <c:f>'NW Baseline Energy by Use'!$B$2:$AO$2</c:f>
              <c:numCache>
                <c:formatCode>General</c:formatCode>
                <c:ptCount val="4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pt idx="20">
                  <c:v>2031</c:v>
                </c:pt>
                <c:pt idx="21">
                  <c:v>2032</c:v>
                </c:pt>
                <c:pt idx="22">
                  <c:v>2033</c:v>
                </c:pt>
                <c:pt idx="23">
                  <c:v>2034</c:v>
                </c:pt>
                <c:pt idx="24">
                  <c:v>2035</c:v>
                </c:pt>
                <c:pt idx="25">
                  <c:v>2036</c:v>
                </c:pt>
                <c:pt idx="26">
                  <c:v>2037</c:v>
                </c:pt>
                <c:pt idx="27">
                  <c:v>2038</c:v>
                </c:pt>
                <c:pt idx="28">
                  <c:v>2039</c:v>
                </c:pt>
                <c:pt idx="29">
                  <c:v>2040</c:v>
                </c:pt>
                <c:pt idx="30">
                  <c:v>2041</c:v>
                </c:pt>
                <c:pt idx="31">
                  <c:v>2042</c:v>
                </c:pt>
                <c:pt idx="32">
                  <c:v>2043</c:v>
                </c:pt>
                <c:pt idx="33">
                  <c:v>2044</c:v>
                </c:pt>
                <c:pt idx="34">
                  <c:v>2045</c:v>
                </c:pt>
                <c:pt idx="35">
                  <c:v>2046</c:v>
                </c:pt>
                <c:pt idx="36">
                  <c:v>2047</c:v>
                </c:pt>
                <c:pt idx="37">
                  <c:v>2048</c:v>
                </c:pt>
                <c:pt idx="38">
                  <c:v>2049</c:v>
                </c:pt>
                <c:pt idx="39">
                  <c:v>2050</c:v>
                </c:pt>
              </c:numCache>
            </c:numRef>
          </c:cat>
          <c:val>
            <c:numRef>
              <c:f>'NW Baseline Energy by Use'!$B$16:$AO$16</c:f>
              <c:numCache>
                <c:formatCode>General</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val>
        </c:ser>
        <c:axId val="130430080"/>
        <c:axId val="130431616"/>
      </c:areaChart>
      <c:catAx>
        <c:axId val="130430080"/>
        <c:scaling>
          <c:orientation val="minMax"/>
        </c:scaling>
        <c:axPos val="b"/>
        <c:numFmt formatCode="General" sourceLinked="1"/>
        <c:tickLblPos val="nextTo"/>
        <c:crossAx val="130431616"/>
        <c:crosses val="autoZero"/>
        <c:auto val="1"/>
        <c:lblAlgn val="ctr"/>
        <c:lblOffset val="100"/>
      </c:catAx>
      <c:valAx>
        <c:axId val="130431616"/>
        <c:scaling>
          <c:orientation val="minMax"/>
          <c:max val="140000000"/>
        </c:scaling>
        <c:axPos val="l"/>
        <c:majorGridlines/>
        <c:title>
          <c:tx>
            <c:rich>
              <a:bodyPr rot="-5400000" vert="horz"/>
              <a:lstStyle/>
              <a:p>
                <a:pPr>
                  <a:defRPr/>
                </a:pPr>
                <a:r>
                  <a:rPr lang="en-US"/>
                  <a:t>Total Consumption (MWh/yr)</a:t>
                </a:r>
              </a:p>
            </c:rich>
          </c:tx>
        </c:title>
        <c:numFmt formatCode="#,##0.00" sourceLinked="0"/>
        <c:tickLblPos val="nextTo"/>
        <c:crossAx val="130430080"/>
        <c:crosses val="autoZero"/>
        <c:crossBetween val="midCat"/>
      </c:valAx>
    </c:plotArea>
    <c:legend>
      <c:legendPos val="r"/>
      <c:layout>
        <c:manualLayout>
          <c:xMode val="edge"/>
          <c:yMode val="edge"/>
          <c:x val="1.9986001749781573E-2"/>
          <c:y val="0.70256211124293466"/>
          <c:w val="0.96334733158355712"/>
          <c:h val="0.29743788875705868"/>
        </c:manualLayout>
      </c:layout>
    </c:legend>
    <c:plotVisOnly val="1"/>
    <c:dispBlanksAs val="zero"/>
  </c:chart>
  <c:printSettings>
    <c:headerFooter/>
    <c:pageMargins b="0.75000000000000477" l="0.70000000000000062" r="0.70000000000000062" t="0.75000000000000477"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24461373578302836"/>
          <c:y val="3.3952659587276376E-2"/>
          <c:w val="0.73780293088363968"/>
          <c:h val="0.5864552481398535"/>
        </c:manualLayout>
      </c:layout>
      <c:areaChart>
        <c:grouping val="stacked"/>
        <c:ser>
          <c:idx val="1"/>
          <c:order val="0"/>
          <c:tx>
            <c:strRef>
              <c:f>'NW Baseline Energy by Use'!$A$17</c:f>
              <c:strCache>
                <c:ptCount val="1"/>
                <c:pt idx="0">
                  <c:v>Air Conditioning/Space Cooling - Industrial</c:v>
                </c:pt>
              </c:strCache>
            </c:strRef>
          </c:tx>
          <c:cat>
            <c:numRef>
              <c:f>'NW Baseline Energy by Use'!$B$2:$AO$2</c:f>
              <c:numCache>
                <c:formatCode>General</c:formatCode>
                <c:ptCount val="4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pt idx="20">
                  <c:v>2031</c:v>
                </c:pt>
                <c:pt idx="21">
                  <c:v>2032</c:v>
                </c:pt>
                <c:pt idx="22">
                  <c:v>2033</c:v>
                </c:pt>
                <c:pt idx="23">
                  <c:v>2034</c:v>
                </c:pt>
                <c:pt idx="24">
                  <c:v>2035</c:v>
                </c:pt>
                <c:pt idx="25">
                  <c:v>2036</c:v>
                </c:pt>
                <c:pt idx="26">
                  <c:v>2037</c:v>
                </c:pt>
                <c:pt idx="27">
                  <c:v>2038</c:v>
                </c:pt>
                <c:pt idx="28">
                  <c:v>2039</c:v>
                </c:pt>
                <c:pt idx="29">
                  <c:v>2040</c:v>
                </c:pt>
                <c:pt idx="30">
                  <c:v>2041</c:v>
                </c:pt>
                <c:pt idx="31">
                  <c:v>2042</c:v>
                </c:pt>
                <c:pt idx="32">
                  <c:v>2043</c:v>
                </c:pt>
                <c:pt idx="33">
                  <c:v>2044</c:v>
                </c:pt>
                <c:pt idx="34">
                  <c:v>2045</c:v>
                </c:pt>
                <c:pt idx="35">
                  <c:v>2046</c:v>
                </c:pt>
                <c:pt idx="36">
                  <c:v>2047</c:v>
                </c:pt>
                <c:pt idx="37">
                  <c:v>2048</c:v>
                </c:pt>
                <c:pt idx="38">
                  <c:v>2049</c:v>
                </c:pt>
                <c:pt idx="39">
                  <c:v>2050</c:v>
                </c:pt>
              </c:numCache>
            </c:numRef>
          </c:cat>
          <c:val>
            <c:numRef>
              <c:f>'NW Baseline Energy by Use'!$B$17:$AO$17</c:f>
              <c:numCache>
                <c:formatCode>General</c:formatCode>
                <c:ptCount val="40"/>
                <c:pt idx="0">
                  <c:v>1818449.282354383</c:v>
                </c:pt>
                <c:pt idx="1">
                  <c:v>1825408.5708291982</c:v>
                </c:pt>
                <c:pt idx="2">
                  <c:v>1832104.6721023906</c:v>
                </c:pt>
                <c:pt idx="3">
                  <c:v>1838526.9705766295</c:v>
                </c:pt>
                <c:pt idx="4">
                  <c:v>1844664.5684020468</c:v>
                </c:pt>
                <c:pt idx="5">
                  <c:v>1850506.2789259343</c:v>
                </c:pt>
                <c:pt idx="6">
                  <c:v>1856040.6199997554</c:v>
                </c:pt>
                <c:pt idx="7">
                  <c:v>1861255.8071404542</c:v>
                </c:pt>
                <c:pt idx="8">
                  <c:v>1866139.7465429923</c:v>
                </c:pt>
                <c:pt idx="9">
                  <c:v>1876381.8787047602</c:v>
                </c:pt>
                <c:pt idx="10">
                  <c:v>1905258.5110501563</c:v>
                </c:pt>
                <c:pt idx="11">
                  <c:v>1934504.8972658883</c:v>
                </c:pt>
                <c:pt idx="12">
                  <c:v>1964124.5488486772</c:v>
                </c:pt>
                <c:pt idx="13">
                  <c:v>1994120.982714765</c:v>
                </c:pt>
                <c:pt idx="14">
                  <c:v>2024497.7203008637</c:v>
                </c:pt>
                <c:pt idx="15">
                  <c:v>2055258.2866323241</c:v>
                </c:pt>
                <c:pt idx="16">
                  <c:v>2086406.2093576787</c:v>
                </c:pt>
                <c:pt idx="17">
                  <c:v>2117945.0177486469</c:v>
                </c:pt>
                <c:pt idx="18">
                  <c:v>2149878.2416647389</c:v>
                </c:pt>
                <c:pt idx="19">
                  <c:v>2177898.7543000802</c:v>
                </c:pt>
                <c:pt idx="20">
                  <c:v>2206284.4732587994</c:v>
                </c:pt>
                <c:pt idx="21">
                  <c:v>2235040.1584701794</c:v>
                </c:pt>
                <c:pt idx="22">
                  <c:v>2264170.6319022072</c:v>
                </c:pt>
                <c:pt idx="23">
                  <c:v>2293680.7783701573</c:v>
                </c:pt>
                <c:pt idx="24">
                  <c:v>2323575.5463557132</c:v>
                </c:pt>
                <c:pt idx="25">
                  <c:v>2353859.9488367653</c:v>
                </c:pt>
                <c:pt idx="26">
                  <c:v>2384539.0641280259</c:v>
                </c:pt>
                <c:pt idx="27">
                  <c:v>2415618.0367325987</c:v>
                </c:pt>
                <c:pt idx="28">
                  <c:v>2447102.0782046458</c:v>
                </c:pt>
                <c:pt idx="29">
                  <c:v>2478996.468023303</c:v>
                </c:pt>
                <c:pt idx="30">
                  <c:v>2511306.5544779785</c:v>
                </c:pt>
                <c:pt idx="31">
                  <c:v>2544037.7555651986</c:v>
                </c:pt>
                <c:pt idx="32">
                  <c:v>2577195.5598971322</c:v>
                </c:pt>
                <c:pt idx="33">
                  <c:v>2610785.5276219677</c:v>
                </c:pt>
                <c:pt idx="34">
                  <c:v>2644813.2913562758</c:v>
                </c:pt>
                <c:pt idx="35">
                  <c:v>2679284.5571295335</c:v>
                </c:pt>
                <c:pt idx="36">
                  <c:v>2714205.1053409474</c:v>
                </c:pt>
                <c:pt idx="37">
                  <c:v>2749580.7917287606</c:v>
                </c:pt>
                <c:pt idx="38">
                  <c:v>2785417.5483521824</c:v>
                </c:pt>
                <c:pt idx="39">
                  <c:v>2821721.384586121</c:v>
                </c:pt>
              </c:numCache>
            </c:numRef>
          </c:val>
        </c:ser>
        <c:ser>
          <c:idx val="2"/>
          <c:order val="1"/>
          <c:tx>
            <c:strRef>
              <c:f>'NW Baseline Energy by Use'!$A$18</c:f>
              <c:strCache>
                <c:ptCount val="1"/>
                <c:pt idx="0">
                  <c:v>Appliances &amp; Plug Loads - Industrial</c:v>
                </c:pt>
              </c:strCache>
            </c:strRef>
          </c:tx>
          <c:cat>
            <c:numRef>
              <c:f>'NW Baseline Energy by Use'!$B$2:$AO$2</c:f>
              <c:numCache>
                <c:formatCode>General</c:formatCode>
                <c:ptCount val="4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pt idx="20">
                  <c:v>2031</c:v>
                </c:pt>
                <c:pt idx="21">
                  <c:v>2032</c:v>
                </c:pt>
                <c:pt idx="22">
                  <c:v>2033</c:v>
                </c:pt>
                <c:pt idx="23">
                  <c:v>2034</c:v>
                </c:pt>
                <c:pt idx="24">
                  <c:v>2035</c:v>
                </c:pt>
                <c:pt idx="25">
                  <c:v>2036</c:v>
                </c:pt>
                <c:pt idx="26">
                  <c:v>2037</c:v>
                </c:pt>
                <c:pt idx="27">
                  <c:v>2038</c:v>
                </c:pt>
                <c:pt idx="28">
                  <c:v>2039</c:v>
                </c:pt>
                <c:pt idx="29">
                  <c:v>2040</c:v>
                </c:pt>
                <c:pt idx="30">
                  <c:v>2041</c:v>
                </c:pt>
                <c:pt idx="31">
                  <c:v>2042</c:v>
                </c:pt>
                <c:pt idx="32">
                  <c:v>2043</c:v>
                </c:pt>
                <c:pt idx="33">
                  <c:v>2044</c:v>
                </c:pt>
                <c:pt idx="34">
                  <c:v>2045</c:v>
                </c:pt>
                <c:pt idx="35">
                  <c:v>2046</c:v>
                </c:pt>
                <c:pt idx="36">
                  <c:v>2047</c:v>
                </c:pt>
                <c:pt idx="37">
                  <c:v>2048</c:v>
                </c:pt>
                <c:pt idx="38">
                  <c:v>2049</c:v>
                </c:pt>
                <c:pt idx="39">
                  <c:v>2050</c:v>
                </c:pt>
              </c:numCache>
            </c:numRef>
          </c:cat>
          <c:val>
            <c:numRef>
              <c:f>'NW Baseline Energy by Use'!$B$18:$AO$18</c:f>
              <c:numCache>
                <c:formatCode>General</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val>
        </c:ser>
        <c:ser>
          <c:idx val="3"/>
          <c:order val="2"/>
          <c:tx>
            <c:strRef>
              <c:f>'NW Baseline Energy by Use'!$A$19</c:f>
              <c:strCache>
                <c:ptCount val="1"/>
                <c:pt idx="0">
                  <c:v>Lighting - Industrial</c:v>
                </c:pt>
              </c:strCache>
            </c:strRef>
          </c:tx>
          <c:cat>
            <c:numRef>
              <c:f>'NW Baseline Energy by Use'!$B$2:$AO$2</c:f>
              <c:numCache>
                <c:formatCode>General</c:formatCode>
                <c:ptCount val="4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pt idx="20">
                  <c:v>2031</c:v>
                </c:pt>
                <c:pt idx="21">
                  <c:v>2032</c:v>
                </c:pt>
                <c:pt idx="22">
                  <c:v>2033</c:v>
                </c:pt>
                <c:pt idx="23">
                  <c:v>2034</c:v>
                </c:pt>
                <c:pt idx="24">
                  <c:v>2035</c:v>
                </c:pt>
                <c:pt idx="25">
                  <c:v>2036</c:v>
                </c:pt>
                <c:pt idx="26">
                  <c:v>2037</c:v>
                </c:pt>
                <c:pt idx="27">
                  <c:v>2038</c:v>
                </c:pt>
                <c:pt idx="28">
                  <c:v>2039</c:v>
                </c:pt>
                <c:pt idx="29">
                  <c:v>2040</c:v>
                </c:pt>
                <c:pt idx="30">
                  <c:v>2041</c:v>
                </c:pt>
                <c:pt idx="31">
                  <c:v>2042</c:v>
                </c:pt>
                <c:pt idx="32">
                  <c:v>2043</c:v>
                </c:pt>
                <c:pt idx="33">
                  <c:v>2044</c:v>
                </c:pt>
                <c:pt idx="34">
                  <c:v>2045</c:v>
                </c:pt>
                <c:pt idx="35">
                  <c:v>2046</c:v>
                </c:pt>
                <c:pt idx="36">
                  <c:v>2047</c:v>
                </c:pt>
                <c:pt idx="37">
                  <c:v>2048</c:v>
                </c:pt>
                <c:pt idx="38">
                  <c:v>2049</c:v>
                </c:pt>
                <c:pt idx="39">
                  <c:v>2050</c:v>
                </c:pt>
              </c:numCache>
            </c:numRef>
          </c:cat>
          <c:val>
            <c:numRef>
              <c:f>'NW Baseline Energy by Use'!$B$19:$AO$19</c:f>
              <c:numCache>
                <c:formatCode>General</c:formatCode>
                <c:ptCount val="40"/>
                <c:pt idx="0">
                  <c:v>2548311.8846815131</c:v>
                </c:pt>
                <c:pt idx="1">
                  <c:v>2558064.3906773566</c:v>
                </c:pt>
                <c:pt idx="2">
                  <c:v>2567448.0752382008</c:v>
                </c:pt>
                <c:pt idx="3">
                  <c:v>2576448.0620333706</c:v>
                </c:pt>
                <c:pt idx="4">
                  <c:v>2585049.0791932526</c:v>
                </c:pt>
                <c:pt idx="5">
                  <c:v>2593235.4501299327</c:v>
                </c:pt>
                <c:pt idx="6">
                  <c:v>2600991.0841578664</c:v>
                </c:pt>
                <c:pt idx="7">
                  <c:v>2608299.4669103804</c:v>
                </c:pt>
                <c:pt idx="8">
                  <c:v>2615143.6505476818</c:v>
                </c:pt>
                <c:pt idx="9">
                  <c:v>2629496.6200616402</c:v>
                </c:pt>
                <c:pt idx="10">
                  <c:v>2669963.3331613191</c:v>
                </c:pt>
                <c:pt idx="11">
                  <c:v>2710948.2065370786</c:v>
                </c:pt>
                <c:pt idx="12">
                  <c:v>2752456.1610788852</c:v>
                </c:pt>
                <c:pt idx="13">
                  <c:v>2794492.1252714335</c:v>
                </c:pt>
                <c:pt idx="14">
                  <c:v>2837061.0339342495</c:v>
                </c:pt>
                <c:pt idx="15">
                  <c:v>2880167.8269158527</c:v>
                </c:pt>
                <c:pt idx="16">
                  <c:v>2923817.4477407979</c:v>
                </c:pt>
                <c:pt idx="17">
                  <c:v>2968014.8422083193</c:v>
                </c:pt>
                <c:pt idx="18">
                  <c:v>3012764.9569413587</c:v>
                </c:pt>
                <c:pt idx="19">
                  <c:v>3052031.9335111207</c:v>
                </c:pt>
                <c:pt idx="20">
                  <c:v>3091810.697582054</c:v>
                </c:pt>
                <c:pt idx="21">
                  <c:v>3132107.9195543076</c:v>
                </c:pt>
                <c:pt idx="22">
                  <c:v>3172930.3567669219</c:v>
                </c:pt>
                <c:pt idx="23">
                  <c:v>3214284.8546309513</c:v>
                </c:pt>
                <c:pt idx="24">
                  <c:v>3256178.3477773503</c:v>
                </c:pt>
                <c:pt idx="25">
                  <c:v>3298617.861219828</c:v>
                </c:pt>
                <c:pt idx="26">
                  <c:v>3341610.5115328538</c:v>
                </c:pt>
                <c:pt idx="27">
                  <c:v>3385163.5080450154</c:v>
                </c:pt>
                <c:pt idx="28">
                  <c:v>3429284.1540479367</c:v>
                </c:pt>
                <c:pt idx="29">
                  <c:v>3473979.8480209457</c:v>
                </c:pt>
                <c:pt idx="30">
                  <c:v>3519258.0848717061</c:v>
                </c:pt>
                <c:pt idx="31">
                  <c:v>3565126.4571930235</c:v>
                </c:pt>
                <c:pt idx="32">
                  <c:v>3611592.6565360213</c:v>
                </c:pt>
                <c:pt idx="33">
                  <c:v>3658664.4746999252</c:v>
                </c:pt>
                <c:pt idx="34">
                  <c:v>3706349.8050386426</c:v>
                </c:pt>
                <c:pt idx="35">
                  <c:v>3754656.6437843861</c:v>
                </c:pt>
                <c:pt idx="36">
                  <c:v>3803593.0913885371</c:v>
                </c:pt>
                <c:pt idx="37">
                  <c:v>3853167.3538799901</c:v>
                </c:pt>
                <c:pt idx="38">
                  <c:v>3903387.7442412027</c:v>
                </c:pt>
                <c:pt idx="39">
                  <c:v>3954262.6838021777</c:v>
                </c:pt>
              </c:numCache>
            </c:numRef>
          </c:val>
        </c:ser>
        <c:ser>
          <c:idx val="4"/>
          <c:order val="3"/>
          <c:tx>
            <c:strRef>
              <c:f>'NW Baseline Energy by Use'!$A$20</c:f>
              <c:strCache>
                <c:ptCount val="1"/>
                <c:pt idx="0">
                  <c:v>Refrigeration, Motors &amp; Process Equipment - Industrial</c:v>
                </c:pt>
              </c:strCache>
            </c:strRef>
          </c:tx>
          <c:cat>
            <c:numRef>
              <c:f>'NW Baseline Energy by Use'!$B$2:$AO$2</c:f>
              <c:numCache>
                <c:formatCode>General</c:formatCode>
                <c:ptCount val="4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pt idx="20">
                  <c:v>2031</c:v>
                </c:pt>
                <c:pt idx="21">
                  <c:v>2032</c:v>
                </c:pt>
                <c:pt idx="22">
                  <c:v>2033</c:v>
                </c:pt>
                <c:pt idx="23">
                  <c:v>2034</c:v>
                </c:pt>
                <c:pt idx="24">
                  <c:v>2035</c:v>
                </c:pt>
                <c:pt idx="25">
                  <c:v>2036</c:v>
                </c:pt>
                <c:pt idx="26">
                  <c:v>2037</c:v>
                </c:pt>
                <c:pt idx="27">
                  <c:v>2038</c:v>
                </c:pt>
                <c:pt idx="28">
                  <c:v>2039</c:v>
                </c:pt>
                <c:pt idx="29">
                  <c:v>2040</c:v>
                </c:pt>
                <c:pt idx="30">
                  <c:v>2041</c:v>
                </c:pt>
                <c:pt idx="31">
                  <c:v>2042</c:v>
                </c:pt>
                <c:pt idx="32">
                  <c:v>2043</c:v>
                </c:pt>
                <c:pt idx="33">
                  <c:v>2044</c:v>
                </c:pt>
                <c:pt idx="34">
                  <c:v>2045</c:v>
                </c:pt>
                <c:pt idx="35">
                  <c:v>2046</c:v>
                </c:pt>
                <c:pt idx="36">
                  <c:v>2047</c:v>
                </c:pt>
                <c:pt idx="37">
                  <c:v>2048</c:v>
                </c:pt>
                <c:pt idx="38">
                  <c:v>2049</c:v>
                </c:pt>
                <c:pt idx="39">
                  <c:v>2050</c:v>
                </c:pt>
              </c:numCache>
            </c:numRef>
          </c:cat>
          <c:val>
            <c:numRef>
              <c:f>'NW Baseline Energy by Use'!$B$20:$AO$20</c:f>
              <c:numCache>
                <c:formatCode>General</c:formatCode>
                <c:ptCount val="40"/>
                <c:pt idx="0">
                  <c:v>21835361.019546222</c:v>
                </c:pt>
                <c:pt idx="1">
                  <c:v>21918925.943661131</c:v>
                </c:pt>
                <c:pt idx="2">
                  <c:v>21999330.599508502</c:v>
                </c:pt>
                <c:pt idx="3">
                  <c:v>22076447.518369567</c:v>
                </c:pt>
                <c:pt idx="4">
                  <c:v>22150145.842326809</c:v>
                </c:pt>
                <c:pt idx="5">
                  <c:v>22220291.245609995</c:v>
                </c:pt>
                <c:pt idx="6">
                  <c:v>22286745.854228899</c:v>
                </c:pt>
                <c:pt idx="7">
                  <c:v>22349368.16385648</c:v>
                </c:pt>
                <c:pt idx="8">
                  <c:v>22408012.955925655</c:v>
                </c:pt>
                <c:pt idx="9">
                  <c:v>22530997.223637842</c:v>
                </c:pt>
                <c:pt idx="10">
                  <c:v>22877738.646898251</c:v>
                </c:pt>
                <c:pt idx="11">
                  <c:v>23228919.95711372</c:v>
                </c:pt>
                <c:pt idx="12">
                  <c:v>23584583.3192208</c:v>
                </c:pt>
                <c:pt idx="13">
                  <c:v>23944770.963231936</c:v>
                </c:pt>
                <c:pt idx="14">
                  <c:v>24309525.173439939</c:v>
                </c:pt>
                <c:pt idx="15">
                  <c:v>24678888.277228855</c:v>
                </c:pt>
                <c:pt idx="16">
                  <c:v>25052902.633481052</c:v>
                </c:pt>
                <c:pt idx="17">
                  <c:v>25431610.620569624</c:v>
                </c:pt>
                <c:pt idx="18">
                  <c:v>25815054.623925656</c:v>
                </c:pt>
                <c:pt idx="19">
                  <c:v>26151516.033810724</c:v>
                </c:pt>
                <c:pt idx="20">
                  <c:v>26492362.725152329</c:v>
                </c:pt>
                <c:pt idx="21">
                  <c:v>26837651.853668448</c:v>
                </c:pt>
                <c:pt idx="22">
                  <c:v>27187441.32001809</c:v>
                </c:pt>
                <c:pt idx="23">
                  <c:v>27541789.779510513</c:v>
                </c:pt>
                <c:pt idx="24">
                  <c:v>27900756.651940983</c:v>
                </c:pt>
                <c:pt idx="25">
                  <c:v>28264402.131554715</c:v>
                </c:pt>
                <c:pt idx="26">
                  <c:v>28632787.197140727</c:v>
                </c:pt>
                <c:pt idx="27">
                  <c:v>29005973.622257192</c:v>
                </c:pt>
                <c:pt idx="28">
                  <c:v>29384023.985590085</c:v>
                </c:pt>
                <c:pt idx="29">
                  <c:v>29767001.68144688</c:v>
                </c:pt>
                <c:pt idx="30">
                  <c:v>30154970.930386923</c:v>
                </c:pt>
                <c:pt idx="31">
                  <c:v>30547996.789990488</c:v>
                </c:pt>
                <c:pt idx="32">
                  <c:v>30946145.165768035</c:v>
                </c:pt>
                <c:pt idx="33">
                  <c:v>31349482.822211813</c:v>
                </c:pt>
                <c:pt idx="34">
                  <c:v>31758077.393991377</c:v>
                </c:pt>
                <c:pt idx="35">
                  <c:v>32171997.39729511</c:v>
                </c:pt>
                <c:pt idx="36">
                  <c:v>32591312.241319504</c:v>
                </c:pt>
                <c:pt idx="37">
                  <c:v>33016092.239908222</c:v>
                </c:pt>
                <c:pt idx="38">
                  <c:v>33446408.623342846</c:v>
                </c:pt>
                <c:pt idx="39">
                  <c:v>33882333.550287306</c:v>
                </c:pt>
              </c:numCache>
            </c:numRef>
          </c:val>
        </c:ser>
        <c:ser>
          <c:idx val="5"/>
          <c:order val="4"/>
          <c:tx>
            <c:strRef>
              <c:f>'NW Baseline Energy by Use'!$A$21</c:f>
              <c:strCache>
                <c:ptCount val="1"/>
                <c:pt idx="0">
                  <c:v>Space Heating - Industrial</c:v>
                </c:pt>
              </c:strCache>
            </c:strRef>
          </c:tx>
          <c:cat>
            <c:numRef>
              <c:f>'NW Baseline Energy by Use'!$B$2:$AO$2</c:f>
              <c:numCache>
                <c:formatCode>General</c:formatCode>
                <c:ptCount val="4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pt idx="20">
                  <c:v>2031</c:v>
                </c:pt>
                <c:pt idx="21">
                  <c:v>2032</c:v>
                </c:pt>
                <c:pt idx="22">
                  <c:v>2033</c:v>
                </c:pt>
                <c:pt idx="23">
                  <c:v>2034</c:v>
                </c:pt>
                <c:pt idx="24">
                  <c:v>2035</c:v>
                </c:pt>
                <c:pt idx="25">
                  <c:v>2036</c:v>
                </c:pt>
                <c:pt idx="26">
                  <c:v>2037</c:v>
                </c:pt>
                <c:pt idx="27">
                  <c:v>2038</c:v>
                </c:pt>
                <c:pt idx="28">
                  <c:v>2039</c:v>
                </c:pt>
                <c:pt idx="29">
                  <c:v>2040</c:v>
                </c:pt>
                <c:pt idx="30">
                  <c:v>2041</c:v>
                </c:pt>
                <c:pt idx="31">
                  <c:v>2042</c:v>
                </c:pt>
                <c:pt idx="32">
                  <c:v>2043</c:v>
                </c:pt>
                <c:pt idx="33">
                  <c:v>2044</c:v>
                </c:pt>
                <c:pt idx="34">
                  <c:v>2045</c:v>
                </c:pt>
                <c:pt idx="35">
                  <c:v>2046</c:v>
                </c:pt>
                <c:pt idx="36">
                  <c:v>2047</c:v>
                </c:pt>
                <c:pt idx="37">
                  <c:v>2048</c:v>
                </c:pt>
                <c:pt idx="38">
                  <c:v>2049</c:v>
                </c:pt>
                <c:pt idx="39">
                  <c:v>2050</c:v>
                </c:pt>
              </c:numCache>
            </c:numRef>
          </c:cat>
          <c:val>
            <c:numRef>
              <c:f>'NW Baseline Energy by Use'!$B$21:$AO$21</c:f>
              <c:numCache>
                <c:formatCode>General</c:formatCode>
                <c:ptCount val="40"/>
                <c:pt idx="0">
                  <c:v>606149.77570091304</c:v>
                </c:pt>
                <c:pt idx="1">
                  <c:v>608469.53858293605</c:v>
                </c:pt>
                <c:pt idx="2">
                  <c:v>610701.5723955927</c:v>
                </c:pt>
                <c:pt idx="3">
                  <c:v>612842.33860635222</c:v>
                </c:pt>
                <c:pt idx="4">
                  <c:v>614888.20459850261</c:v>
                </c:pt>
                <c:pt idx="5">
                  <c:v>616835.44148771605</c:v>
                </c:pt>
                <c:pt idx="6">
                  <c:v>618680.22189105267</c:v>
                </c:pt>
                <c:pt idx="7">
                  <c:v>620418.61764739733</c:v>
                </c:pt>
                <c:pt idx="8">
                  <c:v>622046.59748830472</c:v>
                </c:pt>
                <c:pt idx="9">
                  <c:v>625460.64162623999</c:v>
                </c:pt>
                <c:pt idx="10">
                  <c:v>635086.18597823731</c:v>
                </c:pt>
                <c:pt idx="11">
                  <c:v>644834.9816233794</c:v>
                </c:pt>
                <c:pt idx="12">
                  <c:v>654708.19906060223</c:v>
                </c:pt>
                <c:pt idx="13">
                  <c:v>664707.01059534866</c:v>
                </c:pt>
                <c:pt idx="14">
                  <c:v>674832.5900398849</c:v>
                </c:pt>
                <c:pt idx="15">
                  <c:v>685086.11240269011</c:v>
                </c:pt>
                <c:pt idx="16">
                  <c:v>695468.7535666374</c:v>
                </c:pt>
                <c:pt idx="17">
                  <c:v>705981.68995566235</c:v>
                </c:pt>
                <c:pt idx="18">
                  <c:v>716626.09818963008</c:v>
                </c:pt>
                <c:pt idx="19">
                  <c:v>725966.26929792017</c:v>
                </c:pt>
                <c:pt idx="20">
                  <c:v>735428.17585033155</c:v>
                </c:pt>
                <c:pt idx="21">
                  <c:v>745013.40448999789</c:v>
                </c:pt>
                <c:pt idx="22">
                  <c:v>754723.56253962114</c:v>
                </c:pt>
                <c:pt idx="23">
                  <c:v>764560.27827099955</c:v>
                </c:pt>
                <c:pt idx="24">
                  <c:v>774525.20117806806</c:v>
                </c:pt>
                <c:pt idx="25">
                  <c:v>784620.00225349795</c:v>
                </c:pt>
                <c:pt idx="26">
                  <c:v>794846.37426890177</c:v>
                </c:pt>
                <c:pt idx="27">
                  <c:v>805206.03205868963</c:v>
                </c:pt>
                <c:pt idx="28">
                  <c:v>815700.71280762483</c:v>
                </c:pt>
                <c:pt idx="29">
                  <c:v>826332.17634212936</c:v>
                </c:pt>
                <c:pt idx="30">
                  <c:v>837102.20542538317</c:v>
                </c:pt>
                <c:pt idx="31">
                  <c:v>848012.60605627275</c:v>
                </c:pt>
                <c:pt idx="32">
                  <c:v>859065.20777223271</c:v>
                </c:pt>
                <c:pt idx="33">
                  <c:v>870261.86395603826</c:v>
                </c:pt>
                <c:pt idx="34">
                  <c:v>881604.45214659255</c:v>
                </c:pt>
                <c:pt idx="35">
                  <c:v>893094.87435376761</c:v>
                </c:pt>
                <c:pt idx="36">
                  <c:v>904735.05737734702</c:v>
                </c:pt>
                <c:pt idx="37">
                  <c:v>916526.95313012612</c:v>
                </c:pt>
                <c:pt idx="38">
                  <c:v>928472.53896522336</c:v>
                </c:pt>
                <c:pt idx="39">
                  <c:v>940573.81800765754</c:v>
                </c:pt>
              </c:numCache>
            </c:numRef>
          </c:val>
        </c:ser>
        <c:ser>
          <c:idx val="6"/>
          <c:order val="5"/>
          <c:tx>
            <c:strRef>
              <c:f>'NW Baseline Energy by Use'!$A$22</c:f>
              <c:strCache>
                <c:ptCount val="1"/>
                <c:pt idx="0">
                  <c:v>Water Heating - Industrial</c:v>
                </c:pt>
              </c:strCache>
            </c:strRef>
          </c:tx>
          <c:cat>
            <c:numRef>
              <c:f>'NW Baseline Energy by Use'!$B$2:$AO$2</c:f>
              <c:numCache>
                <c:formatCode>General</c:formatCode>
                <c:ptCount val="4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pt idx="20">
                  <c:v>2031</c:v>
                </c:pt>
                <c:pt idx="21">
                  <c:v>2032</c:v>
                </c:pt>
                <c:pt idx="22">
                  <c:v>2033</c:v>
                </c:pt>
                <c:pt idx="23">
                  <c:v>2034</c:v>
                </c:pt>
                <c:pt idx="24">
                  <c:v>2035</c:v>
                </c:pt>
                <c:pt idx="25">
                  <c:v>2036</c:v>
                </c:pt>
                <c:pt idx="26">
                  <c:v>2037</c:v>
                </c:pt>
                <c:pt idx="27">
                  <c:v>2038</c:v>
                </c:pt>
                <c:pt idx="28">
                  <c:v>2039</c:v>
                </c:pt>
                <c:pt idx="29">
                  <c:v>2040</c:v>
                </c:pt>
                <c:pt idx="30">
                  <c:v>2041</c:v>
                </c:pt>
                <c:pt idx="31">
                  <c:v>2042</c:v>
                </c:pt>
                <c:pt idx="32">
                  <c:v>2043</c:v>
                </c:pt>
                <c:pt idx="33">
                  <c:v>2044</c:v>
                </c:pt>
                <c:pt idx="34">
                  <c:v>2045</c:v>
                </c:pt>
                <c:pt idx="35">
                  <c:v>2046</c:v>
                </c:pt>
                <c:pt idx="36">
                  <c:v>2047</c:v>
                </c:pt>
                <c:pt idx="37">
                  <c:v>2048</c:v>
                </c:pt>
                <c:pt idx="38">
                  <c:v>2049</c:v>
                </c:pt>
                <c:pt idx="39">
                  <c:v>2050</c:v>
                </c:pt>
              </c:numCache>
            </c:numRef>
          </c:cat>
          <c:val>
            <c:numRef>
              <c:f>'NW Baseline Energy by Use'!$B$22:$AO$22</c:f>
              <c:numCache>
                <c:formatCode>General</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val>
        </c:ser>
        <c:ser>
          <c:idx val="7"/>
          <c:order val="6"/>
          <c:tx>
            <c:strRef>
              <c:f>'NW Baseline Energy by Use'!$A$23</c:f>
              <c:strCache>
                <c:ptCount val="1"/>
                <c:pt idx="0">
                  <c:v>Irrigation - Industrial</c:v>
                </c:pt>
              </c:strCache>
            </c:strRef>
          </c:tx>
          <c:cat>
            <c:numRef>
              <c:f>'NW Baseline Energy by Use'!$B$2:$AO$2</c:f>
              <c:numCache>
                <c:formatCode>General</c:formatCode>
                <c:ptCount val="4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pt idx="20">
                  <c:v>2031</c:v>
                </c:pt>
                <c:pt idx="21">
                  <c:v>2032</c:v>
                </c:pt>
                <c:pt idx="22">
                  <c:v>2033</c:v>
                </c:pt>
                <c:pt idx="23">
                  <c:v>2034</c:v>
                </c:pt>
                <c:pt idx="24">
                  <c:v>2035</c:v>
                </c:pt>
                <c:pt idx="25">
                  <c:v>2036</c:v>
                </c:pt>
                <c:pt idx="26">
                  <c:v>2037</c:v>
                </c:pt>
                <c:pt idx="27">
                  <c:v>2038</c:v>
                </c:pt>
                <c:pt idx="28">
                  <c:v>2039</c:v>
                </c:pt>
                <c:pt idx="29">
                  <c:v>2040</c:v>
                </c:pt>
                <c:pt idx="30">
                  <c:v>2041</c:v>
                </c:pt>
                <c:pt idx="31">
                  <c:v>2042</c:v>
                </c:pt>
                <c:pt idx="32">
                  <c:v>2043</c:v>
                </c:pt>
                <c:pt idx="33">
                  <c:v>2044</c:v>
                </c:pt>
                <c:pt idx="34">
                  <c:v>2045</c:v>
                </c:pt>
                <c:pt idx="35">
                  <c:v>2046</c:v>
                </c:pt>
                <c:pt idx="36">
                  <c:v>2047</c:v>
                </c:pt>
                <c:pt idx="37">
                  <c:v>2048</c:v>
                </c:pt>
                <c:pt idx="38">
                  <c:v>2049</c:v>
                </c:pt>
                <c:pt idx="39">
                  <c:v>2050</c:v>
                </c:pt>
              </c:numCache>
            </c:numRef>
          </c:cat>
          <c:val>
            <c:numRef>
              <c:f>'NW Baseline Energy by Use'!$B$23:$AO$23</c:f>
              <c:numCache>
                <c:formatCode>General</c:formatCode>
                <c:ptCount val="40"/>
                <c:pt idx="0">
                  <c:v>6791946.6522974465</c:v>
                </c:pt>
                <c:pt idx="1">
                  <c:v>6817939.7424086519</c:v>
                </c:pt>
                <c:pt idx="2">
                  <c:v>6842949.8227376565</c:v>
                </c:pt>
                <c:pt idx="3">
                  <c:v>6866937.2438031957</c:v>
                </c:pt>
                <c:pt idx="4">
                  <c:v>6889861.3019047873</c:v>
                </c:pt>
                <c:pt idx="5">
                  <c:v>6911680.2146572173</c:v>
                </c:pt>
                <c:pt idx="6">
                  <c:v>6932351.095992079</c:v>
                </c:pt>
                <c:pt idx="7">
                  <c:v>6951829.9306151224</c:v>
                </c:pt>
                <c:pt idx="8">
                  <c:v>6970071.5479079317</c:v>
                </c:pt>
                <c:pt idx="9">
                  <c:v>7008326.1288432004</c:v>
                </c:pt>
                <c:pt idx="10">
                  <c:v>7116180.9633393306</c:v>
                </c:pt>
                <c:pt idx="11">
                  <c:v>7225416.8363863677</c:v>
                </c:pt>
                <c:pt idx="12">
                  <c:v>7336046.8634990696</c:v>
                </c:pt>
                <c:pt idx="13">
                  <c:v>7448084.1804342214</c:v>
                </c:pt>
                <c:pt idx="14">
                  <c:v>7561541.9398326566</c:v>
                </c:pt>
                <c:pt idx="15">
                  <c:v>7676433.3077388527</c:v>
                </c:pt>
                <c:pt idx="16">
                  <c:v>7792771.4599949261</c:v>
                </c:pt>
                <c:pt idx="17">
                  <c:v>7910569.5785056315</c:v>
                </c:pt>
                <c:pt idx="18">
                  <c:v>8029840.8473711303</c:v>
                </c:pt>
                <c:pt idx="19">
                  <c:v>8134498.0565856015</c:v>
                </c:pt>
                <c:pt idx="20">
                  <c:v>8240519.3191666035</c:v>
                </c:pt>
                <c:pt idx="21">
                  <c:v>8347922.4135510027</c:v>
                </c:pt>
                <c:pt idx="22">
                  <c:v>8456725.3498915415</c:v>
                </c:pt>
                <c:pt idx="23">
                  <c:v>8566946.373076912</c:v>
                </c:pt>
                <c:pt idx="24">
                  <c:v>8678603.9657911938</c:v>
                </c:pt>
                <c:pt idx="25">
                  <c:v>8791716.8516131714</c:v>
                </c:pt>
                <c:pt idx="26">
                  <c:v>8906303.9981560446</c:v>
                </c:pt>
                <c:pt idx="27">
                  <c:v>9022384.6202480569</c:v>
                </c:pt>
                <c:pt idx="28">
                  <c:v>9139978.183154583</c:v>
                </c:pt>
                <c:pt idx="29">
                  <c:v>9259104.4058422074</c:v>
                </c:pt>
                <c:pt idx="30">
                  <c:v>9379783.2642853465</c:v>
                </c:pt>
                <c:pt idx="31">
                  <c:v>9502034.9948159847</c:v>
                </c:pt>
                <c:pt idx="32">
                  <c:v>9625880.0975170247</c:v>
                </c:pt>
                <c:pt idx="33">
                  <c:v>9751339.3396599218</c:v>
                </c:pt>
                <c:pt idx="34">
                  <c:v>9878433.7591870762</c:v>
                </c:pt>
                <c:pt idx="35">
                  <c:v>10007184.668239653</c:v>
                </c:pt>
                <c:pt idx="36">
                  <c:v>10137613.656731334</c:v>
                </c:pt>
                <c:pt idx="37">
                  <c:v>10269742.595968699</c:v>
                </c:pt>
                <c:pt idx="38">
                  <c:v>10403593.642318757</c:v>
                </c:pt>
                <c:pt idx="39">
                  <c:v>10539189.240924297</c:v>
                </c:pt>
              </c:numCache>
            </c:numRef>
          </c:val>
        </c:ser>
        <c:axId val="130473344"/>
        <c:axId val="130487424"/>
      </c:areaChart>
      <c:catAx>
        <c:axId val="130473344"/>
        <c:scaling>
          <c:orientation val="minMax"/>
        </c:scaling>
        <c:axPos val="b"/>
        <c:numFmt formatCode="General" sourceLinked="1"/>
        <c:tickLblPos val="nextTo"/>
        <c:crossAx val="130487424"/>
        <c:crosses val="autoZero"/>
        <c:auto val="1"/>
        <c:lblAlgn val="ctr"/>
        <c:lblOffset val="100"/>
      </c:catAx>
      <c:valAx>
        <c:axId val="130487424"/>
        <c:scaling>
          <c:orientation val="minMax"/>
          <c:max val="140000000"/>
        </c:scaling>
        <c:axPos val="l"/>
        <c:majorGridlines/>
        <c:title>
          <c:tx>
            <c:rich>
              <a:bodyPr rot="-5400000" vert="horz"/>
              <a:lstStyle/>
              <a:p>
                <a:pPr>
                  <a:defRPr/>
                </a:pPr>
                <a:r>
                  <a:rPr lang="en-US"/>
                  <a:t>Total Consumption (MWh/yr)</a:t>
                </a:r>
              </a:p>
            </c:rich>
          </c:tx>
        </c:title>
        <c:numFmt formatCode="#,##0.00" sourceLinked="0"/>
        <c:tickLblPos val="nextTo"/>
        <c:crossAx val="130473344"/>
        <c:crosses val="autoZero"/>
        <c:crossBetween val="midCat"/>
      </c:valAx>
    </c:plotArea>
    <c:legend>
      <c:legendPos val="r"/>
      <c:layout>
        <c:manualLayout>
          <c:xMode val="edge"/>
          <c:yMode val="edge"/>
          <c:x val="1.8527777777777893E-2"/>
          <c:y val="0.70743191504731628"/>
          <c:w val="0.96480555555556158"/>
          <c:h val="0.28395554913433985"/>
        </c:manualLayout>
      </c:layout>
    </c:legend>
    <c:plotVisOnly val="1"/>
    <c:dispBlanksAs val="zero"/>
  </c:chart>
  <c:printSettings>
    <c:headerFooter/>
    <c:pageMargins b="0.75000000000000477" l="0.70000000000000062" r="0.70000000000000062" t="0.75000000000000477" header="0.30000000000000032" footer="0.30000000000000032"/>
    <c:pageSetup/>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sheet1.xml><?xml version="1.0" encoding="utf-8"?>
<chartsheet xmlns="http://schemas.openxmlformats.org/spreadsheetml/2006/main" xmlns:r="http://schemas.openxmlformats.org/officeDocument/2006/relationships">
  <sheetPr>
    <tabColor theme="9" tint="-0.249977111117893"/>
  </sheetPr>
  <sheetViews>
    <sheetView zoomScale="9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9" tint="-0.249977111117893"/>
  </sheetPr>
  <sheetViews>
    <sheetView zoomScale="90"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0</xdr:col>
      <xdr:colOff>535469</xdr:colOff>
      <xdr:row>74</xdr:row>
      <xdr:rowOff>149500</xdr:rowOff>
    </xdr:from>
    <xdr:to>
      <xdr:col>4</xdr:col>
      <xdr:colOff>1386093</xdr:colOff>
      <xdr:row>103</xdr:row>
      <xdr:rowOff>54251</xdr:rowOff>
    </xdr:to>
    <xdr:graphicFrame macro="">
      <xdr:nvGraphicFramePr>
        <xdr:cNvPr id="5" name="Bin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581025</xdr:colOff>
      <xdr:row>58</xdr:row>
      <xdr:rowOff>76200</xdr:rowOff>
    </xdr:from>
    <xdr:to>
      <xdr:col>3</xdr:col>
      <xdr:colOff>1562100</xdr:colOff>
      <xdr:row>72</xdr:row>
      <xdr:rowOff>152400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9525</xdr:colOff>
      <xdr:row>58</xdr:row>
      <xdr:rowOff>180975</xdr:rowOff>
    </xdr:from>
    <xdr:to>
      <xdr:col>6</xdr:col>
      <xdr:colOff>533400</xdr:colOff>
      <xdr:row>73</xdr:row>
      <xdr:rowOff>66675</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1047750</xdr:colOff>
      <xdr:row>59</xdr:row>
      <xdr:rowOff>19050</xdr:rowOff>
    </xdr:from>
    <xdr:to>
      <xdr:col>8</xdr:col>
      <xdr:colOff>1828800</xdr:colOff>
      <xdr:row>73</xdr:row>
      <xdr:rowOff>95250</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2009775</xdr:colOff>
      <xdr:row>59</xdr:row>
      <xdr:rowOff>9525</xdr:rowOff>
    </xdr:from>
    <xdr:to>
      <xdr:col>11</xdr:col>
      <xdr:colOff>85725</xdr:colOff>
      <xdr:row>73</xdr:row>
      <xdr:rowOff>85725</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0.22141</cdr:x>
      <cdr:y>0.18917</cdr:y>
    </cdr:from>
    <cdr:to>
      <cdr:x>0.40212</cdr:x>
      <cdr:y>0.43651</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1598544" y="1027044"/>
          <a:ext cx="1304762" cy="1342857"/>
        </a:xfrm>
        <a:prstGeom xmlns:a="http://schemas.openxmlformats.org/drawingml/2006/main" prst="rect">
          <a:avLst/>
        </a:prstGeom>
      </cdr:spPr>
    </cdr:pic>
  </cdr:relSizeAnchor>
</c:userShapes>
</file>

<file path=xl/drawings/drawing3.xml><?xml version="1.0" encoding="utf-8"?>
<xdr:wsDr xmlns:xdr="http://schemas.openxmlformats.org/drawingml/2006/spreadsheetDrawing" xmlns:a="http://schemas.openxmlformats.org/drawingml/2006/main">
  <xdr:absoluteAnchor>
    <xdr:pos x="0" y="0"/>
    <xdr:ext cx="8657167" cy="62865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7167" cy="62865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twoCellAnchor>
    <xdr:from>
      <xdr:col>11</xdr:col>
      <xdr:colOff>85725</xdr:colOff>
      <xdr:row>24</xdr:row>
      <xdr:rowOff>152400</xdr:rowOff>
    </xdr:from>
    <xdr:to>
      <xdr:col>16</xdr:col>
      <xdr:colOff>361950</xdr:colOff>
      <xdr:row>43</xdr:row>
      <xdr:rowOff>95250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295275</xdr:colOff>
      <xdr:row>0</xdr:row>
      <xdr:rowOff>228600</xdr:rowOff>
    </xdr:from>
    <xdr:to>
      <xdr:col>26</xdr:col>
      <xdr:colOff>161925</xdr:colOff>
      <xdr:row>23</xdr:row>
      <xdr:rowOff>133350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333374</xdr:colOff>
      <xdr:row>45</xdr:row>
      <xdr:rowOff>28575</xdr:rowOff>
    </xdr:from>
    <xdr:to>
      <xdr:col>22</xdr:col>
      <xdr:colOff>409574</xdr:colOff>
      <xdr:row>76</xdr:row>
      <xdr:rowOff>123824</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133350</xdr:colOff>
      <xdr:row>24</xdr:row>
      <xdr:rowOff>180975</xdr:rowOff>
    </xdr:from>
    <xdr:to>
      <xdr:col>2</xdr:col>
      <xdr:colOff>581025</xdr:colOff>
      <xdr:row>46</xdr:row>
      <xdr:rowOff>161925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9525</xdr:colOff>
      <xdr:row>24</xdr:row>
      <xdr:rowOff>180975</xdr:rowOff>
    </xdr:from>
    <xdr:to>
      <xdr:col>10</xdr:col>
      <xdr:colOff>314325</xdr:colOff>
      <xdr:row>46</xdr:row>
      <xdr:rowOff>161925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352425</xdr:colOff>
      <xdr:row>25</xdr:row>
      <xdr:rowOff>0</xdr:rowOff>
    </xdr:from>
    <xdr:to>
      <xdr:col>18</xdr:col>
      <xdr:colOff>47625</xdr:colOff>
      <xdr:row>46</xdr:row>
      <xdr:rowOff>152400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7.bin"/><Relationship Id="rId1" Type="http://schemas.openxmlformats.org/officeDocument/2006/relationships/hyperlink" Target="http://pse.com/aboutpse/EnergySupply/Documents/IRP_2013_AppN.pdf" TargetMode="External"/><Relationship Id="rId4" Type="http://schemas.openxmlformats.org/officeDocument/2006/relationships/comments" Target="../comments1.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sheetPr>
    <outlinePr summaryRight="0"/>
  </sheetPr>
  <dimension ref="A1:AR32"/>
  <sheetViews>
    <sheetView zoomScale="70" zoomScaleNormal="70" workbookViewId="0">
      <pane xSplit="3" ySplit="2" topLeftCell="AA7" activePane="bottomRight" state="frozen"/>
      <selection pane="topRight" activeCell="D1" sqref="D1"/>
      <selection pane="bottomLeft" activeCell="A2" sqref="A2"/>
      <selection pane="bottomRight" activeCell="C14" sqref="C14"/>
    </sheetView>
  </sheetViews>
  <sheetFormatPr defaultRowHeight="15" outlineLevelCol="1"/>
  <cols>
    <col min="2" max="2" width="25.42578125" customWidth="1"/>
    <col min="3" max="3" width="39.140625" customWidth="1"/>
    <col min="4" max="4" width="32.42578125" style="40" customWidth="1" outlineLevel="1"/>
    <col min="5" max="5" width="32.42578125" style="40" customWidth="1"/>
    <col min="6" max="6" width="32.42578125" style="40" customWidth="1" outlineLevel="1"/>
    <col min="7" max="7" width="20.42578125" style="6" customWidth="1"/>
    <col min="8" max="8" width="20.42578125" style="6" customWidth="1" outlineLevel="1"/>
    <col min="9" max="9" width="38.140625" style="6" customWidth="1"/>
    <col min="10" max="10" width="27.140625" style="6" customWidth="1" outlineLevel="1"/>
    <col min="11" max="11" width="20" customWidth="1"/>
    <col min="12" max="12" width="20" customWidth="1" outlineLevel="1"/>
    <col min="13" max="13" width="22.7109375" style="6" customWidth="1"/>
    <col min="14" max="14" width="22.7109375" style="6" customWidth="1" outlineLevel="1"/>
    <col min="15" max="15" width="14.28515625" style="6" customWidth="1"/>
    <col min="16" max="16" width="14.28515625" style="6" customWidth="1" outlineLevel="1"/>
    <col min="17" max="17" width="28.42578125" style="6" bestFit="1" customWidth="1"/>
    <col min="18" max="18" width="28.42578125" style="6" customWidth="1" outlineLevel="1"/>
    <col min="19" max="19" width="37" customWidth="1"/>
    <col min="20" max="20" width="22.5703125" customWidth="1" outlineLevel="1"/>
    <col min="21" max="21" width="14.5703125" style="7" customWidth="1"/>
    <col min="22" max="22" width="14" style="7" customWidth="1" outlineLevel="1"/>
    <col min="23" max="23" width="50.85546875" customWidth="1"/>
    <col min="24" max="24" width="18.5703125" customWidth="1" outlineLevel="1"/>
    <col min="25" max="25" width="18.5703125" style="7" customWidth="1"/>
    <col min="26" max="26" width="18.5703125" customWidth="1" outlineLevel="1"/>
    <col min="27" max="27" width="22.5703125" bestFit="1" customWidth="1"/>
    <col min="28" max="28" width="22.5703125" customWidth="1" outlineLevel="1"/>
    <col min="29" max="29" width="9.5703125" style="6" customWidth="1"/>
    <col min="30" max="30" width="9.5703125" style="6" customWidth="1" outlineLevel="1"/>
    <col min="31" max="31" width="20.28515625" customWidth="1"/>
    <col min="32" max="32" width="20.28515625" customWidth="1" outlineLevel="1"/>
    <col min="33" max="33" width="20.28515625" style="35" customWidth="1"/>
    <col min="34" max="34" width="20.28515625" style="35" customWidth="1" outlineLevel="1"/>
    <col min="35" max="35" width="23.5703125" style="6" customWidth="1"/>
    <col min="36" max="36" width="16.5703125" style="6" customWidth="1" outlineLevel="1"/>
    <col min="37" max="37" width="15.85546875" style="6" bestFit="1" customWidth="1"/>
    <col min="38" max="38" width="15.7109375" customWidth="1" outlineLevel="1"/>
    <col min="39" max="39" width="18.5703125" customWidth="1"/>
    <col min="40" max="40" width="16" customWidth="1" outlineLevel="1"/>
    <col min="41" max="41" width="23" style="40" customWidth="1"/>
    <col min="42" max="42" width="16" style="40" customWidth="1" outlineLevel="1"/>
    <col min="43" max="43" width="19.7109375" customWidth="1"/>
    <col min="44" max="44" width="9.140625" outlineLevel="1"/>
  </cols>
  <sheetData>
    <row r="1" spans="1:43" s="40" customFormat="1">
      <c r="G1" s="6"/>
      <c r="H1" s="6"/>
      <c r="I1" s="6"/>
      <c r="J1" s="6"/>
      <c r="M1" s="6"/>
      <c r="N1" s="6"/>
      <c r="O1" s="6"/>
      <c r="P1" s="6"/>
      <c r="Q1" s="6"/>
      <c r="R1" s="6"/>
      <c r="U1" s="7"/>
      <c r="V1" s="7"/>
      <c r="Y1" s="7"/>
      <c r="AC1" s="6"/>
      <c r="AD1" s="6"/>
      <c r="AI1" s="6"/>
      <c r="AJ1" s="6"/>
      <c r="AK1" s="6"/>
    </row>
    <row r="2" spans="1:43" s="5" customFormat="1" ht="63.75" customHeight="1">
      <c r="A2" s="41" t="s">
        <v>6</v>
      </c>
      <c r="B2" s="41" t="s">
        <v>7</v>
      </c>
      <c r="C2" s="441" t="s">
        <v>8</v>
      </c>
      <c r="D2" s="442"/>
      <c r="E2" s="441" t="s">
        <v>163</v>
      </c>
      <c r="F2" s="442"/>
      <c r="G2" s="445" t="s">
        <v>9</v>
      </c>
      <c r="H2" s="445"/>
      <c r="I2" s="443" t="s">
        <v>166</v>
      </c>
      <c r="J2" s="444"/>
      <c r="K2" s="436" t="s">
        <v>10</v>
      </c>
      <c r="L2" s="436"/>
      <c r="M2" s="461" t="s">
        <v>34</v>
      </c>
      <c r="N2" s="461"/>
      <c r="O2" s="461" t="s">
        <v>27</v>
      </c>
      <c r="P2" s="461"/>
      <c r="Q2" s="445" t="s">
        <v>35</v>
      </c>
      <c r="R2" s="445"/>
      <c r="S2" s="436" t="s">
        <v>31</v>
      </c>
      <c r="T2" s="436"/>
      <c r="U2" s="437" t="s">
        <v>11</v>
      </c>
      <c r="V2" s="437"/>
      <c r="W2" s="436" t="s">
        <v>47</v>
      </c>
      <c r="X2" s="436"/>
      <c r="Y2" s="436" t="s">
        <v>30</v>
      </c>
      <c r="Z2" s="436"/>
      <c r="AA2" s="436" t="s">
        <v>96</v>
      </c>
      <c r="AB2" s="436"/>
      <c r="AC2" s="445" t="s">
        <v>12</v>
      </c>
      <c r="AD2" s="445"/>
      <c r="AE2" s="436" t="s">
        <v>32</v>
      </c>
      <c r="AF2" s="436"/>
      <c r="AG2" s="441" t="s">
        <v>87</v>
      </c>
      <c r="AH2" s="442"/>
      <c r="AI2" s="445" t="s">
        <v>13</v>
      </c>
      <c r="AJ2" s="445"/>
      <c r="AK2" s="445" t="s">
        <v>14</v>
      </c>
      <c r="AL2" s="443"/>
      <c r="AM2" s="41" t="s">
        <v>107</v>
      </c>
      <c r="AN2" s="41"/>
      <c r="AO2" s="41" t="s">
        <v>168</v>
      </c>
      <c r="AP2" s="41"/>
      <c r="AQ2" s="41" t="s">
        <v>132</v>
      </c>
    </row>
    <row r="3" spans="1:43" s="28" customFormat="1" ht="102" customHeight="1">
      <c r="A3" s="438" t="s">
        <v>78</v>
      </c>
      <c r="B3" s="438" t="s">
        <v>77</v>
      </c>
      <c r="C3" s="23" t="s">
        <v>80</v>
      </c>
      <c r="D3" s="23"/>
      <c r="E3" s="23"/>
      <c r="F3" s="23"/>
      <c r="G3" s="29" t="s">
        <v>5</v>
      </c>
      <c r="H3" s="24"/>
      <c r="I3" s="29" t="s">
        <v>5</v>
      </c>
      <c r="J3" s="29" t="s">
        <v>5</v>
      </c>
      <c r="K3" s="25" t="s">
        <v>5</v>
      </c>
      <c r="L3" s="25"/>
      <c r="M3" s="29" t="s">
        <v>5</v>
      </c>
      <c r="N3" s="24"/>
      <c r="O3" s="29" t="s">
        <v>5</v>
      </c>
      <c r="P3" s="24"/>
      <c r="Q3" s="30" t="s">
        <v>5</v>
      </c>
      <c r="R3" s="26"/>
      <c r="S3" s="1" t="s">
        <v>100</v>
      </c>
      <c r="T3" s="1" t="s">
        <v>86</v>
      </c>
      <c r="U3" s="38" t="s">
        <v>5</v>
      </c>
      <c r="V3" s="27"/>
      <c r="W3" s="1" t="s">
        <v>99</v>
      </c>
      <c r="X3" s="34" t="s">
        <v>85</v>
      </c>
      <c r="Y3" s="36" t="s">
        <v>5</v>
      </c>
      <c r="Z3" s="36"/>
      <c r="AA3" s="36" t="s">
        <v>5</v>
      </c>
      <c r="AB3" s="36"/>
      <c r="AC3" s="37" t="s">
        <v>5</v>
      </c>
      <c r="AD3" s="26"/>
      <c r="AE3" s="1" t="s">
        <v>5</v>
      </c>
      <c r="AF3" s="1"/>
      <c r="AG3" s="1" t="s">
        <v>5</v>
      </c>
      <c r="AH3" s="1" t="s">
        <v>88</v>
      </c>
      <c r="AI3" s="30" t="s">
        <v>98</v>
      </c>
      <c r="AJ3" s="32" t="s">
        <v>84</v>
      </c>
      <c r="AK3" s="33" t="s">
        <v>5</v>
      </c>
      <c r="AL3" s="31"/>
      <c r="AM3" s="42"/>
      <c r="AN3" s="42"/>
      <c r="AO3" s="42"/>
      <c r="AP3" s="42"/>
      <c r="AQ3" s="42"/>
    </row>
    <row r="4" spans="1:43" s="28" customFormat="1" ht="138" customHeight="1">
      <c r="A4" s="439"/>
      <c r="B4" s="439"/>
      <c r="C4" s="23" t="s">
        <v>81</v>
      </c>
      <c r="D4" s="23"/>
      <c r="E4" s="23"/>
      <c r="F4" s="23"/>
      <c r="G4" s="29" t="s">
        <v>5</v>
      </c>
      <c r="H4" s="24"/>
      <c r="I4" s="29" t="s">
        <v>5</v>
      </c>
      <c r="J4" s="29" t="s">
        <v>5</v>
      </c>
      <c r="K4" s="25" t="s">
        <v>5</v>
      </c>
      <c r="L4" s="25"/>
      <c r="M4" s="29" t="s">
        <v>5</v>
      </c>
      <c r="N4" s="24"/>
      <c r="O4" s="29" t="s">
        <v>5</v>
      </c>
      <c r="P4" s="24"/>
      <c r="Q4" s="30" t="s">
        <v>5</v>
      </c>
      <c r="R4" s="26"/>
      <c r="S4" s="1" t="s">
        <v>94</v>
      </c>
      <c r="T4" s="1"/>
      <c r="U4" s="38" t="s">
        <v>5</v>
      </c>
      <c r="V4" s="27"/>
      <c r="W4" s="1" t="s">
        <v>92</v>
      </c>
      <c r="X4" s="1" t="s">
        <v>93</v>
      </c>
      <c r="Y4" s="1" t="s">
        <v>5</v>
      </c>
      <c r="Z4" s="1"/>
      <c r="AA4" s="1" t="s">
        <v>5</v>
      </c>
      <c r="AB4" s="1"/>
      <c r="AC4" s="30" t="s">
        <v>5</v>
      </c>
      <c r="AD4" s="26"/>
      <c r="AE4" s="1" t="s">
        <v>5</v>
      </c>
      <c r="AF4" s="1"/>
      <c r="AG4" s="1" t="s">
        <v>91</v>
      </c>
      <c r="AH4" s="1"/>
      <c r="AI4" s="1" t="s">
        <v>90</v>
      </c>
      <c r="AJ4" s="30" t="s">
        <v>89</v>
      </c>
      <c r="AK4" s="30" t="s">
        <v>5</v>
      </c>
      <c r="AL4" s="32"/>
      <c r="AM4" s="42"/>
      <c r="AN4" s="42"/>
      <c r="AO4" s="42"/>
      <c r="AP4" s="42"/>
      <c r="AQ4" s="42"/>
    </row>
    <row r="5" spans="1:43" s="28" customFormat="1" ht="85.5" customHeight="1">
      <c r="A5" s="439"/>
      <c r="B5" s="439"/>
      <c r="C5" s="23" t="s">
        <v>0</v>
      </c>
      <c r="D5" s="23"/>
      <c r="E5" s="23"/>
      <c r="F5" s="23"/>
      <c r="G5" s="29" t="s">
        <v>5</v>
      </c>
      <c r="H5" s="24"/>
      <c r="I5" s="29" t="s">
        <v>5</v>
      </c>
      <c r="J5" s="29" t="s">
        <v>5</v>
      </c>
      <c r="K5" s="25" t="s">
        <v>5</v>
      </c>
      <c r="L5" s="25"/>
      <c r="M5" s="29" t="s">
        <v>5</v>
      </c>
      <c r="N5" s="24"/>
      <c r="O5" s="29" t="s">
        <v>5</v>
      </c>
      <c r="P5" s="24"/>
      <c r="Q5" s="30" t="s">
        <v>5</v>
      </c>
      <c r="R5" s="26"/>
      <c r="S5" s="1" t="s">
        <v>101</v>
      </c>
      <c r="T5" s="1" t="s">
        <v>95</v>
      </c>
      <c r="U5" s="38" t="s">
        <v>5</v>
      </c>
      <c r="V5" s="27"/>
      <c r="W5" s="1" t="s">
        <v>5</v>
      </c>
      <c r="X5" s="1"/>
      <c r="Y5" s="1" t="s">
        <v>5</v>
      </c>
      <c r="Z5" s="1"/>
      <c r="AA5" s="1" t="s">
        <v>5</v>
      </c>
      <c r="AB5" s="1"/>
      <c r="AC5" s="30" t="s">
        <v>5</v>
      </c>
      <c r="AD5" s="26"/>
      <c r="AE5" s="1" t="s">
        <v>5</v>
      </c>
      <c r="AF5" s="1"/>
      <c r="AG5" s="1" t="s">
        <v>5</v>
      </c>
      <c r="AH5" s="1"/>
      <c r="AI5" s="30" t="s">
        <v>97</v>
      </c>
      <c r="AJ5" s="30" t="s">
        <v>106</v>
      </c>
      <c r="AK5" s="30" t="s">
        <v>5</v>
      </c>
      <c r="AL5" s="32"/>
      <c r="AM5" s="42"/>
      <c r="AN5" s="42"/>
      <c r="AO5" s="42"/>
      <c r="AP5" s="42"/>
      <c r="AQ5" s="42"/>
    </row>
    <row r="6" spans="1:43" s="28" customFormat="1" ht="63.75" customHeight="1">
      <c r="A6" s="439"/>
      <c r="B6" s="439"/>
      <c r="C6" s="23" t="s">
        <v>79</v>
      </c>
      <c r="D6" s="23"/>
      <c r="E6" s="23"/>
      <c r="F6" s="23"/>
      <c r="G6" s="29" t="s">
        <v>5</v>
      </c>
      <c r="H6" s="24"/>
      <c r="I6" s="29" t="s">
        <v>5</v>
      </c>
      <c r="J6" s="29" t="s">
        <v>5</v>
      </c>
      <c r="K6" s="25" t="s">
        <v>5</v>
      </c>
      <c r="L6" s="25"/>
      <c r="M6" s="29" t="s">
        <v>5</v>
      </c>
      <c r="N6" s="24"/>
      <c r="O6" s="29" t="s">
        <v>5</v>
      </c>
      <c r="P6" s="24"/>
      <c r="Q6" s="30" t="s">
        <v>5</v>
      </c>
      <c r="R6" s="26"/>
      <c r="S6" s="1" t="s">
        <v>102</v>
      </c>
      <c r="T6" s="1" t="s">
        <v>103</v>
      </c>
      <c r="U6" s="38" t="s">
        <v>5</v>
      </c>
      <c r="V6" s="27"/>
      <c r="W6" s="1" t="s">
        <v>5</v>
      </c>
      <c r="X6" s="1"/>
      <c r="Y6" s="1" t="s">
        <v>5</v>
      </c>
      <c r="Z6" s="1"/>
      <c r="AA6" s="1" t="s">
        <v>5</v>
      </c>
      <c r="AB6" s="1"/>
      <c r="AC6" s="30" t="s">
        <v>5</v>
      </c>
      <c r="AD6" s="26"/>
      <c r="AE6" s="1" t="s">
        <v>5</v>
      </c>
      <c r="AF6" s="1"/>
      <c r="AG6" s="1" t="s">
        <v>5</v>
      </c>
      <c r="AH6" s="1"/>
      <c r="AI6" s="30" t="s">
        <v>104</v>
      </c>
      <c r="AJ6" s="30" t="s">
        <v>105</v>
      </c>
      <c r="AK6" s="30" t="s">
        <v>5</v>
      </c>
      <c r="AL6" s="32"/>
      <c r="AM6" s="30" t="s">
        <v>108</v>
      </c>
      <c r="AN6" s="42" t="s">
        <v>109</v>
      </c>
      <c r="AO6" s="42"/>
      <c r="AP6" s="42"/>
      <c r="AQ6" s="42"/>
    </row>
    <row r="7" spans="1:43" s="28" customFormat="1" ht="63.75" customHeight="1">
      <c r="A7" s="439"/>
      <c r="B7" s="439"/>
      <c r="C7" s="23" t="s">
        <v>110</v>
      </c>
      <c r="D7" s="23"/>
      <c r="E7" s="23"/>
      <c r="F7" s="23"/>
      <c r="G7" s="29" t="s">
        <v>5</v>
      </c>
      <c r="H7" s="24"/>
      <c r="I7" s="29" t="s">
        <v>5</v>
      </c>
      <c r="J7" s="29" t="s">
        <v>5</v>
      </c>
      <c r="K7" s="25" t="s">
        <v>5</v>
      </c>
      <c r="L7" s="25"/>
      <c r="M7" s="29" t="s">
        <v>5</v>
      </c>
      <c r="N7" s="24"/>
      <c r="O7" s="29" t="s">
        <v>5</v>
      </c>
      <c r="P7" s="24"/>
      <c r="Q7" s="30" t="s">
        <v>5</v>
      </c>
      <c r="R7" s="26"/>
      <c r="S7" s="1" t="s">
        <v>111</v>
      </c>
      <c r="T7" s="1" t="s">
        <v>112</v>
      </c>
      <c r="U7" s="38" t="s">
        <v>5</v>
      </c>
      <c r="V7" s="27"/>
      <c r="W7" s="1" t="s">
        <v>5</v>
      </c>
      <c r="X7" s="1"/>
      <c r="Y7" s="1" t="s">
        <v>5</v>
      </c>
      <c r="Z7" s="1"/>
      <c r="AA7" s="1" t="s">
        <v>5</v>
      </c>
      <c r="AB7" s="1"/>
      <c r="AC7" s="30" t="s">
        <v>5</v>
      </c>
      <c r="AD7" s="26"/>
      <c r="AE7" s="1" t="s">
        <v>5</v>
      </c>
      <c r="AF7" s="1"/>
      <c r="AG7" s="1" t="s">
        <v>5</v>
      </c>
      <c r="AH7" s="1"/>
      <c r="AI7" s="30" t="s">
        <v>113</v>
      </c>
      <c r="AJ7" s="30" t="s">
        <v>114</v>
      </c>
      <c r="AK7" s="30" t="s">
        <v>5</v>
      </c>
      <c r="AL7" s="32"/>
      <c r="AM7" s="42" t="s">
        <v>5</v>
      </c>
      <c r="AN7" s="42" t="s">
        <v>5</v>
      </c>
      <c r="AO7" s="42"/>
      <c r="AP7" s="42"/>
      <c r="AQ7" s="42"/>
    </row>
    <row r="8" spans="1:43" s="28" customFormat="1" ht="63.75" customHeight="1">
      <c r="A8" s="439"/>
      <c r="B8" s="439"/>
      <c r="C8" s="23" t="s">
        <v>82</v>
      </c>
      <c r="D8" s="23"/>
      <c r="E8" s="23"/>
      <c r="F8" s="23"/>
      <c r="G8" s="29" t="s">
        <v>5</v>
      </c>
      <c r="H8" s="24"/>
      <c r="I8" s="29" t="s">
        <v>5</v>
      </c>
      <c r="J8" s="29" t="s">
        <v>5</v>
      </c>
      <c r="K8" s="25" t="s">
        <v>5</v>
      </c>
      <c r="L8" s="25"/>
      <c r="M8" s="29" t="s">
        <v>5</v>
      </c>
      <c r="N8" s="24"/>
      <c r="O8" s="29" t="s">
        <v>5</v>
      </c>
      <c r="P8" s="24"/>
      <c r="Q8" s="30" t="s">
        <v>5</v>
      </c>
      <c r="R8" s="26"/>
      <c r="S8" s="1" t="s">
        <v>5</v>
      </c>
      <c r="T8" s="1" t="s">
        <v>5</v>
      </c>
      <c r="U8" s="38" t="s">
        <v>5</v>
      </c>
      <c r="V8" s="27"/>
      <c r="W8" s="1" t="s">
        <v>5</v>
      </c>
      <c r="X8" s="1"/>
      <c r="Y8" s="1" t="s">
        <v>5</v>
      </c>
      <c r="Z8" s="1"/>
      <c r="AA8" s="1" t="s">
        <v>5</v>
      </c>
      <c r="AB8" s="1"/>
      <c r="AC8" s="30" t="s">
        <v>5</v>
      </c>
      <c r="AD8" s="26"/>
      <c r="AE8" s="1" t="s">
        <v>5</v>
      </c>
      <c r="AF8" s="1"/>
      <c r="AG8" s="1" t="s">
        <v>5</v>
      </c>
      <c r="AH8" s="1"/>
      <c r="AI8" s="30" t="s">
        <v>115</v>
      </c>
      <c r="AJ8" s="30" t="s">
        <v>117</v>
      </c>
      <c r="AK8" s="30" t="s">
        <v>5</v>
      </c>
      <c r="AL8" s="32"/>
      <c r="AM8" s="42" t="s">
        <v>116</v>
      </c>
      <c r="AN8" s="42" t="s">
        <v>118</v>
      </c>
      <c r="AO8" s="42"/>
      <c r="AP8" s="42"/>
      <c r="AQ8" s="42"/>
    </row>
    <row r="9" spans="1:43" s="28" customFormat="1" ht="63.75" customHeight="1">
      <c r="A9" s="440"/>
      <c r="B9" s="440"/>
      <c r="C9" s="23" t="s">
        <v>83</v>
      </c>
      <c r="D9" s="23"/>
      <c r="E9" s="23"/>
      <c r="F9" s="23"/>
      <c r="G9" s="29" t="s">
        <v>5</v>
      </c>
      <c r="H9" s="24"/>
      <c r="I9" s="29" t="s">
        <v>5</v>
      </c>
      <c r="J9" s="29" t="s">
        <v>5</v>
      </c>
      <c r="K9" s="25" t="s">
        <v>5</v>
      </c>
      <c r="L9" s="25"/>
      <c r="M9" s="29" t="s">
        <v>5</v>
      </c>
      <c r="N9" s="24"/>
      <c r="O9" s="29" t="s">
        <v>5</v>
      </c>
      <c r="P9" s="24"/>
      <c r="Q9" s="30" t="s">
        <v>5</v>
      </c>
      <c r="R9" s="26"/>
      <c r="S9" s="1" t="s">
        <v>5</v>
      </c>
      <c r="T9" s="1" t="s">
        <v>5</v>
      </c>
      <c r="U9" s="38" t="s">
        <v>5</v>
      </c>
      <c r="V9" s="27"/>
      <c r="W9" s="1" t="s">
        <v>5</v>
      </c>
      <c r="X9" s="1"/>
      <c r="Y9" s="1" t="s">
        <v>5</v>
      </c>
      <c r="Z9" s="1"/>
      <c r="AA9" s="1" t="s">
        <v>5</v>
      </c>
      <c r="AB9" s="1"/>
      <c r="AC9" s="30" t="s">
        <v>5</v>
      </c>
      <c r="AD9" s="26"/>
      <c r="AE9" s="1" t="s">
        <v>5</v>
      </c>
      <c r="AF9" s="1"/>
      <c r="AG9" s="1" t="s">
        <v>5</v>
      </c>
      <c r="AH9" s="1"/>
      <c r="AI9" s="30" t="s">
        <v>119</v>
      </c>
      <c r="AJ9" s="30" t="s">
        <v>121</v>
      </c>
      <c r="AK9" s="30" t="s">
        <v>5</v>
      </c>
      <c r="AL9" s="32"/>
      <c r="AM9" s="42" t="s">
        <v>120</v>
      </c>
      <c r="AN9" s="42" t="s">
        <v>118</v>
      </c>
      <c r="AO9" s="42"/>
      <c r="AP9" s="42"/>
      <c r="AQ9" s="42"/>
    </row>
    <row r="10" spans="1:43" ht="60" customHeight="1">
      <c r="A10" s="460" t="e">
        <f>#REF!</f>
        <v>#REF!</v>
      </c>
      <c r="B10" s="460" t="e">
        <f>#REF!</f>
        <v>#REF!</v>
      </c>
      <c r="C10" s="4" t="s">
        <v>20</v>
      </c>
      <c r="D10" s="4"/>
      <c r="E10" s="4"/>
      <c r="F10" s="4"/>
      <c r="G10" s="8">
        <v>0.05</v>
      </c>
      <c r="H10" s="8" t="s">
        <v>53</v>
      </c>
      <c r="I10" s="8" t="s">
        <v>5</v>
      </c>
      <c r="J10" s="8" t="s">
        <v>5</v>
      </c>
      <c r="K10" s="4" t="s">
        <v>19</v>
      </c>
      <c r="L10" s="4" t="s">
        <v>54</v>
      </c>
      <c r="M10" s="8">
        <v>0.05</v>
      </c>
      <c r="N10" s="8" t="s">
        <v>55</v>
      </c>
      <c r="O10" s="8" t="s">
        <v>5</v>
      </c>
      <c r="P10" s="8" t="s">
        <v>5</v>
      </c>
      <c r="Q10" s="9">
        <v>0.15</v>
      </c>
      <c r="R10" s="9" t="s">
        <v>56</v>
      </c>
      <c r="S10" s="10" t="s">
        <v>16</v>
      </c>
      <c r="T10" s="10" t="s">
        <v>57</v>
      </c>
      <c r="U10" s="11">
        <v>25</v>
      </c>
      <c r="V10" s="11" t="s">
        <v>58</v>
      </c>
      <c r="W10" s="10" t="s">
        <v>17</v>
      </c>
      <c r="X10" s="10" t="s">
        <v>59</v>
      </c>
      <c r="Y10" s="11" t="s">
        <v>5</v>
      </c>
      <c r="Z10" s="10" t="s">
        <v>5</v>
      </c>
      <c r="AA10" s="12">
        <v>7</v>
      </c>
      <c r="AB10" s="12" t="s">
        <v>60</v>
      </c>
      <c r="AC10" s="9">
        <v>1</v>
      </c>
      <c r="AD10" s="9" t="s">
        <v>61</v>
      </c>
      <c r="AE10" s="10" t="s">
        <v>18</v>
      </c>
      <c r="AF10" s="10" t="s">
        <v>62</v>
      </c>
      <c r="AG10" s="10"/>
      <c r="AH10" s="10"/>
      <c r="AI10" s="9" t="s">
        <v>15</v>
      </c>
      <c r="AJ10" s="9" t="s">
        <v>63</v>
      </c>
      <c r="AK10" s="9">
        <v>0.94</v>
      </c>
      <c r="AL10" s="39" t="s">
        <v>64</v>
      </c>
      <c r="AM10" s="2"/>
      <c r="AN10" s="2"/>
      <c r="AO10" s="2"/>
      <c r="AP10" s="2"/>
      <c r="AQ10" s="2"/>
    </row>
    <row r="11" spans="1:43" ht="96" customHeight="1">
      <c r="A11" s="460"/>
      <c r="B11" s="460"/>
      <c r="C11" s="4" t="s">
        <v>21</v>
      </c>
      <c r="D11" s="4"/>
      <c r="E11" s="4"/>
      <c r="F11" s="4"/>
      <c r="G11" s="8">
        <v>0.05</v>
      </c>
      <c r="H11" s="8" t="s">
        <v>65</v>
      </c>
      <c r="I11" s="8" t="s">
        <v>5</v>
      </c>
      <c r="J11" s="8" t="s">
        <v>5</v>
      </c>
      <c r="K11" s="4" t="s">
        <v>22</v>
      </c>
      <c r="L11" s="4" t="s">
        <v>54</v>
      </c>
      <c r="M11" s="8">
        <v>0.05</v>
      </c>
      <c r="N11" s="8" t="s">
        <v>55</v>
      </c>
      <c r="O11" s="8" t="s">
        <v>5</v>
      </c>
      <c r="P11" s="8" t="s">
        <v>5</v>
      </c>
      <c r="Q11" s="13">
        <v>0.15</v>
      </c>
      <c r="R11" s="13" t="s">
        <v>56</v>
      </c>
      <c r="S11" s="9" t="s">
        <v>23</v>
      </c>
      <c r="T11" s="10" t="s">
        <v>57</v>
      </c>
      <c r="U11" s="11">
        <v>25</v>
      </c>
      <c r="V11" s="11" t="s">
        <v>66</v>
      </c>
      <c r="W11" s="10" t="s">
        <v>24</v>
      </c>
      <c r="X11" s="10" t="s">
        <v>59</v>
      </c>
      <c r="Y11" s="11" t="s">
        <v>5</v>
      </c>
      <c r="Z11" s="10" t="s">
        <v>5</v>
      </c>
      <c r="AA11" s="10" t="s">
        <v>5</v>
      </c>
      <c r="AB11" s="10" t="s">
        <v>5</v>
      </c>
      <c r="AC11" s="9" t="s">
        <v>5</v>
      </c>
      <c r="AD11" s="9" t="s">
        <v>5</v>
      </c>
      <c r="AE11" s="10" t="s">
        <v>25</v>
      </c>
      <c r="AF11" s="10" t="s">
        <v>67</v>
      </c>
      <c r="AG11" s="10"/>
      <c r="AH11" s="10"/>
      <c r="AI11" s="9" t="s">
        <v>26</v>
      </c>
      <c r="AJ11" s="9" t="s">
        <v>68</v>
      </c>
      <c r="AK11" s="9">
        <v>0.94</v>
      </c>
      <c r="AL11" s="39" t="s">
        <v>64</v>
      </c>
      <c r="AM11" s="2"/>
      <c r="AN11" s="2"/>
      <c r="AO11" s="2"/>
      <c r="AP11" s="2"/>
      <c r="AQ11" s="2"/>
    </row>
    <row r="12" spans="1:43" ht="72.75" customHeight="1">
      <c r="A12" s="460"/>
      <c r="B12" s="460"/>
      <c r="C12" s="4" t="s">
        <v>33</v>
      </c>
      <c r="D12" s="4"/>
      <c r="E12" s="4"/>
      <c r="F12" s="4"/>
      <c r="G12" s="8" t="s">
        <v>5</v>
      </c>
      <c r="H12" s="8" t="s">
        <v>5</v>
      </c>
      <c r="I12" s="8" t="s">
        <v>5</v>
      </c>
      <c r="J12" s="8" t="s">
        <v>5</v>
      </c>
      <c r="K12" s="4" t="s">
        <v>5</v>
      </c>
      <c r="L12" s="4" t="s">
        <v>5</v>
      </c>
      <c r="M12" s="8">
        <v>0.15</v>
      </c>
      <c r="N12" s="8" t="s">
        <v>36</v>
      </c>
      <c r="O12" s="8" t="s">
        <v>5</v>
      </c>
      <c r="P12" s="8" t="s">
        <v>5</v>
      </c>
      <c r="Q12" s="9" t="s">
        <v>5</v>
      </c>
      <c r="R12" s="9" t="s">
        <v>5</v>
      </c>
      <c r="S12" s="12">
        <v>515</v>
      </c>
      <c r="T12" s="12" t="s">
        <v>37</v>
      </c>
      <c r="U12" s="11">
        <v>25</v>
      </c>
      <c r="V12" s="11" t="s">
        <v>38</v>
      </c>
      <c r="W12" s="10" t="s">
        <v>29</v>
      </c>
      <c r="X12" s="10" t="s">
        <v>48</v>
      </c>
      <c r="Y12" s="11">
        <v>400000</v>
      </c>
      <c r="Z12" s="10" t="s">
        <v>49</v>
      </c>
      <c r="AA12" s="12">
        <v>7</v>
      </c>
      <c r="AB12" s="12" t="s">
        <v>39</v>
      </c>
      <c r="AC12" s="9">
        <v>1</v>
      </c>
      <c r="AD12" s="9" t="s">
        <v>40</v>
      </c>
      <c r="AE12" s="10">
        <v>15</v>
      </c>
      <c r="AF12" s="10" t="s">
        <v>41</v>
      </c>
      <c r="AG12" s="10"/>
      <c r="AH12" s="10"/>
      <c r="AI12" s="9">
        <v>0.05</v>
      </c>
      <c r="AJ12" s="9" t="s">
        <v>42</v>
      </c>
      <c r="AK12" s="9">
        <v>1</v>
      </c>
      <c r="AL12" s="39" t="s">
        <v>43</v>
      </c>
      <c r="AM12" s="2"/>
      <c r="AN12" s="2"/>
      <c r="AO12" s="2"/>
      <c r="AP12" s="2"/>
      <c r="AQ12" s="2"/>
    </row>
    <row r="13" spans="1:43" ht="45" customHeight="1">
      <c r="A13" s="460"/>
      <c r="B13" s="460"/>
      <c r="C13" s="14" t="s">
        <v>69</v>
      </c>
      <c r="D13" s="14"/>
      <c r="E13" s="14"/>
      <c r="F13" s="14"/>
      <c r="G13" s="15" t="s">
        <v>5</v>
      </c>
      <c r="H13" s="15" t="s">
        <v>5</v>
      </c>
      <c r="I13" s="15" t="s">
        <v>5</v>
      </c>
      <c r="J13" s="15" t="s">
        <v>5</v>
      </c>
      <c r="K13" s="14" t="s">
        <v>5</v>
      </c>
      <c r="L13" s="14" t="s">
        <v>5</v>
      </c>
      <c r="M13" s="15">
        <v>0.15</v>
      </c>
      <c r="N13" s="8" t="s">
        <v>36</v>
      </c>
      <c r="O13" s="15" t="s">
        <v>5</v>
      </c>
      <c r="P13" s="15" t="s">
        <v>5</v>
      </c>
      <c r="Q13" s="16" t="s">
        <v>5</v>
      </c>
      <c r="R13" s="16" t="s">
        <v>5</v>
      </c>
      <c r="S13" s="21">
        <v>500</v>
      </c>
      <c r="T13" s="3" t="s">
        <v>44</v>
      </c>
      <c r="U13" s="17" t="s">
        <v>45</v>
      </c>
      <c r="V13" s="17" t="s">
        <v>46</v>
      </c>
      <c r="W13" s="3" t="s">
        <v>29</v>
      </c>
      <c r="X13" s="3" t="s">
        <v>48</v>
      </c>
      <c r="Y13" s="17">
        <v>400000</v>
      </c>
      <c r="Z13" s="3" t="s">
        <v>49</v>
      </c>
      <c r="AA13" s="22">
        <v>7</v>
      </c>
      <c r="AB13" s="12" t="s">
        <v>39</v>
      </c>
      <c r="AC13" s="16" t="s">
        <v>5</v>
      </c>
      <c r="AD13" s="16" t="s">
        <v>5</v>
      </c>
      <c r="AE13" s="3" t="s">
        <v>50</v>
      </c>
      <c r="AF13" s="3" t="s">
        <v>51</v>
      </c>
      <c r="AG13" s="3"/>
      <c r="AH13" s="3"/>
      <c r="AI13" s="16">
        <v>0.02</v>
      </c>
      <c r="AJ13" s="16" t="s">
        <v>52</v>
      </c>
      <c r="AK13" s="16">
        <v>1</v>
      </c>
      <c r="AL13" s="39" t="s">
        <v>43</v>
      </c>
      <c r="AM13" s="2"/>
      <c r="AN13" s="2"/>
      <c r="AO13" s="2"/>
      <c r="AP13" s="2"/>
      <c r="AQ13" s="2"/>
    </row>
    <row r="14" spans="1:43" ht="63.75" customHeight="1">
      <c r="A14" s="460"/>
      <c r="B14" s="460"/>
      <c r="C14" s="14" t="s">
        <v>70</v>
      </c>
      <c r="D14" s="14"/>
      <c r="E14" s="14"/>
      <c r="F14" s="14"/>
      <c r="G14" s="15" t="s">
        <v>5</v>
      </c>
      <c r="H14" s="15" t="s">
        <v>5</v>
      </c>
      <c r="I14" s="15" t="s">
        <v>5</v>
      </c>
      <c r="J14" s="15" t="s">
        <v>5</v>
      </c>
      <c r="K14" s="14" t="s">
        <v>5</v>
      </c>
      <c r="L14" s="14" t="s">
        <v>5</v>
      </c>
      <c r="M14" s="15">
        <v>0.05</v>
      </c>
      <c r="N14" s="15" t="s">
        <v>71</v>
      </c>
      <c r="O14" s="15" t="s">
        <v>28</v>
      </c>
      <c r="P14" s="15" t="s">
        <v>72</v>
      </c>
      <c r="Q14" s="18" t="s">
        <v>5</v>
      </c>
      <c r="R14" s="18" t="s">
        <v>5</v>
      </c>
      <c r="S14" s="19" t="s">
        <v>29</v>
      </c>
      <c r="T14" s="19" t="s">
        <v>73</v>
      </c>
      <c r="U14" s="19" t="s">
        <v>29</v>
      </c>
      <c r="V14" s="19" t="s">
        <v>73</v>
      </c>
      <c r="W14" s="19" t="s">
        <v>29</v>
      </c>
      <c r="X14" s="19" t="s">
        <v>73</v>
      </c>
      <c r="Y14" s="20" t="s">
        <v>29</v>
      </c>
      <c r="Z14" s="19" t="s">
        <v>73</v>
      </c>
      <c r="AA14" s="2" t="s">
        <v>5</v>
      </c>
      <c r="AB14" s="2" t="s">
        <v>5</v>
      </c>
      <c r="AC14" s="18" t="s">
        <v>5</v>
      </c>
      <c r="AD14" s="18" t="s">
        <v>5</v>
      </c>
      <c r="AE14" s="18">
        <v>0.3</v>
      </c>
      <c r="AF14" s="16" t="s">
        <v>74</v>
      </c>
      <c r="AG14" s="16"/>
      <c r="AH14" s="16"/>
      <c r="AI14" s="18">
        <v>0.2</v>
      </c>
      <c r="AJ14" s="18" t="s">
        <v>75</v>
      </c>
      <c r="AK14" s="16">
        <v>0.95</v>
      </c>
      <c r="AL14" s="39" t="s">
        <v>76</v>
      </c>
      <c r="AM14" s="2"/>
      <c r="AN14" s="2"/>
      <c r="AO14" s="2"/>
      <c r="AP14" s="2"/>
      <c r="AQ14" s="2"/>
    </row>
    <row r="15" spans="1:43" ht="120" customHeight="1">
      <c r="A15" s="454" t="e">
        <f>#REF!</f>
        <v>#REF!</v>
      </c>
      <c r="B15" s="457" t="e">
        <f>#REF!</f>
        <v>#REF!</v>
      </c>
      <c r="C15" s="43" t="s">
        <v>122</v>
      </c>
      <c r="D15" s="43" t="s">
        <v>127</v>
      </c>
      <c r="E15" s="43"/>
      <c r="F15" s="43"/>
      <c r="G15" s="44" t="s">
        <v>5</v>
      </c>
      <c r="H15" s="44"/>
      <c r="I15" s="44" t="s">
        <v>5</v>
      </c>
      <c r="J15" s="44" t="s">
        <v>5</v>
      </c>
      <c r="K15" s="43" t="s">
        <v>5</v>
      </c>
      <c r="L15" s="43"/>
      <c r="M15" s="47" t="s">
        <v>138</v>
      </c>
      <c r="N15" s="47"/>
      <c r="O15" s="47" t="s">
        <v>138</v>
      </c>
      <c r="P15" s="47"/>
      <c r="Q15" s="47" t="s">
        <v>138</v>
      </c>
      <c r="R15" s="47"/>
      <c r="S15" s="48" t="s">
        <v>138</v>
      </c>
      <c r="T15" s="2" t="s">
        <v>139</v>
      </c>
      <c r="U15" s="49" t="s">
        <v>138</v>
      </c>
      <c r="V15" s="2" t="s">
        <v>139</v>
      </c>
      <c r="W15" s="448" t="s">
        <v>140</v>
      </c>
      <c r="X15" s="2"/>
      <c r="Y15" s="45" t="s">
        <v>5</v>
      </c>
      <c r="Z15" s="2"/>
      <c r="AA15" s="2" t="s">
        <v>5</v>
      </c>
      <c r="AB15" s="2"/>
      <c r="AC15" s="18" t="s">
        <v>5</v>
      </c>
      <c r="AD15" s="18"/>
      <c r="AE15" s="2" t="s">
        <v>5</v>
      </c>
      <c r="AF15" s="2"/>
      <c r="AG15" s="2" t="s">
        <v>5</v>
      </c>
      <c r="AH15" s="2"/>
      <c r="AI15" s="47" t="s">
        <v>138</v>
      </c>
      <c r="AJ15" s="18"/>
      <c r="AK15" s="18"/>
      <c r="AL15" s="2"/>
      <c r="AM15" s="2"/>
      <c r="AN15" s="2"/>
      <c r="AO15" s="2"/>
      <c r="AP15" s="2"/>
      <c r="AQ15" s="3" t="s">
        <v>133</v>
      </c>
    </row>
    <row r="16" spans="1:43">
      <c r="A16" s="455"/>
      <c r="B16" s="458"/>
      <c r="C16" s="2" t="s">
        <v>123</v>
      </c>
      <c r="D16" s="2" t="s">
        <v>128</v>
      </c>
      <c r="E16" s="2"/>
      <c r="F16" s="2"/>
      <c r="G16" s="18" t="s">
        <v>5</v>
      </c>
      <c r="H16" s="18"/>
      <c r="I16" s="18" t="s">
        <v>5</v>
      </c>
      <c r="J16" s="18" t="s">
        <v>5</v>
      </c>
      <c r="K16" s="2" t="s">
        <v>5</v>
      </c>
      <c r="L16" s="2"/>
      <c r="M16" s="47" t="s">
        <v>138</v>
      </c>
      <c r="N16" s="47"/>
      <c r="O16" s="47" t="s">
        <v>138</v>
      </c>
      <c r="P16" s="47"/>
      <c r="Q16" s="47" t="s">
        <v>138</v>
      </c>
      <c r="R16" s="47"/>
      <c r="S16" s="48" t="s">
        <v>138</v>
      </c>
      <c r="T16" s="2" t="s">
        <v>139</v>
      </c>
      <c r="U16" s="49" t="s">
        <v>138</v>
      </c>
      <c r="V16" s="2" t="s">
        <v>139</v>
      </c>
      <c r="W16" s="449"/>
      <c r="X16" s="2"/>
      <c r="Y16" s="45" t="s">
        <v>5</v>
      </c>
      <c r="Z16" s="2"/>
      <c r="AA16" s="2" t="s">
        <v>5</v>
      </c>
      <c r="AB16" s="2"/>
      <c r="AC16" s="18" t="s">
        <v>5</v>
      </c>
      <c r="AD16" s="18"/>
      <c r="AE16" s="2" t="s">
        <v>5</v>
      </c>
      <c r="AF16" s="2"/>
      <c r="AG16" s="2" t="s">
        <v>5</v>
      </c>
      <c r="AH16" s="2"/>
      <c r="AI16" s="47" t="s">
        <v>138</v>
      </c>
      <c r="AJ16" s="18"/>
      <c r="AK16" s="18"/>
      <c r="AL16" s="2"/>
      <c r="AM16" s="2"/>
      <c r="AN16" s="2"/>
      <c r="AO16" s="2"/>
      <c r="AP16" s="2"/>
      <c r="AQ16" s="2" t="s">
        <v>134</v>
      </c>
    </row>
    <row r="17" spans="1:43" ht="30">
      <c r="A17" s="455"/>
      <c r="B17" s="458"/>
      <c r="C17" s="2" t="s">
        <v>124</v>
      </c>
      <c r="D17" s="2" t="s">
        <v>129</v>
      </c>
      <c r="E17" s="2"/>
      <c r="F17" s="2"/>
      <c r="G17" s="18" t="s">
        <v>5</v>
      </c>
      <c r="H17" s="18"/>
      <c r="I17" s="18" t="s">
        <v>5</v>
      </c>
      <c r="J17" s="18" t="s">
        <v>5</v>
      </c>
      <c r="K17" s="2" t="s">
        <v>5</v>
      </c>
      <c r="L17" s="2"/>
      <c r="M17" s="47" t="s">
        <v>138</v>
      </c>
      <c r="N17" s="47"/>
      <c r="O17" s="47" t="s">
        <v>138</v>
      </c>
      <c r="P17" s="47"/>
      <c r="Q17" s="47" t="s">
        <v>138</v>
      </c>
      <c r="R17" s="47"/>
      <c r="S17" s="48" t="s">
        <v>138</v>
      </c>
      <c r="T17" s="2" t="s">
        <v>139</v>
      </c>
      <c r="U17" s="49" t="s">
        <v>138</v>
      </c>
      <c r="V17" s="2" t="s">
        <v>139</v>
      </c>
      <c r="W17" s="449"/>
      <c r="X17" s="2"/>
      <c r="Y17" s="45" t="s">
        <v>5</v>
      </c>
      <c r="Z17" s="2"/>
      <c r="AA17" s="2" t="s">
        <v>5</v>
      </c>
      <c r="AB17" s="2"/>
      <c r="AC17" s="18" t="s">
        <v>5</v>
      </c>
      <c r="AD17" s="18"/>
      <c r="AE17" s="2" t="s">
        <v>5</v>
      </c>
      <c r="AF17" s="2"/>
      <c r="AG17" s="2" t="s">
        <v>5</v>
      </c>
      <c r="AH17" s="2"/>
      <c r="AI17" s="47" t="s">
        <v>138</v>
      </c>
      <c r="AJ17" s="18"/>
      <c r="AK17" s="18"/>
      <c r="AL17" s="2"/>
      <c r="AM17" s="2"/>
      <c r="AN17" s="2"/>
      <c r="AO17" s="2"/>
      <c r="AP17" s="2"/>
      <c r="AQ17" s="3" t="s">
        <v>137</v>
      </c>
    </row>
    <row r="18" spans="1:43" ht="60">
      <c r="A18" s="455"/>
      <c r="B18" s="458"/>
      <c r="C18" s="2" t="s">
        <v>125</v>
      </c>
      <c r="D18" s="2" t="s">
        <v>130</v>
      </c>
      <c r="E18" s="2"/>
      <c r="F18" s="2"/>
      <c r="G18" s="18" t="s">
        <v>5</v>
      </c>
      <c r="H18" s="18"/>
      <c r="I18" s="18" t="s">
        <v>5</v>
      </c>
      <c r="J18" s="18" t="s">
        <v>5</v>
      </c>
      <c r="K18" s="2" t="s">
        <v>5</v>
      </c>
      <c r="L18" s="2"/>
      <c r="M18" s="47" t="s">
        <v>138</v>
      </c>
      <c r="N18" s="47"/>
      <c r="O18" s="47" t="s">
        <v>138</v>
      </c>
      <c r="P18" s="47"/>
      <c r="Q18" s="47" t="s">
        <v>138</v>
      </c>
      <c r="R18" s="47"/>
      <c r="S18" s="48" t="s">
        <v>138</v>
      </c>
      <c r="T18" s="2" t="s">
        <v>139</v>
      </c>
      <c r="U18" s="49" t="s">
        <v>138</v>
      </c>
      <c r="V18" s="2" t="s">
        <v>139</v>
      </c>
      <c r="W18" s="449"/>
      <c r="X18" s="2"/>
      <c r="Y18" s="45" t="s">
        <v>5</v>
      </c>
      <c r="Z18" s="2"/>
      <c r="AA18" s="2" t="s">
        <v>5</v>
      </c>
      <c r="AB18" s="2"/>
      <c r="AC18" s="18" t="s">
        <v>5</v>
      </c>
      <c r="AD18" s="18"/>
      <c r="AE18" s="2" t="s">
        <v>5</v>
      </c>
      <c r="AF18" s="2"/>
      <c r="AG18" s="2" t="s">
        <v>5</v>
      </c>
      <c r="AH18" s="2"/>
      <c r="AI18" s="47" t="s">
        <v>138</v>
      </c>
      <c r="AJ18" s="18"/>
      <c r="AK18" s="18"/>
      <c r="AL18" s="2"/>
      <c r="AM18" s="2"/>
      <c r="AN18" s="2"/>
      <c r="AO18" s="2"/>
      <c r="AP18" s="2"/>
      <c r="AQ18" s="3" t="s">
        <v>136</v>
      </c>
    </row>
    <row r="19" spans="1:43" ht="30">
      <c r="A19" s="456"/>
      <c r="B19" s="459"/>
      <c r="C19" s="46" t="s">
        <v>126</v>
      </c>
      <c r="D19" s="46" t="s">
        <v>131</v>
      </c>
      <c r="E19" s="46"/>
      <c r="F19" s="46"/>
      <c r="G19" s="18" t="s">
        <v>5</v>
      </c>
      <c r="H19" s="18"/>
      <c r="I19" s="18" t="s">
        <v>5</v>
      </c>
      <c r="J19" s="18" t="s">
        <v>5</v>
      </c>
      <c r="K19" s="2" t="s">
        <v>5</v>
      </c>
      <c r="L19" s="2"/>
      <c r="M19" s="47" t="s">
        <v>138</v>
      </c>
      <c r="N19" s="47"/>
      <c r="O19" s="47" t="s">
        <v>138</v>
      </c>
      <c r="P19" s="47"/>
      <c r="Q19" s="47" t="s">
        <v>138</v>
      </c>
      <c r="R19" s="47"/>
      <c r="S19" s="48" t="s">
        <v>138</v>
      </c>
      <c r="T19" s="2" t="s">
        <v>139</v>
      </c>
      <c r="U19" s="49" t="s">
        <v>138</v>
      </c>
      <c r="V19" s="2" t="s">
        <v>139</v>
      </c>
      <c r="W19" s="450"/>
      <c r="X19" s="2"/>
      <c r="Y19" s="45" t="s">
        <v>5</v>
      </c>
      <c r="Z19" s="2"/>
      <c r="AA19" s="2" t="s">
        <v>5</v>
      </c>
      <c r="AB19" s="2"/>
      <c r="AC19" s="18" t="s">
        <v>5</v>
      </c>
      <c r="AD19" s="18"/>
      <c r="AE19" s="2" t="s">
        <v>5</v>
      </c>
      <c r="AF19" s="2"/>
      <c r="AG19" s="2" t="s">
        <v>5</v>
      </c>
      <c r="AH19" s="2"/>
      <c r="AI19" s="47" t="s">
        <v>138</v>
      </c>
      <c r="AJ19" s="18"/>
      <c r="AK19" s="18"/>
      <c r="AL19" s="2"/>
      <c r="AM19" s="2"/>
      <c r="AN19" s="2"/>
      <c r="AO19" s="2"/>
      <c r="AP19" s="2"/>
      <c r="AQ19" s="3" t="s">
        <v>135</v>
      </c>
    </row>
    <row r="20" spans="1:43" ht="54.75" customHeight="1">
      <c r="A20" s="451" t="e">
        <f>#REF!</f>
        <v>#REF!</v>
      </c>
      <c r="B20" s="448" t="e">
        <f>#REF!</f>
        <v>#REF!</v>
      </c>
      <c r="C20" s="46" t="s">
        <v>141</v>
      </c>
      <c r="D20" s="50" t="s">
        <v>145</v>
      </c>
      <c r="E20" s="50"/>
      <c r="F20" s="50"/>
      <c r="G20" s="18"/>
      <c r="H20" s="18"/>
      <c r="I20" s="18" t="s">
        <v>5</v>
      </c>
      <c r="J20" s="18" t="s">
        <v>5</v>
      </c>
      <c r="K20" s="2"/>
      <c r="L20" s="2"/>
      <c r="M20" s="18"/>
      <c r="N20" s="18"/>
      <c r="O20" s="18"/>
      <c r="P20" s="18"/>
      <c r="Q20" s="18"/>
      <c r="R20" s="18"/>
      <c r="S20" s="2"/>
      <c r="T20" s="2"/>
      <c r="U20" s="45"/>
      <c r="V20" s="45"/>
      <c r="W20" s="2"/>
      <c r="X20" s="2"/>
      <c r="Y20" s="45"/>
      <c r="Z20" s="2"/>
      <c r="AA20" s="2"/>
      <c r="AB20" s="2"/>
      <c r="AC20" s="18"/>
      <c r="AD20" s="18"/>
      <c r="AE20" s="2"/>
      <c r="AF20" s="2"/>
      <c r="AG20" s="2"/>
      <c r="AH20" s="2"/>
      <c r="AI20" s="18"/>
      <c r="AJ20" s="18"/>
      <c r="AK20" s="18"/>
      <c r="AL20" s="2"/>
      <c r="AM20" s="2"/>
      <c r="AN20" s="2"/>
      <c r="AO20" s="2"/>
      <c r="AP20" s="2"/>
      <c r="AQ20" s="2"/>
    </row>
    <row r="21" spans="1:43" ht="49.5" customHeight="1">
      <c r="A21" s="452"/>
      <c r="B21" s="449"/>
      <c r="C21" s="46" t="s">
        <v>142</v>
      </c>
      <c r="D21" s="50" t="s">
        <v>146</v>
      </c>
      <c r="E21" s="50"/>
      <c r="F21" s="50"/>
      <c r="G21" s="18"/>
      <c r="H21" s="18"/>
      <c r="I21" s="18" t="s">
        <v>5</v>
      </c>
      <c r="J21" s="18" t="s">
        <v>5</v>
      </c>
      <c r="K21" s="2"/>
      <c r="L21" s="2"/>
      <c r="M21" s="18"/>
      <c r="N21" s="18"/>
      <c r="O21" s="18"/>
      <c r="P21" s="18"/>
      <c r="Q21" s="18"/>
      <c r="R21" s="18"/>
      <c r="S21" s="2"/>
      <c r="T21" s="2"/>
      <c r="U21" s="45"/>
      <c r="V21" s="45"/>
      <c r="W21" s="2"/>
      <c r="X21" s="2"/>
      <c r="Y21" s="45"/>
      <c r="Z21" s="2"/>
      <c r="AA21" s="2"/>
      <c r="AB21" s="2"/>
      <c r="AC21" s="18"/>
      <c r="AD21" s="18"/>
      <c r="AE21" s="2"/>
      <c r="AF21" s="2"/>
      <c r="AG21" s="2"/>
      <c r="AH21" s="2"/>
      <c r="AI21" s="18"/>
      <c r="AJ21" s="18"/>
      <c r="AK21" s="18"/>
      <c r="AL21" s="2"/>
      <c r="AM21" s="2"/>
      <c r="AN21" s="2"/>
      <c r="AO21" s="2"/>
      <c r="AP21" s="2"/>
      <c r="AQ21" s="2"/>
    </row>
    <row r="22" spans="1:43" ht="38.25" customHeight="1">
      <c r="A22" s="452"/>
      <c r="B22" s="449"/>
      <c r="C22" s="46" t="s">
        <v>143</v>
      </c>
      <c r="D22" s="50" t="s">
        <v>147</v>
      </c>
      <c r="E22" s="50"/>
      <c r="F22" s="50"/>
      <c r="G22" s="18"/>
      <c r="H22" s="18"/>
      <c r="I22" s="18" t="s">
        <v>5</v>
      </c>
      <c r="J22" s="18" t="s">
        <v>5</v>
      </c>
      <c r="K22" s="2"/>
      <c r="L22" s="2"/>
      <c r="M22" s="18"/>
      <c r="N22" s="18"/>
      <c r="O22" s="18"/>
      <c r="P22" s="18"/>
      <c r="Q22" s="18"/>
      <c r="R22" s="18"/>
      <c r="S22" s="2"/>
      <c r="T22" s="2"/>
      <c r="U22" s="45"/>
      <c r="V22" s="45"/>
      <c r="W22" s="2"/>
      <c r="X22" s="2"/>
      <c r="Y22" s="45"/>
      <c r="Z22" s="2"/>
      <c r="AA22" s="2"/>
      <c r="AB22" s="2"/>
      <c r="AC22" s="18"/>
      <c r="AD22" s="18"/>
      <c r="AE22" s="2"/>
      <c r="AF22" s="2"/>
      <c r="AG22" s="2"/>
      <c r="AH22" s="2"/>
      <c r="AI22" s="18"/>
      <c r="AJ22" s="18"/>
      <c r="AK22" s="18"/>
      <c r="AL22" s="2"/>
      <c r="AM22" s="2"/>
      <c r="AN22" s="2"/>
      <c r="AO22" s="2"/>
      <c r="AP22" s="2"/>
      <c r="AQ22" s="2"/>
    </row>
    <row r="23" spans="1:43" ht="48" customHeight="1">
      <c r="A23" s="452"/>
      <c r="B23" s="449"/>
      <c r="C23" s="46" t="s">
        <v>144</v>
      </c>
      <c r="D23" s="50" t="s">
        <v>148</v>
      </c>
      <c r="E23" s="50"/>
      <c r="F23" s="50"/>
      <c r="G23" s="18"/>
      <c r="H23" s="18"/>
      <c r="I23" s="18" t="s">
        <v>5</v>
      </c>
      <c r="J23" s="18" t="s">
        <v>5</v>
      </c>
      <c r="K23" s="2"/>
      <c r="L23" s="2"/>
      <c r="M23" s="18"/>
      <c r="N23" s="18"/>
      <c r="O23" s="18"/>
      <c r="P23" s="18"/>
      <c r="Q23" s="18"/>
      <c r="R23" s="18"/>
      <c r="S23" s="2"/>
      <c r="T23" s="2"/>
      <c r="U23" s="45"/>
      <c r="V23" s="45"/>
      <c r="W23" s="2"/>
      <c r="X23" s="2"/>
      <c r="Y23" s="45"/>
      <c r="Z23" s="2"/>
      <c r="AA23" s="2"/>
      <c r="AB23" s="2"/>
      <c r="AC23" s="18"/>
      <c r="AD23" s="18"/>
      <c r="AE23" s="2"/>
      <c r="AF23" s="2"/>
      <c r="AG23" s="2"/>
      <c r="AH23" s="2"/>
      <c r="AI23" s="18"/>
      <c r="AJ23" s="18"/>
      <c r="AK23" s="18"/>
      <c r="AL23" s="2"/>
      <c r="AM23" s="2"/>
      <c r="AN23" s="2"/>
      <c r="AO23" s="2"/>
      <c r="AP23" s="2"/>
      <c r="AQ23" s="2"/>
    </row>
    <row r="24" spans="1:43" ht="55.5" customHeight="1">
      <c r="A24" s="452"/>
      <c r="B24" s="449"/>
      <c r="C24" s="46" t="s">
        <v>149</v>
      </c>
      <c r="D24" s="50" t="s">
        <v>152</v>
      </c>
      <c r="E24" s="50"/>
      <c r="F24" s="50"/>
      <c r="G24" s="18" t="s">
        <v>151</v>
      </c>
      <c r="H24" s="16" t="s">
        <v>150</v>
      </c>
      <c r="I24" s="16" t="s">
        <v>5</v>
      </c>
      <c r="J24" s="16" t="s">
        <v>5</v>
      </c>
      <c r="K24" s="2"/>
      <c r="L24" s="2"/>
      <c r="M24" s="18"/>
      <c r="N24" s="18"/>
      <c r="O24" s="18"/>
      <c r="P24" s="18"/>
      <c r="Q24" s="18"/>
      <c r="R24" s="18"/>
      <c r="S24" s="2"/>
      <c r="T24" s="2"/>
      <c r="U24" s="45"/>
      <c r="V24" s="45"/>
      <c r="W24" s="2"/>
      <c r="X24" s="2"/>
      <c r="Y24" s="45"/>
      <c r="Z24" s="2"/>
      <c r="AA24" s="2"/>
      <c r="AB24" s="2"/>
      <c r="AC24" s="18"/>
      <c r="AD24" s="18"/>
      <c r="AE24" s="2"/>
      <c r="AF24" s="2"/>
      <c r="AG24" s="2"/>
      <c r="AH24" s="2"/>
      <c r="AI24" s="18"/>
      <c r="AJ24" s="18"/>
      <c r="AK24" s="18"/>
      <c r="AL24" s="2"/>
      <c r="AM24" s="2"/>
      <c r="AN24" s="2"/>
      <c r="AO24" s="2"/>
      <c r="AP24" s="2"/>
      <c r="AQ24" s="2"/>
    </row>
    <row r="25" spans="1:43" ht="64.5" customHeight="1">
      <c r="A25" s="452"/>
      <c r="B25" s="449"/>
      <c r="C25" s="46" t="s">
        <v>153</v>
      </c>
      <c r="D25" s="50" t="s">
        <v>154</v>
      </c>
      <c r="E25" s="50"/>
      <c r="F25" s="50"/>
      <c r="G25" s="18"/>
      <c r="H25" s="18"/>
      <c r="I25" s="18" t="s">
        <v>5</v>
      </c>
      <c r="J25" s="18" t="s">
        <v>5</v>
      </c>
      <c r="K25" s="2"/>
      <c r="L25" s="2"/>
      <c r="M25" s="18"/>
      <c r="N25" s="18"/>
      <c r="O25" s="18"/>
      <c r="P25" s="18"/>
      <c r="Q25" s="18"/>
      <c r="R25" s="18"/>
      <c r="S25" s="2"/>
      <c r="T25" s="2"/>
      <c r="U25" s="45"/>
      <c r="V25" s="45"/>
      <c r="W25" s="2"/>
      <c r="X25" s="2"/>
      <c r="Y25" s="45"/>
      <c r="Z25" s="2"/>
      <c r="AA25" s="2"/>
      <c r="AB25" s="2"/>
      <c r="AC25" s="18"/>
      <c r="AD25" s="18"/>
      <c r="AE25" s="2"/>
      <c r="AF25" s="2"/>
      <c r="AG25" s="2"/>
      <c r="AH25" s="2"/>
      <c r="AI25" s="18"/>
      <c r="AJ25" s="18"/>
      <c r="AK25" s="18"/>
      <c r="AL25" s="2"/>
      <c r="AM25" s="2"/>
      <c r="AN25" s="2"/>
      <c r="AO25" s="2"/>
      <c r="AP25" s="2"/>
      <c r="AQ25" s="2"/>
    </row>
    <row r="26" spans="1:43" ht="60" customHeight="1">
      <c r="A26" s="452"/>
      <c r="B26" s="449"/>
      <c r="C26" s="46" t="s">
        <v>155</v>
      </c>
      <c r="D26" s="50" t="s">
        <v>156</v>
      </c>
      <c r="E26" s="50"/>
      <c r="F26" s="50"/>
      <c r="G26" s="18"/>
      <c r="H26" s="18"/>
      <c r="I26" s="18" t="s">
        <v>5</v>
      </c>
      <c r="J26" s="18" t="s">
        <v>5</v>
      </c>
      <c r="K26" s="2"/>
      <c r="L26" s="2"/>
      <c r="M26" s="18"/>
      <c r="N26" s="18"/>
      <c r="O26" s="18"/>
      <c r="P26" s="18"/>
      <c r="Q26" s="18"/>
      <c r="R26" s="18"/>
      <c r="S26" s="2"/>
      <c r="T26" s="2"/>
      <c r="U26" s="45"/>
      <c r="V26" s="45"/>
      <c r="W26" s="2"/>
      <c r="X26" s="2"/>
      <c r="Y26" s="45"/>
      <c r="Z26" s="2"/>
      <c r="AA26" s="2"/>
      <c r="AB26" s="2"/>
      <c r="AC26" s="18"/>
      <c r="AD26" s="18"/>
      <c r="AE26" s="2"/>
      <c r="AF26" s="2"/>
      <c r="AG26" s="2"/>
      <c r="AH26" s="2"/>
      <c r="AI26" s="18"/>
      <c r="AJ26" s="18"/>
      <c r="AK26" s="18"/>
      <c r="AL26" s="2"/>
      <c r="AM26" s="2"/>
      <c r="AN26" s="2"/>
      <c r="AO26" s="2"/>
      <c r="AP26" s="2"/>
      <c r="AQ26" s="2"/>
    </row>
    <row r="27" spans="1:43" ht="139.5" customHeight="1">
      <c r="A27" s="453"/>
      <c r="B27" s="450"/>
      <c r="C27" s="51" t="s">
        <v>157</v>
      </c>
      <c r="D27" s="3" t="s">
        <v>158</v>
      </c>
      <c r="E27" s="3"/>
      <c r="F27" s="3"/>
      <c r="G27" s="18"/>
      <c r="H27" s="18"/>
      <c r="I27" s="18" t="s">
        <v>5</v>
      </c>
      <c r="J27" s="18" t="s">
        <v>5</v>
      </c>
      <c r="K27" s="2"/>
      <c r="L27" s="2"/>
      <c r="M27" s="18"/>
      <c r="N27" s="18"/>
      <c r="O27" s="18"/>
      <c r="P27" s="18"/>
      <c r="Q27" s="18"/>
      <c r="R27" s="18"/>
      <c r="S27" s="2"/>
      <c r="T27" s="2"/>
      <c r="U27" s="45"/>
      <c r="V27" s="45"/>
      <c r="W27" s="2"/>
      <c r="X27" s="2"/>
      <c r="Y27" s="45"/>
      <c r="Z27" s="2"/>
      <c r="AA27" s="2"/>
      <c r="AB27" s="2"/>
      <c r="AC27" s="18"/>
      <c r="AD27" s="18"/>
      <c r="AE27" s="2"/>
      <c r="AF27" s="2"/>
      <c r="AG27" s="2"/>
      <c r="AH27" s="2"/>
      <c r="AI27" s="18"/>
      <c r="AJ27" s="18"/>
      <c r="AK27" s="18"/>
      <c r="AL27" s="2"/>
      <c r="AM27" s="2"/>
      <c r="AN27" s="2"/>
      <c r="AO27" s="2"/>
      <c r="AP27" s="2"/>
      <c r="AQ27" s="2"/>
    </row>
    <row r="28" spans="1:43">
      <c r="A28" s="52" t="e">
        <f>#REF!</f>
        <v>#REF!</v>
      </c>
      <c r="B28" s="2" t="e">
        <f>#REF!</f>
        <v>#REF!</v>
      </c>
      <c r="C28" s="2"/>
      <c r="D28" s="2"/>
      <c r="E28" s="2"/>
      <c r="F28" s="2"/>
      <c r="G28" s="18"/>
      <c r="H28" s="18"/>
      <c r="I28" s="18"/>
      <c r="J28" s="18"/>
      <c r="K28" s="2"/>
      <c r="L28" s="2"/>
      <c r="M28" s="18"/>
      <c r="N28" s="18"/>
      <c r="O28" s="18"/>
      <c r="P28" s="18"/>
      <c r="Q28" s="18"/>
      <c r="R28" s="18"/>
      <c r="S28" s="2"/>
      <c r="T28" s="2"/>
      <c r="U28" s="45"/>
      <c r="V28" s="45"/>
      <c r="W28" s="2"/>
      <c r="X28" s="2"/>
      <c r="Y28" s="45"/>
      <c r="Z28" s="2"/>
      <c r="AA28" s="2"/>
      <c r="AB28" s="2"/>
      <c r="AC28" s="18"/>
      <c r="AD28" s="18"/>
      <c r="AE28" s="2"/>
      <c r="AF28" s="2"/>
      <c r="AG28" s="2"/>
      <c r="AH28" s="2"/>
      <c r="AI28" s="18"/>
      <c r="AJ28" s="18"/>
      <c r="AK28" s="18"/>
      <c r="AL28" s="2"/>
      <c r="AM28" s="2"/>
      <c r="AN28" s="2"/>
      <c r="AO28" s="2"/>
      <c r="AP28" s="2"/>
      <c r="AQ28" s="2"/>
    </row>
    <row r="29" spans="1:43">
      <c r="A29" s="446" t="e">
        <f>#REF!</f>
        <v>#REF!</v>
      </c>
      <c r="B29" s="447" t="e">
        <f>#REF!</f>
        <v>#REF!</v>
      </c>
      <c r="C29" s="2" t="s">
        <v>159</v>
      </c>
      <c r="D29" s="2"/>
      <c r="E29" s="2"/>
      <c r="F29" s="2"/>
      <c r="G29" s="18"/>
      <c r="H29" s="18"/>
      <c r="I29" s="18"/>
      <c r="J29" s="18"/>
      <c r="K29" s="2"/>
      <c r="L29" s="2"/>
      <c r="M29" s="18"/>
      <c r="N29" s="18"/>
      <c r="O29" s="18"/>
      <c r="P29" s="18"/>
      <c r="Q29" s="18"/>
      <c r="R29" s="18"/>
      <c r="S29" s="2"/>
      <c r="T29" s="2"/>
      <c r="U29" s="45"/>
      <c r="V29" s="45"/>
      <c r="W29" s="2"/>
      <c r="X29" s="2"/>
      <c r="Y29" s="45"/>
      <c r="Z29" s="2"/>
      <c r="AA29" s="2"/>
      <c r="AB29" s="2"/>
      <c r="AC29" s="18"/>
      <c r="AD29" s="18"/>
      <c r="AE29" s="2"/>
      <c r="AF29" s="2"/>
      <c r="AG29" s="2"/>
      <c r="AH29" s="2"/>
      <c r="AI29" s="18"/>
      <c r="AJ29" s="18"/>
      <c r="AK29" s="18"/>
      <c r="AL29" s="2"/>
      <c r="AM29" s="2"/>
      <c r="AN29" s="2"/>
      <c r="AO29" s="2"/>
      <c r="AP29" s="2"/>
      <c r="AQ29" s="2"/>
    </row>
    <row r="30" spans="1:43">
      <c r="A30" s="446"/>
      <c r="B30" s="447"/>
      <c r="C30" s="46" t="s">
        <v>160</v>
      </c>
      <c r="D30" s="2"/>
      <c r="E30" s="2"/>
      <c r="F30" s="2"/>
      <c r="G30" s="18"/>
      <c r="H30" s="18"/>
      <c r="I30" s="18"/>
      <c r="J30" s="18"/>
      <c r="K30" s="2"/>
      <c r="L30" s="2"/>
      <c r="M30" s="18"/>
      <c r="N30" s="18"/>
      <c r="O30" s="18"/>
      <c r="P30" s="18"/>
      <c r="Q30" s="18"/>
      <c r="R30" s="18"/>
      <c r="S30" s="2"/>
      <c r="T30" s="2"/>
      <c r="U30" s="45"/>
      <c r="V30" s="45"/>
      <c r="W30" s="2"/>
      <c r="X30" s="2"/>
      <c r="Y30" s="45"/>
      <c r="Z30" s="2"/>
      <c r="AA30" s="2"/>
      <c r="AB30" s="2"/>
      <c r="AC30" s="18"/>
      <c r="AD30" s="18"/>
      <c r="AE30" s="2"/>
      <c r="AF30" s="2"/>
      <c r="AG30" s="2"/>
      <c r="AH30" s="2"/>
      <c r="AI30" s="18"/>
      <c r="AJ30" s="18"/>
      <c r="AK30" s="18"/>
      <c r="AL30" s="2"/>
      <c r="AM30" s="2"/>
      <c r="AN30" s="2"/>
      <c r="AO30" s="2"/>
      <c r="AP30" s="2"/>
      <c r="AQ30" s="2"/>
    </row>
    <row r="31" spans="1:43" ht="197.25" customHeight="1">
      <c r="A31" s="446"/>
      <c r="B31" s="447"/>
      <c r="C31" s="46" t="s">
        <v>161</v>
      </c>
      <c r="D31" s="2"/>
      <c r="E31" s="3" t="s">
        <v>170</v>
      </c>
      <c r="F31" s="3" t="s">
        <v>165</v>
      </c>
      <c r="G31" s="18"/>
      <c r="H31" s="18"/>
      <c r="I31" s="3" t="s">
        <v>171</v>
      </c>
      <c r="J31" s="18"/>
      <c r="K31" s="2"/>
      <c r="L31" s="2"/>
      <c r="M31" s="18"/>
      <c r="N31" s="18"/>
      <c r="O31" s="18"/>
      <c r="P31" s="18"/>
      <c r="Q31" s="18"/>
      <c r="R31" s="18"/>
      <c r="S31" s="2"/>
      <c r="T31" s="2"/>
      <c r="U31" s="45"/>
      <c r="V31" s="45"/>
      <c r="W31" s="2"/>
      <c r="X31" s="2"/>
      <c r="Y31" s="45"/>
      <c r="Z31" s="2"/>
      <c r="AA31" s="2"/>
      <c r="AB31" s="2"/>
      <c r="AC31" s="18"/>
      <c r="AD31" s="18"/>
      <c r="AE31" s="2"/>
      <c r="AF31" s="2"/>
      <c r="AG31" s="2"/>
      <c r="AH31" s="2"/>
      <c r="AI31" s="18"/>
      <c r="AJ31" s="18"/>
      <c r="AK31" s="18"/>
      <c r="AL31" s="2"/>
      <c r="AM31" s="2"/>
      <c r="AN31" s="2"/>
      <c r="AO31" s="10" t="s">
        <v>172</v>
      </c>
      <c r="AP31" s="2"/>
      <c r="AQ31" s="2"/>
    </row>
    <row r="32" spans="1:43" ht="175.5" customHeight="1">
      <c r="A32" s="446"/>
      <c r="B32" s="447"/>
      <c r="C32" s="46" t="s">
        <v>162</v>
      </c>
      <c r="D32" s="2"/>
      <c r="E32" s="3" t="s">
        <v>164</v>
      </c>
      <c r="F32" s="3" t="s">
        <v>165</v>
      </c>
      <c r="G32" s="18"/>
      <c r="H32" s="18"/>
      <c r="I32" s="16" t="s">
        <v>167</v>
      </c>
      <c r="J32" s="18"/>
      <c r="K32" s="2"/>
      <c r="L32" s="2"/>
      <c r="M32" s="18"/>
      <c r="N32" s="18"/>
      <c r="O32" s="18"/>
      <c r="P32" s="18"/>
      <c r="Q32" s="18"/>
      <c r="R32" s="18"/>
      <c r="S32" s="2"/>
      <c r="T32" s="2"/>
      <c r="U32" s="45"/>
      <c r="V32" s="45"/>
      <c r="W32" s="2"/>
      <c r="X32" s="2"/>
      <c r="Y32" s="45"/>
      <c r="Z32" s="2"/>
      <c r="AA32" s="2"/>
      <c r="AB32" s="2"/>
      <c r="AC32" s="18"/>
      <c r="AD32" s="18"/>
      <c r="AE32" s="2"/>
      <c r="AF32" s="2"/>
      <c r="AG32" s="2"/>
      <c r="AH32" s="2"/>
      <c r="AI32" s="18"/>
      <c r="AJ32" s="18"/>
      <c r="AK32" s="18"/>
      <c r="AL32" s="2"/>
      <c r="AM32" s="2"/>
      <c r="AN32" s="2"/>
      <c r="AO32" s="10" t="s">
        <v>169</v>
      </c>
      <c r="AP32" s="2"/>
      <c r="AQ32" s="2"/>
    </row>
  </sheetData>
  <mergeCells count="29">
    <mergeCell ref="AA2:AB2"/>
    <mergeCell ref="A29:A32"/>
    <mergeCell ref="B29:B32"/>
    <mergeCell ref="B20:B27"/>
    <mergeCell ref="A20:A27"/>
    <mergeCell ref="W15:W19"/>
    <mergeCell ref="A15:A19"/>
    <mergeCell ref="B15:B19"/>
    <mergeCell ref="A10:A14"/>
    <mergeCell ref="B10:B14"/>
    <mergeCell ref="G2:H2"/>
    <mergeCell ref="K2:L2"/>
    <mergeCell ref="Y2:Z2"/>
    <mergeCell ref="Q2:R2"/>
    <mergeCell ref="O2:P2"/>
    <mergeCell ref="M2:N2"/>
    <mergeCell ref="AG2:AH2"/>
    <mergeCell ref="AK2:AL2"/>
    <mergeCell ref="AI2:AJ2"/>
    <mergeCell ref="AE2:AF2"/>
    <mergeCell ref="AC2:AD2"/>
    <mergeCell ref="W2:X2"/>
    <mergeCell ref="U2:V2"/>
    <mergeCell ref="S2:T2"/>
    <mergeCell ref="B3:B9"/>
    <mergeCell ref="A3:A9"/>
    <mergeCell ref="C2:D2"/>
    <mergeCell ref="E2:F2"/>
    <mergeCell ref="I2:J2"/>
  </mergeCells>
  <conditionalFormatting sqref="G2:I2 K2:XFD2 A3:B20 C3:XFD32 A28:B29 A33:XFD1048576 A2:E2">
    <cfRule type="cellIs" dxfId="2" priority="1" operator="equal">
      <formula>"?"</formula>
    </cfRule>
    <cfRule type="cellIs" dxfId="1" priority="3" operator="equal">
      <formula>" "</formula>
    </cfRule>
  </conditionalFormatting>
  <conditionalFormatting sqref="V15:V19">
    <cfRule type="cellIs" dxfId="0" priority="2" operator="equal">
      <formula>" "</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sheetPr>
    <tabColor theme="9" tint="-0.249977111117893"/>
    <pageSetUpPr fitToPage="1"/>
  </sheetPr>
  <dimension ref="A1:AA54"/>
  <sheetViews>
    <sheetView zoomScale="75" zoomScaleNormal="75" workbookViewId="0">
      <pane xSplit="3" ySplit="2" topLeftCell="D3" activePane="bottomRight" state="frozen"/>
      <selection pane="topRight" activeCell="D1" sqref="D1"/>
      <selection pane="bottomLeft" activeCell="A3" sqref="A3"/>
      <selection pane="bottomRight" activeCell="C31" sqref="C31"/>
    </sheetView>
  </sheetViews>
  <sheetFormatPr defaultRowHeight="15"/>
  <cols>
    <col min="1" max="2" width="9.140625" style="70"/>
    <col min="3" max="3" width="39.5703125" bestFit="1" customWidth="1"/>
    <col min="4" max="4" width="37.5703125" customWidth="1"/>
    <col min="5" max="5" width="33.28515625" bestFit="1" customWidth="1"/>
    <col min="6" max="6" width="18.42578125" customWidth="1"/>
    <col min="7" max="7" width="40.85546875" bestFit="1" customWidth="1"/>
    <col min="8" max="8" width="16" bestFit="1" customWidth="1"/>
    <col min="9" max="9" width="30.7109375" bestFit="1" customWidth="1"/>
    <col min="10" max="10" width="29.28515625" style="70" bestFit="1" customWidth="1"/>
    <col min="11" max="12" width="37.42578125" bestFit="1" customWidth="1"/>
    <col min="13" max="13" width="22.7109375" bestFit="1" customWidth="1"/>
    <col min="14" max="14" width="22.28515625" bestFit="1" customWidth="1"/>
    <col min="15" max="15" width="20.42578125" bestFit="1" customWidth="1"/>
    <col min="16" max="16" width="17.7109375" bestFit="1" customWidth="1"/>
    <col min="17" max="17" width="17.7109375" style="70" customWidth="1"/>
    <col min="18" max="18" width="18.42578125" customWidth="1"/>
    <col min="19" max="19" width="20.28515625" customWidth="1"/>
    <col min="20" max="20" width="12.5703125" customWidth="1"/>
    <col min="21" max="26" width="16" bestFit="1" customWidth="1"/>
  </cols>
  <sheetData>
    <row r="1" spans="1:26">
      <c r="C1" s="414" t="s">
        <v>555</v>
      </c>
      <c r="D1" s="273"/>
      <c r="E1" s="70"/>
      <c r="F1" s="70"/>
      <c r="G1" s="70"/>
      <c r="H1" s="70"/>
      <c r="I1" s="70"/>
      <c r="J1" s="287" t="s">
        <v>173</v>
      </c>
      <c r="K1" s="287"/>
      <c r="L1" s="287" t="s">
        <v>173</v>
      </c>
      <c r="Q1" s="295" t="s">
        <v>406</v>
      </c>
      <c r="R1" s="295" t="s">
        <v>466</v>
      </c>
      <c r="S1" s="295" t="s">
        <v>407</v>
      </c>
      <c r="T1" s="375"/>
      <c r="U1" s="462" t="s">
        <v>574</v>
      </c>
      <c r="V1" s="463"/>
      <c r="W1" s="463"/>
      <c r="X1" s="462" t="s">
        <v>575</v>
      </c>
      <c r="Y1" s="463"/>
      <c r="Z1" s="463"/>
    </row>
    <row r="2" spans="1:26">
      <c r="A2" s="302" t="s">
        <v>6</v>
      </c>
      <c r="B2" s="302" t="s">
        <v>404</v>
      </c>
      <c r="C2" s="273" t="s">
        <v>210</v>
      </c>
      <c r="D2" s="273" t="s">
        <v>348</v>
      </c>
      <c r="E2" s="273" t="s">
        <v>366</v>
      </c>
      <c r="F2" s="273" t="s">
        <v>367</v>
      </c>
      <c r="G2" s="273" t="s">
        <v>370</v>
      </c>
      <c r="H2" s="273" t="s">
        <v>371</v>
      </c>
      <c r="I2" s="273" t="s">
        <v>374</v>
      </c>
      <c r="J2" s="306" t="s">
        <v>400</v>
      </c>
      <c r="K2" s="426" t="s">
        <v>571</v>
      </c>
      <c r="L2" s="306" t="s">
        <v>399</v>
      </c>
      <c r="M2" s="295" t="s">
        <v>376</v>
      </c>
      <c r="N2" s="295" t="s">
        <v>376</v>
      </c>
      <c r="O2" s="295" t="s">
        <v>465</v>
      </c>
      <c r="P2" s="295" t="s">
        <v>383</v>
      </c>
      <c r="Q2" s="295" t="s">
        <v>405</v>
      </c>
      <c r="R2" s="295" t="s">
        <v>405</v>
      </c>
      <c r="S2" s="295" t="s">
        <v>405</v>
      </c>
      <c r="T2" s="399" t="s">
        <v>534</v>
      </c>
      <c r="U2" s="426" t="s">
        <v>400</v>
      </c>
      <c r="V2" s="426" t="s">
        <v>571</v>
      </c>
      <c r="W2" s="426" t="s">
        <v>399</v>
      </c>
      <c r="X2" s="426" t="s">
        <v>400</v>
      </c>
      <c r="Y2" s="426" t="s">
        <v>571</v>
      </c>
      <c r="Z2" s="426" t="s">
        <v>399</v>
      </c>
    </row>
    <row r="3" spans="1:26">
      <c r="A3" s="302">
        <v>3</v>
      </c>
      <c r="B3" s="302" t="s">
        <v>377</v>
      </c>
      <c r="C3" s="410" t="s">
        <v>319</v>
      </c>
      <c r="D3" s="301">
        <f>CostByType_Details!B91</f>
        <v>1.9426369375723915</v>
      </c>
      <c r="E3" s="292">
        <v>0</v>
      </c>
      <c r="F3" s="18">
        <v>1</v>
      </c>
      <c r="G3" s="2" t="s">
        <v>368</v>
      </c>
      <c r="H3" s="2" t="s">
        <v>372</v>
      </c>
      <c r="I3" s="2" t="s">
        <v>367</v>
      </c>
      <c r="J3" s="293">
        <f>'Ag-Ind-Capacity-Base'!I58</f>
        <v>9.8295453731486138</v>
      </c>
      <c r="K3" s="293">
        <f>'Ag-Ind-Capacity-Base'!M58</f>
        <v>10.296496637353869</v>
      </c>
      <c r="L3" s="294">
        <f>'Ag-Ind-Capacity-Base'!V58</f>
        <v>11.391603553107387</v>
      </c>
      <c r="M3" s="6">
        <f>J3/J$23</f>
        <v>2.6155870480661278E-3</v>
      </c>
      <c r="N3" s="6">
        <f>L3/K$23</f>
        <v>2.6107819552479259E-3</v>
      </c>
      <c r="O3" s="290">
        <f>$J3*E3</f>
        <v>0</v>
      </c>
      <c r="P3" s="290">
        <f>$J3*F3</f>
        <v>9.8295453731486138</v>
      </c>
      <c r="Q3" s="313">
        <f>$D3*J3*1000</f>
        <v>19095.237921422293</v>
      </c>
      <c r="R3" s="313">
        <f>$D3*K3*1000</f>
        <v>20002.354695313545</v>
      </c>
      <c r="S3" s="313">
        <f>$D3*L3*1000</f>
        <v>22129.749840447312</v>
      </c>
      <c r="T3" s="400" t="str">
        <f>B3</f>
        <v>Bin 1</v>
      </c>
      <c r="U3" s="427">
        <f>$E3*J3</f>
        <v>0</v>
      </c>
      <c r="V3" s="427">
        <f>$E3*K3</f>
        <v>0</v>
      </c>
      <c r="W3" s="427">
        <f>$E3*L3</f>
        <v>0</v>
      </c>
      <c r="X3" s="427">
        <f>$F3*J3</f>
        <v>9.8295453731486138</v>
      </c>
      <c r="Y3" s="427">
        <f>$F3*K3</f>
        <v>10.296496637353869</v>
      </c>
      <c r="Z3" s="427">
        <f>$F3*L3</f>
        <v>11.391603553107387</v>
      </c>
    </row>
    <row r="4" spans="1:26">
      <c r="A4" s="302">
        <v>2</v>
      </c>
      <c r="B4" s="302" t="s">
        <v>377</v>
      </c>
      <c r="C4" s="410" t="s">
        <v>312</v>
      </c>
      <c r="D4" s="301">
        <f>CostByType_Details!B92</f>
        <v>19.202243154525927</v>
      </c>
      <c r="E4" s="292">
        <v>1</v>
      </c>
      <c r="F4" s="292">
        <v>1</v>
      </c>
      <c r="G4" s="2" t="s">
        <v>368</v>
      </c>
      <c r="H4" s="2" t="s">
        <v>372</v>
      </c>
      <c r="I4" s="2" t="s">
        <v>373</v>
      </c>
      <c r="J4" s="293">
        <f>'Ag-Ind-Capacity-Base'!I59</f>
        <v>557.00757114508804</v>
      </c>
      <c r="K4" s="293">
        <f>'Ag-Ind-Capacity-Base'!M59</f>
        <v>583.46814278338582</v>
      </c>
      <c r="L4" s="294">
        <f>'Ag-Ind-Capacity-Base'!V59</f>
        <v>645.52420134275189</v>
      </c>
      <c r="M4" s="6">
        <f t="shared" ref="M4:M21" si="0">J4/J$23+M3</f>
        <v>0.15083218643848004</v>
      </c>
      <c r="N4" s="6">
        <f t="shared" ref="N4:N21" si="1">L4/K$23+N3</f>
        <v>0.15055509275263038</v>
      </c>
      <c r="O4" s="290">
        <f t="shared" ref="O4:O21" si="2">$J4*E4</f>
        <v>557.00757114508804</v>
      </c>
      <c r="P4" s="290">
        <f t="shared" ref="P4:P21" si="3">$J4*F4</f>
        <v>557.00757114508804</v>
      </c>
      <c r="Q4" s="313">
        <f t="shared" ref="Q4:Q21" si="4">$D4*J4*1000</f>
        <v>10695794.820039881</v>
      </c>
      <c r="R4" s="313">
        <f t="shared" ref="R4:R21" si="5">$D4*K4*1000</f>
        <v>11203897.150646226</v>
      </c>
      <c r="S4" s="313">
        <f t="shared" ref="S4:S21" si="6">$D4*L4*1000</f>
        <v>12395512.676314674</v>
      </c>
      <c r="T4" s="400" t="str">
        <f>B4</f>
        <v>Bin 1</v>
      </c>
      <c r="U4" s="427">
        <f>$E4*J4</f>
        <v>557.00757114508804</v>
      </c>
      <c r="V4" s="427">
        <f t="shared" ref="V4:W4" si="7">$E4*K4</f>
        <v>583.46814278338582</v>
      </c>
      <c r="W4" s="427">
        <f t="shared" si="7"/>
        <v>645.52420134275189</v>
      </c>
      <c r="X4" s="427">
        <f>$F4*J4</f>
        <v>557.00757114508804</v>
      </c>
      <c r="Y4" s="427">
        <f t="shared" ref="Y4:Z4" si="8">$F4*K4</f>
        <v>583.46814278338582</v>
      </c>
      <c r="Z4" s="427">
        <f t="shared" si="8"/>
        <v>645.52420134275189</v>
      </c>
    </row>
    <row r="5" spans="1:26">
      <c r="A5" s="302">
        <v>6</v>
      </c>
      <c r="B5" s="302" t="s">
        <v>377</v>
      </c>
      <c r="C5" s="411" t="s">
        <v>302</v>
      </c>
      <c r="D5" s="301">
        <f>CostByType_Details!B80</f>
        <v>27.881812059919849</v>
      </c>
      <c r="E5" s="18">
        <v>0.2</v>
      </c>
      <c r="F5" s="292">
        <v>1</v>
      </c>
      <c r="G5" s="2" t="s">
        <v>368</v>
      </c>
      <c r="H5" s="2" t="s">
        <v>4</v>
      </c>
      <c r="I5" s="2" t="s">
        <v>367</v>
      </c>
      <c r="J5" s="293">
        <f>'Com-Capacity-Base'!I57</f>
        <v>46.998706438364039</v>
      </c>
      <c r="K5" s="293">
        <f>'Com-Capacity-Base'!M57</f>
        <v>49.231373825744555</v>
      </c>
      <c r="L5" s="294">
        <f>'Com-Capacity-Base'!V57</f>
        <v>54.467486636487443</v>
      </c>
      <c r="M5" s="6">
        <f t="shared" si="0"/>
        <v>0.16333827936235554</v>
      </c>
      <c r="N5" s="6">
        <f t="shared" si="1"/>
        <v>0.16303821074346486</v>
      </c>
      <c r="O5" s="290">
        <f t="shared" si="2"/>
        <v>9.3997412876728088</v>
      </c>
      <c r="P5" s="290">
        <f t="shared" si="3"/>
        <v>46.998706438364039</v>
      </c>
      <c r="Q5" s="313">
        <f t="shared" si="4"/>
        <v>1310409.0999738111</v>
      </c>
      <c r="R5" s="313">
        <f t="shared" si="5"/>
        <v>1372659.9124610669</v>
      </c>
      <c r="S5" s="313">
        <f t="shared" si="6"/>
        <v>1518652.2257747387</v>
      </c>
      <c r="T5" s="400" t="str">
        <f t="shared" ref="T5:T21" si="9">B5</f>
        <v>Bin 1</v>
      </c>
      <c r="U5" s="427">
        <f t="shared" ref="U5:U21" si="10">$E5*J5</f>
        <v>9.3997412876728088</v>
      </c>
      <c r="V5" s="427">
        <f t="shared" ref="V5:V21" si="11">$E5*K5</f>
        <v>9.8462747651489124</v>
      </c>
      <c r="W5" s="427">
        <f t="shared" ref="W5:W21" si="12">$E5*L5</f>
        <v>10.893497327297489</v>
      </c>
      <c r="X5" s="427">
        <f t="shared" ref="X5:X21" si="13">$F5*J5</f>
        <v>46.998706438364039</v>
      </c>
      <c r="Y5" s="427">
        <f t="shared" ref="Y5:Y21" si="14">$F5*K5</f>
        <v>49.231373825744555</v>
      </c>
      <c r="Z5" s="427">
        <f t="shared" ref="Z5:Z21" si="15">$F5*L5</f>
        <v>54.467486636487443</v>
      </c>
    </row>
    <row r="6" spans="1:26">
      <c r="A6" s="302">
        <v>6</v>
      </c>
      <c r="B6" s="302" t="s">
        <v>377</v>
      </c>
      <c r="C6" s="410" t="s">
        <v>321</v>
      </c>
      <c r="D6" s="301">
        <f>CostByType_Details!B142</f>
        <v>28.723299484134781</v>
      </c>
      <c r="E6" s="18">
        <v>1</v>
      </c>
      <c r="F6" s="18">
        <v>1</v>
      </c>
      <c r="G6" s="2" t="s">
        <v>369</v>
      </c>
      <c r="H6" s="2" t="s">
        <v>372</v>
      </c>
      <c r="I6" s="2" t="s">
        <v>373</v>
      </c>
      <c r="J6" s="293">
        <f>'Ag-Ind-Capacity-Smart'!I86</f>
        <v>139.25189278627201</v>
      </c>
      <c r="K6" s="293">
        <f>'Ag-Ind-Capacity-Smart'!M86</f>
        <v>145.86703569584648</v>
      </c>
      <c r="L6" s="294">
        <f>'Ag-Ind-Capacity-Smart'!V86</f>
        <v>161.38105033568797</v>
      </c>
      <c r="M6" s="6">
        <f t="shared" si="0"/>
        <v>0.20039242920995901</v>
      </c>
      <c r="N6" s="6">
        <f t="shared" si="1"/>
        <v>0.20002428844281048</v>
      </c>
      <c r="O6" s="290">
        <f t="shared" si="2"/>
        <v>139.25189278627201</v>
      </c>
      <c r="P6" s="290">
        <f t="shared" si="3"/>
        <v>139.25189278627201</v>
      </c>
      <c r="Q6" s="313">
        <f t="shared" si="4"/>
        <v>3999773.8202327187</v>
      </c>
      <c r="R6" s="313">
        <f t="shared" si="5"/>
        <v>4189782.5511547769</v>
      </c>
      <c r="S6" s="313">
        <f t="shared" si="6"/>
        <v>4635396.2398561956</v>
      </c>
      <c r="T6" s="400" t="str">
        <f t="shared" si="9"/>
        <v>Bin 1</v>
      </c>
      <c r="U6" s="427">
        <f t="shared" si="10"/>
        <v>139.25189278627201</v>
      </c>
      <c r="V6" s="427">
        <f t="shared" si="11"/>
        <v>145.86703569584648</v>
      </c>
      <c r="W6" s="427">
        <f t="shared" si="12"/>
        <v>161.38105033568797</v>
      </c>
      <c r="X6" s="427">
        <f t="shared" si="13"/>
        <v>139.25189278627201</v>
      </c>
      <c r="Y6" s="427">
        <f t="shared" si="14"/>
        <v>145.86703569584648</v>
      </c>
      <c r="Z6" s="427">
        <f t="shared" si="15"/>
        <v>161.38105033568797</v>
      </c>
    </row>
    <row r="7" spans="1:26">
      <c r="A7" s="302">
        <v>2</v>
      </c>
      <c r="B7" s="302" t="s">
        <v>377</v>
      </c>
      <c r="C7" s="410" t="s">
        <v>320</v>
      </c>
      <c r="D7" s="301">
        <f>CostByType_Details!B141</f>
        <v>29.107389068166832</v>
      </c>
      <c r="E7" s="292">
        <v>1</v>
      </c>
      <c r="F7" s="292">
        <v>1</v>
      </c>
      <c r="G7" s="2" t="s">
        <v>369</v>
      </c>
      <c r="H7" s="2" t="s">
        <v>372</v>
      </c>
      <c r="I7" s="2" t="s">
        <v>373</v>
      </c>
      <c r="J7" s="293">
        <f>'Ag-Ind-Capacity-Smart'!I85</f>
        <v>557.00757114508804</v>
      </c>
      <c r="K7" s="293">
        <f>'Ag-Ind-Capacity-Smart'!M85</f>
        <v>583.46814278338582</v>
      </c>
      <c r="L7" s="294">
        <f>'Ag-Ind-Capacity-Smart'!V85</f>
        <v>645.52420134275189</v>
      </c>
      <c r="M7" s="6">
        <f t="shared" si="0"/>
        <v>0.34860902860037291</v>
      </c>
      <c r="N7" s="6">
        <f t="shared" si="1"/>
        <v>0.34796859924019297</v>
      </c>
      <c r="O7" s="290">
        <f t="shared" si="2"/>
        <v>557.00757114508804</v>
      </c>
      <c r="P7" s="290">
        <f t="shared" si="3"/>
        <v>557.00757114508804</v>
      </c>
      <c r="Q7" s="313">
        <f t="shared" si="4"/>
        <v>16213036.087234695</v>
      </c>
      <c r="R7" s="313">
        <f t="shared" si="5"/>
        <v>16983234.240876731</v>
      </c>
      <c r="S7" s="313">
        <f t="shared" si="6"/>
        <v>18789524.081401139</v>
      </c>
      <c r="T7" s="400" t="str">
        <f t="shared" si="9"/>
        <v>Bin 1</v>
      </c>
      <c r="U7" s="427">
        <f t="shared" si="10"/>
        <v>557.00757114508804</v>
      </c>
      <c r="V7" s="427">
        <f t="shared" si="11"/>
        <v>583.46814278338582</v>
      </c>
      <c r="W7" s="427">
        <f t="shared" si="12"/>
        <v>645.52420134275189</v>
      </c>
      <c r="X7" s="427">
        <f t="shared" si="13"/>
        <v>557.00757114508804</v>
      </c>
      <c r="Y7" s="427">
        <f t="shared" si="14"/>
        <v>583.46814278338582</v>
      </c>
      <c r="Z7" s="427">
        <f t="shared" si="15"/>
        <v>645.52420134275189</v>
      </c>
    </row>
    <row r="8" spans="1:26">
      <c r="A8" s="302">
        <v>6</v>
      </c>
      <c r="B8" s="302" t="s">
        <v>378</v>
      </c>
      <c r="C8" s="411" t="s">
        <v>301</v>
      </c>
      <c r="D8" s="301">
        <f>CostByType_Details!B79</f>
        <v>35.149745750919109</v>
      </c>
      <c r="E8" s="18">
        <v>0.2</v>
      </c>
      <c r="F8" s="292">
        <v>1</v>
      </c>
      <c r="G8" s="2" t="s">
        <v>368</v>
      </c>
      <c r="H8" s="2" t="s">
        <v>4</v>
      </c>
      <c r="I8" s="2" t="s">
        <v>367</v>
      </c>
      <c r="J8" s="293">
        <f>'Com-Capacity-Base'!I56</f>
        <v>17.546183736989242</v>
      </c>
      <c r="K8" s="293">
        <f>'Com-Capacity-Base'!M56</f>
        <v>18.379712894944635</v>
      </c>
      <c r="L8" s="294">
        <f>'Com-Capacity-Base'!V56</f>
        <v>20.334528344288646</v>
      </c>
      <c r="M8" s="6">
        <f t="shared" si="0"/>
        <v>0.35327796995861976</v>
      </c>
      <c r="N8" s="6">
        <f t="shared" si="1"/>
        <v>0.35262896329010451</v>
      </c>
      <c r="O8" s="290">
        <f t="shared" si="2"/>
        <v>3.5092367473978485</v>
      </c>
      <c r="P8" s="290">
        <f t="shared" si="3"/>
        <v>17.546183736989242</v>
      </c>
      <c r="Q8" s="313">
        <f t="shared" si="4"/>
        <v>616743.89725408354</v>
      </c>
      <c r="R8" s="313">
        <f t="shared" si="5"/>
        <v>646042.23523219337</v>
      </c>
      <c r="S8" s="313">
        <f t="shared" si="6"/>
        <v>714753.50126660406</v>
      </c>
      <c r="T8" s="400" t="str">
        <f t="shared" si="9"/>
        <v>Bin 2</v>
      </c>
      <c r="U8" s="427">
        <f t="shared" si="10"/>
        <v>3.5092367473978485</v>
      </c>
      <c r="V8" s="427">
        <f t="shared" si="11"/>
        <v>3.6759425789889271</v>
      </c>
      <c r="W8" s="427">
        <f t="shared" si="12"/>
        <v>4.0669056688577294</v>
      </c>
      <c r="X8" s="427">
        <f t="shared" si="13"/>
        <v>17.546183736989242</v>
      </c>
      <c r="Y8" s="427">
        <f t="shared" si="14"/>
        <v>18.379712894944635</v>
      </c>
      <c r="Z8" s="427">
        <f t="shared" si="15"/>
        <v>20.334528344288646</v>
      </c>
    </row>
    <row r="9" spans="1:26">
      <c r="A9" s="302">
        <v>1</v>
      </c>
      <c r="B9" s="302" t="s">
        <v>378</v>
      </c>
      <c r="C9" s="410" t="s">
        <v>323</v>
      </c>
      <c r="D9" s="301">
        <f>CostByType_Details!B143</f>
        <v>42.820957513651287</v>
      </c>
      <c r="E9" s="292">
        <v>0.9</v>
      </c>
      <c r="F9" s="292">
        <v>1</v>
      </c>
      <c r="G9" s="2" t="s">
        <v>369</v>
      </c>
      <c r="H9" s="2" t="s">
        <v>372</v>
      </c>
      <c r="I9" s="2" t="s">
        <v>373</v>
      </c>
      <c r="J9" s="293">
        <f>'Ag-Ind-Capacity-Smart'!I87</f>
        <v>101.85281300938755</v>
      </c>
      <c r="K9" s="293">
        <f>'Ag-Ind-Capacity-Smart'!M87</f>
        <v>106.69131753753344</v>
      </c>
      <c r="L9" s="294">
        <f>'Ag-Ind-Capacity-Smart'!V87</f>
        <v>118.03871110267465</v>
      </c>
      <c r="M9" s="6">
        <f t="shared" si="0"/>
        <v>0.38038043384715259</v>
      </c>
      <c r="N9" s="6">
        <f t="shared" si="1"/>
        <v>0.37968163726448301</v>
      </c>
      <c r="O9" s="290">
        <f t="shared" si="2"/>
        <v>91.667531708448792</v>
      </c>
      <c r="P9" s="290">
        <f t="shared" si="3"/>
        <v>101.85281300938755</v>
      </c>
      <c r="Q9" s="313">
        <f t="shared" si="4"/>
        <v>4361434.9785208534</v>
      </c>
      <c r="R9" s="313">
        <f t="shared" si="5"/>
        <v>4568624.3753501978</v>
      </c>
      <c r="S9" s="313">
        <f t="shared" si="6"/>
        <v>5054530.6330937902</v>
      </c>
      <c r="T9" s="400" t="str">
        <f t="shared" si="9"/>
        <v>Bin 2</v>
      </c>
      <c r="U9" s="427">
        <f t="shared" si="10"/>
        <v>91.667531708448792</v>
      </c>
      <c r="V9" s="427">
        <f t="shared" si="11"/>
        <v>96.022185783780088</v>
      </c>
      <c r="W9" s="427">
        <f t="shared" si="12"/>
        <v>106.23483999240719</v>
      </c>
      <c r="X9" s="427">
        <f t="shared" si="13"/>
        <v>101.85281300938755</v>
      </c>
      <c r="Y9" s="427">
        <f t="shared" si="14"/>
        <v>106.69131753753344</v>
      </c>
      <c r="Z9" s="427">
        <f t="shared" si="15"/>
        <v>118.03871110267465</v>
      </c>
    </row>
    <row r="10" spans="1:26">
      <c r="A10" s="302">
        <v>5</v>
      </c>
      <c r="B10" s="302" t="s">
        <v>378</v>
      </c>
      <c r="C10" s="413" t="s">
        <v>235</v>
      </c>
      <c r="D10" s="301">
        <f>CostByType_Details!B67</f>
        <v>54.963175662776727</v>
      </c>
      <c r="E10" s="292">
        <v>1</v>
      </c>
      <c r="F10" s="18">
        <v>0</v>
      </c>
      <c r="G10" s="2" t="s">
        <v>368</v>
      </c>
      <c r="H10" s="2" t="s">
        <v>3</v>
      </c>
      <c r="I10" s="2" t="s">
        <v>366</v>
      </c>
      <c r="J10" s="293">
        <f>'Res-Capacity-Base'!I84</f>
        <v>279.77242002533995</v>
      </c>
      <c r="K10" s="293">
        <f>'Res-Capacity-Base'!M84</f>
        <v>294.31100197174504</v>
      </c>
      <c r="L10" s="294">
        <f>'Res-Capacity-Base'!V84</f>
        <v>325.3987690913562</v>
      </c>
      <c r="M10" s="6">
        <f t="shared" si="0"/>
        <v>0.4548263100748946</v>
      </c>
      <c r="N10" s="6">
        <f t="shared" si="1"/>
        <v>0.4542580768888993</v>
      </c>
      <c r="O10" s="290">
        <f t="shared" si="2"/>
        <v>279.77242002533995</v>
      </c>
      <c r="P10" s="290">
        <f t="shared" si="3"/>
        <v>0</v>
      </c>
      <c r="Q10" s="313">
        <f t="shared" si="4"/>
        <v>15377180.667452913</v>
      </c>
      <c r="R10" s="313">
        <f t="shared" si="5"/>
        <v>16176267.30086085</v>
      </c>
      <c r="S10" s="313">
        <f t="shared" si="6"/>
        <v>17884949.706019532</v>
      </c>
      <c r="T10" s="400" t="str">
        <f t="shared" si="9"/>
        <v>Bin 2</v>
      </c>
      <c r="U10" s="427">
        <f t="shared" si="10"/>
        <v>279.77242002533995</v>
      </c>
      <c r="V10" s="427">
        <f t="shared" si="11"/>
        <v>294.31100197174504</v>
      </c>
      <c r="W10" s="427">
        <f t="shared" si="12"/>
        <v>325.3987690913562</v>
      </c>
      <c r="X10" s="427">
        <f t="shared" si="13"/>
        <v>0</v>
      </c>
      <c r="Y10" s="427">
        <f t="shared" si="14"/>
        <v>0</v>
      </c>
      <c r="Z10" s="427">
        <f t="shared" si="15"/>
        <v>0</v>
      </c>
    </row>
    <row r="11" spans="1:26">
      <c r="A11" s="302">
        <v>6</v>
      </c>
      <c r="B11" s="302" t="s">
        <v>378</v>
      </c>
      <c r="C11" s="410" t="s">
        <v>342</v>
      </c>
      <c r="D11" s="301">
        <f>CostByType_Details!B125</f>
        <v>54.737778125855897</v>
      </c>
      <c r="E11" s="18">
        <v>1</v>
      </c>
      <c r="F11" s="18">
        <v>1</v>
      </c>
      <c r="G11" s="2" t="s">
        <v>369</v>
      </c>
      <c r="H11" s="2" t="s">
        <v>4</v>
      </c>
      <c r="I11" s="2" t="s">
        <v>373</v>
      </c>
      <c r="J11" s="293">
        <f>'Com-Capacity-Smart'!I71</f>
        <v>171.06808856875804</v>
      </c>
      <c r="K11" s="293">
        <f>'Com-Capacity-Smart'!M71</f>
        <v>179.19465568757599</v>
      </c>
      <c r="L11" s="293">
        <f>'Com-Capacity-Smart'!V71</f>
        <v>198.25330384928387</v>
      </c>
      <c r="M11" s="6">
        <f t="shared" si="0"/>
        <v>0.5003465716752078</v>
      </c>
      <c r="N11" s="6">
        <f t="shared" si="1"/>
        <v>0.49969471325400572</v>
      </c>
      <c r="O11" s="290">
        <f t="shared" si="2"/>
        <v>171.06808856875804</v>
      </c>
      <c r="P11" s="290">
        <f t="shared" si="3"/>
        <v>171.06808856875804</v>
      </c>
      <c r="Q11" s="313">
        <f t="shared" si="4"/>
        <v>9363887.0764909424</v>
      </c>
      <c r="R11" s="313">
        <f t="shared" si="5"/>
        <v>9808717.3043656759</v>
      </c>
      <c r="S11" s="313">
        <f t="shared" si="6"/>
        <v>10851945.358819993</v>
      </c>
      <c r="T11" s="400" t="str">
        <f t="shared" si="9"/>
        <v>Bin 2</v>
      </c>
      <c r="U11" s="427">
        <f t="shared" si="10"/>
        <v>171.06808856875804</v>
      </c>
      <c r="V11" s="427">
        <f t="shared" si="11"/>
        <v>179.19465568757599</v>
      </c>
      <c r="W11" s="427">
        <f t="shared" si="12"/>
        <v>198.25330384928387</v>
      </c>
      <c r="X11" s="427">
        <f t="shared" si="13"/>
        <v>171.06808856875804</v>
      </c>
      <c r="Y11" s="427">
        <f t="shared" si="14"/>
        <v>179.19465568757599</v>
      </c>
      <c r="Z11" s="427">
        <f t="shared" si="15"/>
        <v>198.25330384928387</v>
      </c>
    </row>
    <row r="12" spans="1:26">
      <c r="A12" s="302">
        <v>1</v>
      </c>
      <c r="B12" s="302" t="s">
        <v>378</v>
      </c>
      <c r="C12" s="410" t="s">
        <v>322</v>
      </c>
      <c r="D12" s="301">
        <f>CostByType_Details!B140</f>
        <v>58.738245449715478</v>
      </c>
      <c r="E12" s="292">
        <v>0</v>
      </c>
      <c r="F12" s="18">
        <v>1</v>
      </c>
      <c r="G12" s="2" t="s">
        <v>369</v>
      </c>
      <c r="H12" s="2" t="s">
        <v>372</v>
      </c>
      <c r="I12" s="2" t="s">
        <v>367</v>
      </c>
      <c r="J12" s="293">
        <f>'Ag-Ind-Capacity-Smart'!I84</f>
        <v>4.9147726865743069</v>
      </c>
      <c r="K12" s="293">
        <f>'Ag-Ind-Capacity-Smart'!M84</f>
        <v>5.1482483186769343</v>
      </c>
      <c r="L12" s="294">
        <f>'Ag-Ind-Capacity-Smart'!V84</f>
        <v>5.6958017765536937</v>
      </c>
      <c r="M12" s="6">
        <f t="shared" si="0"/>
        <v>0.50165436519924089</v>
      </c>
      <c r="N12" s="6">
        <f t="shared" si="1"/>
        <v>0.50100010423162966</v>
      </c>
      <c r="O12" s="290">
        <f t="shared" si="2"/>
        <v>0</v>
      </c>
      <c r="P12" s="290">
        <f t="shared" si="3"/>
        <v>4.9147726865743069</v>
      </c>
      <c r="Q12" s="313">
        <f t="shared" si="4"/>
        <v>288685.12439355918</v>
      </c>
      <c r="R12" s="313">
        <f t="shared" si="5"/>
        <v>302399.0733785308</v>
      </c>
      <c r="S12" s="313">
        <f t="shared" si="6"/>
        <v>334561.40278413636</v>
      </c>
      <c r="T12" s="400" t="str">
        <f t="shared" si="9"/>
        <v>Bin 2</v>
      </c>
      <c r="U12" s="427">
        <f t="shared" si="10"/>
        <v>0</v>
      </c>
      <c r="V12" s="427">
        <f t="shared" si="11"/>
        <v>0</v>
      </c>
      <c r="W12" s="427">
        <f t="shared" si="12"/>
        <v>0</v>
      </c>
      <c r="X12" s="427">
        <f t="shared" si="13"/>
        <v>4.9147726865743069</v>
      </c>
      <c r="Y12" s="427">
        <f t="shared" si="14"/>
        <v>5.1482483186769343</v>
      </c>
      <c r="Z12" s="427">
        <f t="shared" si="15"/>
        <v>5.6958017765536937</v>
      </c>
    </row>
    <row r="13" spans="1:26">
      <c r="A13" s="302">
        <v>1</v>
      </c>
      <c r="B13" s="302" t="s">
        <v>378</v>
      </c>
      <c r="C13" s="412" t="s">
        <v>211</v>
      </c>
      <c r="D13" s="301">
        <f>CostByType_Details!B68</f>
        <v>61.76877629299883</v>
      </c>
      <c r="E13" s="292">
        <v>1</v>
      </c>
      <c r="F13" s="292">
        <v>1</v>
      </c>
      <c r="G13" s="2" t="s">
        <v>368</v>
      </c>
      <c r="H13" s="2" t="s">
        <v>3</v>
      </c>
      <c r="I13" s="2" t="s">
        <v>373</v>
      </c>
      <c r="J13" s="293">
        <f>'Res-Capacity-Base'!I85</f>
        <v>483.24327095285997</v>
      </c>
      <c r="K13" s="293">
        <f>'Res-Capacity-Base'!M85</f>
        <v>508.35536704210494</v>
      </c>
      <c r="L13" s="294">
        <f>'Res-Capacity-Base'!V85</f>
        <v>562.05241933961531</v>
      </c>
      <c r="M13" s="6">
        <f t="shared" si="0"/>
        <v>0.63024269686534073</v>
      </c>
      <c r="N13" s="6">
        <f t="shared" si="1"/>
        <v>0.62981395449198507</v>
      </c>
      <c r="O13" s="290">
        <f t="shared" si="2"/>
        <v>483.24327095285997</v>
      </c>
      <c r="P13" s="290">
        <f t="shared" si="3"/>
        <v>483.24327095285997</v>
      </c>
      <c r="Q13" s="313">
        <f t="shared" si="4"/>
        <v>29849345.498584226</v>
      </c>
      <c r="R13" s="313">
        <f t="shared" si="5"/>
        <v>31400488.944169089</v>
      </c>
      <c r="S13" s="313">
        <f t="shared" si="6"/>
        <v>34717290.155127473</v>
      </c>
      <c r="T13" s="400" t="str">
        <f t="shared" si="9"/>
        <v>Bin 2</v>
      </c>
      <c r="U13" s="427">
        <f t="shared" si="10"/>
        <v>483.24327095285997</v>
      </c>
      <c r="V13" s="427">
        <f t="shared" si="11"/>
        <v>508.35536704210494</v>
      </c>
      <c r="W13" s="427">
        <f t="shared" si="12"/>
        <v>562.05241933961531</v>
      </c>
      <c r="X13" s="427">
        <f t="shared" si="13"/>
        <v>483.24327095285997</v>
      </c>
      <c r="Y13" s="427">
        <f t="shared" si="14"/>
        <v>508.35536704210494</v>
      </c>
      <c r="Z13" s="427">
        <f t="shared" si="15"/>
        <v>562.05241933961531</v>
      </c>
    </row>
    <row r="14" spans="1:26">
      <c r="A14" s="302">
        <v>5</v>
      </c>
      <c r="B14" s="302" t="s">
        <v>380</v>
      </c>
      <c r="C14" s="412" t="s">
        <v>281</v>
      </c>
      <c r="D14" s="301">
        <f>CostByType_Details!B65</f>
        <v>65.783248726368299</v>
      </c>
      <c r="E14" s="18">
        <v>0</v>
      </c>
      <c r="F14" s="292">
        <v>1</v>
      </c>
      <c r="G14" s="2" t="s">
        <v>368</v>
      </c>
      <c r="H14" s="2" t="s">
        <v>3</v>
      </c>
      <c r="I14" s="2" t="s">
        <v>367</v>
      </c>
      <c r="J14" s="293">
        <f>'Res-Capacity-Base'!I82</f>
        <v>102.32011181699997</v>
      </c>
      <c r="K14" s="293">
        <f>'Res-Capacity-Base'!M82</f>
        <v>107.63725254974995</v>
      </c>
      <c r="L14" s="294">
        <f>'Res-Capacity-Base'!V82</f>
        <v>119.00686434898083</v>
      </c>
      <c r="M14" s="6">
        <f t="shared" si="0"/>
        <v>0.65746950635302071</v>
      </c>
      <c r="N14" s="6">
        <f t="shared" si="1"/>
        <v>0.65708851443821881</v>
      </c>
      <c r="O14" s="290">
        <f t="shared" si="2"/>
        <v>0</v>
      </c>
      <c r="P14" s="290">
        <f t="shared" si="3"/>
        <v>102.32011181699997</v>
      </c>
      <c r="Q14" s="313">
        <f t="shared" si="4"/>
        <v>6730949.3653675253</v>
      </c>
      <c r="R14" s="313">
        <f t="shared" si="5"/>
        <v>7080728.156703121</v>
      </c>
      <c r="S14" s="313">
        <f t="shared" si="6"/>
        <v>7828658.157614178</v>
      </c>
      <c r="T14" s="400" t="str">
        <f t="shared" si="9"/>
        <v>Bin 3</v>
      </c>
      <c r="U14" s="427">
        <f t="shared" si="10"/>
        <v>0</v>
      </c>
      <c r="V14" s="427">
        <f t="shared" si="11"/>
        <v>0</v>
      </c>
      <c r="W14" s="427">
        <f t="shared" si="12"/>
        <v>0</v>
      </c>
      <c r="X14" s="427">
        <f t="shared" si="13"/>
        <v>102.32011181699997</v>
      </c>
      <c r="Y14" s="427">
        <f t="shared" si="14"/>
        <v>107.63725254974995</v>
      </c>
      <c r="Z14" s="427">
        <f t="shared" si="15"/>
        <v>119.00686434898083</v>
      </c>
    </row>
    <row r="15" spans="1:26">
      <c r="A15" s="302">
        <v>3</v>
      </c>
      <c r="B15" s="302" t="s">
        <v>380</v>
      </c>
      <c r="C15" s="410" t="s">
        <v>308</v>
      </c>
      <c r="D15" s="301">
        <f>CostByType_Details!B124</f>
        <v>79.127549401513804</v>
      </c>
      <c r="E15" s="18">
        <v>0.2</v>
      </c>
      <c r="F15" s="292">
        <v>1</v>
      </c>
      <c r="G15" s="2" t="s">
        <v>369</v>
      </c>
      <c r="H15" s="2" t="s">
        <v>4</v>
      </c>
      <c r="I15" s="2" t="s">
        <v>367</v>
      </c>
      <c r="J15" s="293">
        <f>'Com-Capacity-Smart'!I70</f>
        <v>219.32729671236555</v>
      </c>
      <c r="K15" s="293">
        <f>'Com-Capacity-Smart'!M70</f>
        <v>229.74641118680793</v>
      </c>
      <c r="L15" s="293">
        <f>'Com-Capacity-Smart'!V70</f>
        <v>254.18160430360808</v>
      </c>
      <c r="M15" s="6">
        <f t="shared" si="0"/>
        <v>0.71583127333110641</v>
      </c>
      <c r="N15" s="6">
        <f t="shared" si="1"/>
        <v>0.71534306506211309</v>
      </c>
      <c r="O15" s="290">
        <f t="shared" si="2"/>
        <v>43.865459342473116</v>
      </c>
      <c r="P15" s="290">
        <f t="shared" si="3"/>
        <v>219.32729671236555</v>
      </c>
      <c r="Q15" s="313">
        <f t="shared" si="4"/>
        <v>17354831.50570818</v>
      </c>
      <c r="R15" s="313">
        <f t="shared" si="5"/>
        <v>18179270.501004647</v>
      </c>
      <c r="S15" s="313">
        <f t="shared" si="6"/>
        <v>20112767.45148978</v>
      </c>
      <c r="T15" s="400" t="str">
        <f t="shared" si="9"/>
        <v>Bin 3</v>
      </c>
      <c r="U15" s="427">
        <f t="shared" si="10"/>
        <v>43.865459342473116</v>
      </c>
      <c r="V15" s="427">
        <f t="shared" si="11"/>
        <v>45.949282237361587</v>
      </c>
      <c r="W15" s="427">
        <f t="shared" si="12"/>
        <v>50.836320860721621</v>
      </c>
      <c r="X15" s="427">
        <f t="shared" si="13"/>
        <v>219.32729671236555</v>
      </c>
      <c r="Y15" s="427">
        <f t="shared" si="14"/>
        <v>229.74641118680793</v>
      </c>
      <c r="Z15" s="427">
        <f t="shared" si="15"/>
        <v>254.18160430360808</v>
      </c>
    </row>
    <row r="16" spans="1:26">
      <c r="A16" s="302">
        <v>1</v>
      </c>
      <c r="B16" s="302" t="s">
        <v>380</v>
      </c>
      <c r="C16" s="413" t="s">
        <v>282</v>
      </c>
      <c r="D16" s="301">
        <f>CostByType_Details!B66</f>
        <v>79.874420066373105</v>
      </c>
      <c r="E16" s="18">
        <v>0</v>
      </c>
      <c r="F16" s="292">
        <v>1</v>
      </c>
      <c r="G16" s="2" t="s">
        <v>368</v>
      </c>
      <c r="H16" s="2" t="s">
        <v>3</v>
      </c>
      <c r="I16" s="2" t="s">
        <v>367</v>
      </c>
      <c r="J16" s="293">
        <f>'Res-Capacity-Base'!I83</f>
        <v>4.6044050317649994</v>
      </c>
      <c r="K16" s="293">
        <f>'Res-Capacity-Base'!M83</f>
        <v>4.8436763647387489</v>
      </c>
      <c r="L16" s="294">
        <f>'Res-Capacity-Base'!V83</f>
        <v>5.3553088957041384</v>
      </c>
      <c r="M16" s="6">
        <f t="shared" si="0"/>
        <v>0.71705647975805198</v>
      </c>
      <c r="N16" s="6">
        <f t="shared" si="1"/>
        <v>0.71657042025969364</v>
      </c>
      <c r="O16" s="290">
        <f t="shared" si="2"/>
        <v>0</v>
      </c>
      <c r="P16" s="290">
        <f t="shared" si="3"/>
        <v>4.6044050317649994</v>
      </c>
      <c r="Q16" s="313">
        <f t="shared" si="4"/>
        <v>367774.18166291952</v>
      </c>
      <c r="R16" s="313">
        <f t="shared" si="5"/>
        <v>386885.84062270587</v>
      </c>
      <c r="S16" s="313">
        <f t="shared" si="6"/>
        <v>427752.19232065702</v>
      </c>
      <c r="T16" s="400" t="str">
        <f t="shared" si="9"/>
        <v>Bin 3</v>
      </c>
      <c r="U16" s="427">
        <f t="shared" si="10"/>
        <v>0</v>
      </c>
      <c r="V16" s="427">
        <f t="shared" si="11"/>
        <v>0</v>
      </c>
      <c r="W16" s="427">
        <f t="shared" si="12"/>
        <v>0</v>
      </c>
      <c r="X16" s="427">
        <f t="shared" si="13"/>
        <v>4.6044050317649994</v>
      </c>
      <c r="Y16" s="427">
        <f t="shared" si="14"/>
        <v>4.8436763647387489</v>
      </c>
      <c r="Z16" s="427">
        <f t="shared" si="15"/>
        <v>5.3553088957041384</v>
      </c>
    </row>
    <row r="17" spans="1:27">
      <c r="A17" s="302">
        <v>5</v>
      </c>
      <c r="B17" s="302" t="s">
        <v>380</v>
      </c>
      <c r="C17" s="410" t="s">
        <v>307</v>
      </c>
      <c r="D17" s="301">
        <f>CostByType_Details!B123</f>
        <v>113.04859482251661</v>
      </c>
      <c r="E17" s="18">
        <v>0.2</v>
      </c>
      <c r="F17" s="292">
        <v>1</v>
      </c>
      <c r="G17" s="2" t="s">
        <v>369</v>
      </c>
      <c r="H17" s="2" t="s">
        <v>4</v>
      </c>
      <c r="I17" s="2" t="s">
        <v>367</v>
      </c>
      <c r="J17" s="293">
        <f>'Com-Capacity-Smart'!I69</f>
        <v>20.470547693154121</v>
      </c>
      <c r="K17" s="293">
        <f>'Com-Capacity-Smart'!M69</f>
        <v>21.442998377435408</v>
      </c>
      <c r="L17" s="293">
        <f>'Com-Capacity-Smart'!V69</f>
        <v>23.723616401670085</v>
      </c>
      <c r="M17" s="6">
        <f t="shared" si="0"/>
        <v>0.72250357800933995</v>
      </c>
      <c r="N17" s="6">
        <f t="shared" si="1"/>
        <v>0.72200751165125709</v>
      </c>
      <c r="O17" s="290">
        <f t="shared" si="2"/>
        <v>4.0941095386308239</v>
      </c>
      <c r="P17" s="290">
        <f t="shared" si="3"/>
        <v>20.470547693154121</v>
      </c>
      <c r="Q17" s="313">
        <f t="shared" si="4"/>
        <v>2314166.6519583822</v>
      </c>
      <c r="R17" s="313">
        <f t="shared" si="5"/>
        <v>2424100.8353505763</v>
      </c>
      <c r="S17" s="313">
        <f t="shared" si="6"/>
        <v>2681921.4983172109</v>
      </c>
      <c r="T17" s="400" t="str">
        <f t="shared" si="9"/>
        <v>Bin 3</v>
      </c>
      <c r="U17" s="427">
        <f t="shared" si="10"/>
        <v>4.0941095386308239</v>
      </c>
      <c r="V17" s="427">
        <f t="shared" si="11"/>
        <v>4.2885996754870819</v>
      </c>
      <c r="W17" s="427">
        <f t="shared" si="12"/>
        <v>4.7447232803340169</v>
      </c>
      <c r="X17" s="427">
        <f t="shared" si="13"/>
        <v>20.470547693154121</v>
      </c>
      <c r="Y17" s="427">
        <f t="shared" si="14"/>
        <v>21.442998377435408</v>
      </c>
      <c r="Z17" s="427">
        <f t="shared" si="15"/>
        <v>23.723616401670085</v>
      </c>
    </row>
    <row r="18" spans="1:27">
      <c r="A18" s="302">
        <v>4</v>
      </c>
      <c r="B18" s="302" t="s">
        <v>512</v>
      </c>
      <c r="C18" s="410" t="s">
        <v>324</v>
      </c>
      <c r="D18" s="301">
        <f>CostByType_Details!B110</f>
        <v>143.56016424120534</v>
      </c>
      <c r="E18" s="292">
        <v>1</v>
      </c>
      <c r="F18" s="292">
        <v>1</v>
      </c>
      <c r="G18" s="2" t="s">
        <v>369</v>
      </c>
      <c r="H18" s="2" t="s">
        <v>3</v>
      </c>
      <c r="I18" s="2" t="s">
        <v>373</v>
      </c>
      <c r="J18" s="293">
        <f>'Res-Capacity-Smart'!I85</f>
        <v>53.69369677253998</v>
      </c>
      <c r="K18" s="293">
        <f>'Res-Capacity-Smart'!M85</f>
        <v>56.483929671344981</v>
      </c>
      <c r="L18" s="294">
        <f>'Res-Capacity-Smart'!V85</f>
        <v>62.450268815512793</v>
      </c>
      <c r="M18" s="6">
        <f t="shared" si="0"/>
        <v>0.7367911704166844</v>
      </c>
      <c r="N18" s="6">
        <f t="shared" si="1"/>
        <v>0.73632016168018544</v>
      </c>
      <c r="O18" s="290">
        <f t="shared" si="2"/>
        <v>53.69369677253998</v>
      </c>
      <c r="P18" s="290">
        <f t="shared" si="3"/>
        <v>53.69369677253998</v>
      </c>
      <c r="Q18" s="313">
        <f t="shared" si="4"/>
        <v>7708275.9273833167</v>
      </c>
      <c r="R18" s="313">
        <f t="shared" si="5"/>
        <v>8108842.2206069771</v>
      </c>
      <c r="S18" s="313">
        <f t="shared" si="6"/>
        <v>8965370.8480624408</v>
      </c>
      <c r="T18" s="400" t="str">
        <f t="shared" si="9"/>
        <v>Bin 4</v>
      </c>
      <c r="U18" s="427">
        <f t="shared" si="10"/>
        <v>53.69369677253998</v>
      </c>
      <c r="V18" s="427">
        <f t="shared" si="11"/>
        <v>56.483929671344981</v>
      </c>
      <c r="W18" s="427">
        <f t="shared" si="12"/>
        <v>62.450268815512793</v>
      </c>
      <c r="X18" s="427">
        <f t="shared" si="13"/>
        <v>53.69369677253998</v>
      </c>
      <c r="Y18" s="427">
        <f t="shared" si="14"/>
        <v>56.483929671344981</v>
      </c>
      <c r="Z18" s="427">
        <f t="shared" si="15"/>
        <v>62.450268815512793</v>
      </c>
    </row>
    <row r="19" spans="1:27">
      <c r="A19" s="302">
        <v>4</v>
      </c>
      <c r="B19" s="302" t="s">
        <v>512</v>
      </c>
      <c r="C19" s="410" t="s">
        <v>278</v>
      </c>
      <c r="D19" s="301">
        <f>CostByType_Details!B107</f>
        <v>144.25964390471441</v>
      </c>
      <c r="E19" s="18">
        <v>0</v>
      </c>
      <c r="F19" s="292">
        <v>1</v>
      </c>
      <c r="G19" s="2" t="s">
        <v>369</v>
      </c>
      <c r="H19" s="2" t="s">
        <v>3</v>
      </c>
      <c r="I19" s="2" t="s">
        <v>367</v>
      </c>
      <c r="J19" s="293">
        <f>'Res-Capacity-Smart'!I82</f>
        <v>238.74692757299991</v>
      </c>
      <c r="K19" s="293">
        <f>'Res-Capacity-Smart'!M82</f>
        <v>251.15358928274992</v>
      </c>
      <c r="L19" s="294">
        <f>'Res-Capacity-Smart'!V82</f>
        <v>277.68268348095523</v>
      </c>
      <c r="M19" s="6">
        <f t="shared" si="0"/>
        <v>0.8003203925546043</v>
      </c>
      <c r="N19" s="6">
        <f t="shared" si="1"/>
        <v>0.79996080155473082</v>
      </c>
      <c r="O19" s="290">
        <f t="shared" si="2"/>
        <v>0</v>
      </c>
      <c r="P19" s="290">
        <f t="shared" si="3"/>
        <v>238.74692757299991</v>
      </c>
      <c r="Q19" s="313">
        <f t="shared" si="4"/>
        <v>34441546.75502561</v>
      </c>
      <c r="R19" s="313">
        <f t="shared" si="5"/>
        <v>36231327.355320401</v>
      </c>
      <c r="S19" s="313">
        <f t="shared" si="6"/>
        <v>40058405.037468128</v>
      </c>
      <c r="T19" s="400" t="str">
        <f t="shared" si="9"/>
        <v>Bin 4</v>
      </c>
      <c r="U19" s="427">
        <f t="shared" si="10"/>
        <v>0</v>
      </c>
      <c r="V19" s="427">
        <f t="shared" si="11"/>
        <v>0</v>
      </c>
      <c r="W19" s="427">
        <f t="shared" si="12"/>
        <v>0</v>
      </c>
      <c r="X19" s="427">
        <f t="shared" si="13"/>
        <v>238.74692757299991</v>
      </c>
      <c r="Y19" s="427">
        <f t="shared" si="14"/>
        <v>251.15358928274992</v>
      </c>
      <c r="Z19" s="427">
        <f t="shared" si="15"/>
        <v>277.68268348095523</v>
      </c>
    </row>
    <row r="20" spans="1:27">
      <c r="A20" s="302">
        <v>4</v>
      </c>
      <c r="B20" s="302" t="s">
        <v>512</v>
      </c>
      <c r="C20" s="410" t="s">
        <v>279</v>
      </c>
      <c r="D20" s="301">
        <f>CostByType_Details!B108</f>
        <v>144.25964390471441</v>
      </c>
      <c r="E20" s="18">
        <v>0</v>
      </c>
      <c r="F20" s="292">
        <v>1</v>
      </c>
      <c r="G20" s="2" t="s">
        <v>369</v>
      </c>
      <c r="H20" s="2" t="s">
        <v>3</v>
      </c>
      <c r="I20" s="2" t="s">
        <v>367</v>
      </c>
      <c r="J20" s="293">
        <f>'Res-Capacity-Smart'!I83</f>
        <v>107.43611740784996</v>
      </c>
      <c r="K20" s="293">
        <f>'Res-Capacity-Smart'!M83</f>
        <v>113.01911517723748</v>
      </c>
      <c r="L20" s="294">
        <f>'Res-Capacity-Smart'!V83</f>
        <v>124.95720756642989</v>
      </c>
      <c r="M20" s="6">
        <f t="shared" si="0"/>
        <v>0.82890854251666823</v>
      </c>
      <c r="N20" s="6">
        <f t="shared" si="1"/>
        <v>0.82859908949827621</v>
      </c>
      <c r="O20" s="290">
        <f t="shared" si="2"/>
        <v>0</v>
      </c>
      <c r="P20" s="290">
        <f t="shared" si="3"/>
        <v>107.43611740784996</v>
      </c>
      <c r="Q20" s="313">
        <f t="shared" si="4"/>
        <v>15498696.039761525</v>
      </c>
      <c r="R20" s="313">
        <f t="shared" si="5"/>
        <v>16304097.309894184</v>
      </c>
      <c r="S20" s="313">
        <f t="shared" si="6"/>
        <v>18026282.26686066</v>
      </c>
      <c r="T20" s="400" t="str">
        <f t="shared" si="9"/>
        <v>Bin 4</v>
      </c>
      <c r="U20" s="427">
        <f t="shared" si="10"/>
        <v>0</v>
      </c>
      <c r="V20" s="427">
        <f t="shared" si="11"/>
        <v>0</v>
      </c>
      <c r="W20" s="427">
        <f t="shared" si="12"/>
        <v>0</v>
      </c>
      <c r="X20" s="427">
        <f t="shared" si="13"/>
        <v>107.43611740784996</v>
      </c>
      <c r="Y20" s="427">
        <f t="shared" si="14"/>
        <v>113.01911517723748</v>
      </c>
      <c r="Z20" s="427">
        <f t="shared" si="15"/>
        <v>124.95720756642989</v>
      </c>
    </row>
    <row r="21" spans="1:27">
      <c r="A21" s="302">
        <v>4</v>
      </c>
      <c r="B21" s="302" t="s">
        <v>512</v>
      </c>
      <c r="C21" s="410" t="s">
        <v>280</v>
      </c>
      <c r="D21" s="301">
        <f>CostByType_Details!B109</f>
        <v>144.25964390471449</v>
      </c>
      <c r="E21" s="292">
        <v>1</v>
      </c>
      <c r="F21" s="18">
        <v>0</v>
      </c>
      <c r="G21" s="2" t="s">
        <v>369</v>
      </c>
      <c r="H21" s="2" t="s">
        <v>3</v>
      </c>
      <c r="I21" s="2" t="s">
        <v>366</v>
      </c>
      <c r="J21" s="293">
        <f>'Res-Capacity-Smart'!I84</f>
        <v>652.80231339245984</v>
      </c>
      <c r="K21" s="293">
        <f>'Res-Capacity-Smart'!M84</f>
        <v>686.725671267405</v>
      </c>
      <c r="L21" s="294">
        <f>'Res-Capacity-Smart'!V84</f>
        <v>759.26379454649782</v>
      </c>
      <c r="M21" s="6">
        <f t="shared" si="0"/>
        <v>1.0026155870480662</v>
      </c>
      <c r="N21" s="6">
        <f t="shared" si="1"/>
        <v>1.0026107819552477</v>
      </c>
      <c r="O21" s="290">
        <f t="shared" si="2"/>
        <v>652.80231339245984</v>
      </c>
      <c r="P21" s="290">
        <f t="shared" si="3"/>
        <v>0</v>
      </c>
      <c r="Q21" s="313">
        <f t="shared" si="4"/>
        <v>94173029.270170093</v>
      </c>
      <c r="R21" s="313">
        <f t="shared" si="5"/>
        <v>99066800.797261864</v>
      </c>
      <c r="S21" s="313">
        <f t="shared" si="6"/>
        <v>109531124.63102008</v>
      </c>
      <c r="T21" s="400" t="str">
        <f t="shared" si="9"/>
        <v>Bin 4</v>
      </c>
      <c r="U21" s="427">
        <f t="shared" si="10"/>
        <v>652.80231339245984</v>
      </c>
      <c r="V21" s="427">
        <f t="shared" si="11"/>
        <v>686.725671267405</v>
      </c>
      <c r="W21" s="427">
        <f t="shared" si="12"/>
        <v>759.26379454649782</v>
      </c>
      <c r="X21" s="427">
        <f t="shared" si="13"/>
        <v>0</v>
      </c>
      <c r="Y21" s="427">
        <f t="shared" si="14"/>
        <v>0</v>
      </c>
      <c r="Z21" s="427">
        <f t="shared" si="15"/>
        <v>0</v>
      </c>
    </row>
    <row r="22" spans="1:27">
      <c r="K22" s="290"/>
      <c r="U22" s="428">
        <f t="shared" ref="U22:Z22" si="16">SUM(U4:U21)</f>
        <v>3046.382903413029</v>
      </c>
      <c r="V22" s="428">
        <f t="shared" si="16"/>
        <v>3197.6562319435607</v>
      </c>
      <c r="W22" s="428">
        <f t="shared" si="16"/>
        <v>3536.6242957930754</v>
      </c>
      <c r="X22" s="428">
        <f t="shared" si="16"/>
        <v>2825.4899734770556</v>
      </c>
      <c r="Y22" s="428">
        <f t="shared" si="16"/>
        <v>2964.130969179263</v>
      </c>
      <c r="Z22" s="428">
        <f t="shared" si="16"/>
        <v>3278.6292578829566</v>
      </c>
      <c r="AA22" s="70" t="s">
        <v>576</v>
      </c>
    </row>
    <row r="23" spans="1:27">
      <c r="D23" s="70"/>
      <c r="J23" s="290">
        <f>SUM(J4:J21)</f>
        <v>3758.0647068948556</v>
      </c>
      <c r="K23" s="290">
        <f>SUM(L4:L21)</f>
        <v>4363.291821520811</v>
      </c>
    </row>
    <row r="24" spans="1:27">
      <c r="C24" s="2" t="s">
        <v>408</v>
      </c>
      <c r="D24" s="314">
        <v>2021</v>
      </c>
      <c r="E24" s="314">
        <v>2026</v>
      </c>
      <c r="F24" s="314">
        <v>2035</v>
      </c>
      <c r="G24" s="296" t="s">
        <v>379</v>
      </c>
      <c r="H24" s="296" t="s">
        <v>381</v>
      </c>
      <c r="I24" s="314" t="s">
        <v>467</v>
      </c>
      <c r="J24" s="314" t="s">
        <v>468</v>
      </c>
      <c r="K24" s="314" t="s">
        <v>474</v>
      </c>
      <c r="L24" s="314" t="s">
        <v>572</v>
      </c>
      <c r="M24" s="314" t="s">
        <v>471</v>
      </c>
      <c r="N24" s="314" t="s">
        <v>473</v>
      </c>
      <c r="O24" s="314" t="s">
        <v>573</v>
      </c>
      <c r="P24" s="314" t="s">
        <v>472</v>
      </c>
      <c r="T24" s="2" t="s">
        <v>3</v>
      </c>
      <c r="U24" s="18">
        <f t="shared" ref="U24:Z26" si="17">SUMIF($H$3:$H$21,$T24,U$3:U$21)/U$22</f>
        <v>0.48237918467072072</v>
      </c>
      <c r="V24" s="18">
        <f t="shared" si="17"/>
        <v>0.48344032560779815</v>
      </c>
      <c r="W24" s="18">
        <f t="shared" si="17"/>
        <v>0.48327588933494786</v>
      </c>
      <c r="X24" s="18">
        <f t="shared" si="17"/>
        <v>0.35039746693443874</v>
      </c>
      <c r="Y24" s="18">
        <f t="shared" si="17"/>
        <v>0.35136535494459087</v>
      </c>
      <c r="Z24" s="18">
        <f t="shared" si="17"/>
        <v>0.35121529818553993</v>
      </c>
    </row>
    <row r="25" spans="1:27">
      <c r="C25" s="296" t="s">
        <v>377</v>
      </c>
      <c r="D25" s="362">
        <f>SUMIF($B$3:$B$21,$C25,Q$3:Q$21)/SUMIF($B$3:$B$21,$C25,J$3:J$21)/1000</f>
        <v>24.607453662383513</v>
      </c>
      <c r="E25" s="362">
        <f t="shared" ref="E25:F27" si="18">SUMIF($B$3:$B$21,$C25,R$3:R$21)/SUMIF($B$3:$B$21,$C25,K$3:K$21)/1000</f>
        <v>24.607453662383513</v>
      </c>
      <c r="F25" s="362">
        <f t="shared" si="18"/>
        <v>24.607453662383509</v>
      </c>
      <c r="G25" s="292">
        <f>SUMIF($B$3:$B$21,$C25,J$3:J$21)/$J$23</f>
        <v>0.34860902860037291</v>
      </c>
      <c r="H25" s="297">
        <f>STDEV(D3:D7)</f>
        <v>11.602408086306902</v>
      </c>
      <c r="I25" s="301">
        <f>MAX($D$37:$D$41)</f>
        <v>35.149745750919109</v>
      </c>
      <c r="J25" s="301">
        <f>MIN($D$37:$D$41)</f>
        <v>19.202243154525927</v>
      </c>
      <c r="K25" s="427">
        <f ca="1">SetupForRPM!$B31*SUMIF($B$3:$B$21,$C25,J$4:J$21)</f>
        <v>1269.3234235341952</v>
      </c>
      <c r="L25" s="427">
        <f ca="1">SetupForRPM!$B31*SUMIF($B$3:$B$21,$C25,K$4:K$21)</f>
        <v>1329.6224663489065</v>
      </c>
      <c r="M25" s="427">
        <f ca="1">SetupForRPM!$B31*SUMIF($B$3:$B$21,$C25,L$4:L$21)</f>
        <v>1471.037435879178</v>
      </c>
      <c r="N25" s="427">
        <f ca="1">SetupForRPM!$D31*SUMIF($B$3:$B$21,$C25,J$4:J$21)</f>
        <v>1317.8119252518011</v>
      </c>
      <c r="O25" s="427">
        <f ca="1">SetupForRPM!$D31*SUMIF($B$3:$B$21,$C25,K$4:K$21)</f>
        <v>1380.414407983307</v>
      </c>
      <c r="P25" s="427">
        <f ca="1">SetupForRPM!$D31*SUMIF($B$3:$B$21,$C25,L$4:L$21)</f>
        <v>1527.2314680019676</v>
      </c>
      <c r="Q25" s="289"/>
      <c r="T25" s="46" t="s">
        <v>4</v>
      </c>
      <c r="U25" s="18">
        <f t="shared" si="17"/>
        <v>7.6135089658322774E-2</v>
      </c>
      <c r="V25" s="18">
        <f t="shared" si="17"/>
        <v>7.5979010037890371E-2</v>
      </c>
      <c r="W25" s="18">
        <f t="shared" si="17"/>
        <v>7.6003196411401241E-2</v>
      </c>
      <c r="X25" s="18">
        <f t="shared" si="17"/>
        <v>0.16825783407915945</v>
      </c>
      <c r="Y25" s="18">
        <f t="shared" si="17"/>
        <v>0.16800713502561535</v>
      </c>
      <c r="Z25" s="18">
        <f t="shared" si="17"/>
        <v>0.16804600221590738</v>
      </c>
    </row>
    <row r="26" spans="1:27">
      <c r="C26" s="298" t="s">
        <v>378</v>
      </c>
      <c r="D26" s="362">
        <f>SUMIF($B$3:$B$21,$C26,Q$3:Q$21)/SUMIF($B$3:$B$21,$C26,J$3:J$21)/1000</f>
        <v>56.55462571732847</v>
      </c>
      <c r="E26" s="362">
        <f t="shared" si="18"/>
        <v>56.562946972505834</v>
      </c>
      <c r="F26" s="362">
        <f t="shared" si="18"/>
        <v>56.561658599801184</v>
      </c>
      <c r="G26" s="292">
        <f t="shared" ref="G26:G28" si="19">SUMIF($B$3:$B$21,$C26,J$3:J$21)/$J$23</f>
        <v>0.28163366826496777</v>
      </c>
      <c r="H26" s="297">
        <f>STDEV(D8:D13)</f>
        <v>10.226054185385712</v>
      </c>
      <c r="I26" s="301">
        <f>MAX($D$42:$D$46)</f>
        <v>61.76877629299883</v>
      </c>
      <c r="J26" s="301">
        <f>MIN($D$42:$D$46)</f>
        <v>42.820957513651287</v>
      </c>
      <c r="K26" s="427">
        <f ca="1">SetupForRPM!$B32*SUMIF($B$3:$B$21,$C26,J$4:J$21)</f>
        <v>1111.6203053068905</v>
      </c>
      <c r="L26" s="427">
        <f ca="1">SetupForRPM!$B32*SUMIF($B$3:$B$21,$C26,K$4:K$21)</f>
        <v>1168.181298020399</v>
      </c>
      <c r="M26" s="427">
        <f ca="1">SetupForRPM!$B32*SUMIF($B$3:$B$21,$C26,L$4:L$21)</f>
        <v>1291.7811830335525</v>
      </c>
      <c r="N26" s="427">
        <f ca="1">SetupForRPM!$D32*SUMIF($B$3:$B$21,$C26,J$4:J$21)</f>
        <v>836.13800291474934</v>
      </c>
      <c r="O26" s="427">
        <f ca="1">SetupForRPM!$D32*SUMIF($B$3:$B$21,$C26,K$4:K$21)</f>
        <v>878.68202200523592</v>
      </c>
      <c r="P26" s="427">
        <f ca="1">SetupForRPM!$D32*SUMIF($B$3:$B$21,$C26,L$4:L$21)</f>
        <v>971.65132143419817</v>
      </c>
      <c r="Q26" s="289"/>
      <c r="T26" s="2" t="s">
        <v>372</v>
      </c>
      <c r="U26" s="18">
        <f t="shared" si="17"/>
        <v>0.44148572567095667</v>
      </c>
      <c r="V26" s="18">
        <f t="shared" si="17"/>
        <v>0.44058066435431148</v>
      </c>
      <c r="W26" s="18">
        <f t="shared" si="17"/>
        <v>0.44072091425365106</v>
      </c>
      <c r="X26" s="18">
        <f t="shared" si="17"/>
        <v>0.48482358069025461</v>
      </c>
      <c r="Y26" s="18">
        <f t="shared" si="17"/>
        <v>0.48410120830575248</v>
      </c>
      <c r="Z26" s="18">
        <f t="shared" si="17"/>
        <v>0.48421320148854768</v>
      </c>
    </row>
    <row r="27" spans="1:27">
      <c r="C27" s="298" t="s">
        <v>380</v>
      </c>
      <c r="D27" s="362">
        <f>SUMIF($B$3:$B$21,$C27,Q$3:Q$21)/SUMIF($B$3:$B$21,$C27,J$3:J$21)/1000</f>
        <v>77.202178734199606</v>
      </c>
      <c r="E27" s="362">
        <f t="shared" si="18"/>
        <v>77.18799792995128</v>
      </c>
      <c r="F27" s="362">
        <f t="shared" si="18"/>
        <v>77.190196786379815</v>
      </c>
      <c r="G27" s="292">
        <f t="shared" si="19"/>
        <v>9.2260881143999246E-2</v>
      </c>
      <c r="H27" s="297">
        <f>STDEV(D14:D17)</f>
        <v>20.129508647806983</v>
      </c>
      <c r="I27" s="301">
        <f>MAX($D$47:$D$50)</f>
        <v>113.04859482251661</v>
      </c>
      <c r="J27" s="301">
        <f>MIN($D$47:$D$50)</f>
        <v>65.783248726368299</v>
      </c>
      <c r="K27" s="427">
        <f ca="1">SetupForRPM!$B33*SUMIF($B$3:$B$21,$C27,J$4:J$21)</f>
        <v>40.810364476993698</v>
      </c>
      <c r="L27" s="427">
        <f ca="1">SetupForRPM!$B33*SUMIF($B$3:$B$21,$C27,K$4:K$21)</f>
        <v>42.784658678096875</v>
      </c>
      <c r="M27" s="427">
        <f ca="1">SetupForRPM!$B33*SUMIF($B$3:$B$21,$C27,L$4:L$21)</f>
        <v>47.329002176630979</v>
      </c>
      <c r="N27" s="427">
        <f ca="1">SetupForRPM!$D33*SUMIF($B$3:$B$21,$C27,J$4:J$21)</f>
        <v>298.09594620982472</v>
      </c>
      <c r="O27" s="427">
        <f ca="1">SetupForRPM!$D33*SUMIF($B$3:$B$21,$C27,K$4:K$21)</f>
        <v>312.51701560032711</v>
      </c>
      <c r="P27" s="427">
        <f ca="1">SetupForRPM!$D33*SUMIF($B$3:$B$21,$C27,L$4:L$21)</f>
        <v>345.71079841649515</v>
      </c>
      <c r="Q27" s="289"/>
      <c r="Y27" s="70"/>
    </row>
    <row r="28" spans="1:27" s="70" customFormat="1">
      <c r="C28" s="298" t="s">
        <v>512</v>
      </c>
      <c r="D28" s="362">
        <f>SUMIF($B$3:$B$21,$C28,Q$3:Q$21)/SUMIF($B$3:$B$21,$C28,J$3:J$21)/1000</f>
        <v>144.22396574738113</v>
      </c>
      <c r="E28" s="362">
        <f t="shared" ref="E28:F28" si="20">SUMIF($B$3:$B$21,$C28,R$3:R$21)/SUMIF($B$3:$B$21,$C28,K$3:K$21)/1000</f>
        <v>144.2239657473811</v>
      </c>
      <c r="F28" s="362">
        <f t="shared" si="20"/>
        <v>144.22396574738113</v>
      </c>
      <c r="G28" s="292">
        <f t="shared" si="19"/>
        <v>0.28011200903872624</v>
      </c>
      <c r="H28" s="297">
        <f>STDEV(D18:D21)</f>
        <v>0.34973983175454754</v>
      </c>
      <c r="I28" s="301">
        <f>MAX($D$51:$D$54)</f>
        <v>144.25964390471449</v>
      </c>
      <c r="J28" s="301">
        <f>MIN($D$51:$D$54)</f>
        <v>143.56016424120534</v>
      </c>
      <c r="K28" s="427">
        <f ca="1">SetupForRPM!$B34*SUMIF($B$3:$B$21,$C28,J$4:J$21)</f>
        <v>670.61564784282109</v>
      </c>
      <c r="L28" s="427">
        <f ca="1">SetupForRPM!$B34*SUMIF($B$3:$B$21,$C28,K$4:K$21)</f>
        <v>705.46468889490666</v>
      </c>
      <c r="M28" s="427">
        <f ca="1">SetupForRPM!$B34*SUMIF($B$3:$B$21,$C28,L$4:L$21)</f>
        <v>779.98219524888009</v>
      </c>
      <c r="N28" s="427">
        <f ca="1">SetupForRPM!$D34*SUMIF($B$3:$B$21,$C28,J$4:J$21)</f>
        <v>379.77390423010263</v>
      </c>
      <c r="O28" s="427">
        <f ca="1">SetupForRPM!$D34*SUMIF($B$3:$B$21,$C28,K$4:K$21)</f>
        <v>399.5091377004191</v>
      </c>
      <c r="P28" s="427">
        <f ca="1">SetupForRPM!$D34*SUMIF($B$3:$B$21,$C28,L$4:L$21)</f>
        <v>441.70887522902046</v>
      </c>
      <c r="Q28" s="289"/>
    </row>
    <row r="29" spans="1:27">
      <c r="H29" s="361" t="s">
        <v>469</v>
      </c>
    </row>
    <row r="30" spans="1:27" s="70" customFormat="1">
      <c r="C30" s="2" t="s">
        <v>408</v>
      </c>
      <c r="D30" s="314">
        <v>2021</v>
      </c>
      <c r="E30" s="314">
        <v>2026</v>
      </c>
      <c r="F30" s="314">
        <v>2035</v>
      </c>
      <c r="G30" s="296" t="s">
        <v>379</v>
      </c>
      <c r="H30" s="296" t="s">
        <v>381</v>
      </c>
      <c r="I30" s="361"/>
    </row>
    <row r="31" spans="1:27" s="70" customFormat="1">
      <c r="C31" s="296" t="s">
        <v>366</v>
      </c>
      <c r="D31" s="299">
        <f>SUMIF($I$3:$I$21,$C31,Q$3:Q$21)/SUMIF($I$3:$I$21,$C31,J$3:J$21)/1000</f>
        <v>117.47070343213318</v>
      </c>
      <c r="E31" s="299">
        <f t="shared" ref="E31:F33" si="21">SUMIF($I$3:$I$21,$C31,R$3:R$21)/SUMIF($I$3:$I$21,$C31,K$3:K$21)/1000</f>
        <v>117.47070343213315</v>
      </c>
      <c r="F31" s="299">
        <f t="shared" si="21"/>
        <v>117.47070343213318</v>
      </c>
      <c r="G31" s="18">
        <f>SUMIF($I$3:$I$21,$C31,J$3:J$21)/$J$23</f>
        <v>0.24815292075913997</v>
      </c>
      <c r="H31" s="300">
        <f t="array" ref="H31">STDEV(IF($I$3:$I$21=$C31,$D$3:$D$21,0))</f>
        <v>34.755385101451701</v>
      </c>
      <c r="I31" s="361"/>
    </row>
    <row r="32" spans="1:27" s="70" customFormat="1">
      <c r="C32" s="296" t="s">
        <v>373</v>
      </c>
      <c r="D32" s="299">
        <f t="shared" ref="D32:D33" si="22">SUMIF($I$3:$I$21,$C32,Q$3:Q$21)/SUMIF($I$3:$I$21,$C32,J$3:J$21)/1000</f>
        <v>39.838377227667991</v>
      </c>
      <c r="E32" s="299">
        <f t="shared" si="21"/>
        <v>39.871711027066524</v>
      </c>
      <c r="F32" s="299">
        <f t="shared" si="21"/>
        <v>39.866541438821123</v>
      </c>
      <c r="G32" s="18">
        <f>SUMIF($I$3:$I$21,$C32,J$3:J$21)/$J$23</f>
        <v>0.54898599819072147</v>
      </c>
      <c r="H32" s="300">
        <f t="array" ref="H32">STDEV(IF($I$3:$I$21=$C32,$D$3:$D$21,0))</f>
        <v>36.285083226107687</v>
      </c>
      <c r="I32" s="361"/>
    </row>
    <row r="33" spans="1:11" s="70" customFormat="1">
      <c r="C33" s="296" t="s">
        <v>367</v>
      </c>
      <c r="D33" s="299">
        <f t="shared" si="22"/>
        <v>102.23186795104544</v>
      </c>
      <c r="E33" s="299">
        <f t="shared" si="21"/>
        <v>102.29082339521037</v>
      </c>
      <c r="F33" s="299">
        <f t="shared" si="21"/>
        <v>102.28169097951327</v>
      </c>
      <c r="G33" s="18">
        <f>SUMIF($I$3:$I$21,$C33,J$3:J$21)/$J$23</f>
        <v>0.20547666809820461</v>
      </c>
      <c r="H33" s="300">
        <f t="array" ref="H33">STDEV(IF($I$3:$I$21=$C33,$D$3:$D$21,0))</f>
        <v>51.22207645260967</v>
      </c>
      <c r="I33" s="361"/>
    </row>
    <row r="34" spans="1:11" s="70" customFormat="1">
      <c r="A34" s="398" t="s">
        <v>533</v>
      </c>
      <c r="B34" s="398"/>
      <c r="C34" s="398"/>
      <c r="D34" s="398"/>
      <c r="H34" s="361"/>
    </row>
    <row r="35" spans="1:11" ht="30">
      <c r="B35" s="335" t="s">
        <v>404</v>
      </c>
      <c r="C35" s="408" t="s">
        <v>462</v>
      </c>
      <c r="D35" s="335" t="s">
        <v>461</v>
      </c>
      <c r="E35" s="335" t="s">
        <v>463</v>
      </c>
      <c r="F35" s="335" t="s">
        <v>464</v>
      </c>
      <c r="H35" s="335" t="s">
        <v>377</v>
      </c>
      <c r="I35" s="335" t="s">
        <v>378</v>
      </c>
      <c r="J35" s="335" t="s">
        <v>380</v>
      </c>
      <c r="K35" s="335" t="s">
        <v>512</v>
      </c>
    </row>
    <row r="36" spans="1:11">
      <c r="B36" s="352" t="s">
        <v>377</v>
      </c>
      <c r="C36" s="201" t="s">
        <v>527</v>
      </c>
      <c r="D36" s="353">
        <f t="shared" ref="D36:D48" si="23">D3</f>
        <v>1.9426369375723915</v>
      </c>
      <c r="E36" s="353">
        <f>VLOOKUP(B36,$C$25:$D$27,2)</f>
        <v>24.607453662383513</v>
      </c>
      <c r="F36" s="404">
        <f>M3-0</f>
        <v>2.6155870480661278E-3</v>
      </c>
      <c r="G36" s="360">
        <f>F36/SUM($F$42:$F$49)</f>
        <v>7.1900537761513759E-3</v>
      </c>
      <c r="H36" s="353">
        <f>E36</f>
        <v>24.607453662383513</v>
      </c>
      <c r="J36" s="432"/>
    </row>
    <row r="37" spans="1:11">
      <c r="B37" s="352" t="s">
        <v>377</v>
      </c>
      <c r="C37" s="201" t="s">
        <v>513</v>
      </c>
      <c r="D37" s="353">
        <f t="shared" si="23"/>
        <v>19.202243154525927</v>
      </c>
      <c r="E37" s="353">
        <f>VLOOKUP(B37,$C$25:$D$27,2)</f>
        <v>24.607453662383513</v>
      </c>
      <c r="F37" s="403">
        <f>M4</f>
        <v>0.15083218643848004</v>
      </c>
      <c r="G37" s="360">
        <f>F37/SUM($F$37:$F$41)</f>
        <v>0.42695044487531264</v>
      </c>
      <c r="H37" s="353">
        <f>E37</f>
        <v>24.607453662383513</v>
      </c>
    </row>
    <row r="38" spans="1:11">
      <c r="B38" s="352" t="s">
        <v>377</v>
      </c>
      <c r="C38" s="201" t="s">
        <v>520</v>
      </c>
      <c r="D38" s="353">
        <f t="shared" si="23"/>
        <v>27.881812059919849</v>
      </c>
      <c r="E38" s="353">
        <f t="shared" ref="E38:E50" si="24">VLOOKUP(B38,$C$25:$D$27,2)</f>
        <v>24.607453662383513</v>
      </c>
      <c r="F38" s="404">
        <f t="shared" ref="F38:F49" si="25">M5-M4</f>
        <v>1.25060929238755E-2</v>
      </c>
      <c r="G38" s="360">
        <f t="shared" ref="G38:G41" si="26">F38/SUM($F$37:$F$41)</f>
        <v>3.5400149421545776E-2</v>
      </c>
      <c r="H38" s="353">
        <f t="shared" ref="H38:H40" si="27">E38</f>
        <v>24.607453662383513</v>
      </c>
    </row>
    <row r="39" spans="1:11">
      <c r="B39" s="352" t="s">
        <v>377</v>
      </c>
      <c r="C39" s="201" t="s">
        <v>514</v>
      </c>
      <c r="D39" s="353">
        <f t="shared" si="23"/>
        <v>28.723299484134781</v>
      </c>
      <c r="E39" s="353">
        <f t="shared" si="24"/>
        <v>24.607453662383513</v>
      </c>
      <c r="F39" s="404">
        <f t="shared" si="25"/>
        <v>3.7054149847603468E-2</v>
      </c>
      <c r="G39" s="360">
        <f t="shared" si="26"/>
        <v>0.10488666998381956</v>
      </c>
      <c r="H39" s="353">
        <f t="shared" si="27"/>
        <v>24.607453662383513</v>
      </c>
    </row>
    <row r="40" spans="1:11">
      <c r="B40" s="352" t="s">
        <v>377</v>
      </c>
      <c r="C40" s="201" t="s">
        <v>516</v>
      </c>
      <c r="D40" s="353">
        <f t="shared" si="23"/>
        <v>29.107389068166832</v>
      </c>
      <c r="E40" s="353">
        <f t="shared" si="24"/>
        <v>24.607453662383513</v>
      </c>
      <c r="F40" s="404">
        <f t="shared" si="25"/>
        <v>0.1482165993904139</v>
      </c>
      <c r="G40" s="360">
        <f t="shared" si="26"/>
        <v>0.41954667993527828</v>
      </c>
      <c r="H40" s="353">
        <f t="shared" si="27"/>
        <v>24.607453662383513</v>
      </c>
    </row>
    <row r="41" spans="1:11">
      <c r="B41" s="433" t="s">
        <v>378</v>
      </c>
      <c r="C41" s="401" t="s">
        <v>515</v>
      </c>
      <c r="D41" s="434">
        <f t="shared" si="23"/>
        <v>35.149745750919109</v>
      </c>
      <c r="E41" s="434">
        <f t="shared" si="24"/>
        <v>56.55462571732847</v>
      </c>
      <c r="F41" s="435">
        <f t="shared" si="25"/>
        <v>4.6689413582468586E-3</v>
      </c>
      <c r="G41" s="360">
        <f t="shared" si="26"/>
        <v>1.3216055784043772E-2</v>
      </c>
      <c r="I41" s="434">
        <f>E41</f>
        <v>56.55462571732847</v>
      </c>
    </row>
    <row r="42" spans="1:11">
      <c r="B42" s="354" t="s">
        <v>378</v>
      </c>
      <c r="C42" s="355" t="s">
        <v>517</v>
      </c>
      <c r="D42" s="356">
        <f t="shared" si="23"/>
        <v>42.820957513651287</v>
      </c>
      <c r="E42" s="356">
        <f t="shared" si="24"/>
        <v>56.55462571732847</v>
      </c>
      <c r="F42" s="405">
        <f t="shared" si="25"/>
        <v>2.7102463888532824E-2</v>
      </c>
      <c r="G42" s="360">
        <f t="shared" ref="G42:G49" si="28">F42/SUM($F$42:$F$49)</f>
        <v>7.4502652461454238E-2</v>
      </c>
      <c r="H42" s="70"/>
      <c r="I42" s="356">
        <f>E42</f>
        <v>56.55462571732847</v>
      </c>
    </row>
    <row r="43" spans="1:11">
      <c r="B43" s="354" t="s">
        <v>378</v>
      </c>
      <c r="C43" s="355" t="s">
        <v>521</v>
      </c>
      <c r="D43" s="356">
        <f t="shared" si="23"/>
        <v>54.963175662776727</v>
      </c>
      <c r="E43" s="356">
        <f t="shared" si="24"/>
        <v>56.55462571732847</v>
      </c>
      <c r="F43" s="405">
        <f t="shared" si="25"/>
        <v>7.4445876227742014E-2</v>
      </c>
      <c r="G43" s="360">
        <f t="shared" si="28"/>
        <v>0.20464616304241678</v>
      </c>
      <c r="H43" s="70"/>
      <c r="I43" s="356">
        <f t="shared" ref="I43:I46" si="29">E43</f>
        <v>56.55462571732847</v>
      </c>
    </row>
    <row r="44" spans="1:11">
      <c r="B44" s="354" t="s">
        <v>378</v>
      </c>
      <c r="C44" s="355" t="s">
        <v>518</v>
      </c>
      <c r="D44" s="356">
        <f t="shared" si="23"/>
        <v>54.737778125855897</v>
      </c>
      <c r="E44" s="356">
        <f t="shared" si="24"/>
        <v>56.55462571732847</v>
      </c>
      <c r="F44" s="405">
        <f t="shared" si="25"/>
        <v>4.5520261600313194E-2</v>
      </c>
      <c r="G44" s="360">
        <f t="shared" si="28"/>
        <v>0.1251318051344226</v>
      </c>
      <c r="I44" s="356">
        <f t="shared" si="29"/>
        <v>56.55462571732847</v>
      </c>
    </row>
    <row r="45" spans="1:11">
      <c r="B45" s="354" t="s">
        <v>378</v>
      </c>
      <c r="C45" s="355" t="s">
        <v>523</v>
      </c>
      <c r="D45" s="356">
        <f t="shared" si="23"/>
        <v>58.738245449715478</v>
      </c>
      <c r="E45" s="356">
        <f t="shared" si="24"/>
        <v>56.55462571732847</v>
      </c>
      <c r="F45" s="405">
        <f t="shared" si="25"/>
        <v>1.3077935240330962E-3</v>
      </c>
      <c r="G45" s="360">
        <f t="shared" si="28"/>
        <v>3.5950268880757768E-3</v>
      </c>
      <c r="I45" s="356">
        <f t="shared" si="29"/>
        <v>56.55462571732847</v>
      </c>
    </row>
    <row r="46" spans="1:11">
      <c r="B46" s="354" t="s">
        <v>378</v>
      </c>
      <c r="C46" s="355" t="s">
        <v>524</v>
      </c>
      <c r="D46" s="356">
        <f t="shared" si="23"/>
        <v>61.76877629299883</v>
      </c>
      <c r="E46" s="356">
        <f t="shared" si="24"/>
        <v>56.55462571732847</v>
      </c>
      <c r="F46" s="405">
        <f t="shared" si="25"/>
        <v>0.12858833166609984</v>
      </c>
      <c r="G46" s="360">
        <f t="shared" si="28"/>
        <v>0.35347973616417444</v>
      </c>
      <c r="I46" s="356">
        <f t="shared" si="29"/>
        <v>56.55462571732847</v>
      </c>
    </row>
    <row r="47" spans="1:11">
      <c r="B47" s="391" t="s">
        <v>380</v>
      </c>
      <c r="C47" s="392" t="s">
        <v>519</v>
      </c>
      <c r="D47" s="393">
        <f t="shared" si="23"/>
        <v>65.783248726368299</v>
      </c>
      <c r="E47" s="393">
        <f t="shared" si="24"/>
        <v>77.202178734199606</v>
      </c>
      <c r="F47" s="406">
        <f t="shared" si="25"/>
        <v>2.722680948767997E-2</v>
      </c>
      <c r="G47" s="360">
        <f t="shared" si="28"/>
        <v>7.4844469242263262E-2</v>
      </c>
      <c r="I47" s="70"/>
      <c r="J47" s="393">
        <f>E47</f>
        <v>77.202178734199606</v>
      </c>
    </row>
    <row r="48" spans="1:11">
      <c r="B48" s="391" t="s">
        <v>380</v>
      </c>
      <c r="C48" s="392" t="s">
        <v>525</v>
      </c>
      <c r="D48" s="393">
        <f t="shared" si="23"/>
        <v>79.127549401513804</v>
      </c>
      <c r="E48" s="393">
        <f t="shared" si="24"/>
        <v>77.202178734199606</v>
      </c>
      <c r="F48" s="406">
        <f t="shared" si="25"/>
        <v>5.8361766978085705E-2</v>
      </c>
      <c r="G48" s="360">
        <f t="shared" si="28"/>
        <v>0.16043214595129116</v>
      </c>
      <c r="I48" s="70"/>
      <c r="J48" s="393">
        <f t="shared" ref="J48:J50" si="30">E48</f>
        <v>77.202178734199606</v>
      </c>
    </row>
    <row r="49" spans="2:11">
      <c r="B49" s="391" t="s">
        <v>380</v>
      </c>
      <c r="C49" s="392" t="s">
        <v>522</v>
      </c>
      <c r="D49" s="393">
        <f t="shared" ref="D49:D54" si="31">D16</f>
        <v>79.874420066373105</v>
      </c>
      <c r="E49" s="393">
        <f t="shared" si="24"/>
        <v>77.202178734199606</v>
      </c>
      <c r="F49" s="406">
        <f t="shared" si="25"/>
        <v>1.2252064269455687E-3</v>
      </c>
      <c r="G49" s="360">
        <f t="shared" si="28"/>
        <v>3.3680011159017646E-3</v>
      </c>
      <c r="J49" s="393">
        <f t="shared" si="30"/>
        <v>77.202178734199606</v>
      </c>
    </row>
    <row r="50" spans="2:11">
      <c r="B50" s="391" t="s">
        <v>512</v>
      </c>
      <c r="C50" s="392" t="s">
        <v>526</v>
      </c>
      <c r="D50" s="393">
        <f t="shared" si="31"/>
        <v>113.04859482251661</v>
      </c>
      <c r="E50" s="393">
        <f t="shared" si="24"/>
        <v>77.202178734199606</v>
      </c>
      <c r="F50" s="406">
        <f t="shared" ref="F50:F54" si="32">M17-M16</f>
        <v>5.447098251287974E-3</v>
      </c>
      <c r="G50" s="360">
        <f>F50/SUM($F$50:$F$54)</f>
        <v>1.9075204089904558E-2</v>
      </c>
      <c r="J50" s="393">
        <f t="shared" si="30"/>
        <v>77.202178734199606</v>
      </c>
    </row>
    <row r="51" spans="2:11">
      <c r="B51" s="357" t="s">
        <v>512</v>
      </c>
      <c r="C51" s="358" t="s">
        <v>528</v>
      </c>
      <c r="D51" s="359">
        <f t="shared" si="31"/>
        <v>143.56016424120534</v>
      </c>
      <c r="E51" s="359">
        <f>VLOOKUP(B51,$C$25:$D$28,2)</f>
        <v>144.22396574738113</v>
      </c>
      <c r="F51" s="407">
        <f t="shared" si="32"/>
        <v>1.4287592407344452E-2</v>
      </c>
      <c r="G51" s="360">
        <f t="shared" ref="G51:G54" si="33">F51/SUM($F$50:$F$54)</f>
        <v>5.0033747979306972E-2</v>
      </c>
      <c r="K51" s="359">
        <f>E51</f>
        <v>144.22396574738113</v>
      </c>
    </row>
    <row r="52" spans="2:11">
      <c r="B52" s="357" t="s">
        <v>512</v>
      </c>
      <c r="C52" s="358" t="s">
        <v>529</v>
      </c>
      <c r="D52" s="359">
        <f t="shared" si="31"/>
        <v>144.25964390471441</v>
      </c>
      <c r="E52" s="359">
        <f t="shared" ref="E52:E54" si="34">VLOOKUP(B52,$C$25:$D$28,2)</f>
        <v>144.22396574738113</v>
      </c>
      <c r="F52" s="407">
        <f t="shared" si="32"/>
        <v>6.3529222137919894E-2</v>
      </c>
      <c r="G52" s="360">
        <f t="shared" si="33"/>
        <v>0.22247310807495813</v>
      </c>
      <c r="K52" s="359">
        <f t="shared" ref="K52:K54" si="35">E52</f>
        <v>144.22396574738113</v>
      </c>
    </row>
    <row r="53" spans="2:11">
      <c r="B53" s="357" t="s">
        <v>512</v>
      </c>
      <c r="C53" s="358" t="s">
        <v>530</v>
      </c>
      <c r="D53" s="359">
        <f t="shared" si="31"/>
        <v>144.25964390471441</v>
      </c>
      <c r="E53" s="359">
        <f t="shared" si="34"/>
        <v>144.22396574738113</v>
      </c>
      <c r="F53" s="407">
        <f t="shared" si="32"/>
        <v>2.8588149962063936E-2</v>
      </c>
      <c r="G53" s="360">
        <f t="shared" si="33"/>
        <v>0.1001128986337311</v>
      </c>
      <c r="K53" s="359">
        <f t="shared" si="35"/>
        <v>144.22396574738113</v>
      </c>
    </row>
    <row r="54" spans="2:11">
      <c r="B54" s="357" t="str">
        <f>B21</f>
        <v>Bin 4</v>
      </c>
      <c r="C54" s="358" t="s">
        <v>531</v>
      </c>
      <c r="D54" s="359">
        <f t="shared" si="31"/>
        <v>144.25964390471449</v>
      </c>
      <c r="E54" s="359">
        <f t="shared" si="34"/>
        <v>144.22396574738113</v>
      </c>
      <c r="F54" s="407">
        <f t="shared" si="32"/>
        <v>0.17370704453139796</v>
      </c>
      <c r="G54" s="360">
        <f t="shared" si="33"/>
        <v>0.60830504122209927</v>
      </c>
      <c r="K54" s="359">
        <f t="shared" si="35"/>
        <v>144.22396574738113</v>
      </c>
    </row>
  </sheetData>
  <autoFilter ref="A2:P21">
    <filterColumn colId="1"/>
    <sortState ref="A3:P21">
      <sortCondition ref="D2:D21"/>
    </sortState>
  </autoFilter>
  <sortState ref="A3:T21">
    <sortCondition ref="D3:D21"/>
  </sortState>
  <mergeCells count="2">
    <mergeCell ref="U1:W1"/>
    <mergeCell ref="X1:Z1"/>
  </mergeCells>
  <pageMargins left="0.7" right="0.7" top="0.75" bottom="0.75" header="0.3" footer="0.3"/>
  <pageSetup scale="33" fitToHeight="2" orientation="landscape" r:id="rId1"/>
  <drawing r:id="rId2"/>
</worksheet>
</file>

<file path=xl/worksheets/sheet3.xml><?xml version="1.0" encoding="utf-8"?>
<worksheet xmlns="http://schemas.openxmlformats.org/spreadsheetml/2006/main" xmlns:r="http://schemas.openxmlformats.org/officeDocument/2006/relationships">
  <sheetPr>
    <tabColor theme="9" tint="-0.249977111117893"/>
  </sheetPr>
  <dimension ref="A1:E18"/>
  <sheetViews>
    <sheetView tabSelected="1" zoomScaleNormal="100" workbookViewId="0">
      <selection activeCell="D16" sqref="D16"/>
    </sheetView>
  </sheetViews>
  <sheetFormatPr defaultRowHeight="15"/>
  <cols>
    <col min="1" max="1" width="57.140625" customWidth="1"/>
    <col min="2" max="2" width="20.85546875" bestFit="1" customWidth="1"/>
    <col min="3" max="4" width="18.85546875" bestFit="1" customWidth="1"/>
  </cols>
  <sheetData>
    <row r="1" spans="1:5" s="70" customFormat="1" ht="18.75">
      <c r="A1" s="275" t="s">
        <v>349</v>
      </c>
      <c r="B1" s="464" t="s">
        <v>350</v>
      </c>
      <c r="C1" s="464" t="s">
        <v>351</v>
      </c>
      <c r="D1" s="464" t="s">
        <v>352</v>
      </c>
    </row>
    <row r="2" spans="1:5" s="70" customFormat="1" ht="19.5" thickBot="1">
      <c r="A2" s="276" t="s">
        <v>353</v>
      </c>
      <c r="B2" s="465"/>
      <c r="C2" s="465"/>
      <c r="D2" s="465"/>
    </row>
    <row r="3" spans="1:5" s="70" customFormat="1" ht="18.75">
      <c r="A3" s="277" t="s">
        <v>354</v>
      </c>
      <c r="B3" s="278">
        <v>4</v>
      </c>
      <c r="C3" s="278">
        <v>4</v>
      </c>
      <c r="D3" s="279">
        <v>4</v>
      </c>
    </row>
    <row r="4" spans="1:5" s="70" customFormat="1" ht="19.5" thickBot="1">
      <c r="A4" s="280" t="s">
        <v>355</v>
      </c>
      <c r="B4" s="281">
        <v>1.64</v>
      </c>
      <c r="C4" s="281">
        <v>1.64</v>
      </c>
      <c r="D4" s="282">
        <v>1.64</v>
      </c>
    </row>
    <row r="6" spans="1:5" ht="18.75">
      <c r="A6" s="283" t="s">
        <v>356</v>
      </c>
      <c r="B6" s="70" t="s">
        <v>357</v>
      </c>
    </row>
    <row r="8" spans="1:5" ht="18.75">
      <c r="A8" s="283" t="s">
        <v>358</v>
      </c>
      <c r="B8">
        <v>2012</v>
      </c>
    </row>
    <row r="10" spans="1:5">
      <c r="A10" s="70" t="s">
        <v>403</v>
      </c>
      <c r="B10">
        <f>(1+0.01*AVERAGE(B3:D3))</f>
        <v>1.04</v>
      </c>
    </row>
    <row r="12" spans="1:5" ht="15.75" thickBot="1">
      <c r="C12" s="71" t="s">
        <v>488</v>
      </c>
    </row>
    <row r="13" spans="1:5" ht="15.75" thickBot="1">
      <c r="A13" s="346" t="s">
        <v>453</v>
      </c>
      <c r="B13" s="347">
        <v>4.0000000000000001E-3</v>
      </c>
      <c r="C13" s="70" t="s">
        <v>487</v>
      </c>
      <c r="E13" s="70"/>
    </row>
    <row r="14" spans="1:5" ht="15.75" thickBot="1">
      <c r="A14" s="346" t="s">
        <v>454</v>
      </c>
      <c r="B14" s="348">
        <v>26</v>
      </c>
      <c r="C14" s="70" t="s">
        <v>486</v>
      </c>
      <c r="D14" s="351">
        <v>1</v>
      </c>
      <c r="E14" s="70" t="s">
        <v>459</v>
      </c>
    </row>
    <row r="15" spans="1:5" ht="15.75" thickBot="1">
      <c r="A15" s="346" t="s">
        <v>455</v>
      </c>
      <c r="B15" s="349">
        <v>0.9</v>
      </c>
      <c r="C15" s="251" t="s">
        <v>487</v>
      </c>
    </row>
    <row r="16" spans="1:5" ht="15.75" thickBot="1">
      <c r="A16" s="346" t="s">
        <v>456</v>
      </c>
      <c r="B16" s="350">
        <v>4.7E-2</v>
      </c>
      <c r="C16" s="251" t="s">
        <v>487</v>
      </c>
    </row>
    <row r="17" spans="1:3" ht="15.75" thickBot="1">
      <c r="A17" s="346" t="s">
        <v>457</v>
      </c>
      <c r="B17" s="348">
        <v>31</v>
      </c>
      <c r="C17" s="251" t="s">
        <v>487</v>
      </c>
    </row>
    <row r="18" spans="1:3" ht="15.75" thickBot="1">
      <c r="A18" s="346" t="s">
        <v>458</v>
      </c>
      <c r="B18" s="349">
        <v>0.7</v>
      </c>
      <c r="C18" s="251" t="s">
        <v>487</v>
      </c>
    </row>
  </sheetData>
  <mergeCells count="3">
    <mergeCell ref="B1:B2"/>
    <mergeCell ref="C1:C2"/>
    <mergeCell ref="D1:D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sheetPr>
    <tabColor theme="9" tint="-0.249977111117893"/>
  </sheetPr>
  <dimension ref="A1:R24"/>
  <sheetViews>
    <sheetView workbookViewId="0">
      <selection activeCell="B18" sqref="B18"/>
    </sheetView>
  </sheetViews>
  <sheetFormatPr defaultRowHeight="15"/>
  <cols>
    <col min="1" max="1" width="9.140625" style="70"/>
    <col min="2" max="2" width="35.5703125" bestFit="1" customWidth="1"/>
    <col min="3" max="3" width="40.42578125" bestFit="1" customWidth="1"/>
    <col min="4" max="4" width="16" style="70" bestFit="1" customWidth="1"/>
    <col min="5" max="5" width="15.140625" style="70" bestFit="1" customWidth="1"/>
    <col min="6" max="13" width="13.7109375" style="70" customWidth="1"/>
  </cols>
  <sheetData>
    <row r="1" spans="1:18" s="70" customFormat="1" ht="30.75" customHeight="1" thickBot="1">
      <c r="E1" s="70" t="s">
        <v>391</v>
      </c>
      <c r="F1" s="70">
        <f>(31+28.25+31)*24</f>
        <v>2166</v>
      </c>
      <c r="G1" s="70">
        <f>(30+31+30)*24</f>
        <v>2184</v>
      </c>
      <c r="H1" s="70">
        <f>24*(31+31+30)</f>
        <v>2208</v>
      </c>
      <c r="I1" s="70">
        <f>24*(31+30+31)</f>
        <v>2208</v>
      </c>
      <c r="J1" s="468" t="s">
        <v>540</v>
      </c>
      <c r="K1" s="469"/>
      <c r="L1" s="469"/>
      <c r="M1" s="470"/>
      <c r="N1" s="468" t="s">
        <v>539</v>
      </c>
      <c r="O1" s="469"/>
      <c r="P1" s="469"/>
      <c r="Q1" s="470"/>
    </row>
    <row r="2" spans="1:18" s="70" customFormat="1" ht="15.75" thickBot="1">
      <c r="F2" s="466" t="s">
        <v>392</v>
      </c>
      <c r="G2" s="467"/>
      <c r="H2" s="467"/>
      <c r="I2" s="467"/>
      <c r="J2" s="471"/>
      <c r="K2" s="472"/>
      <c r="L2" s="472"/>
      <c r="M2" s="473"/>
      <c r="N2" s="471"/>
      <c r="O2" s="472"/>
      <c r="P2" s="472"/>
      <c r="Q2" s="473"/>
    </row>
    <row r="3" spans="1:18">
      <c r="D3" s="71" t="s">
        <v>397</v>
      </c>
      <c r="E3" s="71" t="s">
        <v>398</v>
      </c>
      <c r="F3" s="70" t="s">
        <v>386</v>
      </c>
      <c r="G3" s="70" t="s">
        <v>387</v>
      </c>
      <c r="H3" s="70" t="s">
        <v>388</v>
      </c>
      <c r="I3" s="70" t="s">
        <v>389</v>
      </c>
      <c r="J3" s="70" t="s">
        <v>386</v>
      </c>
      <c r="K3" s="70" t="s">
        <v>387</v>
      </c>
      <c r="L3" s="70" t="s">
        <v>388</v>
      </c>
      <c r="M3" s="70" t="s">
        <v>389</v>
      </c>
      <c r="N3" s="70" t="s">
        <v>386</v>
      </c>
      <c r="O3" s="70" t="s">
        <v>387</v>
      </c>
      <c r="P3" s="70" t="s">
        <v>388</v>
      </c>
      <c r="Q3" s="70" t="s">
        <v>389</v>
      </c>
    </row>
    <row r="4" spans="1:18">
      <c r="A4" s="70" t="str">
        <f>VLOOKUP($B4,CostByType_Details!$A$31:$AU$49,47, FALSE)</f>
        <v>Bin 1</v>
      </c>
      <c r="B4" s="303" t="s">
        <v>319</v>
      </c>
      <c r="C4" s="70" t="s">
        <v>394</v>
      </c>
      <c r="D4" s="376">
        <f>VLOOKUP($B4,CostByType_Summary!$C$3:$P$21,13,FALSE)</f>
        <v>0</v>
      </c>
      <c r="E4" s="376">
        <f>VLOOKUP($B4,CostByType_Summary!$C$3:$P$21,14, FALSE)</f>
        <v>9.8295453731486138</v>
      </c>
      <c r="F4" s="376">
        <v>0</v>
      </c>
      <c r="G4" s="376">
        <v>0</v>
      </c>
      <c r="H4" s="376">
        <v>0</v>
      </c>
      <c r="I4" s="376">
        <v>0</v>
      </c>
      <c r="J4" s="376">
        <f>F4/F$1</f>
        <v>0</v>
      </c>
      <c r="K4" s="376">
        <f t="shared" ref="K4:M19" si="0">G4/G$1</f>
        <v>0</v>
      </c>
      <c r="L4" s="376">
        <f t="shared" si="0"/>
        <v>0</v>
      </c>
      <c r="M4" s="376">
        <f t="shared" si="0"/>
        <v>0</v>
      </c>
      <c r="N4" s="376">
        <f t="shared" ref="N4:N22" si="1">$D4*F4/F$1</f>
        <v>0</v>
      </c>
      <c r="O4" s="376">
        <f t="shared" ref="O4:O22" si="2">$E4*G4/G$1</f>
        <v>0</v>
      </c>
      <c r="P4" s="376">
        <f t="shared" ref="P4:P22" si="3">$E4*H4/H$1</f>
        <v>0</v>
      </c>
      <c r="Q4" s="376">
        <f t="shared" ref="Q4:Q5" si="4">$D4*I4/I$1</f>
        <v>0</v>
      </c>
      <c r="R4" s="70" t="s">
        <v>390</v>
      </c>
    </row>
    <row r="5" spans="1:18">
      <c r="A5" s="70" t="str">
        <f>VLOOKUP($B5,CostByType_Details!$A$32:$AU$49,47, FALSE)</f>
        <v>Bin 1</v>
      </c>
      <c r="B5" s="303" t="s">
        <v>312</v>
      </c>
      <c r="C5" s="70" t="s">
        <v>385</v>
      </c>
      <c r="D5" s="376">
        <f>VLOOKUP($B5,CostByType_Summary!$C$4:$P$21,13,FALSE)</f>
        <v>557.00757114508804</v>
      </c>
      <c r="E5" s="376">
        <f>VLOOKUP($B5,CostByType_Summary!$C$4:$P$21,14, FALSE)</f>
        <v>557.00757114508804</v>
      </c>
      <c r="F5" s="376">
        <v>15</v>
      </c>
      <c r="G5" s="376">
        <v>0</v>
      </c>
      <c r="H5" s="376">
        <v>30</v>
      </c>
      <c r="I5" s="376">
        <v>15</v>
      </c>
      <c r="J5" s="376">
        <f t="shared" ref="J5:J22" si="5">F5/F$1</f>
        <v>6.9252077562326868E-3</v>
      </c>
      <c r="K5" s="376">
        <f t="shared" si="0"/>
        <v>0</v>
      </c>
      <c r="L5" s="376">
        <f t="shared" si="0"/>
        <v>1.358695652173913E-2</v>
      </c>
      <c r="M5" s="376">
        <f t="shared" si="0"/>
        <v>6.793478260869565E-3</v>
      </c>
      <c r="N5" s="376">
        <f t="shared" si="1"/>
        <v>3.8573931519742937</v>
      </c>
      <c r="O5" s="376">
        <f t="shared" si="2"/>
        <v>0</v>
      </c>
      <c r="P5" s="376">
        <f t="shared" si="3"/>
        <v>7.5680376514278267</v>
      </c>
      <c r="Q5" s="376">
        <f t="shared" si="4"/>
        <v>3.7840188257139133</v>
      </c>
    </row>
    <row r="6" spans="1:18">
      <c r="A6" s="70" t="str">
        <f>VLOOKUP($B6,CostByType_Details!$A$32:$AU$49,47, FALSE)</f>
        <v>Bin 1</v>
      </c>
      <c r="B6" s="303" t="s">
        <v>302</v>
      </c>
      <c r="C6" s="70" t="s">
        <v>393</v>
      </c>
      <c r="D6" s="376">
        <f>VLOOKUP($B6,CostByType_Summary!$C$4:$P$21,13,FALSE)</f>
        <v>9.3997412876728088</v>
      </c>
      <c r="E6" s="376">
        <f>VLOOKUP($B6,CostByType_Summary!$C$4:$P$21,14, FALSE)</f>
        <v>46.998706438364039</v>
      </c>
      <c r="F6" s="376">
        <v>0</v>
      </c>
      <c r="G6" s="376">
        <v>0</v>
      </c>
      <c r="H6" s="376">
        <v>50</v>
      </c>
      <c r="I6" s="376">
        <v>0</v>
      </c>
      <c r="J6" s="376">
        <f t="shared" si="5"/>
        <v>0</v>
      </c>
      <c r="K6" s="376">
        <f t="shared" si="0"/>
        <v>0</v>
      </c>
      <c r="L6" s="376">
        <f t="shared" si="0"/>
        <v>2.2644927536231884E-2</v>
      </c>
      <c r="M6" s="376">
        <f t="shared" si="0"/>
        <v>0</v>
      </c>
      <c r="N6" s="376">
        <f t="shared" si="1"/>
        <v>0</v>
      </c>
      <c r="O6" s="376">
        <f t="shared" si="2"/>
        <v>0</v>
      </c>
      <c r="P6" s="376">
        <f t="shared" si="3"/>
        <v>1.0642823015933887</v>
      </c>
      <c r="Q6" s="376">
        <f t="shared" ref="Q6:Q22" si="6">$D6*I6/I$1</f>
        <v>0</v>
      </c>
    </row>
    <row r="7" spans="1:18">
      <c r="A7" s="70" t="str">
        <f>VLOOKUP($B7,CostByType_Details!$A$32:$AU$49,47, FALSE)</f>
        <v>Bin 2</v>
      </c>
      <c r="B7" s="303" t="s">
        <v>323</v>
      </c>
      <c r="C7" s="70" t="s">
        <v>395</v>
      </c>
      <c r="D7" s="376">
        <f>VLOOKUP($B7,CostByType_Summary!$C$4:$P$21,13,FALSE)</f>
        <v>91.667531708448792</v>
      </c>
      <c r="E7" s="376">
        <f>VLOOKUP($B7,CostByType_Summary!$C$4:$P$21,14, FALSE)</f>
        <v>101.85281300938755</v>
      </c>
      <c r="F7" s="376">
        <v>0</v>
      </c>
      <c r="G7" s="376">
        <v>0</v>
      </c>
      <c r="H7" s="376">
        <v>0</v>
      </c>
      <c r="I7" s="376">
        <v>0</v>
      </c>
      <c r="J7" s="376">
        <f t="shared" si="5"/>
        <v>0</v>
      </c>
      <c r="K7" s="376">
        <f t="shared" si="0"/>
        <v>0</v>
      </c>
      <c r="L7" s="376">
        <f t="shared" si="0"/>
        <v>0</v>
      </c>
      <c r="M7" s="376">
        <f t="shared" si="0"/>
        <v>0</v>
      </c>
      <c r="N7" s="376">
        <f t="shared" si="1"/>
        <v>0</v>
      </c>
      <c r="O7" s="376">
        <f t="shared" si="2"/>
        <v>0</v>
      </c>
      <c r="P7" s="376">
        <f t="shared" si="3"/>
        <v>0</v>
      </c>
      <c r="Q7" s="376">
        <f t="shared" si="6"/>
        <v>0</v>
      </c>
      <c r="R7" s="70" t="s">
        <v>390</v>
      </c>
    </row>
    <row r="8" spans="1:18">
      <c r="A8" s="70" t="str">
        <f>VLOOKUP($B8,CostByType_Details!$A$32:$AU$49,47, FALSE)</f>
        <v>Bin 2</v>
      </c>
      <c r="B8" s="303" t="s">
        <v>301</v>
      </c>
      <c r="C8" s="70" t="s">
        <v>393</v>
      </c>
      <c r="D8" s="376">
        <f>VLOOKUP($B8,CostByType_Summary!$C$4:$P$21,13,FALSE)</f>
        <v>3.5092367473978485</v>
      </c>
      <c r="E8" s="376">
        <f>VLOOKUP($B8,CostByType_Summary!$C$4:$P$21,14, FALSE)</f>
        <v>17.546183736989242</v>
      </c>
      <c r="F8" s="376">
        <v>0</v>
      </c>
      <c r="G8" s="376">
        <v>0</v>
      </c>
      <c r="H8" s="376">
        <v>50</v>
      </c>
      <c r="I8" s="376">
        <v>0</v>
      </c>
      <c r="J8" s="376">
        <f t="shared" si="5"/>
        <v>0</v>
      </c>
      <c r="K8" s="376">
        <f t="shared" si="0"/>
        <v>0</v>
      </c>
      <c r="L8" s="376">
        <f t="shared" si="0"/>
        <v>2.2644927536231884E-2</v>
      </c>
      <c r="M8" s="376">
        <f t="shared" si="0"/>
        <v>0</v>
      </c>
      <c r="N8" s="376">
        <f t="shared" si="1"/>
        <v>0</v>
      </c>
      <c r="O8" s="376">
        <f t="shared" si="2"/>
        <v>0</v>
      </c>
      <c r="P8" s="376">
        <f t="shared" si="3"/>
        <v>0.39733205926153176</v>
      </c>
      <c r="Q8" s="376">
        <f t="shared" si="6"/>
        <v>0</v>
      </c>
    </row>
    <row r="9" spans="1:18">
      <c r="A9" s="70" t="str">
        <f>VLOOKUP($B9,CostByType_Details!$A$32:$AU$49,47, FALSE)</f>
        <v>Bin 1</v>
      </c>
      <c r="B9" s="303" t="s">
        <v>320</v>
      </c>
      <c r="C9" s="70" t="s">
        <v>385</v>
      </c>
      <c r="D9" s="376">
        <f>VLOOKUP($B9,CostByType_Summary!$C$4:$P$21,13,FALSE)</f>
        <v>557.00757114508804</v>
      </c>
      <c r="E9" s="376">
        <f>VLOOKUP($B9,CostByType_Summary!$C$4:$P$21,14, FALSE)</f>
        <v>557.00757114508804</v>
      </c>
      <c r="F9" s="376">
        <v>15</v>
      </c>
      <c r="G9" s="376">
        <v>0</v>
      </c>
      <c r="H9" s="376">
        <v>30</v>
      </c>
      <c r="I9" s="376">
        <v>15</v>
      </c>
      <c r="J9" s="376">
        <f t="shared" si="5"/>
        <v>6.9252077562326868E-3</v>
      </c>
      <c r="K9" s="376">
        <f t="shared" si="0"/>
        <v>0</v>
      </c>
      <c r="L9" s="376">
        <f t="shared" si="0"/>
        <v>1.358695652173913E-2</v>
      </c>
      <c r="M9" s="376">
        <f t="shared" si="0"/>
        <v>6.793478260869565E-3</v>
      </c>
      <c r="N9" s="376">
        <f t="shared" si="1"/>
        <v>3.8573931519742937</v>
      </c>
      <c r="O9" s="376">
        <f t="shared" si="2"/>
        <v>0</v>
      </c>
      <c r="P9" s="376">
        <f t="shared" si="3"/>
        <v>7.5680376514278267</v>
      </c>
      <c r="Q9" s="376">
        <f t="shared" si="6"/>
        <v>3.7840188257139133</v>
      </c>
    </row>
    <row r="10" spans="1:18">
      <c r="A10" s="70" t="str">
        <f>VLOOKUP($B10,CostByType_Details!$A$32:$AU$49,47, FALSE)</f>
        <v>Bin 2</v>
      </c>
      <c r="B10" s="303" t="s">
        <v>235</v>
      </c>
      <c r="C10" s="70" t="s">
        <v>396</v>
      </c>
      <c r="D10" s="376">
        <f>VLOOKUP($B10,CostByType_Summary!$C$4:$P$21,13,FALSE)</f>
        <v>279.77242002533995</v>
      </c>
      <c r="E10" s="376">
        <f>VLOOKUP($B10,CostByType_Summary!$C$4:$P$21,14, FALSE)</f>
        <v>0</v>
      </c>
      <c r="F10" s="376">
        <v>25</v>
      </c>
      <c r="G10" s="376">
        <v>0</v>
      </c>
      <c r="H10" s="376">
        <v>0</v>
      </c>
      <c r="I10" s="376">
        <v>25</v>
      </c>
      <c r="J10" s="376">
        <f t="shared" si="5"/>
        <v>1.1542012927054479E-2</v>
      </c>
      <c r="K10" s="376">
        <f t="shared" si="0"/>
        <v>0</v>
      </c>
      <c r="L10" s="376">
        <f t="shared" si="0"/>
        <v>0</v>
      </c>
      <c r="M10" s="376">
        <f t="shared" si="0"/>
        <v>1.1322463768115942E-2</v>
      </c>
      <c r="N10" s="376">
        <f t="shared" si="1"/>
        <v>3.229136888565789</v>
      </c>
      <c r="O10" s="376">
        <f t="shared" si="2"/>
        <v>0</v>
      </c>
      <c r="P10" s="376">
        <f t="shared" si="3"/>
        <v>0</v>
      </c>
      <c r="Q10" s="376">
        <f t="shared" si="6"/>
        <v>3.1677130890550269</v>
      </c>
    </row>
    <row r="11" spans="1:18">
      <c r="A11" s="70" t="str">
        <f>VLOOKUP($B11,CostByType_Details!$A$32:$AU$49,47, FALSE)</f>
        <v>Bin 3</v>
      </c>
      <c r="B11" s="303" t="s">
        <v>281</v>
      </c>
      <c r="C11" s="70" t="s">
        <v>393</v>
      </c>
      <c r="D11" s="376">
        <f>VLOOKUP($B11,CostByType_Summary!$C$4:$P$21,13,FALSE)</f>
        <v>0</v>
      </c>
      <c r="E11" s="376">
        <f>VLOOKUP($B11,CostByType_Summary!$C$4:$P$21,14, FALSE)</f>
        <v>102.32011181699997</v>
      </c>
      <c r="F11" s="376">
        <v>0</v>
      </c>
      <c r="G11" s="376">
        <v>0</v>
      </c>
      <c r="H11" s="376">
        <v>50</v>
      </c>
      <c r="I11" s="376">
        <v>0</v>
      </c>
      <c r="J11" s="376">
        <f t="shared" si="5"/>
        <v>0</v>
      </c>
      <c r="K11" s="376">
        <f t="shared" si="0"/>
        <v>0</v>
      </c>
      <c r="L11" s="376">
        <f t="shared" si="0"/>
        <v>2.2644927536231884E-2</v>
      </c>
      <c r="M11" s="376">
        <f t="shared" si="0"/>
        <v>0</v>
      </c>
      <c r="N11" s="376">
        <f t="shared" si="1"/>
        <v>0</v>
      </c>
      <c r="O11" s="376">
        <f t="shared" si="2"/>
        <v>0</v>
      </c>
      <c r="P11" s="376">
        <f t="shared" si="3"/>
        <v>2.3170315175951077</v>
      </c>
      <c r="Q11" s="376">
        <f t="shared" si="6"/>
        <v>0</v>
      </c>
    </row>
    <row r="12" spans="1:18">
      <c r="A12" s="70" t="str">
        <f>VLOOKUP($B12,CostByType_Details!$A$32:$AU$49,47, FALSE)</f>
        <v>Bin 2</v>
      </c>
      <c r="B12" s="303" t="s">
        <v>211</v>
      </c>
      <c r="C12" s="70" t="s">
        <v>395</v>
      </c>
      <c r="D12" s="376">
        <f>VLOOKUP($B12,CostByType_Summary!$C$4:$P$21,13,FALSE)</f>
        <v>483.24327095285997</v>
      </c>
      <c r="E12" s="376">
        <f>VLOOKUP($B12,CostByType_Summary!$C$4:$P$21,14, FALSE)</f>
        <v>483.24327095285997</v>
      </c>
      <c r="F12" s="376">
        <v>0</v>
      </c>
      <c r="G12" s="376">
        <v>0</v>
      </c>
      <c r="H12" s="376">
        <v>0</v>
      </c>
      <c r="I12" s="376">
        <v>0</v>
      </c>
      <c r="J12" s="376">
        <f t="shared" si="5"/>
        <v>0</v>
      </c>
      <c r="K12" s="376">
        <f t="shared" si="0"/>
        <v>0</v>
      </c>
      <c r="L12" s="376">
        <f t="shared" si="0"/>
        <v>0</v>
      </c>
      <c r="M12" s="376">
        <f t="shared" si="0"/>
        <v>0</v>
      </c>
      <c r="N12" s="376">
        <f t="shared" si="1"/>
        <v>0</v>
      </c>
      <c r="O12" s="376">
        <f t="shared" si="2"/>
        <v>0</v>
      </c>
      <c r="P12" s="376">
        <f t="shared" si="3"/>
        <v>0</v>
      </c>
      <c r="Q12" s="376">
        <f t="shared" si="6"/>
        <v>0</v>
      </c>
      <c r="R12" s="70" t="s">
        <v>390</v>
      </c>
    </row>
    <row r="13" spans="1:18">
      <c r="A13" s="70" t="str">
        <f>VLOOKUP($B13,CostByType_Details!$A$32:$AU$49,47, FALSE)</f>
        <v>Bin 3</v>
      </c>
      <c r="B13" s="303" t="s">
        <v>308</v>
      </c>
      <c r="C13" s="70" t="s">
        <v>393</v>
      </c>
      <c r="D13" s="376">
        <f>VLOOKUP($B13,CostByType_Summary!$C$4:$P$21,13,FALSE)</f>
        <v>43.865459342473116</v>
      </c>
      <c r="E13" s="376">
        <f>VLOOKUP($B13,CostByType_Summary!$C$4:$P$21,14, FALSE)</f>
        <v>219.32729671236555</v>
      </c>
      <c r="F13" s="376">
        <v>0</v>
      </c>
      <c r="G13" s="376">
        <v>0</v>
      </c>
      <c r="H13" s="376">
        <v>50</v>
      </c>
      <c r="I13" s="376">
        <v>0</v>
      </c>
      <c r="J13" s="376">
        <f t="shared" si="5"/>
        <v>0</v>
      </c>
      <c r="K13" s="376">
        <f t="shared" si="0"/>
        <v>0</v>
      </c>
      <c r="L13" s="376">
        <f t="shared" si="0"/>
        <v>2.2644927536231884E-2</v>
      </c>
      <c r="M13" s="376">
        <f t="shared" si="0"/>
        <v>0</v>
      </c>
      <c r="N13" s="376">
        <f t="shared" si="1"/>
        <v>0</v>
      </c>
      <c r="O13" s="376">
        <f t="shared" si="2"/>
        <v>0</v>
      </c>
      <c r="P13" s="376">
        <f t="shared" si="3"/>
        <v>4.9666507407691478</v>
      </c>
      <c r="Q13" s="376">
        <f t="shared" si="6"/>
        <v>0</v>
      </c>
    </row>
    <row r="14" spans="1:18">
      <c r="A14" s="70" t="str">
        <f>VLOOKUP($B14,CostByType_Details!$A$32:$AU$49,47, FALSE)</f>
        <v>Bin 2</v>
      </c>
      <c r="B14" s="303" t="s">
        <v>342</v>
      </c>
      <c r="C14" s="70" t="s">
        <v>385</v>
      </c>
      <c r="D14" s="376">
        <f>VLOOKUP($B14,CostByType_Summary!$C$4:$P$21,13,FALSE)</f>
        <v>171.06808856875804</v>
      </c>
      <c r="E14" s="376">
        <f>VLOOKUP($B14,CostByType_Summary!$C$4:$P$21,14, FALSE)</f>
        <v>171.06808856875804</v>
      </c>
      <c r="F14" s="376">
        <v>15</v>
      </c>
      <c r="G14" s="376">
        <v>0</v>
      </c>
      <c r="H14" s="376">
        <v>30</v>
      </c>
      <c r="I14" s="376">
        <v>15</v>
      </c>
      <c r="J14" s="376">
        <f t="shared" si="5"/>
        <v>6.9252077562326868E-3</v>
      </c>
      <c r="K14" s="376">
        <f t="shared" si="0"/>
        <v>0</v>
      </c>
      <c r="L14" s="376">
        <f t="shared" si="0"/>
        <v>1.358695652173913E-2</v>
      </c>
      <c r="M14" s="376">
        <f t="shared" si="0"/>
        <v>6.793478260869565E-3</v>
      </c>
      <c r="N14" s="376">
        <f t="shared" si="1"/>
        <v>1.1846820538002636</v>
      </c>
      <c r="O14" s="376">
        <f t="shared" si="2"/>
        <v>0</v>
      </c>
      <c r="P14" s="376">
        <f t="shared" si="3"/>
        <v>2.3242946816407342</v>
      </c>
      <c r="Q14" s="376">
        <f t="shared" si="6"/>
        <v>1.1621473408203671</v>
      </c>
    </row>
    <row r="15" spans="1:18">
      <c r="A15" s="70" t="str">
        <f>VLOOKUP($B15,CostByType_Details!$A$32:$AU$49,47, FALSE)</f>
        <v>Bin 3</v>
      </c>
      <c r="B15" s="303" t="s">
        <v>282</v>
      </c>
      <c r="C15" s="70" t="s">
        <v>393</v>
      </c>
      <c r="D15" s="376">
        <f>VLOOKUP($B15,CostByType_Summary!$C$4:$P$21,13,FALSE)</f>
        <v>0</v>
      </c>
      <c r="E15" s="376">
        <f>VLOOKUP($B15,CostByType_Summary!$C$4:$P$21,14, FALSE)</f>
        <v>4.6044050317649994</v>
      </c>
      <c r="F15" s="376">
        <v>0</v>
      </c>
      <c r="G15" s="376">
        <v>0</v>
      </c>
      <c r="H15" s="376">
        <v>50</v>
      </c>
      <c r="I15" s="376">
        <v>0</v>
      </c>
      <c r="J15" s="376">
        <f t="shared" si="5"/>
        <v>0</v>
      </c>
      <c r="K15" s="376">
        <f t="shared" si="0"/>
        <v>0</v>
      </c>
      <c r="L15" s="376">
        <f t="shared" si="0"/>
        <v>2.2644927536231884E-2</v>
      </c>
      <c r="M15" s="376">
        <f t="shared" si="0"/>
        <v>0</v>
      </c>
      <c r="N15" s="376">
        <f t="shared" si="1"/>
        <v>0</v>
      </c>
      <c r="O15" s="376">
        <f t="shared" si="2"/>
        <v>0</v>
      </c>
      <c r="P15" s="376">
        <f t="shared" si="3"/>
        <v>0.10426641829177988</v>
      </c>
      <c r="Q15" s="376">
        <f t="shared" si="6"/>
        <v>0</v>
      </c>
    </row>
    <row r="16" spans="1:18">
      <c r="A16" s="70" t="str">
        <f>VLOOKUP($B16,CostByType_Details!$A$32:$AU$49,47, FALSE)</f>
        <v>Bin 1</v>
      </c>
      <c r="B16" s="303" t="s">
        <v>321</v>
      </c>
      <c r="C16" s="70" t="s">
        <v>385</v>
      </c>
      <c r="D16" s="376">
        <f>VLOOKUP($B16,CostByType_Summary!$C$4:$P$21,13,FALSE)</f>
        <v>139.25189278627201</v>
      </c>
      <c r="E16" s="376">
        <f>VLOOKUP($B16,CostByType_Summary!$C$4:$P$21,14, FALSE)</f>
        <v>139.25189278627201</v>
      </c>
      <c r="F16" s="376">
        <v>15</v>
      </c>
      <c r="G16" s="376">
        <v>0</v>
      </c>
      <c r="H16" s="376">
        <v>30</v>
      </c>
      <c r="I16" s="376">
        <v>15</v>
      </c>
      <c r="J16" s="376">
        <f t="shared" si="5"/>
        <v>6.9252077562326868E-3</v>
      </c>
      <c r="K16" s="376">
        <f t="shared" si="0"/>
        <v>0</v>
      </c>
      <c r="L16" s="376">
        <f t="shared" si="0"/>
        <v>1.358695652173913E-2</v>
      </c>
      <c r="M16" s="376">
        <f t="shared" si="0"/>
        <v>6.793478260869565E-3</v>
      </c>
      <c r="N16" s="376">
        <f t="shared" si="1"/>
        <v>0.96434828799357342</v>
      </c>
      <c r="O16" s="376">
        <f t="shared" si="2"/>
        <v>0</v>
      </c>
      <c r="P16" s="376">
        <f t="shared" si="3"/>
        <v>1.8920094128569567</v>
      </c>
      <c r="Q16" s="376">
        <f t="shared" si="6"/>
        <v>0.94600470642847834</v>
      </c>
    </row>
    <row r="17" spans="1:18">
      <c r="A17" s="70" t="str">
        <f>VLOOKUP($B17,CostByType_Details!$A$32:$AU$49,47, FALSE)</f>
        <v>Bin 3</v>
      </c>
      <c r="B17" s="303" t="s">
        <v>307</v>
      </c>
      <c r="C17" s="70" t="s">
        <v>393</v>
      </c>
      <c r="D17" s="376">
        <f>VLOOKUP($B17,CostByType_Summary!$C$4:$P$21,13,FALSE)</f>
        <v>4.0941095386308239</v>
      </c>
      <c r="E17" s="376">
        <f>VLOOKUP($B17,CostByType_Summary!$C$4:$P$21,14, FALSE)</f>
        <v>20.470547693154121</v>
      </c>
      <c r="F17" s="376">
        <v>0</v>
      </c>
      <c r="G17" s="376">
        <v>0</v>
      </c>
      <c r="H17" s="376">
        <v>50</v>
      </c>
      <c r="I17" s="376">
        <v>0</v>
      </c>
      <c r="J17" s="376">
        <f t="shared" si="5"/>
        <v>0</v>
      </c>
      <c r="K17" s="376">
        <f t="shared" si="0"/>
        <v>0</v>
      </c>
      <c r="L17" s="376">
        <f t="shared" si="0"/>
        <v>2.2644927536231884E-2</v>
      </c>
      <c r="M17" s="376">
        <f t="shared" si="0"/>
        <v>0</v>
      </c>
      <c r="N17" s="376">
        <f t="shared" si="1"/>
        <v>0</v>
      </c>
      <c r="O17" s="376">
        <f t="shared" si="2"/>
        <v>0</v>
      </c>
      <c r="P17" s="376">
        <f t="shared" si="3"/>
        <v>0.46355406913845382</v>
      </c>
      <c r="Q17" s="376">
        <f t="shared" si="6"/>
        <v>0</v>
      </c>
      <c r="R17" s="70"/>
    </row>
    <row r="18" spans="1:18">
      <c r="A18" s="70" t="str">
        <f>VLOOKUP($B18,CostByType_Details!$A$32:$AU$49,47, FALSE)</f>
        <v>Bin 4</v>
      </c>
      <c r="B18" s="303" t="s">
        <v>280</v>
      </c>
      <c r="C18" s="70" t="s">
        <v>396</v>
      </c>
      <c r="D18" s="376">
        <f>VLOOKUP($B18,CostByType_Summary!$C$4:$P$21,13,FALSE)</f>
        <v>652.80231339245984</v>
      </c>
      <c r="E18" s="376">
        <f>VLOOKUP($B18,CostByType_Summary!$C$4:$P$21,14, FALSE)</f>
        <v>0</v>
      </c>
      <c r="F18" s="376">
        <v>25</v>
      </c>
      <c r="G18" s="376">
        <v>0</v>
      </c>
      <c r="H18" s="376">
        <v>0</v>
      </c>
      <c r="I18" s="376">
        <v>25</v>
      </c>
      <c r="J18" s="376">
        <f t="shared" si="5"/>
        <v>1.1542012927054479E-2</v>
      </c>
      <c r="K18" s="376">
        <f t="shared" si="0"/>
        <v>0</v>
      </c>
      <c r="L18" s="376">
        <f t="shared" si="0"/>
        <v>0</v>
      </c>
      <c r="M18" s="376">
        <f t="shared" si="0"/>
        <v>1.1322463768115942E-2</v>
      </c>
      <c r="N18" s="376">
        <f t="shared" si="1"/>
        <v>7.5346527399868402</v>
      </c>
      <c r="O18" s="376">
        <f t="shared" si="2"/>
        <v>0</v>
      </c>
      <c r="P18" s="376">
        <f t="shared" si="3"/>
        <v>0</v>
      </c>
      <c r="Q18" s="376">
        <f t="shared" si="6"/>
        <v>7.3913305411283945</v>
      </c>
    </row>
    <row r="19" spans="1:18">
      <c r="A19" s="70" t="str">
        <f>VLOOKUP($B19,CostByType_Details!$A$32:$AU$49,47, FALSE)</f>
        <v>Bin 4</v>
      </c>
      <c r="B19" s="303" t="s">
        <v>278</v>
      </c>
      <c r="C19" s="70" t="s">
        <v>393</v>
      </c>
      <c r="D19" s="376">
        <f>VLOOKUP($B19,CostByType_Summary!$C$4:$P$21,13,FALSE)</f>
        <v>0</v>
      </c>
      <c r="E19" s="376">
        <f>VLOOKUP($B19,CostByType_Summary!$C$4:$P$21,14, FALSE)</f>
        <v>238.74692757299991</v>
      </c>
      <c r="F19" s="376">
        <v>0</v>
      </c>
      <c r="G19" s="376">
        <v>0</v>
      </c>
      <c r="H19" s="376">
        <v>50</v>
      </c>
      <c r="I19" s="376">
        <v>0</v>
      </c>
      <c r="J19" s="376">
        <f t="shared" si="5"/>
        <v>0</v>
      </c>
      <c r="K19" s="376">
        <f t="shared" si="0"/>
        <v>0</v>
      </c>
      <c r="L19" s="376">
        <f t="shared" si="0"/>
        <v>2.2644927536231884E-2</v>
      </c>
      <c r="M19" s="376">
        <f t="shared" si="0"/>
        <v>0</v>
      </c>
      <c r="N19" s="376">
        <f t="shared" si="1"/>
        <v>0</v>
      </c>
      <c r="O19" s="376">
        <f t="shared" si="2"/>
        <v>0</v>
      </c>
      <c r="P19" s="376">
        <f t="shared" si="3"/>
        <v>5.4064068743885851</v>
      </c>
      <c r="Q19" s="376">
        <f t="shared" si="6"/>
        <v>0</v>
      </c>
    </row>
    <row r="20" spans="1:18">
      <c r="A20" s="70" t="str">
        <f>VLOOKUP($B20,CostByType_Details!$A$32:$AU$49,47, FALSE)</f>
        <v>Bin 4</v>
      </c>
      <c r="B20" s="303" t="s">
        <v>324</v>
      </c>
      <c r="C20" s="70" t="s">
        <v>394</v>
      </c>
      <c r="D20" s="376">
        <f>VLOOKUP($B20,CostByType_Summary!$C$4:$P$21,13,FALSE)</f>
        <v>53.69369677253998</v>
      </c>
      <c r="E20" s="376">
        <f>VLOOKUP($B20,CostByType_Summary!$C$4:$P$21,14, FALSE)</f>
        <v>53.69369677253998</v>
      </c>
      <c r="F20" s="376">
        <v>0</v>
      </c>
      <c r="G20" s="376">
        <v>0</v>
      </c>
      <c r="H20" s="376">
        <v>0</v>
      </c>
      <c r="I20" s="376">
        <v>0</v>
      </c>
      <c r="J20" s="376">
        <f t="shared" si="5"/>
        <v>0</v>
      </c>
      <c r="K20" s="376">
        <f t="shared" ref="K20:K22" si="7">G20/G$1</f>
        <v>0</v>
      </c>
      <c r="L20" s="376">
        <f t="shared" ref="L20:L22" si="8">H20/H$1</f>
        <v>0</v>
      </c>
      <c r="M20" s="376">
        <f t="shared" ref="M20:M22" si="9">I20/I$1</f>
        <v>0</v>
      </c>
      <c r="N20" s="376">
        <f t="shared" si="1"/>
        <v>0</v>
      </c>
      <c r="O20" s="376">
        <f t="shared" si="2"/>
        <v>0</v>
      </c>
      <c r="P20" s="376">
        <f t="shared" si="3"/>
        <v>0</v>
      </c>
      <c r="Q20" s="376">
        <f t="shared" si="6"/>
        <v>0</v>
      </c>
      <c r="R20" s="70" t="s">
        <v>390</v>
      </c>
    </row>
    <row r="21" spans="1:18">
      <c r="A21" s="70" t="str">
        <f>VLOOKUP($B21,CostByType_Details!$A$32:$AU$49,47, FALSE)</f>
        <v>Bin 4</v>
      </c>
      <c r="B21" s="303" t="s">
        <v>279</v>
      </c>
      <c r="C21" s="70" t="s">
        <v>393</v>
      </c>
      <c r="D21" s="376">
        <f>VLOOKUP($B21,CostByType_Summary!$C$4:$P$21,13,FALSE)</f>
        <v>0</v>
      </c>
      <c r="E21" s="376">
        <f>VLOOKUP($B21,CostByType_Summary!$C$4:$P$21,14, FALSE)</f>
        <v>107.43611740784996</v>
      </c>
      <c r="F21" s="376">
        <v>0</v>
      </c>
      <c r="G21" s="376">
        <v>0</v>
      </c>
      <c r="H21" s="376">
        <v>50</v>
      </c>
      <c r="I21" s="376">
        <v>0</v>
      </c>
      <c r="J21" s="376">
        <f t="shared" si="5"/>
        <v>0</v>
      </c>
      <c r="K21" s="376">
        <f t="shared" si="7"/>
        <v>0</v>
      </c>
      <c r="L21" s="376">
        <f t="shared" si="8"/>
        <v>2.2644927536231884E-2</v>
      </c>
      <c r="M21" s="376">
        <f t="shared" si="9"/>
        <v>0</v>
      </c>
      <c r="N21" s="376">
        <f t="shared" si="1"/>
        <v>0</v>
      </c>
      <c r="O21" s="376">
        <f t="shared" si="2"/>
        <v>0</v>
      </c>
      <c r="P21" s="376">
        <f t="shared" si="3"/>
        <v>2.4328830934748633</v>
      </c>
      <c r="Q21" s="376">
        <f t="shared" si="6"/>
        <v>0</v>
      </c>
    </row>
    <row r="22" spans="1:18">
      <c r="A22" s="70" t="str">
        <f>VLOOKUP($B22,CostByType_Details!$A$32:$AU$49,47, FALSE)</f>
        <v>Bin 2</v>
      </c>
      <c r="B22" s="303" t="s">
        <v>322</v>
      </c>
      <c r="C22" s="70" t="s">
        <v>394</v>
      </c>
      <c r="D22" s="376">
        <f>VLOOKUP($B22,CostByType_Summary!$C$4:$P$21,13,FALSE)</f>
        <v>0</v>
      </c>
      <c r="E22" s="376">
        <f>VLOOKUP($B22,CostByType_Summary!$C$4:$P$21,14, FALSE)</f>
        <v>4.9147726865743069</v>
      </c>
      <c r="F22" s="376">
        <v>0</v>
      </c>
      <c r="G22" s="376">
        <v>0</v>
      </c>
      <c r="H22" s="376">
        <v>0</v>
      </c>
      <c r="I22" s="376">
        <v>0</v>
      </c>
      <c r="J22" s="376">
        <f t="shared" si="5"/>
        <v>0</v>
      </c>
      <c r="K22" s="376">
        <f t="shared" si="7"/>
        <v>0</v>
      </c>
      <c r="L22" s="376">
        <f t="shared" si="8"/>
        <v>0</v>
      </c>
      <c r="M22" s="376">
        <f t="shared" si="9"/>
        <v>0</v>
      </c>
      <c r="N22" s="376">
        <f t="shared" si="1"/>
        <v>0</v>
      </c>
      <c r="O22" s="376">
        <f t="shared" si="2"/>
        <v>0</v>
      </c>
      <c r="P22" s="376">
        <f t="shared" si="3"/>
        <v>0</v>
      </c>
      <c r="Q22" s="376">
        <f t="shared" si="6"/>
        <v>0</v>
      </c>
      <c r="R22" s="70" t="s">
        <v>390</v>
      </c>
    </row>
    <row r="24" spans="1:18">
      <c r="F24" s="376"/>
    </row>
  </sheetData>
  <mergeCells count="3">
    <mergeCell ref="F2:I2"/>
    <mergeCell ref="N1:Q2"/>
    <mergeCell ref="J1:M2"/>
  </mergeCells>
  <pageMargins left="0.7" right="0.7" top="0.75" bottom="0.75" header="0.3" footer="0.3"/>
</worksheet>
</file>

<file path=xl/worksheets/sheet5.xml><?xml version="1.0" encoding="utf-8"?>
<worksheet xmlns="http://schemas.openxmlformats.org/spreadsheetml/2006/main" xmlns:r="http://schemas.openxmlformats.org/officeDocument/2006/relationships">
  <sheetPr>
    <tabColor theme="9" tint="-0.249977111117893"/>
  </sheetPr>
  <dimension ref="A1:BF162"/>
  <sheetViews>
    <sheetView topLeftCell="A23" workbookViewId="0">
      <pane xSplit="1" ySplit="2" topLeftCell="Y25" activePane="bottomRight" state="frozen"/>
      <selection activeCell="G74" sqref="G74"/>
      <selection pane="topRight" activeCell="G74" sqref="G74"/>
      <selection pane="bottomLeft" activeCell="G74" sqref="G74"/>
      <selection pane="bottomRight" activeCell="AT26" sqref="AT26"/>
    </sheetView>
  </sheetViews>
  <sheetFormatPr defaultRowHeight="15"/>
  <cols>
    <col min="1" max="1" width="46.42578125" bestFit="1" customWidth="1"/>
    <col min="2" max="2" width="42.42578125" bestFit="1" customWidth="1"/>
    <col min="3" max="3" width="35.5703125" bestFit="1" customWidth="1"/>
    <col min="4" max="4" width="33.42578125" customWidth="1"/>
    <col min="5" max="5" width="22.5703125" customWidth="1"/>
    <col min="6" max="6" width="17" bestFit="1" customWidth="1"/>
    <col min="7" max="7" width="14.140625" bestFit="1" customWidth="1"/>
    <col min="8" max="8" width="12.7109375" bestFit="1" customWidth="1"/>
    <col min="9" max="9" width="16.140625" bestFit="1" customWidth="1"/>
    <col min="10" max="12" width="16.28515625" bestFit="1" customWidth="1"/>
    <col min="13" max="13" width="15.7109375" bestFit="1" customWidth="1"/>
    <col min="14" max="15" width="13.85546875" bestFit="1" customWidth="1"/>
    <col min="16" max="22" width="11.85546875" bestFit="1" customWidth="1"/>
    <col min="23" max="24" width="11.5703125" bestFit="1" customWidth="1"/>
    <col min="31" max="31" width="9.140625" style="70"/>
    <col min="33" max="33" width="9.140625" style="70"/>
    <col min="35" max="35" width="9.140625" style="70"/>
    <col min="50" max="50" width="31.28515625" bestFit="1" customWidth="1"/>
  </cols>
  <sheetData>
    <row r="1" spans="1:15">
      <c r="A1" s="70"/>
      <c r="B1" s="70"/>
      <c r="C1" s="320"/>
      <c r="D1" s="320"/>
      <c r="E1" s="70"/>
      <c r="F1" s="70"/>
      <c r="G1" s="70"/>
      <c r="H1" s="70"/>
      <c r="I1" s="70"/>
      <c r="J1" s="287" t="s">
        <v>173</v>
      </c>
      <c r="K1" s="287" t="s">
        <v>173</v>
      </c>
      <c r="L1" s="70"/>
      <c r="M1" s="70"/>
      <c r="N1" s="295" t="s">
        <v>406</v>
      </c>
      <c r="O1" s="295" t="s">
        <v>407</v>
      </c>
    </row>
    <row r="2" spans="1:15">
      <c r="A2" s="302" t="s">
        <v>6</v>
      </c>
      <c r="B2" s="302" t="s">
        <v>404</v>
      </c>
      <c r="C2" s="320" t="s">
        <v>210</v>
      </c>
      <c r="D2" s="320" t="s">
        <v>348</v>
      </c>
      <c r="E2" s="320" t="s">
        <v>366</v>
      </c>
      <c r="F2" s="320" t="s">
        <v>367</v>
      </c>
      <c r="G2" s="320" t="s">
        <v>370</v>
      </c>
      <c r="H2" s="320" t="s">
        <v>371</v>
      </c>
      <c r="I2" s="320" t="s">
        <v>374</v>
      </c>
      <c r="J2" s="320" t="s">
        <v>400</v>
      </c>
      <c r="K2" s="320" t="s">
        <v>399</v>
      </c>
      <c r="L2" s="295" t="s">
        <v>382</v>
      </c>
      <c r="M2" s="295" t="s">
        <v>383</v>
      </c>
      <c r="N2" s="295" t="s">
        <v>405</v>
      </c>
      <c r="O2" s="295" t="s">
        <v>405</v>
      </c>
    </row>
    <row r="3" spans="1:15">
      <c r="A3" s="302">
        <v>3</v>
      </c>
      <c r="B3" s="302" t="s">
        <v>377</v>
      </c>
      <c r="C3" s="2" t="s">
        <v>312</v>
      </c>
      <c r="D3" s="301">
        <f>CostByType_Details!B92</f>
        <v>19.202243154525927</v>
      </c>
      <c r="E3" s="292">
        <v>1</v>
      </c>
      <c r="F3" s="292">
        <v>1</v>
      </c>
      <c r="G3" s="2" t="s">
        <v>368</v>
      </c>
      <c r="H3" s="2" t="s">
        <v>372</v>
      </c>
      <c r="I3" s="2" t="s">
        <v>373</v>
      </c>
      <c r="J3" s="293">
        <f>'Ag-Ind-Capacity-Base'!I59</f>
        <v>557.00757114508804</v>
      </c>
      <c r="K3" s="294">
        <f>'Ag-Ind-Capacity-Base'!V59</f>
        <v>645.52420134275189</v>
      </c>
      <c r="L3" s="290">
        <f t="shared" ref="L3:L21" si="0">$J3*E3</f>
        <v>557.00757114508804</v>
      </c>
      <c r="M3" s="290">
        <f t="shared" ref="M3:M21" si="1">$J3*F3</f>
        <v>557.00757114508804</v>
      </c>
      <c r="N3" s="313">
        <f>$D3*J3*1000</f>
        <v>10695794.820039881</v>
      </c>
      <c r="O3" s="313">
        <f>$D3*K3*1000</f>
        <v>12395512.676314674</v>
      </c>
    </row>
    <row r="4" spans="1:15">
      <c r="A4" s="302">
        <v>6</v>
      </c>
      <c r="B4" s="302" t="s">
        <v>377</v>
      </c>
      <c r="C4" s="2" t="s">
        <v>320</v>
      </c>
      <c r="D4" s="301">
        <f>CostByType_Details!B141</f>
        <v>29.107389068166832</v>
      </c>
      <c r="E4" s="292">
        <v>1</v>
      </c>
      <c r="F4" s="292">
        <v>1</v>
      </c>
      <c r="G4" s="2" t="s">
        <v>369</v>
      </c>
      <c r="H4" s="2" t="s">
        <v>372</v>
      </c>
      <c r="I4" s="2" t="s">
        <v>373</v>
      </c>
      <c r="J4" s="293">
        <f>'Ag-Ind-Capacity-Smart'!I85</f>
        <v>557.00757114508804</v>
      </c>
      <c r="K4" s="294">
        <f>'Ag-Ind-Capacity-Smart'!V85</f>
        <v>645.52420134275189</v>
      </c>
      <c r="L4" s="290">
        <f t="shared" si="0"/>
        <v>557.00757114508804</v>
      </c>
      <c r="M4" s="290">
        <f t="shared" si="1"/>
        <v>557.00757114508804</v>
      </c>
      <c r="N4" s="313">
        <f t="shared" ref="N4:N21" si="2">$D4*J4*1000</f>
        <v>16213036.087234695</v>
      </c>
      <c r="O4" s="313">
        <f t="shared" ref="O4:O21" si="3">$D4*K4*1000</f>
        <v>18789524.081401139</v>
      </c>
    </row>
    <row r="5" spans="1:15">
      <c r="A5" s="302">
        <v>6</v>
      </c>
      <c r="B5" s="302" t="s">
        <v>377</v>
      </c>
      <c r="C5" s="2" t="s">
        <v>323</v>
      </c>
      <c r="D5" s="301">
        <f>CostByType_Details!B143</f>
        <v>42.820957513651287</v>
      </c>
      <c r="E5" s="292">
        <v>0.9</v>
      </c>
      <c r="F5" s="292">
        <v>1</v>
      </c>
      <c r="G5" s="2" t="s">
        <v>369</v>
      </c>
      <c r="H5" s="2" t="s">
        <v>372</v>
      </c>
      <c r="I5" s="2" t="s">
        <v>373</v>
      </c>
      <c r="J5" s="293">
        <f>'Ag-Ind-Capacity-Smart'!I87</f>
        <v>101.85281300938755</v>
      </c>
      <c r="K5" s="294">
        <f>'Ag-Ind-Capacity-Smart'!V87</f>
        <v>118.03871110267465</v>
      </c>
      <c r="L5" s="290">
        <f t="shared" si="0"/>
        <v>91.667531708448792</v>
      </c>
      <c r="M5" s="290">
        <f t="shared" si="1"/>
        <v>101.85281300938755</v>
      </c>
      <c r="N5" s="313">
        <f t="shared" si="2"/>
        <v>4361434.9785208534</v>
      </c>
      <c r="O5" s="313">
        <f t="shared" si="3"/>
        <v>5054530.6330937902</v>
      </c>
    </row>
    <row r="6" spans="1:15">
      <c r="A6" s="302">
        <v>2</v>
      </c>
      <c r="B6" s="302" t="s">
        <v>377</v>
      </c>
      <c r="C6" s="291" t="s">
        <v>302</v>
      </c>
      <c r="D6" s="301">
        <f>CostByType_Details!B80</f>
        <v>27.881812059919849</v>
      </c>
      <c r="E6" s="18">
        <v>0.2</v>
      </c>
      <c r="F6" s="292">
        <v>1</v>
      </c>
      <c r="G6" s="2" t="s">
        <v>368</v>
      </c>
      <c r="H6" s="2" t="s">
        <v>4</v>
      </c>
      <c r="I6" s="2" t="s">
        <v>367</v>
      </c>
      <c r="J6" s="293">
        <f>'Com-Capacity-Base'!I57</f>
        <v>46.998706438364039</v>
      </c>
      <c r="K6" s="294">
        <f>'Com-Capacity-Base'!V57</f>
        <v>54.467486636487443</v>
      </c>
      <c r="L6" s="290">
        <f t="shared" si="0"/>
        <v>9.3997412876728088</v>
      </c>
      <c r="M6" s="290">
        <f t="shared" si="1"/>
        <v>46.998706438364039</v>
      </c>
      <c r="N6" s="313">
        <f t="shared" si="2"/>
        <v>1310409.0999738111</v>
      </c>
      <c r="O6" s="313">
        <f t="shared" si="3"/>
        <v>1518652.2257747387</v>
      </c>
    </row>
    <row r="7" spans="1:15">
      <c r="A7" s="302">
        <v>2</v>
      </c>
      <c r="B7" s="302" t="s">
        <v>377</v>
      </c>
      <c r="C7" s="291" t="s">
        <v>301</v>
      </c>
      <c r="D7" s="301">
        <f>CostByType_Details!B79</f>
        <v>35.149745750919109</v>
      </c>
      <c r="E7" s="18">
        <v>0.2</v>
      </c>
      <c r="F7" s="292">
        <v>1</v>
      </c>
      <c r="G7" s="2" t="s">
        <v>368</v>
      </c>
      <c r="H7" s="2" t="s">
        <v>4</v>
      </c>
      <c r="I7" s="2" t="s">
        <v>367</v>
      </c>
      <c r="J7" s="293">
        <f>'Com-Capacity-Base'!I56</f>
        <v>17.546183736989242</v>
      </c>
      <c r="K7" s="294">
        <f>'Com-Capacity-Base'!V56</f>
        <v>20.334528344288646</v>
      </c>
      <c r="L7" s="290">
        <f t="shared" si="0"/>
        <v>3.5092367473978485</v>
      </c>
      <c r="M7" s="290">
        <f t="shared" si="1"/>
        <v>17.546183736989242</v>
      </c>
      <c r="N7" s="313">
        <f t="shared" si="2"/>
        <v>616743.89725408354</v>
      </c>
      <c r="O7" s="313">
        <f t="shared" si="3"/>
        <v>714753.50126660406</v>
      </c>
    </row>
    <row r="8" spans="1:15">
      <c r="A8" s="302">
        <v>6</v>
      </c>
      <c r="B8" s="302" t="s">
        <v>378</v>
      </c>
      <c r="C8" s="2" t="s">
        <v>321</v>
      </c>
      <c r="D8" s="301">
        <f>CostByType_Details!B142</f>
        <v>28.723299484134781</v>
      </c>
      <c r="E8" s="18">
        <v>1</v>
      </c>
      <c r="F8" s="18">
        <v>1</v>
      </c>
      <c r="G8" s="2" t="s">
        <v>369</v>
      </c>
      <c r="H8" s="2" t="s">
        <v>372</v>
      </c>
      <c r="I8" s="2" t="s">
        <v>373</v>
      </c>
      <c r="J8" s="293">
        <f>'Ag-Ind-Capacity-Smart'!I86</f>
        <v>139.25189278627201</v>
      </c>
      <c r="K8" s="294">
        <f>'Ag-Ind-Capacity-Smart'!V86</f>
        <v>161.38105033568797</v>
      </c>
      <c r="L8" s="290">
        <f t="shared" si="0"/>
        <v>139.25189278627201</v>
      </c>
      <c r="M8" s="290">
        <f t="shared" si="1"/>
        <v>139.25189278627201</v>
      </c>
      <c r="N8" s="313">
        <f t="shared" si="2"/>
        <v>3999773.8202327187</v>
      </c>
      <c r="O8" s="313">
        <f t="shared" si="3"/>
        <v>4635396.2398561956</v>
      </c>
    </row>
    <row r="9" spans="1:15">
      <c r="A9" s="302">
        <v>1</v>
      </c>
      <c r="B9" s="302" t="s">
        <v>378</v>
      </c>
      <c r="C9" s="91" t="s">
        <v>235</v>
      </c>
      <c r="D9" s="301">
        <f>CostByType_Details!B67</f>
        <v>54.963175662776727</v>
      </c>
      <c r="E9" s="292">
        <v>1</v>
      </c>
      <c r="F9" s="18">
        <v>0</v>
      </c>
      <c r="G9" s="2" t="s">
        <v>368</v>
      </c>
      <c r="H9" s="2" t="s">
        <v>3</v>
      </c>
      <c r="I9" s="2" t="s">
        <v>366</v>
      </c>
      <c r="J9" s="293">
        <f>'Res-Capacity-Base'!I84</f>
        <v>279.77242002533995</v>
      </c>
      <c r="K9" s="294">
        <f>'Res-Capacity-Base'!V84</f>
        <v>325.3987690913562</v>
      </c>
      <c r="L9" s="290">
        <f t="shared" si="0"/>
        <v>279.77242002533995</v>
      </c>
      <c r="M9" s="290">
        <f t="shared" si="1"/>
        <v>0</v>
      </c>
      <c r="N9" s="313">
        <f t="shared" si="2"/>
        <v>15377180.667452913</v>
      </c>
      <c r="O9" s="313">
        <f t="shared" si="3"/>
        <v>17884949.706019532</v>
      </c>
    </row>
    <row r="10" spans="1:15">
      <c r="A10" s="302">
        <v>1</v>
      </c>
      <c r="B10" s="302" t="s">
        <v>378</v>
      </c>
      <c r="C10" s="107" t="s">
        <v>281</v>
      </c>
      <c r="D10" s="301">
        <f>CostByType_Details!B65</f>
        <v>65.783248726368299</v>
      </c>
      <c r="E10" s="18">
        <v>0</v>
      </c>
      <c r="F10" s="292">
        <v>1</v>
      </c>
      <c r="G10" s="2" t="s">
        <v>368</v>
      </c>
      <c r="H10" s="2" t="s">
        <v>3</v>
      </c>
      <c r="I10" s="2" t="s">
        <v>367</v>
      </c>
      <c r="J10" s="293">
        <f>'Res-Capacity-Base'!I82</f>
        <v>102.32011181699997</v>
      </c>
      <c r="K10" s="294">
        <f>'Res-Capacity-Base'!V82</f>
        <v>119.00686434898083</v>
      </c>
      <c r="L10" s="290">
        <f t="shared" si="0"/>
        <v>0</v>
      </c>
      <c r="M10" s="290">
        <f t="shared" si="1"/>
        <v>102.32011181699997</v>
      </c>
      <c r="N10" s="313">
        <f t="shared" si="2"/>
        <v>6730949.3653675253</v>
      </c>
      <c r="O10" s="313">
        <f t="shared" si="3"/>
        <v>7828658.157614178</v>
      </c>
    </row>
    <row r="11" spans="1:15">
      <c r="A11" s="302">
        <v>1</v>
      </c>
      <c r="B11" s="302" t="s">
        <v>378</v>
      </c>
      <c r="C11" s="107" t="s">
        <v>211</v>
      </c>
      <c r="D11" s="301">
        <f>CostByType_Details!B68</f>
        <v>61.76877629299883</v>
      </c>
      <c r="E11" s="292">
        <v>1</v>
      </c>
      <c r="F11" s="292">
        <v>1</v>
      </c>
      <c r="G11" s="2" t="s">
        <v>368</v>
      </c>
      <c r="H11" s="2" t="s">
        <v>3</v>
      </c>
      <c r="I11" s="2" t="s">
        <v>373</v>
      </c>
      <c r="J11" s="293">
        <f>'Res-Capacity-Base'!I85</f>
        <v>483.24327095285997</v>
      </c>
      <c r="K11" s="294">
        <f>'Res-Capacity-Base'!V85</f>
        <v>562.05241933961531</v>
      </c>
      <c r="L11" s="290">
        <f t="shared" si="0"/>
        <v>483.24327095285997</v>
      </c>
      <c r="M11" s="290">
        <f t="shared" si="1"/>
        <v>483.24327095285997</v>
      </c>
      <c r="N11" s="313">
        <f t="shared" si="2"/>
        <v>29849345.498584226</v>
      </c>
      <c r="O11" s="313">
        <f t="shared" si="3"/>
        <v>34717290.155127473</v>
      </c>
    </row>
    <row r="12" spans="1:15">
      <c r="A12" s="302">
        <v>6</v>
      </c>
      <c r="B12" s="302" t="s">
        <v>378</v>
      </c>
      <c r="C12" s="2" t="s">
        <v>322</v>
      </c>
      <c r="D12" s="301">
        <f>CostByType_Details!B140</f>
        <v>58.738245449715478</v>
      </c>
      <c r="E12" s="292">
        <v>0</v>
      </c>
      <c r="F12" s="18">
        <v>1</v>
      </c>
      <c r="G12" s="2" t="s">
        <v>369</v>
      </c>
      <c r="H12" s="2" t="s">
        <v>372</v>
      </c>
      <c r="I12" s="2" t="s">
        <v>367</v>
      </c>
      <c r="J12" s="293">
        <f>'Ag-Ind-Capacity-Smart'!I84</f>
        <v>4.9147726865743069</v>
      </c>
      <c r="K12" s="294">
        <f>'Ag-Ind-Capacity-Smart'!V84</f>
        <v>5.6958017765536937</v>
      </c>
      <c r="L12" s="290">
        <f t="shared" si="0"/>
        <v>0</v>
      </c>
      <c r="M12" s="290">
        <f t="shared" si="1"/>
        <v>4.9147726865743069</v>
      </c>
      <c r="N12" s="313">
        <f t="shared" si="2"/>
        <v>288685.12439355918</v>
      </c>
      <c r="O12" s="313">
        <f t="shared" si="3"/>
        <v>334561.40278413636</v>
      </c>
    </row>
    <row r="13" spans="1:15">
      <c r="A13" s="302">
        <v>5</v>
      </c>
      <c r="B13" s="302" t="s">
        <v>378</v>
      </c>
      <c r="C13" s="2" t="s">
        <v>342</v>
      </c>
      <c r="D13" s="301">
        <f>CostByType_Details!B125</f>
        <v>54.737778125855897</v>
      </c>
      <c r="E13" s="18">
        <v>1</v>
      </c>
      <c r="F13" s="18">
        <v>1</v>
      </c>
      <c r="G13" s="2" t="s">
        <v>369</v>
      </c>
      <c r="H13" s="2" t="s">
        <v>4</v>
      </c>
      <c r="I13" s="2" t="s">
        <v>373</v>
      </c>
      <c r="J13" s="293">
        <f>'Com-Capacity-Smart'!I71</f>
        <v>171.06808856875804</v>
      </c>
      <c r="K13" s="293">
        <f>'Com-Capacity-Smart'!V71</f>
        <v>198.25330384928387</v>
      </c>
      <c r="L13" s="290">
        <f t="shared" si="0"/>
        <v>171.06808856875804</v>
      </c>
      <c r="M13" s="290">
        <f t="shared" si="1"/>
        <v>171.06808856875804</v>
      </c>
      <c r="N13" s="313">
        <f t="shared" si="2"/>
        <v>9363887.0764909424</v>
      </c>
      <c r="O13" s="313">
        <f t="shared" si="3"/>
        <v>10851945.358819993</v>
      </c>
    </row>
    <row r="14" spans="1:15">
      <c r="A14" s="302">
        <v>5</v>
      </c>
      <c r="B14" s="302" t="s">
        <v>378</v>
      </c>
      <c r="C14" s="2" t="s">
        <v>308</v>
      </c>
      <c r="D14" s="301">
        <f>CostByType_Details!B124</f>
        <v>79.127549401513804</v>
      </c>
      <c r="E14" s="18">
        <v>0.2</v>
      </c>
      <c r="F14" s="292">
        <v>1</v>
      </c>
      <c r="G14" s="2" t="s">
        <v>369</v>
      </c>
      <c r="H14" s="2" t="s">
        <v>4</v>
      </c>
      <c r="I14" s="2" t="s">
        <v>367</v>
      </c>
      <c r="J14" s="293">
        <f>'Com-Capacity-Smart'!I70</f>
        <v>219.32729671236555</v>
      </c>
      <c r="K14" s="293">
        <f>'Com-Capacity-Smart'!V70</f>
        <v>254.18160430360808</v>
      </c>
      <c r="L14" s="290">
        <f t="shared" si="0"/>
        <v>43.865459342473116</v>
      </c>
      <c r="M14" s="290">
        <f t="shared" si="1"/>
        <v>219.32729671236555</v>
      </c>
      <c r="N14" s="313">
        <f t="shared" si="2"/>
        <v>17354831.50570818</v>
      </c>
      <c r="O14" s="313">
        <f t="shared" si="3"/>
        <v>20112767.45148978</v>
      </c>
    </row>
    <row r="15" spans="1:15">
      <c r="A15" s="302">
        <v>1</v>
      </c>
      <c r="B15" s="302" t="s">
        <v>378</v>
      </c>
      <c r="C15" s="91" t="s">
        <v>282</v>
      </c>
      <c r="D15" s="301">
        <f>CostByType_Details!B66</f>
        <v>79.874420066373105</v>
      </c>
      <c r="E15" s="18">
        <v>0</v>
      </c>
      <c r="F15" s="292">
        <v>1</v>
      </c>
      <c r="G15" s="2" t="s">
        <v>368</v>
      </c>
      <c r="H15" s="2" t="s">
        <v>3</v>
      </c>
      <c r="I15" s="2" t="s">
        <v>367</v>
      </c>
      <c r="J15" s="293">
        <f>'Res-Capacity-Base'!I83</f>
        <v>4.6044050317649994</v>
      </c>
      <c r="K15" s="294">
        <f>'Res-Capacity-Base'!V83</f>
        <v>5.3553088957041384</v>
      </c>
      <c r="L15" s="290">
        <f t="shared" si="0"/>
        <v>0</v>
      </c>
      <c r="M15" s="290">
        <f t="shared" si="1"/>
        <v>4.6044050317649994</v>
      </c>
      <c r="N15" s="313">
        <f t="shared" si="2"/>
        <v>367774.18166291952</v>
      </c>
      <c r="O15" s="313">
        <f t="shared" si="3"/>
        <v>427752.19232065702</v>
      </c>
    </row>
    <row r="16" spans="1:15">
      <c r="A16" s="302">
        <v>3</v>
      </c>
      <c r="B16" s="302" t="s">
        <v>378</v>
      </c>
      <c r="C16" s="2" t="s">
        <v>319</v>
      </c>
      <c r="D16" s="301">
        <f>CostByType_Details!B91</f>
        <v>1.9426369375723915</v>
      </c>
      <c r="E16" s="292">
        <v>0</v>
      </c>
      <c r="F16" s="18">
        <v>1</v>
      </c>
      <c r="G16" s="2" t="s">
        <v>368</v>
      </c>
      <c r="H16" s="2" t="s">
        <v>372</v>
      </c>
      <c r="I16" s="2" t="s">
        <v>367</v>
      </c>
      <c r="J16" s="293">
        <f>'Ag-Ind-Capacity-Base'!I58</f>
        <v>9.8295453731486138</v>
      </c>
      <c r="K16" s="294">
        <f>'Ag-Ind-Capacity-Base'!V58</f>
        <v>11.391603553107387</v>
      </c>
      <c r="L16" s="290">
        <f t="shared" si="0"/>
        <v>0</v>
      </c>
      <c r="M16" s="290">
        <f t="shared" si="1"/>
        <v>9.8295453731486138</v>
      </c>
      <c r="N16" s="313">
        <f t="shared" si="2"/>
        <v>19095.237921422293</v>
      </c>
      <c r="O16" s="313">
        <f t="shared" si="3"/>
        <v>22129.749840447312</v>
      </c>
    </row>
    <row r="17" spans="1:55">
      <c r="A17" s="302">
        <v>5</v>
      </c>
      <c r="B17" s="302" t="s">
        <v>380</v>
      </c>
      <c r="C17" s="2" t="s">
        <v>307</v>
      </c>
      <c r="D17" s="301">
        <f>CostByType_Details!B123</f>
        <v>113.04859482251661</v>
      </c>
      <c r="E17" s="18">
        <v>0.2</v>
      </c>
      <c r="F17" s="292">
        <v>1</v>
      </c>
      <c r="G17" s="2" t="s">
        <v>369</v>
      </c>
      <c r="H17" s="2" t="s">
        <v>4</v>
      </c>
      <c r="I17" s="2" t="s">
        <v>367</v>
      </c>
      <c r="J17" s="293">
        <f>'Com-Capacity-Smart'!I69</f>
        <v>20.470547693154121</v>
      </c>
      <c r="K17" s="293">
        <f>'Com-Capacity-Smart'!V69</f>
        <v>23.723616401670085</v>
      </c>
      <c r="L17" s="290">
        <f t="shared" si="0"/>
        <v>4.0941095386308239</v>
      </c>
      <c r="M17" s="290">
        <f t="shared" si="1"/>
        <v>20.470547693154121</v>
      </c>
      <c r="N17" s="313">
        <f t="shared" si="2"/>
        <v>2314166.6519583822</v>
      </c>
      <c r="O17" s="313">
        <f t="shared" si="3"/>
        <v>2681921.4983172109</v>
      </c>
    </row>
    <row r="18" spans="1:55">
      <c r="A18" s="302">
        <v>4</v>
      </c>
      <c r="B18" s="302" t="s">
        <v>380</v>
      </c>
      <c r="C18" s="2" t="s">
        <v>324</v>
      </c>
      <c r="D18" s="301">
        <f>CostByType_Details!B110</f>
        <v>143.56016424120534</v>
      </c>
      <c r="E18" s="292">
        <v>1</v>
      </c>
      <c r="F18" s="292">
        <v>1</v>
      </c>
      <c r="G18" s="2" t="s">
        <v>369</v>
      </c>
      <c r="H18" s="2" t="s">
        <v>3</v>
      </c>
      <c r="I18" s="2" t="s">
        <v>373</v>
      </c>
      <c r="J18" s="293">
        <f>'Res-Capacity-Smart'!I85</f>
        <v>53.69369677253998</v>
      </c>
      <c r="K18" s="294">
        <f>'Res-Capacity-Smart'!V85</f>
        <v>62.450268815512793</v>
      </c>
      <c r="L18" s="290">
        <f t="shared" si="0"/>
        <v>53.69369677253998</v>
      </c>
      <c r="M18" s="290">
        <f t="shared" si="1"/>
        <v>53.69369677253998</v>
      </c>
      <c r="N18" s="313">
        <f t="shared" si="2"/>
        <v>7708275.9273833167</v>
      </c>
      <c r="O18" s="313">
        <f t="shared" si="3"/>
        <v>8965370.8480624408</v>
      </c>
    </row>
    <row r="19" spans="1:55">
      <c r="A19" s="302">
        <v>4</v>
      </c>
      <c r="B19" s="302" t="s">
        <v>380</v>
      </c>
      <c r="C19" s="2" t="s">
        <v>278</v>
      </c>
      <c r="D19" s="301">
        <f>CostByType_Details!B107</f>
        <v>144.25964390471441</v>
      </c>
      <c r="E19" s="18">
        <v>0</v>
      </c>
      <c r="F19" s="292">
        <v>1</v>
      </c>
      <c r="G19" s="2" t="s">
        <v>369</v>
      </c>
      <c r="H19" s="2" t="s">
        <v>3</v>
      </c>
      <c r="I19" s="2" t="s">
        <v>367</v>
      </c>
      <c r="J19" s="293">
        <f>'Res-Capacity-Smart'!I82</f>
        <v>238.74692757299991</v>
      </c>
      <c r="K19" s="294">
        <f>'Res-Capacity-Smart'!V82</f>
        <v>277.68268348095523</v>
      </c>
      <c r="L19" s="290">
        <f t="shared" si="0"/>
        <v>0</v>
      </c>
      <c r="M19" s="290">
        <f t="shared" si="1"/>
        <v>238.74692757299991</v>
      </c>
      <c r="N19" s="313">
        <f t="shared" si="2"/>
        <v>34441546.75502561</v>
      </c>
      <c r="O19" s="313">
        <f t="shared" si="3"/>
        <v>40058405.037468128</v>
      </c>
    </row>
    <row r="20" spans="1:55">
      <c r="A20" s="302">
        <v>4</v>
      </c>
      <c r="B20" s="302" t="s">
        <v>380</v>
      </c>
      <c r="C20" s="2" t="s">
        <v>279</v>
      </c>
      <c r="D20" s="301">
        <f>CostByType_Details!B108</f>
        <v>144.25964390471441</v>
      </c>
      <c r="E20" s="18">
        <v>0</v>
      </c>
      <c r="F20" s="292">
        <v>1</v>
      </c>
      <c r="G20" s="2" t="s">
        <v>369</v>
      </c>
      <c r="H20" s="2" t="s">
        <v>3</v>
      </c>
      <c r="I20" s="2" t="s">
        <v>367</v>
      </c>
      <c r="J20" s="293">
        <f>'Res-Capacity-Smart'!I83</f>
        <v>107.43611740784996</v>
      </c>
      <c r="K20" s="294">
        <f>'Res-Capacity-Smart'!V83</f>
        <v>124.95720756642989</v>
      </c>
      <c r="L20" s="290">
        <f t="shared" si="0"/>
        <v>0</v>
      </c>
      <c r="M20" s="290">
        <f t="shared" si="1"/>
        <v>107.43611740784996</v>
      </c>
      <c r="N20" s="313">
        <f t="shared" si="2"/>
        <v>15498696.039761525</v>
      </c>
      <c r="O20" s="313">
        <f t="shared" si="3"/>
        <v>18026282.26686066</v>
      </c>
    </row>
    <row r="21" spans="1:55">
      <c r="A21" s="302">
        <v>4</v>
      </c>
      <c r="B21" s="302" t="s">
        <v>380</v>
      </c>
      <c r="C21" s="2" t="s">
        <v>280</v>
      </c>
      <c r="D21" s="301">
        <f>CostByType_Details!B109</f>
        <v>144.25964390471449</v>
      </c>
      <c r="E21" s="292">
        <v>1</v>
      </c>
      <c r="F21" s="18">
        <v>0</v>
      </c>
      <c r="G21" s="2" t="s">
        <v>369</v>
      </c>
      <c r="H21" s="2" t="s">
        <v>3</v>
      </c>
      <c r="I21" s="2" t="s">
        <v>366</v>
      </c>
      <c r="J21" s="293">
        <f>'Res-Capacity-Smart'!I84</f>
        <v>652.80231339245984</v>
      </c>
      <c r="K21" s="294">
        <f>'Res-Capacity-Smart'!V84</f>
        <v>759.26379454649782</v>
      </c>
      <c r="L21" s="290">
        <f t="shared" si="0"/>
        <v>652.80231339245984</v>
      </c>
      <c r="M21" s="290">
        <f t="shared" si="1"/>
        <v>0</v>
      </c>
      <c r="N21" s="313">
        <f t="shared" si="2"/>
        <v>94173029.270170093</v>
      </c>
      <c r="O21" s="313">
        <f t="shared" si="3"/>
        <v>109531124.63102008</v>
      </c>
    </row>
    <row r="22" spans="1:55">
      <c r="Z22" s="343">
        <v>5</v>
      </c>
      <c r="AA22" s="343">
        <v>6</v>
      </c>
      <c r="AB22" s="343">
        <v>7</v>
      </c>
      <c r="AC22" s="343">
        <v>8</v>
      </c>
    </row>
    <row r="23" spans="1:55" s="70" customFormat="1">
      <c r="A23" s="285" t="s">
        <v>411</v>
      </c>
      <c r="B23" s="415" t="s">
        <v>557</v>
      </c>
      <c r="C23" s="415" t="s">
        <v>557</v>
      </c>
      <c r="E23" s="70" t="s">
        <v>448</v>
      </c>
      <c r="Z23" s="70">
        <f>EnergyCalculations!F1</f>
        <v>2166</v>
      </c>
      <c r="AA23" s="70">
        <f>EnergyCalculations!G1</f>
        <v>2184</v>
      </c>
      <c r="AB23" s="70">
        <f>EnergyCalculations!H1</f>
        <v>2208</v>
      </c>
      <c r="AC23" s="70">
        <f>EnergyCalculations!I1</f>
        <v>2208</v>
      </c>
      <c r="AD23" s="70" t="s">
        <v>535</v>
      </c>
      <c r="AQ23" s="70" t="s">
        <v>449</v>
      </c>
      <c r="AU23" s="70" t="s">
        <v>404</v>
      </c>
      <c r="AV23" s="70" t="s">
        <v>538</v>
      </c>
    </row>
    <row r="24" spans="1:55" ht="45">
      <c r="A24" s="285"/>
      <c r="B24" s="335" t="s">
        <v>451</v>
      </c>
      <c r="C24" s="335" t="s">
        <v>452</v>
      </c>
      <c r="D24" s="335" t="s">
        <v>417</v>
      </c>
      <c r="E24" s="335" t="s">
        <v>418</v>
      </c>
      <c r="F24" s="335" t="s">
        <v>431</v>
      </c>
      <c r="G24" s="335" t="s">
        <v>419</v>
      </c>
      <c r="H24" s="335" t="s">
        <v>432</v>
      </c>
      <c r="I24" s="335" t="s">
        <v>420</v>
      </c>
      <c r="J24" s="335" t="s">
        <v>433</v>
      </c>
      <c r="K24" s="335" t="s">
        <v>421</v>
      </c>
      <c r="L24" s="335" t="s">
        <v>434</v>
      </c>
      <c r="M24" s="335" t="s">
        <v>422</v>
      </c>
      <c r="N24" s="335" t="s">
        <v>435</v>
      </c>
      <c r="O24" s="335" t="s">
        <v>423</v>
      </c>
      <c r="P24" s="335" t="s">
        <v>436</v>
      </c>
      <c r="Q24" s="335" t="s">
        <v>424</v>
      </c>
      <c r="R24" s="335" t="s">
        <v>437</v>
      </c>
      <c r="S24" s="335" t="s">
        <v>425</v>
      </c>
      <c r="T24" s="335" t="s">
        <v>438</v>
      </c>
      <c r="U24" s="335" t="s">
        <v>426</v>
      </c>
      <c r="V24" s="335" t="s">
        <v>439</v>
      </c>
      <c r="W24" s="335" t="s">
        <v>427</v>
      </c>
      <c r="X24" s="335" t="s">
        <v>440</v>
      </c>
      <c r="Y24" s="341" t="s">
        <v>442</v>
      </c>
      <c r="Z24" s="335" t="s">
        <v>386</v>
      </c>
      <c r="AA24" s="335" t="s">
        <v>387</v>
      </c>
      <c r="AB24" s="335" t="s">
        <v>388</v>
      </c>
      <c r="AC24" s="335" t="s">
        <v>389</v>
      </c>
      <c r="AD24" s="335" t="s">
        <v>418</v>
      </c>
      <c r="AE24" s="335" t="s">
        <v>431</v>
      </c>
      <c r="AF24" s="335" t="s">
        <v>419</v>
      </c>
      <c r="AG24" s="335" t="s">
        <v>432</v>
      </c>
      <c r="AH24" s="335" t="s">
        <v>420</v>
      </c>
      <c r="AI24" s="335" t="s">
        <v>433</v>
      </c>
      <c r="AJ24" s="335" t="s">
        <v>421</v>
      </c>
      <c r="AK24" s="335" t="s">
        <v>422</v>
      </c>
      <c r="AL24" s="335" t="s">
        <v>423</v>
      </c>
      <c r="AM24" s="335" t="s">
        <v>424</v>
      </c>
      <c r="AN24" s="335" t="s">
        <v>425</v>
      </c>
      <c r="AO24" s="335" t="s">
        <v>426</v>
      </c>
      <c r="AP24" s="335" t="s">
        <v>427</v>
      </c>
      <c r="AQ24" s="335" t="s">
        <v>386</v>
      </c>
      <c r="AR24" s="335" t="s">
        <v>387</v>
      </c>
      <c r="AS24" s="335" t="s">
        <v>388</v>
      </c>
      <c r="AT24" s="335" t="s">
        <v>389</v>
      </c>
      <c r="AV24" s="335" t="s">
        <v>386</v>
      </c>
      <c r="AW24" s="335" t="s">
        <v>387</v>
      </c>
      <c r="AX24" s="335" t="s">
        <v>388</v>
      </c>
      <c r="AY24" s="335" t="s">
        <v>389</v>
      </c>
      <c r="AZ24" s="335"/>
    </row>
    <row r="25" spans="1:55">
      <c r="A25" s="70" t="s">
        <v>377</v>
      </c>
      <c r="B25" s="431">
        <f>SUMPRODUCT(B31:B35,$Y$31:$Y$35)/$Y$25</f>
        <v>22.098374151043195</v>
      </c>
      <c r="C25" s="418">
        <f>SUMPRODUCT(C31:C35,$Y$31:$Y$35)/$Y$25</f>
        <v>2.511618964272655</v>
      </c>
      <c r="E25" s="340">
        <f t="shared" ref="E25:N28" si="4">SUMIF($AU$31:$AU$49,$A25,E$31:E$49)</f>
        <v>62.137554128247857</v>
      </c>
      <c r="F25" s="340">
        <f t="shared" si="4"/>
        <v>312.58329977980662</v>
      </c>
      <c r="G25" s="340">
        <f t="shared" si="4"/>
        <v>566.7767329246808</v>
      </c>
      <c r="H25" s="340">
        <f t="shared" si="4"/>
        <v>824.41164303089954</v>
      </c>
      <c r="I25" s="340">
        <f t="shared" si="4"/>
        <v>1086.0968987401225</v>
      </c>
      <c r="J25" s="340">
        <f t="shared" si="4"/>
        <v>1294.0699932324021</v>
      </c>
      <c r="K25" s="340">
        <f t="shared" si="4"/>
        <v>1310.0952868879608</v>
      </c>
      <c r="L25" s="340">
        <f t="shared" si="4"/>
        <v>1325.906473627763</v>
      </c>
      <c r="M25" s="340">
        <f t="shared" si="4"/>
        <v>1341.663078226617</v>
      </c>
      <c r="N25" s="340">
        <f t="shared" si="4"/>
        <v>1357.3295400377174</v>
      </c>
      <c r="O25" s="340">
        <f t="shared" ref="O25:X28" si="5">SUMIF($AU$31:$AU$49,$A25,O$31:O$49)</f>
        <v>1372.3311917257165</v>
      </c>
      <c r="P25" s="340">
        <f t="shared" si="5"/>
        <v>1387.8570760452601</v>
      </c>
      <c r="Q25" s="340">
        <f t="shared" si="5"/>
        <v>1404.0175651196982</v>
      </c>
      <c r="R25" s="340">
        <f t="shared" si="5"/>
        <v>1420.2710523222436</v>
      </c>
      <c r="S25" s="340">
        <f t="shared" si="5"/>
        <v>1436.1564355648541</v>
      </c>
      <c r="T25" s="340">
        <f t="shared" si="5"/>
        <v>1452.219492921397</v>
      </c>
      <c r="U25" s="340">
        <f t="shared" si="5"/>
        <v>1468.4622116332416</v>
      </c>
      <c r="V25" s="340">
        <f t="shared" si="5"/>
        <v>1484.8866011685659</v>
      </c>
      <c r="W25" s="340">
        <f t="shared" si="5"/>
        <v>1501.4946934709556</v>
      </c>
      <c r="X25" s="340">
        <f t="shared" si="5"/>
        <v>1518.2885432107867</v>
      </c>
      <c r="Y25" s="342">
        <f>SUM(E25:X25)</f>
        <v>23927.05536379894</v>
      </c>
      <c r="Z25" s="344">
        <f>SUMPRODUCT($Y$31:$Y$35,Z31:Z35)/$Y25</f>
        <v>6.6196737836987408E-3</v>
      </c>
      <c r="AA25" s="344">
        <f t="shared" ref="AA25:AC25" si="6">SUMPRODUCT($Y$31:$Y$35,AA31:AA35)/$Y25</f>
        <v>0</v>
      </c>
      <c r="AB25" s="344">
        <f t="shared" si="6"/>
        <v>1.3816814701080364E-2</v>
      </c>
      <c r="AC25" s="344">
        <f t="shared" si="6"/>
        <v>6.4937560758566472E-3</v>
      </c>
      <c r="AD25" s="340">
        <f t="shared" ref="AD25:AP28" si="7">SUMIF($AU$31:$AU$49,$A25,AD$31:AD$49)</f>
        <v>62.137554128247857</v>
      </c>
      <c r="AE25" s="340">
        <f t="shared" si="7"/>
        <v>250.44574565155881</v>
      </c>
      <c r="AF25" s="340">
        <f t="shared" si="7"/>
        <v>254.19343314487418</v>
      </c>
      <c r="AG25" s="340">
        <f t="shared" si="7"/>
        <v>257.63491010621863</v>
      </c>
      <c r="AH25" s="340">
        <f t="shared" si="7"/>
        <v>261.68525570922293</v>
      </c>
      <c r="AI25" s="340">
        <f t="shared" si="7"/>
        <v>207.97309449227973</v>
      </c>
      <c r="AJ25" s="340">
        <f t="shared" si="7"/>
        <v>31.836480395361086</v>
      </c>
      <c r="AK25" s="340">
        <f t="shared" si="7"/>
        <v>31.423066409954323</v>
      </c>
      <c r="AL25" s="340">
        <f t="shared" si="7"/>
        <v>30.527536007542636</v>
      </c>
      <c r="AM25" s="340">
        <f t="shared" si="7"/>
        <v>32.413976276983469</v>
      </c>
      <c r="AN25" s="340">
        <f t="shared" si="7"/>
        <v>31.948440599153201</v>
      </c>
      <c r="AO25" s="340">
        <f t="shared" si="7"/>
        <v>32.667108247169018</v>
      </c>
      <c r="AP25" s="340">
        <f t="shared" si="7"/>
        <v>33.401942042220767</v>
      </c>
      <c r="AQ25" s="417">
        <f>SUMPRODUCT($Y$31:$Y$35,AQ31:AQ35)/$Y25</f>
        <v>0.96320529448210823</v>
      </c>
      <c r="AR25" s="417">
        <f>SUMPRODUCT($Y$31:$Y$35,AR31:AR35)/$Y25</f>
        <v>0</v>
      </c>
      <c r="AS25" s="417">
        <f>SUMPRODUCT($Y$31:$Y$35,AS31:AS35)/$Y25</f>
        <v>0.99999999999999989</v>
      </c>
      <c r="AT25" s="417">
        <f>SUMPRODUCT($Y$31:$Y$35,AT31:AT35)/$Y25</f>
        <v>0.96320529448210823</v>
      </c>
      <c r="AU25">
        <v>1</v>
      </c>
      <c r="AV25" s="417">
        <f>SUMPRODUCT($Y$31:$Y$35,AV31:AV35)/$Y25</f>
        <v>6.6196737836987408E-3</v>
      </c>
      <c r="AW25" s="417">
        <f t="shared" ref="AW25:AY25" si="8">SUMPRODUCT($Y$31:$Y$35,AW31:AW35)/$Y25</f>
        <v>0</v>
      </c>
      <c r="AX25" s="417">
        <f t="shared" si="8"/>
        <v>1.3816814701080364E-2</v>
      </c>
      <c r="AY25" s="417">
        <f t="shared" si="8"/>
        <v>6.4937560758566472E-3</v>
      </c>
    </row>
    <row r="26" spans="1:55">
      <c r="A26" s="70" t="s">
        <v>378</v>
      </c>
      <c r="B26" s="431">
        <f>SUMPRODUCT(B36:B41,$Y$36:$Y$41)/$Y$26</f>
        <v>9.1055156717884209</v>
      </c>
      <c r="C26" s="418">
        <f>SUMPRODUCT(C36:C41,$Y$36:$Y$41)/$Y$26</f>
        <v>47.437344643745767</v>
      </c>
      <c r="E26" s="340">
        <f t="shared" si="4"/>
        <v>57.841517795277724</v>
      </c>
      <c r="F26" s="340">
        <f t="shared" si="4"/>
        <v>281.78695536000839</v>
      </c>
      <c r="G26" s="340">
        <f t="shared" si="4"/>
        <v>493.39043035570313</v>
      </c>
      <c r="H26" s="340">
        <f t="shared" si="4"/>
        <v>691.75932361306957</v>
      </c>
      <c r="I26" s="340">
        <f t="shared" si="4"/>
        <v>876.22919810387566</v>
      </c>
      <c r="J26" s="340">
        <f t="shared" si="4"/>
        <v>1044.6930498228405</v>
      </c>
      <c r="K26" s="340">
        <f t="shared" si="4"/>
        <v>1058.3975489799091</v>
      </c>
      <c r="L26" s="340">
        <f t="shared" si="4"/>
        <v>1071.9996480759066</v>
      </c>
      <c r="M26" s="340">
        <f t="shared" si="4"/>
        <v>1085.4934495194689</v>
      </c>
      <c r="N26" s="340">
        <f t="shared" si="4"/>
        <v>1098.9174399823619</v>
      </c>
      <c r="O26" s="340">
        <f t="shared" si="5"/>
        <v>1112.0803034525809</v>
      </c>
      <c r="P26" s="340">
        <f t="shared" si="5"/>
        <v>1125.1939035478104</v>
      </c>
      <c r="Q26" s="340">
        <f t="shared" si="5"/>
        <v>1138.2431382775221</v>
      </c>
      <c r="R26" s="340">
        <f t="shared" si="5"/>
        <v>1151.1541655713593</v>
      </c>
      <c r="S26" s="340">
        <f t="shared" si="5"/>
        <v>1163.8993516681662</v>
      </c>
      <c r="T26" s="340">
        <f t="shared" si="5"/>
        <v>1176.7856537905423</v>
      </c>
      <c r="U26" s="340">
        <f t="shared" si="5"/>
        <v>1189.814634453011</v>
      </c>
      <c r="V26" s="340">
        <f t="shared" si="5"/>
        <v>1202.9878734718222</v>
      </c>
      <c r="W26" s="340">
        <f t="shared" si="5"/>
        <v>1216.3069681565437</v>
      </c>
      <c r="X26" s="340">
        <f t="shared" si="5"/>
        <v>1229.7735335037723</v>
      </c>
      <c r="Y26" s="342">
        <f>SUM(E26:X26)</f>
        <v>19466.74808750155</v>
      </c>
      <c r="Z26" s="344">
        <f>SUMPRODUCT($Y$36:$Y$41,Z36:Z41)/$Y26</f>
        <v>4.2105590522282651E-3</v>
      </c>
      <c r="AA26" s="344">
        <f t="shared" ref="AA26:AC26" si="9">SUMPRODUCT($Y$36:$Y$41,AA36:AA41)/$Y26</f>
        <v>0</v>
      </c>
      <c r="AB26" s="344">
        <f t="shared" si="9"/>
        <v>2.5594943139907937E-3</v>
      </c>
      <c r="AC26" s="344">
        <f t="shared" si="9"/>
        <v>4.1304668963434875E-3</v>
      </c>
      <c r="AD26" s="340">
        <f t="shared" si="7"/>
        <v>57.841517795277724</v>
      </c>
      <c r="AE26" s="340">
        <f t="shared" si="7"/>
        <v>223.94543756473064</v>
      </c>
      <c r="AF26" s="340">
        <f t="shared" si="7"/>
        <v>211.60347499569477</v>
      </c>
      <c r="AG26" s="340">
        <f t="shared" si="7"/>
        <v>198.36889325736647</v>
      </c>
      <c r="AH26" s="340">
        <f t="shared" si="7"/>
        <v>184.46987449080615</v>
      </c>
      <c r="AI26" s="340">
        <f t="shared" si="7"/>
        <v>168.46385171896475</v>
      </c>
      <c r="AJ26" s="340">
        <f t="shared" si="7"/>
        <v>27.306598253065982</v>
      </c>
      <c r="AK26" s="340">
        <f t="shared" si="7"/>
        <v>26.917791906455367</v>
      </c>
      <c r="AL26" s="340">
        <f t="shared" si="7"/>
        <v>26.276463565448484</v>
      </c>
      <c r="AM26" s="340">
        <f t="shared" si="7"/>
        <v>25.960262023548939</v>
      </c>
      <c r="AN26" s="340">
        <f t="shared" si="7"/>
        <v>25.63148821918298</v>
      </c>
      <c r="AO26" s="340">
        <f t="shared" si="7"/>
        <v>26.202219681279907</v>
      </c>
      <c r="AP26" s="340">
        <f t="shared" si="7"/>
        <v>26.785660031950194</v>
      </c>
      <c r="AQ26" s="417">
        <f>SUMPRODUCT($Y$36:$Y$41,AQ36:AQ41)/$Y26</f>
        <v>0.97240031580023789</v>
      </c>
      <c r="AR26" s="417">
        <f t="shared" ref="AR26:AT26" si="10">SUMPRODUCT($Y$36:$Y$41,AR36:AR41)/$Y26</f>
        <v>0</v>
      </c>
      <c r="AS26" s="417">
        <f t="shared" si="10"/>
        <v>0.73141958113334105</v>
      </c>
      <c r="AT26" s="417">
        <f t="shared" si="10"/>
        <v>0.97240031580023789</v>
      </c>
      <c r="AU26">
        <v>2</v>
      </c>
      <c r="AV26" s="417">
        <f>SUMPRODUCT($Y$36:$Y$41,AV36:AV41)/$Y26</f>
        <v>4.2105590522282651E-3</v>
      </c>
      <c r="AW26" s="417">
        <f>SUMPRODUCT($Y$36:$Y$41,AW36:AW41)/$Y26</f>
        <v>0</v>
      </c>
      <c r="AX26" s="417">
        <f t="shared" ref="AX26:AY26" si="11">SUMPRODUCT($Y$36:$Y$41,AX36:AX41)/$Y26</f>
        <v>2.5594943139907937E-3</v>
      </c>
      <c r="AY26" s="417">
        <f t="shared" si="11"/>
        <v>4.1304668963434875E-3</v>
      </c>
    </row>
    <row r="27" spans="1:55">
      <c r="A27" s="70" t="s">
        <v>380</v>
      </c>
      <c r="B27" s="431">
        <f>SUMPRODUCT(B42:B45,$Y$42:$Y$45)/$Y$27</f>
        <v>17.278335903068221</v>
      </c>
      <c r="C27" s="418">
        <f>SUMPRODUCT(C42:C45,$Y$42:$Y$45)/$Y$27</f>
        <v>59.812906944839199</v>
      </c>
      <c r="E27" s="340">
        <f t="shared" si="4"/>
        <v>16.120239344277898</v>
      </c>
      <c r="F27" s="340">
        <f t="shared" si="4"/>
        <v>81.553657271287193</v>
      </c>
      <c r="G27" s="340">
        <f t="shared" si="4"/>
        <v>148.57720220771137</v>
      </c>
      <c r="H27" s="340">
        <f t="shared" si="4"/>
        <v>217.11953151892834</v>
      </c>
      <c r="I27" s="340">
        <f t="shared" si="4"/>
        <v>287.27137327938118</v>
      </c>
      <c r="J27" s="340">
        <f t="shared" si="4"/>
        <v>342.37497489616567</v>
      </c>
      <c r="K27" s="340">
        <f t="shared" si="4"/>
        <v>346.72236125428464</v>
      </c>
      <c r="L27" s="340">
        <f t="shared" si="4"/>
        <v>351.02297287625129</v>
      </c>
      <c r="M27" s="340">
        <f t="shared" si="4"/>
        <v>355.30014222048345</v>
      </c>
      <c r="N27" s="340">
        <f t="shared" si="4"/>
        <v>359.5538771706851</v>
      </c>
      <c r="O27" s="340">
        <f t="shared" si="5"/>
        <v>363.67033847873205</v>
      </c>
      <c r="P27" s="340">
        <f t="shared" si="5"/>
        <v>367.85928767576547</v>
      </c>
      <c r="Q27" s="340">
        <f t="shared" si="5"/>
        <v>372.13532354452514</v>
      </c>
      <c r="R27" s="340">
        <f t="shared" si="5"/>
        <v>376.4060757551473</v>
      </c>
      <c r="S27" s="340">
        <f t="shared" si="5"/>
        <v>380.59784118724252</v>
      </c>
      <c r="T27" s="340">
        <f t="shared" si="5"/>
        <v>384.83628928914311</v>
      </c>
      <c r="U27" s="340">
        <f t="shared" si="5"/>
        <v>389.12193997622995</v>
      </c>
      <c r="V27" s="340">
        <f t="shared" si="5"/>
        <v>393.45531895453996</v>
      </c>
      <c r="W27" s="340">
        <f t="shared" si="5"/>
        <v>397.83695778526425</v>
      </c>
      <c r="X27" s="340">
        <f t="shared" si="5"/>
        <v>402.26739394996309</v>
      </c>
      <c r="Y27" s="342">
        <f>SUM(E27:X27)</f>
        <v>6333.8030986360091</v>
      </c>
      <c r="Z27" s="344">
        <f>SUMPRODUCT($Y$42:$Y$45,Z42:Z45)/$Y27</f>
        <v>0</v>
      </c>
      <c r="AA27" s="344">
        <f>SUMPRODUCT($Y$42:$Y$45,AA42:AA45)/$Y27</f>
        <v>0</v>
      </c>
      <c r="AB27" s="344">
        <f>SUMPRODUCT($Y$42:$Y$45,AB42:AB45)/$Y27</f>
        <v>2.2644927536231881E-2</v>
      </c>
      <c r="AC27" s="344">
        <f>SUMPRODUCT($Y$42:$Y$45,AC42:AC45)/$Y27</f>
        <v>0</v>
      </c>
      <c r="AD27" s="340">
        <f t="shared" si="7"/>
        <v>16.120239344277898</v>
      </c>
      <c r="AE27" s="340">
        <f t="shared" si="7"/>
        <v>65.433417927009287</v>
      </c>
      <c r="AF27" s="340">
        <f t="shared" si="7"/>
        <v>67.023544936424187</v>
      </c>
      <c r="AG27" s="340">
        <f t="shared" si="7"/>
        <v>68.542329311216989</v>
      </c>
      <c r="AH27" s="340">
        <f t="shared" si="7"/>
        <v>70.151841760452768</v>
      </c>
      <c r="AI27" s="340">
        <f t="shared" si="7"/>
        <v>55.103601616784474</v>
      </c>
      <c r="AJ27" s="340">
        <f t="shared" si="7"/>
        <v>8.6479979800857052</v>
      </c>
      <c r="AK27" s="340">
        <f t="shared" si="7"/>
        <v>8.5309042944337659</v>
      </c>
      <c r="AL27" s="340">
        <f t="shared" si="7"/>
        <v>8.3054105050803564</v>
      </c>
      <c r="AM27" s="340">
        <f t="shared" si="7"/>
        <v>8.5467880793818871</v>
      </c>
      <c r="AN27" s="340">
        <f t="shared" si="7"/>
        <v>8.4302135339957793</v>
      </c>
      <c r="AO27" s="340">
        <f t="shared" si="7"/>
        <v>8.6190296653968819</v>
      </c>
      <c r="AP27" s="340">
        <f t="shared" si="7"/>
        <v>8.8120749954231528</v>
      </c>
      <c r="AQ27" s="417">
        <f>SUMPRODUCT($Y$42:$Y$45,AQ42:AQ45)/$Y27</f>
        <v>0.13690345338768203</v>
      </c>
      <c r="AR27" s="417">
        <f>SUMPRODUCT($Y$42:$Y$45,AR42:AR45)/$Y27</f>
        <v>0</v>
      </c>
      <c r="AS27" s="417">
        <f>SUMPRODUCT($Y$42:$Y$45,AS42:AS45)/$Y27</f>
        <v>1.0000000000000002</v>
      </c>
      <c r="AT27" s="417">
        <f>SUMPRODUCT($Y$42:$Y$45,AT42:AT45)/$Y27</f>
        <v>0.13690345338768203</v>
      </c>
      <c r="AU27">
        <v>3</v>
      </c>
      <c r="AV27" s="417">
        <f>SUMPRODUCT($Y$42:$Y$45,AV42:AV45)/$Y27</f>
        <v>0</v>
      </c>
      <c r="AW27" s="417">
        <f>SUMPRODUCT($Y$42:$Y$45,AW42:AW45)/$Y27</f>
        <v>0</v>
      </c>
      <c r="AX27" s="417">
        <f>SUMPRODUCT($Y$42:$Y$45,AX42:AX45)/$Y27</f>
        <v>2.2644927536231881E-2</v>
      </c>
      <c r="AY27" s="417">
        <f>SUMPRODUCT($Y$42:$Y$45,AY42:AY45)/$Y27</f>
        <v>0</v>
      </c>
    </row>
    <row r="28" spans="1:55">
      <c r="A28" s="70" t="s">
        <v>512</v>
      </c>
      <c r="B28" s="431">
        <f>SUMPRODUCT(B46:B49,$Y$46:$Y$49)/$Y$28</f>
        <v>35.204112449964185</v>
      </c>
      <c r="C28" s="418">
        <f>SUMPRODUCT(C46:C49,$Y$46:$Y$49)/$Y$28</f>
        <v>109.01953874693869</v>
      </c>
      <c r="E28" s="340">
        <f t="shared" si="4"/>
        <v>35.244097079913558</v>
      </c>
      <c r="F28" s="340">
        <f t="shared" si="4"/>
        <v>195.50726717765204</v>
      </c>
      <c r="G28" s="340">
        <f t="shared" si="4"/>
        <v>387.47465759304225</v>
      </c>
      <c r="H28" s="340">
        <f t="shared" si="4"/>
        <v>612.2727116162755</v>
      </c>
      <c r="I28" s="340">
        <f t="shared" si="4"/>
        <v>871.03102363212372</v>
      </c>
      <c r="J28" s="340">
        <f t="shared" si="4"/>
        <v>1038.7567416179249</v>
      </c>
      <c r="K28" s="340">
        <f t="shared" si="4"/>
        <v>1052.6790551458498</v>
      </c>
      <c r="L28" s="340">
        <f t="shared" si="4"/>
        <v>1066.5266945020874</v>
      </c>
      <c r="M28" s="340">
        <f t="shared" si="4"/>
        <v>1080.2419015007811</v>
      </c>
      <c r="N28" s="340">
        <f t="shared" si="4"/>
        <v>1093.8888349710749</v>
      </c>
      <c r="O28" s="340">
        <f t="shared" si="5"/>
        <v>1107.3823053987373</v>
      </c>
      <c r="P28" s="340">
        <f t="shared" si="5"/>
        <v>1120.6447430829749</v>
      </c>
      <c r="Q28" s="340">
        <f t="shared" si="5"/>
        <v>1133.6209805745</v>
      </c>
      <c r="R28" s="340">
        <f t="shared" si="5"/>
        <v>1146.3776150427561</v>
      </c>
      <c r="S28" s="340">
        <f t="shared" si="5"/>
        <v>1159.0199523094498</v>
      </c>
      <c r="T28" s="340">
        <f t="shared" si="5"/>
        <v>1171.801710208113</v>
      </c>
      <c r="U28" s="340">
        <f t="shared" si="5"/>
        <v>1184.724426279804</v>
      </c>
      <c r="V28" s="340">
        <f t="shared" si="5"/>
        <v>1197.7896550216974</v>
      </c>
      <c r="W28" s="340">
        <f t="shared" si="5"/>
        <v>1210.9989680740778</v>
      </c>
      <c r="X28" s="340">
        <f t="shared" si="5"/>
        <v>1224.3539544093958</v>
      </c>
      <c r="Y28" s="342">
        <f>SUM(E28:X28)</f>
        <v>19090.337295238231</v>
      </c>
      <c r="Z28" s="344">
        <f>SUMPRODUCT($Y$46:$Y$49,Z46:Z49)/$Y28</f>
        <v>7.1542055630712887E-3</v>
      </c>
      <c r="AA28" s="344">
        <f>SUMPRODUCT($Y$46:$Y$49,AA46:AA49)/$Y28</f>
        <v>0</v>
      </c>
      <c r="AB28" s="344">
        <f>SUMPRODUCT($Y$46:$Y$49,AB46:AB49)/$Y28</f>
        <v>7.443460745175043E-3</v>
      </c>
      <c r="AC28" s="344">
        <f>SUMPRODUCT($Y$46:$Y$49,AC46:AC49)/$Y28</f>
        <v>7.0181201311650399E-3</v>
      </c>
      <c r="AD28" s="340">
        <f t="shared" si="7"/>
        <v>35.244097079913558</v>
      </c>
      <c r="AE28" s="340">
        <f t="shared" si="7"/>
        <v>160.26317009773848</v>
      </c>
      <c r="AF28" s="340">
        <f t="shared" si="7"/>
        <v>191.96739041539018</v>
      </c>
      <c r="AG28" s="340">
        <f t="shared" si="7"/>
        <v>224.79805402323322</v>
      </c>
      <c r="AH28" s="340">
        <f t="shared" si="7"/>
        <v>258.75831201584828</v>
      </c>
      <c r="AI28" s="340">
        <f t="shared" si="7"/>
        <v>167.72571798580105</v>
      </c>
      <c r="AJ28" s="340">
        <f t="shared" si="7"/>
        <v>27.769952884162649</v>
      </c>
      <c r="AK28" s="340">
        <f t="shared" si="7"/>
        <v>27.362140468987391</v>
      </c>
      <c r="AL28" s="340">
        <f t="shared" si="7"/>
        <v>26.755908111900155</v>
      </c>
      <c r="AM28" s="340">
        <f t="shared" si="7"/>
        <v>25.732871959781143</v>
      </c>
      <c r="AN28" s="340">
        <f t="shared" si="7"/>
        <v>25.424095165356945</v>
      </c>
      <c r="AO28" s="340">
        <f t="shared" si="7"/>
        <v>25.987944813584214</v>
      </c>
      <c r="AP28" s="340">
        <f t="shared" si="7"/>
        <v>26.564299387698462</v>
      </c>
      <c r="AQ28" s="417">
        <f>SUMPRODUCT($Y$46:$Y$49,AQ46:AQ49)/$Y28</f>
        <v>0.67129677349307004</v>
      </c>
      <c r="AR28" s="417">
        <f>SUMPRODUCT($Y$46:$Y$49,AR46:AR49)/$Y28</f>
        <v>0</v>
      </c>
      <c r="AS28" s="417">
        <f>SUMPRODUCT($Y$46:$Y$49,AS46:AS49)/$Y28</f>
        <v>0.38015963001550351</v>
      </c>
      <c r="AT28" s="417">
        <f>SUMPRODUCT($Y$46:$Y$49,AT46:AT49)/$Y28</f>
        <v>0.67129677349307004</v>
      </c>
      <c r="AU28">
        <v>4</v>
      </c>
      <c r="AV28" s="417">
        <f>SUMPRODUCT($Y$46:$Y$49,AV46:AV49)/$Y28</f>
        <v>7.1542055630712887E-3</v>
      </c>
      <c r="AW28" s="417">
        <f>SUMPRODUCT($Y$46:$Y$49,AW46:AW49)/$Y28</f>
        <v>0</v>
      </c>
      <c r="AX28" s="417">
        <f>SUMPRODUCT($Y$46:$Y$49,AX46:AX49)/$Y28</f>
        <v>7.443460745175043E-3</v>
      </c>
      <c r="AY28" s="417">
        <f>SUMPRODUCT($Y$46:$Y$49,AY46:AY49)/$Y28</f>
        <v>7.0181201311650399E-3</v>
      </c>
    </row>
    <row r="30" spans="1:55">
      <c r="A30" s="415" t="s">
        <v>558</v>
      </c>
      <c r="B30" s="416" t="s">
        <v>556</v>
      </c>
      <c r="C30" s="416" t="s">
        <v>556</v>
      </c>
      <c r="D30" s="367"/>
      <c r="E30" s="395"/>
      <c r="F30" s="395"/>
      <c r="G30" s="395"/>
      <c r="H30" s="395"/>
      <c r="I30" s="395"/>
      <c r="J30" s="395"/>
      <c r="K30" s="395"/>
      <c r="L30" s="395"/>
      <c r="M30" s="395"/>
      <c r="N30" s="395"/>
      <c r="O30" s="395"/>
      <c r="P30" s="395"/>
      <c r="Q30" s="395"/>
      <c r="R30" s="395"/>
      <c r="S30" s="395"/>
      <c r="T30" s="395"/>
      <c r="U30" s="395"/>
      <c r="V30" s="395"/>
      <c r="W30" s="395"/>
      <c r="X30" s="395"/>
      <c r="Y30" s="396"/>
      <c r="Z30" s="397"/>
      <c r="AA30" s="397"/>
      <c r="AB30" s="397"/>
      <c r="AC30" s="397"/>
      <c r="AD30" s="395"/>
      <c r="AE30" s="395"/>
      <c r="AF30" s="395"/>
      <c r="AG30" s="395"/>
      <c r="AH30" s="395"/>
      <c r="AI30" s="395"/>
      <c r="AJ30" s="395"/>
      <c r="AK30" s="395"/>
      <c r="AL30" s="395"/>
      <c r="AM30" s="395"/>
      <c r="AN30" s="395"/>
      <c r="AO30" s="395"/>
      <c r="AP30" s="395"/>
      <c r="AQ30" s="397"/>
      <c r="AR30" s="397"/>
      <c r="AS30" s="397"/>
      <c r="AT30" s="397"/>
      <c r="AU30" s="335" t="s">
        <v>404</v>
      </c>
      <c r="AV30" s="367">
        <v>9</v>
      </c>
      <c r="AW30" s="367">
        <v>10</v>
      </c>
      <c r="AX30">
        <v>11</v>
      </c>
      <c r="AY30">
        <v>12</v>
      </c>
      <c r="BA30" t="s">
        <v>268</v>
      </c>
      <c r="BB30">
        <v>1</v>
      </c>
      <c r="BC30" s="70">
        <v>0</v>
      </c>
    </row>
    <row r="31" spans="1:55">
      <c r="A31" s="201" t="s">
        <v>319</v>
      </c>
      <c r="B31" s="272">
        <f>B85</f>
        <v>-8.8010281124910463</v>
      </c>
      <c r="C31" s="272">
        <f>B88</f>
        <v>10.743665050063438</v>
      </c>
      <c r="D31" s="339" t="s">
        <v>441</v>
      </c>
      <c r="E31" s="339">
        <f t="shared" ref="E31:X31" si="12">C91/1000</f>
        <v>0.4553237430098071</v>
      </c>
      <c r="F31" s="339">
        <f t="shared" si="12"/>
        <v>2.303962265345691</v>
      </c>
      <c r="G31" s="339">
        <f t="shared" si="12"/>
        <v>4.2022320898102805</v>
      </c>
      <c r="H31" s="339">
        <f t="shared" si="12"/>
        <v>6.1487343492027318</v>
      </c>
      <c r="I31" s="339">
        <f t="shared" si="12"/>
        <v>8.148902490262163</v>
      </c>
      <c r="J31" s="339">
        <f t="shared" si="12"/>
        <v>9.7093088127381684</v>
      </c>
      <c r="K31" s="339">
        <f t="shared" si="12"/>
        <v>9.8295453731486138</v>
      </c>
      <c r="L31" s="339">
        <f t="shared" si="12"/>
        <v>9.948175505641796</v>
      </c>
      <c r="M31" s="339">
        <f t="shared" si="12"/>
        <v>10.066396112479564</v>
      </c>
      <c r="N31" s="339">
        <f t="shared" si="12"/>
        <v>10.183940384831475</v>
      </c>
      <c r="O31" s="339">
        <f t="shared" si="12"/>
        <v>10.296496637353869</v>
      </c>
      <c r="P31" s="339">
        <f t="shared" si="12"/>
        <v>10.412986167470208</v>
      </c>
      <c r="Q31" s="339">
        <f t="shared" si="12"/>
        <v>10.534237088833949</v>
      </c>
      <c r="R31" s="339">
        <f t="shared" si="12"/>
        <v>10.656185768085228</v>
      </c>
      <c r="S31" s="339">
        <f t="shared" si="12"/>
        <v>10.775372591300211</v>
      </c>
      <c r="T31" s="339">
        <f t="shared" si="12"/>
        <v>10.895892489889176</v>
      </c>
      <c r="U31" s="339">
        <f t="shared" si="12"/>
        <v>11.017760373973109</v>
      </c>
      <c r="V31" s="339">
        <f t="shared" si="12"/>
        <v>11.140991320439024</v>
      </c>
      <c r="W31" s="339">
        <f t="shared" si="12"/>
        <v>11.265600574805223</v>
      </c>
      <c r="X31" s="339">
        <f t="shared" si="12"/>
        <v>11.391603553107387</v>
      </c>
      <c r="Y31" s="342">
        <f>SUM(E31:X31)</f>
        <v>179.38364769172767</v>
      </c>
      <c r="Z31" s="6">
        <f>VLOOKUP(CostByType_Details!$A31,EnergyCalculations!$B$4:$I$22,CostByType_Details!Z$22,FALSE)/Z$23</f>
        <v>0</v>
      </c>
      <c r="AA31" s="6">
        <f>VLOOKUP(CostByType_Details!$A31,EnergyCalculations!$B$4:$I$22,CostByType_Details!AA$22,FALSE)/AA$23</f>
        <v>0</v>
      </c>
      <c r="AB31" s="6">
        <f>VLOOKUP(CostByType_Details!$A31,EnergyCalculations!$B$4:$I$22,CostByType_Details!AB$22,FALSE)/AB$23</f>
        <v>0</v>
      </c>
      <c r="AC31" s="6">
        <f>VLOOKUP(CostByType_Details!$A31,EnergyCalculations!$B$4:$I$22,CostByType_Details!AC$22,FALSE)/AC$23</f>
        <v>0</v>
      </c>
      <c r="AD31" s="339">
        <f>E31</f>
        <v>0.4553237430098071</v>
      </c>
      <c r="AE31" s="339">
        <f>F31-E31</f>
        <v>1.8486385223358839</v>
      </c>
      <c r="AF31" s="339">
        <f>G31-F31</f>
        <v>1.8982698244645895</v>
      </c>
      <c r="AG31" s="339">
        <f>H31-G31</f>
        <v>1.9465022593924513</v>
      </c>
      <c r="AH31" s="339">
        <f>I31-H31</f>
        <v>2.0001681410594312</v>
      </c>
      <c r="AI31" s="339">
        <f>J31-I31</f>
        <v>1.5604063224760054</v>
      </c>
      <c r="AJ31" s="339">
        <f>L31-J31</f>
        <v>0.23886669290362761</v>
      </c>
      <c r="AK31" s="339">
        <f>N31-L31</f>
        <v>0.23576487918967892</v>
      </c>
      <c r="AL31" s="339">
        <f>P31-N31</f>
        <v>0.22904578263873354</v>
      </c>
      <c r="AM31" s="339">
        <f>R31-P31</f>
        <v>0.24319960061501966</v>
      </c>
      <c r="AN31" s="339">
        <f>T31-R31</f>
        <v>0.23970672180394814</v>
      </c>
      <c r="AO31" s="339">
        <f>V31-T31</f>
        <v>0.24509883054984805</v>
      </c>
      <c r="AP31" s="339">
        <f>X31-V31</f>
        <v>0.25061223266836308</v>
      </c>
      <c r="AQ31" s="6">
        <v>0</v>
      </c>
      <c r="AR31" s="6">
        <v>0</v>
      </c>
      <c r="AS31" s="6">
        <v>1</v>
      </c>
      <c r="AT31" s="6">
        <v>0</v>
      </c>
      <c r="AU31" s="70" t="str">
        <f>VLOOKUP($A31,CostByType_Summary!$C$3:$T$21,18, FALSE)</f>
        <v>Bin 1</v>
      </c>
      <c r="AV31" s="70">
        <f>VLOOKUP($A31,EnergyCalculations!$B$3:$Q$22,AV$30,FALSE)</f>
        <v>0</v>
      </c>
      <c r="AW31" s="70">
        <f>VLOOKUP($A31,EnergyCalculations!$B$3:$Q$22,AW$30,FALSE)</f>
        <v>0</v>
      </c>
      <c r="AX31" s="70">
        <f>VLOOKUP($A31,EnergyCalculations!$B$3:$Q$22,AX$30,FALSE)</f>
        <v>0</v>
      </c>
      <c r="AY31" s="70">
        <f>VLOOKUP($A31,EnergyCalculations!$B$3:$Q$22,AY$30,FALSE)</f>
        <v>0</v>
      </c>
      <c r="BA31" t="s">
        <v>259</v>
      </c>
      <c r="BB31">
        <v>1</v>
      </c>
      <c r="BC31" s="70">
        <v>1</v>
      </c>
    </row>
    <row r="32" spans="1:55">
      <c r="A32" s="201" t="s">
        <v>312</v>
      </c>
      <c r="B32" s="272">
        <f>B86</f>
        <v>19.202243154525927</v>
      </c>
      <c r="C32" s="272">
        <f>B89</f>
        <v>0</v>
      </c>
      <c r="D32" s="339" t="s">
        <v>441</v>
      </c>
      <c r="E32" s="339">
        <f t="shared" ref="E32:X32" si="13">C92/1000</f>
        <v>25.801678770555743</v>
      </c>
      <c r="F32" s="339">
        <f t="shared" si="13"/>
        <v>130.55786170292248</v>
      </c>
      <c r="G32" s="339">
        <f t="shared" si="13"/>
        <v>238.12648508924923</v>
      </c>
      <c r="H32" s="339">
        <f t="shared" si="13"/>
        <v>348.42827978815484</v>
      </c>
      <c r="I32" s="339">
        <f t="shared" si="13"/>
        <v>461.77114111485594</v>
      </c>
      <c r="J32" s="339">
        <f t="shared" si="13"/>
        <v>550.19416605516278</v>
      </c>
      <c r="K32" s="339">
        <f t="shared" si="13"/>
        <v>557.00757114508804</v>
      </c>
      <c r="L32" s="339">
        <f t="shared" si="13"/>
        <v>563.72994531970176</v>
      </c>
      <c r="M32" s="339">
        <f t="shared" si="13"/>
        <v>570.4291130405087</v>
      </c>
      <c r="N32" s="339">
        <f t="shared" si="13"/>
        <v>577.08995514045023</v>
      </c>
      <c r="O32" s="339">
        <f t="shared" si="13"/>
        <v>583.46814278338582</v>
      </c>
      <c r="P32" s="339">
        <f t="shared" si="13"/>
        <v>590.0692161566451</v>
      </c>
      <c r="Q32" s="339">
        <f t="shared" si="13"/>
        <v>596.9401017005905</v>
      </c>
      <c r="R32" s="339">
        <f t="shared" si="13"/>
        <v>603.85052685816288</v>
      </c>
      <c r="S32" s="339">
        <f t="shared" si="13"/>
        <v>610.60444684034508</v>
      </c>
      <c r="T32" s="339">
        <f t="shared" si="13"/>
        <v>617.43390776038677</v>
      </c>
      <c r="U32" s="339">
        <f t="shared" si="13"/>
        <v>624.33975452514289</v>
      </c>
      <c r="V32" s="339">
        <f t="shared" si="13"/>
        <v>631.32284149154475</v>
      </c>
      <c r="W32" s="339">
        <f t="shared" si="13"/>
        <v>638.38403257229595</v>
      </c>
      <c r="X32" s="339">
        <f t="shared" si="13"/>
        <v>645.52420134275189</v>
      </c>
      <c r="Y32" s="342">
        <f t="shared" ref="Y32:Y49" si="14">SUM(E32:X32)</f>
        <v>10165.073369197902</v>
      </c>
      <c r="Z32" s="6">
        <f>VLOOKUP(CostByType_Details!$A32,EnergyCalculations!$B$4:$I$22,CostByType_Details!Z$22,FALSE)/Z$23</f>
        <v>6.9252077562326868E-3</v>
      </c>
      <c r="AA32" s="6">
        <f>VLOOKUP(CostByType_Details!$A32,EnergyCalculations!$B$4:$I$22,CostByType_Details!AA$22,FALSE)/AA$23</f>
        <v>0</v>
      </c>
      <c r="AB32" s="6">
        <f>VLOOKUP(CostByType_Details!$A32,EnergyCalculations!$B$4:$I$22,CostByType_Details!AB$22,FALSE)/AB$23</f>
        <v>1.358695652173913E-2</v>
      </c>
      <c r="AC32" s="6">
        <f>VLOOKUP(CostByType_Details!$A32,EnergyCalculations!$B$4:$I$22,CostByType_Details!AC$22,FALSE)/AC$23</f>
        <v>6.793478260869565E-3</v>
      </c>
      <c r="AD32" s="339">
        <f t="shared" ref="AD32:AD49" si="15">E32</f>
        <v>25.801678770555743</v>
      </c>
      <c r="AE32" s="339">
        <f t="shared" ref="AE32:AE49" si="16">F32-E32</f>
        <v>104.75618293236674</v>
      </c>
      <c r="AF32" s="339">
        <f t="shared" ref="AF32:AF49" si="17">G32-F32</f>
        <v>107.56862338632675</v>
      </c>
      <c r="AG32" s="339">
        <f t="shared" ref="AG32:AG49" si="18">H32-G32</f>
        <v>110.30179469890561</v>
      </c>
      <c r="AH32" s="339">
        <f t="shared" ref="AH32:AH49" si="19">I32-H32</f>
        <v>113.3428613267011</v>
      </c>
      <c r="AI32" s="339">
        <f t="shared" ref="AI32:AI49" si="20">J32-I32</f>
        <v>88.423024940306846</v>
      </c>
      <c r="AJ32" s="339">
        <f t="shared" ref="AJ32:AJ49" si="21">L32-J32</f>
        <v>13.535779264538974</v>
      </c>
      <c r="AK32" s="339">
        <f t="shared" ref="AK32:AK49" si="22">N32-L32</f>
        <v>13.360009820748473</v>
      </c>
      <c r="AL32" s="339">
        <f t="shared" ref="AL32:AL49" si="23">P32-N32</f>
        <v>12.979261016194869</v>
      </c>
      <c r="AM32" s="339">
        <f t="shared" ref="AM32:AM49" si="24">R32-P32</f>
        <v>13.781310701517782</v>
      </c>
      <c r="AN32" s="339">
        <f t="shared" ref="AN32:AN49" si="25">T32-R32</f>
        <v>13.583380902223894</v>
      </c>
      <c r="AO32" s="339">
        <f t="shared" ref="AO32:AO49" si="26">V32-T32</f>
        <v>13.888933731157977</v>
      </c>
      <c r="AP32" s="339">
        <f t="shared" ref="AP32:AP49" si="27">X32-V32</f>
        <v>14.201359851207144</v>
      </c>
      <c r="AQ32" s="6">
        <v>1</v>
      </c>
      <c r="AR32" s="6">
        <v>0</v>
      </c>
      <c r="AS32" s="6">
        <v>1</v>
      </c>
      <c r="AT32" s="6">
        <v>1</v>
      </c>
      <c r="AU32" s="70" t="str">
        <f>VLOOKUP($A32,CostByType_Summary!$C$3:$T$21,18, FALSE)</f>
        <v>Bin 1</v>
      </c>
      <c r="AV32" s="70">
        <f>VLOOKUP($A32,EnergyCalculations!$B$3:$Q$22,AV$30,FALSE)</f>
        <v>6.9252077562326868E-3</v>
      </c>
      <c r="AW32" s="70">
        <f>VLOOKUP($A32,EnergyCalculations!$B$3:$Q$22,AW$30,FALSE)</f>
        <v>0</v>
      </c>
      <c r="AX32" s="70">
        <f>VLOOKUP($A32,EnergyCalculations!$B$3:$Q$22,AX$30,FALSE)</f>
        <v>1.358695652173913E-2</v>
      </c>
      <c r="AY32" s="70">
        <f>VLOOKUP($A32,EnergyCalculations!$B$3:$Q$22,AY$30,FALSE)</f>
        <v>6.793478260869565E-3</v>
      </c>
      <c r="BA32" t="s">
        <v>244</v>
      </c>
      <c r="BB32">
        <v>1</v>
      </c>
      <c r="BC32" s="70">
        <v>1</v>
      </c>
    </row>
    <row r="33" spans="1:58">
      <c r="A33" s="201" t="s">
        <v>302</v>
      </c>
      <c r="B33" s="272">
        <f>B74</f>
        <v>11.201308506806789</v>
      </c>
      <c r="C33" s="272">
        <f>B77</f>
        <v>16.680503553113059</v>
      </c>
      <c r="D33" s="339" t="s">
        <v>441</v>
      </c>
      <c r="E33" s="339">
        <f t="shared" ref="E33:X33" si="28">C80/1000</f>
        <v>3.6284531514876304</v>
      </c>
      <c r="F33" s="339">
        <f t="shared" si="28"/>
        <v>16.524148682885361</v>
      </c>
      <c r="G33" s="339">
        <f t="shared" si="28"/>
        <v>26.789909384059765</v>
      </c>
      <c r="H33" s="339">
        <f t="shared" si="28"/>
        <v>34.299279158348327</v>
      </c>
      <c r="I33" s="339">
        <f t="shared" si="28"/>
        <v>38.962928741434354</v>
      </c>
      <c r="J33" s="339">
        <f t="shared" si="28"/>
        <v>46.423810795547659</v>
      </c>
      <c r="K33" s="339">
        <f t="shared" si="28"/>
        <v>46.998706438364039</v>
      </c>
      <c r="L33" s="339">
        <f t="shared" si="28"/>
        <v>47.565921152792427</v>
      </c>
      <c r="M33" s="339">
        <f t="shared" si="28"/>
        <v>48.131177772992949</v>
      </c>
      <c r="N33" s="339">
        <f t="shared" si="28"/>
        <v>48.693200586873004</v>
      </c>
      <c r="O33" s="339">
        <f t="shared" si="28"/>
        <v>49.231373825744555</v>
      </c>
      <c r="P33" s="339">
        <f t="shared" si="28"/>
        <v>49.788353525338451</v>
      </c>
      <c r="Q33" s="339">
        <f t="shared" si="28"/>
        <v>50.368099204535632</v>
      </c>
      <c r="R33" s="339">
        <f t="shared" si="28"/>
        <v>50.951181123291889</v>
      </c>
      <c r="S33" s="339">
        <f t="shared" si="28"/>
        <v>51.521057582777395</v>
      </c>
      <c r="T33" s="339">
        <f t="shared" si="28"/>
        <v>52.097307970637381</v>
      </c>
      <c r="U33" s="339">
        <f t="shared" si="28"/>
        <v>52.680003577696844</v>
      </c>
      <c r="V33" s="339">
        <f t="shared" si="28"/>
        <v>53.269216492151102</v>
      </c>
      <c r="W33" s="339">
        <f t="shared" si="28"/>
        <v>53.865019608484289</v>
      </c>
      <c r="X33" s="339">
        <f t="shared" si="28"/>
        <v>54.467486636487436</v>
      </c>
      <c r="Y33" s="342">
        <f>SUM(E33:X33)</f>
        <v>876.25663541193057</v>
      </c>
      <c r="Z33" s="6">
        <f>VLOOKUP(CostByType_Details!$A33,EnergyCalculations!$B$4:$I$22,CostByType_Details!Z$22,FALSE)/Z$23</f>
        <v>0</v>
      </c>
      <c r="AA33" s="6">
        <f>VLOOKUP(CostByType_Details!$A33,EnergyCalculations!$B$4:$I$22,CostByType_Details!AA$22,FALSE)/AA$23</f>
        <v>0</v>
      </c>
      <c r="AB33" s="6">
        <f>VLOOKUP(CostByType_Details!$A33,EnergyCalculations!$B$4:$I$22,CostByType_Details!AB$22,FALSE)/AB$23</f>
        <v>2.2644927536231884E-2</v>
      </c>
      <c r="AC33" s="6">
        <f>VLOOKUP(CostByType_Details!$A33,EnergyCalculations!$B$4:$I$22,CostByType_Details!AC$22,FALSE)/AC$23</f>
        <v>0</v>
      </c>
      <c r="AD33" s="339">
        <f>E33</f>
        <v>3.6284531514876304</v>
      </c>
      <c r="AE33" s="339">
        <f t="shared" ref="AE33:AI34" si="29">F33-E33</f>
        <v>12.895695531397731</v>
      </c>
      <c r="AF33" s="339">
        <f t="shared" si="29"/>
        <v>10.265760701174404</v>
      </c>
      <c r="AG33" s="339">
        <f t="shared" si="29"/>
        <v>7.5093697742885617</v>
      </c>
      <c r="AH33" s="339">
        <f t="shared" si="29"/>
        <v>4.663649583086027</v>
      </c>
      <c r="AI33" s="339">
        <f t="shared" si="29"/>
        <v>7.4608820541133056</v>
      </c>
      <c r="AJ33" s="339">
        <f>L33-J33</f>
        <v>1.1421103572447677</v>
      </c>
      <c r="AK33" s="339">
        <f>N33-L33</f>
        <v>1.1272794340805774</v>
      </c>
      <c r="AL33" s="339">
        <f>P33-N33</f>
        <v>1.0951529384654464</v>
      </c>
      <c r="AM33" s="339">
        <f>R33-P33</f>
        <v>1.1628275979534379</v>
      </c>
      <c r="AN33" s="339">
        <f>T33-R33</f>
        <v>1.1461268473454922</v>
      </c>
      <c r="AO33" s="339">
        <f>V33-T33</f>
        <v>1.1719085215137213</v>
      </c>
      <c r="AP33" s="339">
        <f>X33-V33</f>
        <v>1.1982701443363339</v>
      </c>
      <c r="AQ33" s="6">
        <v>0.2</v>
      </c>
      <c r="AR33" s="6">
        <v>0</v>
      </c>
      <c r="AS33" s="6">
        <v>1</v>
      </c>
      <c r="AT33" s="6">
        <v>0.2</v>
      </c>
      <c r="AU33" s="70" t="str">
        <f>VLOOKUP($A33,CostByType_Summary!$C$3:$T$21,18, FALSE)</f>
        <v>Bin 1</v>
      </c>
      <c r="AV33" s="70">
        <f>VLOOKUP($A33,EnergyCalculations!$B$3:$Q$22,AV$30,FALSE)</f>
        <v>0</v>
      </c>
      <c r="AW33" s="70">
        <f>VLOOKUP($A33,EnergyCalculations!$B$3:$Q$22,AW$30,FALSE)</f>
        <v>0</v>
      </c>
      <c r="AX33" s="70">
        <f>VLOOKUP($A33,EnergyCalculations!$B$3:$Q$22,AX$30,FALSE)</f>
        <v>2.2644927536231884E-2</v>
      </c>
      <c r="AY33" s="70">
        <f>VLOOKUP($A33,EnergyCalculations!$B$3:$Q$22,AY$30,FALSE)</f>
        <v>0</v>
      </c>
      <c r="BA33" t="s">
        <v>260</v>
      </c>
      <c r="BB33">
        <v>0</v>
      </c>
      <c r="BC33" s="70">
        <v>1</v>
      </c>
    </row>
    <row r="34" spans="1:58">
      <c r="A34" s="201" t="s">
        <v>321</v>
      </c>
      <c r="B34" s="272">
        <f>B132</f>
        <v>19.202243154525924</v>
      </c>
      <c r="C34" s="272">
        <f>B137</f>
        <v>9.5210563296088573</v>
      </c>
      <c r="D34" s="339" t="s">
        <v>441</v>
      </c>
      <c r="E34" s="339">
        <f t="shared" ref="E34:X34" si="30">C142/1000</f>
        <v>6.4504196926389348</v>
      </c>
      <c r="F34" s="339">
        <f t="shared" si="30"/>
        <v>32.63946542573062</v>
      </c>
      <c r="G34" s="339">
        <f t="shared" si="30"/>
        <v>59.531621272312314</v>
      </c>
      <c r="H34" s="339">
        <f t="shared" si="30"/>
        <v>87.10706994703871</v>
      </c>
      <c r="I34" s="339">
        <f t="shared" si="30"/>
        <v>115.44278527871398</v>
      </c>
      <c r="J34" s="339">
        <f t="shared" si="30"/>
        <v>137.5485415137907</v>
      </c>
      <c r="K34" s="339">
        <f t="shared" si="30"/>
        <v>139.25189278627201</v>
      </c>
      <c r="L34" s="339">
        <f t="shared" si="30"/>
        <v>140.93248632992544</v>
      </c>
      <c r="M34" s="339">
        <f t="shared" si="30"/>
        <v>142.60727826012715</v>
      </c>
      <c r="N34" s="339">
        <f t="shared" si="30"/>
        <v>144.27248878511256</v>
      </c>
      <c r="O34" s="339">
        <f t="shared" si="30"/>
        <v>145.86703569584648</v>
      </c>
      <c r="P34" s="339">
        <f t="shared" si="30"/>
        <v>147.51730403916127</v>
      </c>
      <c r="Q34" s="339">
        <f t="shared" si="30"/>
        <v>149.23502542514763</v>
      </c>
      <c r="R34" s="339">
        <f t="shared" si="30"/>
        <v>150.96263171454072</v>
      </c>
      <c r="S34" s="339">
        <f t="shared" si="30"/>
        <v>152.65111171008627</v>
      </c>
      <c r="T34" s="339">
        <f t="shared" si="30"/>
        <v>154.35847694009669</v>
      </c>
      <c r="U34" s="339">
        <f t="shared" si="30"/>
        <v>156.08493863128572</v>
      </c>
      <c r="V34" s="339">
        <f t="shared" si="30"/>
        <v>157.83071037288619</v>
      </c>
      <c r="W34" s="339">
        <f t="shared" si="30"/>
        <v>159.59600814307399</v>
      </c>
      <c r="X34" s="339">
        <f t="shared" si="30"/>
        <v>161.38105033568797</v>
      </c>
      <c r="Y34" s="342">
        <f>SUM(E34:X34)</f>
        <v>2541.2683422994755</v>
      </c>
      <c r="Z34" s="6">
        <f>VLOOKUP(CostByType_Details!$A34,EnergyCalculations!$B$4:$I$22,CostByType_Details!Z$22,FALSE)/Z$23</f>
        <v>6.9252077562326868E-3</v>
      </c>
      <c r="AA34" s="6">
        <f>VLOOKUP(CostByType_Details!$A34,EnergyCalculations!$B$4:$I$22,CostByType_Details!AA$22,FALSE)/AA$23</f>
        <v>0</v>
      </c>
      <c r="AB34" s="6">
        <f>VLOOKUP(CostByType_Details!$A34,EnergyCalculations!$B$4:$I$22,CostByType_Details!AB$22,FALSE)/AB$23</f>
        <v>1.358695652173913E-2</v>
      </c>
      <c r="AC34" s="6">
        <f>VLOOKUP(CostByType_Details!$A34,EnergyCalculations!$B$4:$I$22,CostByType_Details!AC$22,FALSE)/AC$23</f>
        <v>6.793478260869565E-3</v>
      </c>
      <c r="AD34" s="339">
        <f>E34</f>
        <v>6.4504196926389348</v>
      </c>
      <c r="AE34" s="339">
        <f t="shared" si="29"/>
        <v>26.189045733091685</v>
      </c>
      <c r="AF34" s="339">
        <f t="shared" si="29"/>
        <v>26.892155846581694</v>
      </c>
      <c r="AG34" s="339">
        <f t="shared" si="29"/>
        <v>27.575448674726395</v>
      </c>
      <c r="AH34" s="339">
        <f t="shared" si="29"/>
        <v>28.335715331675274</v>
      </c>
      <c r="AI34" s="339">
        <f t="shared" si="29"/>
        <v>22.105756235076711</v>
      </c>
      <c r="AJ34" s="339">
        <f>L34-J34</f>
        <v>3.3839448161347434</v>
      </c>
      <c r="AK34" s="339">
        <f>N34-L34</f>
        <v>3.3400024551871184</v>
      </c>
      <c r="AL34" s="339">
        <f>P34-N34</f>
        <v>3.2448152540487172</v>
      </c>
      <c r="AM34" s="339">
        <f>R34-P34</f>
        <v>3.4453276753794455</v>
      </c>
      <c r="AN34" s="339">
        <f>T34-R34</f>
        <v>3.3958452255559735</v>
      </c>
      <c r="AO34" s="339">
        <f>V34-T34</f>
        <v>3.4722334327894941</v>
      </c>
      <c r="AP34" s="339">
        <f>X34-V34</f>
        <v>3.550339962801786</v>
      </c>
      <c r="AQ34" s="6">
        <v>1</v>
      </c>
      <c r="AR34" s="6">
        <v>0</v>
      </c>
      <c r="AS34" s="6">
        <v>1</v>
      </c>
      <c r="AT34" s="6">
        <v>1</v>
      </c>
      <c r="AU34" s="70" t="str">
        <f>VLOOKUP($A34,CostByType_Summary!$C$3:$T$21,18, FALSE)</f>
        <v>Bin 1</v>
      </c>
      <c r="AV34" s="70">
        <f>VLOOKUP($A34,EnergyCalculations!$B$3:$Q$22,AV$30,FALSE)</f>
        <v>6.9252077562326868E-3</v>
      </c>
      <c r="AW34" s="70">
        <f>VLOOKUP($A34,EnergyCalculations!$B$3:$Q$22,AW$30,FALSE)</f>
        <v>0</v>
      </c>
      <c r="AX34" s="70">
        <f>VLOOKUP($A34,EnergyCalculations!$B$3:$Q$22,AX$30,FALSE)</f>
        <v>1.358695652173913E-2</v>
      </c>
      <c r="AY34" s="70">
        <f>VLOOKUP($A34,EnergyCalculations!$B$3:$Q$22,AY$30,FALSE)</f>
        <v>6.793478260869565E-3</v>
      </c>
      <c r="BA34" t="s">
        <v>267</v>
      </c>
      <c r="BB34">
        <v>0</v>
      </c>
      <c r="BC34" s="70">
        <v>1</v>
      </c>
    </row>
    <row r="35" spans="1:58">
      <c r="A35" s="201" t="s">
        <v>320</v>
      </c>
      <c r="B35" s="272">
        <f>B131</f>
        <v>27.203177802245058</v>
      </c>
      <c r="C35" s="272">
        <f>B136</f>
        <v>1.9042112659217718</v>
      </c>
      <c r="D35" s="339" t="s">
        <v>441</v>
      </c>
      <c r="E35" s="339">
        <f t="shared" ref="E35:X35" si="31">C141/1000</f>
        <v>25.801678770555743</v>
      </c>
      <c r="F35" s="339">
        <f t="shared" si="31"/>
        <v>130.55786170292248</v>
      </c>
      <c r="G35" s="339">
        <f t="shared" si="31"/>
        <v>238.12648508924923</v>
      </c>
      <c r="H35" s="339">
        <f t="shared" si="31"/>
        <v>348.42827978815484</v>
      </c>
      <c r="I35" s="339">
        <f t="shared" si="31"/>
        <v>461.77114111485594</v>
      </c>
      <c r="J35" s="339">
        <f t="shared" si="31"/>
        <v>550.19416605516278</v>
      </c>
      <c r="K35" s="339">
        <f t="shared" si="31"/>
        <v>557.00757114508804</v>
      </c>
      <c r="L35" s="339">
        <f t="shared" si="31"/>
        <v>563.72994531970176</v>
      </c>
      <c r="M35" s="339">
        <f t="shared" si="31"/>
        <v>570.4291130405087</v>
      </c>
      <c r="N35" s="339">
        <f t="shared" si="31"/>
        <v>577.08995514045023</v>
      </c>
      <c r="O35" s="339">
        <f t="shared" si="31"/>
        <v>583.46814278338582</v>
      </c>
      <c r="P35" s="339">
        <f t="shared" si="31"/>
        <v>590.0692161566451</v>
      </c>
      <c r="Q35" s="339">
        <f t="shared" si="31"/>
        <v>596.9401017005905</v>
      </c>
      <c r="R35" s="339">
        <f t="shared" si="31"/>
        <v>603.85052685816288</v>
      </c>
      <c r="S35" s="339">
        <f t="shared" si="31"/>
        <v>610.60444684034508</v>
      </c>
      <c r="T35" s="339">
        <f t="shared" si="31"/>
        <v>617.43390776038677</v>
      </c>
      <c r="U35" s="339">
        <f t="shared" si="31"/>
        <v>624.33975452514289</v>
      </c>
      <c r="V35" s="339">
        <f t="shared" si="31"/>
        <v>631.32284149154475</v>
      </c>
      <c r="W35" s="339">
        <f t="shared" si="31"/>
        <v>638.38403257229595</v>
      </c>
      <c r="X35" s="339">
        <f t="shared" si="31"/>
        <v>645.52420134275189</v>
      </c>
      <c r="Y35" s="342">
        <f t="shared" si="14"/>
        <v>10165.073369197902</v>
      </c>
      <c r="Z35" s="6">
        <f>VLOOKUP(CostByType_Details!$A35,EnergyCalculations!$B$4:$I$22,CostByType_Details!Z$22,FALSE)/Z$23</f>
        <v>6.9252077562326868E-3</v>
      </c>
      <c r="AA35" s="6">
        <f>VLOOKUP(CostByType_Details!$A35,EnergyCalculations!$B$4:$I$22,CostByType_Details!AA$22,FALSE)/AA$23</f>
        <v>0</v>
      </c>
      <c r="AB35" s="6">
        <f>VLOOKUP(CostByType_Details!$A35,EnergyCalculations!$B$4:$I$22,CostByType_Details!AB$22,FALSE)/AB$23</f>
        <v>1.358695652173913E-2</v>
      </c>
      <c r="AC35" s="6">
        <f>VLOOKUP(CostByType_Details!$A35,EnergyCalculations!$B$4:$I$22,CostByType_Details!AC$22,FALSE)/AC$23</f>
        <v>6.793478260869565E-3</v>
      </c>
      <c r="AD35" s="339">
        <f t="shared" si="15"/>
        <v>25.801678770555743</v>
      </c>
      <c r="AE35" s="339">
        <f t="shared" si="16"/>
        <v>104.75618293236674</v>
      </c>
      <c r="AF35" s="339">
        <f t="shared" si="17"/>
        <v>107.56862338632675</v>
      </c>
      <c r="AG35" s="339">
        <f t="shared" si="18"/>
        <v>110.30179469890561</v>
      </c>
      <c r="AH35" s="339">
        <f t="shared" si="19"/>
        <v>113.3428613267011</v>
      </c>
      <c r="AI35" s="339">
        <f t="shared" si="20"/>
        <v>88.423024940306846</v>
      </c>
      <c r="AJ35" s="339">
        <f t="shared" si="21"/>
        <v>13.535779264538974</v>
      </c>
      <c r="AK35" s="339">
        <f t="shared" si="22"/>
        <v>13.360009820748473</v>
      </c>
      <c r="AL35" s="339">
        <f t="shared" si="23"/>
        <v>12.979261016194869</v>
      </c>
      <c r="AM35" s="339">
        <f t="shared" si="24"/>
        <v>13.781310701517782</v>
      </c>
      <c r="AN35" s="339">
        <f t="shared" si="25"/>
        <v>13.583380902223894</v>
      </c>
      <c r="AO35" s="339">
        <f t="shared" si="26"/>
        <v>13.888933731157977</v>
      </c>
      <c r="AP35" s="339">
        <f t="shared" si="27"/>
        <v>14.201359851207144</v>
      </c>
      <c r="AQ35" s="6">
        <v>1</v>
      </c>
      <c r="AR35" s="6">
        <v>0</v>
      </c>
      <c r="AS35" s="6">
        <v>1</v>
      </c>
      <c r="AT35" s="6">
        <v>1</v>
      </c>
      <c r="AU35" s="70" t="str">
        <f>VLOOKUP($A35,CostByType_Summary!$C$3:$T$21,18, FALSE)</f>
        <v>Bin 1</v>
      </c>
      <c r="AV35" s="70">
        <f>VLOOKUP($A35,EnergyCalculations!$B$3:$Q$22,AV$30,FALSE)</f>
        <v>6.9252077562326868E-3</v>
      </c>
      <c r="AW35" s="70">
        <f>VLOOKUP($A35,EnergyCalculations!$B$3:$Q$22,AW$30,FALSE)</f>
        <v>0</v>
      </c>
      <c r="AX35" s="70">
        <f>VLOOKUP($A35,EnergyCalculations!$B$3:$Q$22,AX$30,FALSE)</f>
        <v>1.358695652173913E-2</v>
      </c>
      <c r="AY35" s="70">
        <f>VLOOKUP($A35,EnergyCalculations!$B$3:$Q$22,AY$30,FALSE)</f>
        <v>6.793478260869565E-3</v>
      </c>
      <c r="BA35" t="s">
        <v>271</v>
      </c>
      <c r="BB35">
        <v>0.2</v>
      </c>
      <c r="BC35" s="70">
        <v>1</v>
      </c>
      <c r="BE35">
        <v>22.180535849954033</v>
      </c>
      <c r="BF35">
        <f>BE35/2</f>
        <v>11.090267924977017</v>
      </c>
    </row>
    <row r="36" spans="1:58">
      <c r="A36" s="401" t="s">
        <v>301</v>
      </c>
      <c r="B36" s="272">
        <f>B73</f>
        <v>11.201308506806788</v>
      </c>
      <c r="C36" s="272">
        <f>B76</f>
        <v>23.94843724411232</v>
      </c>
      <c r="D36" s="339" t="s">
        <v>441</v>
      </c>
      <c r="E36" s="339">
        <f t="shared" ref="E36:X36" si="32">C79/1000</f>
        <v>1.3546225098887152</v>
      </c>
      <c r="F36" s="339">
        <f t="shared" si="32"/>
        <v>6.1690155082772007</v>
      </c>
      <c r="G36" s="339">
        <f t="shared" si="32"/>
        <v>10.001566170048978</v>
      </c>
      <c r="H36" s="339">
        <f t="shared" si="32"/>
        <v>12.80506421911671</v>
      </c>
      <c r="I36" s="339">
        <f t="shared" si="32"/>
        <v>14.546160063468829</v>
      </c>
      <c r="J36" s="339">
        <f t="shared" si="32"/>
        <v>17.331556030337794</v>
      </c>
      <c r="K36" s="339">
        <f t="shared" si="32"/>
        <v>17.546183736989242</v>
      </c>
      <c r="L36" s="339">
        <f t="shared" si="32"/>
        <v>17.757943897042505</v>
      </c>
      <c r="M36" s="339">
        <f t="shared" si="32"/>
        <v>17.968973035250698</v>
      </c>
      <c r="N36" s="339">
        <f t="shared" si="32"/>
        <v>18.178794885765921</v>
      </c>
      <c r="O36" s="339">
        <f t="shared" si="32"/>
        <v>18.379712894944635</v>
      </c>
      <c r="P36" s="339">
        <f t="shared" si="32"/>
        <v>18.58765198279302</v>
      </c>
      <c r="Q36" s="339">
        <f t="shared" si="32"/>
        <v>18.804090369693306</v>
      </c>
      <c r="R36" s="339">
        <f t="shared" si="32"/>
        <v>19.021774286028972</v>
      </c>
      <c r="S36" s="339">
        <f t="shared" si="32"/>
        <v>19.234528164236895</v>
      </c>
      <c r="T36" s="339">
        <f t="shared" si="32"/>
        <v>19.449661642371289</v>
      </c>
      <c r="U36" s="339">
        <f t="shared" si="32"/>
        <v>19.667201335673489</v>
      </c>
      <c r="V36" s="339">
        <f t="shared" si="32"/>
        <v>19.887174157069744</v>
      </c>
      <c r="W36" s="339">
        <f t="shared" si="32"/>
        <v>20.109607320500803</v>
      </c>
      <c r="X36" s="339">
        <f t="shared" si="32"/>
        <v>20.334528344288646</v>
      </c>
      <c r="Y36" s="342">
        <f>SUM(E36:X36)</f>
        <v>327.13581055378739</v>
      </c>
      <c r="Z36" s="6">
        <f>VLOOKUP(CostByType_Details!$A36,EnergyCalculations!$B$4:$I$22,CostByType_Details!Z$22,FALSE)/Z$23</f>
        <v>0</v>
      </c>
      <c r="AA36" s="6">
        <f>VLOOKUP(CostByType_Details!$A36,EnergyCalculations!$B$4:$I$22,CostByType_Details!AA$22,FALSE)/AA$23</f>
        <v>0</v>
      </c>
      <c r="AB36" s="6">
        <f>VLOOKUP(CostByType_Details!$A36,EnergyCalculations!$B$4:$I$22,CostByType_Details!AB$22,FALSE)/AB$23</f>
        <v>2.2644927536231884E-2</v>
      </c>
      <c r="AC36" s="6">
        <f>VLOOKUP(CostByType_Details!$A36,EnergyCalculations!$B$4:$I$22,CostByType_Details!AC$22,FALSE)/AC$23</f>
        <v>0</v>
      </c>
      <c r="AD36" s="339">
        <f>E36</f>
        <v>1.3546225098887152</v>
      </c>
      <c r="AE36" s="339">
        <f>F36-E36</f>
        <v>4.8143929983884854</v>
      </c>
      <c r="AF36" s="339">
        <f>G36-F36</f>
        <v>3.8325506617717773</v>
      </c>
      <c r="AG36" s="339">
        <f>H36-G36</f>
        <v>2.8034980490677324</v>
      </c>
      <c r="AH36" s="339">
        <f>I36-H36</f>
        <v>1.7410958443521185</v>
      </c>
      <c r="AI36" s="339">
        <f>J36-I36</f>
        <v>2.7853959668689647</v>
      </c>
      <c r="AJ36" s="339">
        <f>L36-J36</f>
        <v>0.42638786670471163</v>
      </c>
      <c r="AK36" s="339">
        <f>N36-L36</f>
        <v>0.42085098872341575</v>
      </c>
      <c r="AL36" s="339">
        <f>P36-N36</f>
        <v>0.4088570970270986</v>
      </c>
      <c r="AM36" s="339">
        <f>R36-P36</f>
        <v>0.43412230323595224</v>
      </c>
      <c r="AN36" s="339">
        <f>T36-R36</f>
        <v>0.42788735634231756</v>
      </c>
      <c r="AO36" s="339">
        <f>V36-T36</f>
        <v>0.43751251469845442</v>
      </c>
      <c r="AP36" s="339">
        <f>X36-V36</f>
        <v>0.44735418721890241</v>
      </c>
      <c r="AQ36" s="6">
        <v>0.2</v>
      </c>
      <c r="AR36" s="6">
        <v>0</v>
      </c>
      <c r="AS36" s="6">
        <v>1</v>
      </c>
      <c r="AT36" s="6">
        <v>0.2</v>
      </c>
      <c r="AU36" s="70" t="str">
        <f>VLOOKUP($A36,CostByType_Summary!$C$3:$T$21,18, FALSE)</f>
        <v>Bin 2</v>
      </c>
      <c r="AV36" s="70">
        <f>VLOOKUP($A36,EnergyCalculations!$B$3:$Q$22,AV$30,FALSE)</f>
        <v>0</v>
      </c>
      <c r="AW36" s="70">
        <f>VLOOKUP($A36,EnergyCalculations!$B$3:$Q$22,AW$30,FALSE)</f>
        <v>0</v>
      </c>
      <c r="AX36" s="70">
        <f>VLOOKUP($A36,EnergyCalculations!$B$3:$Q$22,AX$30,FALSE)</f>
        <v>2.2644927536231884E-2</v>
      </c>
      <c r="AY36" s="70">
        <f>VLOOKUP($A36,EnergyCalculations!$B$3:$Q$22,AY$30,FALSE)</f>
        <v>0</v>
      </c>
      <c r="BA36" t="s">
        <v>277</v>
      </c>
      <c r="BB36">
        <v>0</v>
      </c>
      <c r="BC36" s="70">
        <v>1</v>
      </c>
      <c r="BE36">
        <v>9.0696942101038314</v>
      </c>
      <c r="BF36" s="70">
        <f t="shared" ref="BF36:BF38" si="33">BE36/2</f>
        <v>4.5348471050519157</v>
      </c>
    </row>
    <row r="37" spans="1:58">
      <c r="A37" s="401" t="s">
        <v>323</v>
      </c>
      <c r="B37" s="272">
        <f>B133</f>
        <v>35.2041124499642</v>
      </c>
      <c r="C37" s="272">
        <f>B138</f>
        <v>7.6168450636870881</v>
      </c>
      <c r="D37" s="339" t="s">
        <v>441</v>
      </c>
      <c r="E37" s="339">
        <f t="shared" ref="E37:X37" si="34">C143/1000</f>
        <v>4.7180212609016214</v>
      </c>
      <c r="F37" s="339">
        <f t="shared" si="34"/>
        <v>23.873437568534399</v>
      </c>
      <c r="G37" s="339">
        <f t="shared" si="34"/>
        <v>43.54312870203416</v>
      </c>
      <c r="H37" s="339">
        <f t="shared" si="34"/>
        <v>63.712599732691181</v>
      </c>
      <c r="I37" s="339">
        <f t="shared" si="34"/>
        <v>84.438151518145091</v>
      </c>
      <c r="J37" s="339">
        <f t="shared" si="34"/>
        <v>100.60693322151549</v>
      </c>
      <c r="K37" s="339">
        <f t="shared" si="34"/>
        <v>101.85281300938755</v>
      </c>
      <c r="L37" s="339">
        <f t="shared" si="34"/>
        <v>103.08204714417406</v>
      </c>
      <c r="M37" s="339">
        <f t="shared" si="34"/>
        <v>104.30703781312158</v>
      </c>
      <c r="N37" s="339">
        <f t="shared" si="34"/>
        <v>105.5250203685395</v>
      </c>
      <c r="O37" s="339">
        <f t="shared" si="34"/>
        <v>106.69131753753344</v>
      </c>
      <c r="P37" s="339">
        <f t="shared" si="34"/>
        <v>107.89837095435799</v>
      </c>
      <c r="Q37" s="339">
        <f t="shared" si="34"/>
        <v>109.15476145382229</v>
      </c>
      <c r="R37" s="339">
        <f t="shared" si="34"/>
        <v>110.41838205406408</v>
      </c>
      <c r="S37" s="339">
        <f t="shared" si="34"/>
        <v>111.65338456509171</v>
      </c>
      <c r="T37" s="339">
        <f t="shared" si="34"/>
        <v>112.90220027618501</v>
      </c>
      <c r="U37" s="339">
        <f t="shared" si="34"/>
        <v>114.16498368459756</v>
      </c>
      <c r="V37" s="339">
        <f t="shared" si="34"/>
        <v>115.44189101559675</v>
      </c>
      <c r="W37" s="339">
        <f t="shared" si="34"/>
        <v>116.73308024179127</v>
      </c>
      <c r="X37" s="339">
        <f t="shared" si="34"/>
        <v>118.03871110267465</v>
      </c>
      <c r="Y37" s="342">
        <f t="shared" si="14"/>
        <v>1858.7562732247593</v>
      </c>
      <c r="Z37" s="6">
        <f>VLOOKUP(CostByType_Details!$A37,EnergyCalculations!$B$4:$I$22,CostByType_Details!Z$22,FALSE)/Z$23</f>
        <v>0</v>
      </c>
      <c r="AA37" s="6">
        <f>VLOOKUP(CostByType_Details!$A37,EnergyCalculations!$B$4:$I$22,CostByType_Details!AA$22,FALSE)/AA$23</f>
        <v>0</v>
      </c>
      <c r="AB37" s="6">
        <f>VLOOKUP(CostByType_Details!$A37,EnergyCalculations!$B$4:$I$22,CostByType_Details!AB$22,FALSE)/AB$23</f>
        <v>0</v>
      </c>
      <c r="AC37" s="6">
        <f>VLOOKUP(CostByType_Details!$A37,EnergyCalculations!$B$4:$I$22,CostByType_Details!AC$22,FALSE)/AC$23</f>
        <v>0</v>
      </c>
      <c r="AD37" s="339">
        <f t="shared" si="15"/>
        <v>4.7180212609016214</v>
      </c>
      <c r="AE37" s="339">
        <f t="shared" si="16"/>
        <v>19.155416307632777</v>
      </c>
      <c r="AF37" s="339">
        <f t="shared" si="17"/>
        <v>19.669691133499761</v>
      </c>
      <c r="AG37" s="339">
        <f t="shared" si="18"/>
        <v>20.169471030657022</v>
      </c>
      <c r="AH37" s="339">
        <f t="shared" si="19"/>
        <v>20.725551785453909</v>
      </c>
      <c r="AI37" s="339">
        <f t="shared" si="20"/>
        <v>16.168781703370399</v>
      </c>
      <c r="AJ37" s="339">
        <f t="shared" si="21"/>
        <v>2.475113922658565</v>
      </c>
      <c r="AK37" s="339">
        <f t="shared" si="22"/>
        <v>2.4429732243654456</v>
      </c>
      <c r="AL37" s="339">
        <f t="shared" si="23"/>
        <v>2.3733505858184856</v>
      </c>
      <c r="AM37" s="339">
        <f t="shared" si="24"/>
        <v>2.520011099706096</v>
      </c>
      <c r="AN37" s="339">
        <f t="shared" si="25"/>
        <v>2.4838182221209308</v>
      </c>
      <c r="AO37" s="339">
        <f t="shared" si="26"/>
        <v>2.5396907394117392</v>
      </c>
      <c r="AP37" s="339">
        <f t="shared" si="27"/>
        <v>2.5968200870779015</v>
      </c>
      <c r="AQ37" s="6">
        <v>0.9</v>
      </c>
      <c r="AR37" s="6">
        <v>0</v>
      </c>
      <c r="AS37" s="6">
        <v>1</v>
      </c>
      <c r="AT37" s="6">
        <v>0.9</v>
      </c>
      <c r="AU37" s="70" t="str">
        <f>VLOOKUP($A37,CostByType_Summary!$C$3:$T$21,18, FALSE)</f>
        <v>Bin 2</v>
      </c>
      <c r="AV37" s="70">
        <f>VLOOKUP($A37,EnergyCalculations!$B$3:$Q$22,AV$30,FALSE)</f>
        <v>0</v>
      </c>
      <c r="AW37" s="70">
        <f>VLOOKUP($A37,EnergyCalculations!$B$3:$Q$22,AW$30,FALSE)</f>
        <v>0</v>
      </c>
      <c r="AX37" s="70">
        <f>VLOOKUP($A37,EnergyCalculations!$B$3:$Q$22,AX$30,FALSE)</f>
        <v>0</v>
      </c>
      <c r="AY37" s="70">
        <f>VLOOKUP($A37,EnergyCalculations!$B$3:$Q$22,AY$30,FALSE)</f>
        <v>0</v>
      </c>
      <c r="BA37" t="s">
        <v>202</v>
      </c>
      <c r="BB37">
        <v>0.9</v>
      </c>
      <c r="BC37" s="70">
        <v>1</v>
      </c>
      <c r="BE37">
        <v>16.560068236441118</v>
      </c>
      <c r="BF37" s="70">
        <f t="shared" si="33"/>
        <v>8.2800341182205592</v>
      </c>
    </row>
    <row r="38" spans="1:58">
      <c r="A38" s="401" t="s">
        <v>235</v>
      </c>
      <c r="B38" s="272">
        <f>B57</f>
        <v>11.231954262761777</v>
      </c>
      <c r="C38" s="272">
        <f>B62</f>
        <v>43.731221400014952</v>
      </c>
      <c r="D38" s="339" t="s">
        <v>441</v>
      </c>
      <c r="E38" s="339">
        <f t="shared" ref="E38:X38" si="35">C67/1000</f>
        <v>21.419064523704378</v>
      </c>
      <c r="F38" s="339">
        <f t="shared" si="35"/>
        <v>97.83598711333218</v>
      </c>
      <c r="G38" s="339">
        <f t="shared" si="35"/>
        <v>158.84054286422855</v>
      </c>
      <c r="H38" s="339">
        <f t="shared" si="35"/>
        <v>203.65010278381524</v>
      </c>
      <c r="I38" s="339">
        <f t="shared" si="35"/>
        <v>231.49549352907454</v>
      </c>
      <c r="J38" s="339">
        <f t="shared" si="35"/>
        <v>276.07226153066995</v>
      </c>
      <c r="K38" s="339">
        <f t="shared" si="35"/>
        <v>279.77242002533995</v>
      </c>
      <c r="L38" s="339">
        <f t="shared" si="35"/>
        <v>283.45273223008502</v>
      </c>
      <c r="M38" s="339">
        <f t="shared" si="35"/>
        <v>287.09784764718751</v>
      </c>
      <c r="N38" s="339">
        <f t="shared" si="35"/>
        <v>290.72481788492996</v>
      </c>
      <c r="O38" s="339">
        <f t="shared" si="35"/>
        <v>294.31100197174504</v>
      </c>
      <c r="P38" s="339">
        <f t="shared" si="35"/>
        <v>297.83578406769004</v>
      </c>
      <c r="Q38" s="339">
        <f t="shared" si="35"/>
        <v>301.28450221979995</v>
      </c>
      <c r="R38" s="339">
        <f t="shared" si="35"/>
        <v>304.67485607847755</v>
      </c>
      <c r="S38" s="339">
        <f t="shared" si="35"/>
        <v>308.03483296278</v>
      </c>
      <c r="T38" s="339">
        <f t="shared" si="35"/>
        <v>311.43186392108242</v>
      </c>
      <c r="U38" s="339">
        <f t="shared" si="35"/>
        <v>314.86635758845802</v>
      </c>
      <c r="V38" s="339">
        <f t="shared" si="35"/>
        <v>318.33872710643766</v>
      </c>
      <c r="W38" s="339">
        <f t="shared" si="35"/>
        <v>321.84939017270796</v>
      </c>
      <c r="X38" s="339">
        <f t="shared" si="35"/>
        <v>325.3987690913562</v>
      </c>
      <c r="Y38" s="342">
        <f>SUM(E38:X38)</f>
        <v>5228.3873553129024</v>
      </c>
      <c r="Z38" s="6">
        <f>VLOOKUP(CostByType_Details!$A38,EnergyCalculations!$B$4:$I$22,CostByType_Details!Z$22,FALSE)/Z$23</f>
        <v>1.1542012927054479E-2</v>
      </c>
      <c r="AA38" s="6">
        <f>VLOOKUP(CostByType_Details!$A38,EnergyCalculations!$B$4:$I$22,CostByType_Details!AA$22,FALSE)/AA$23</f>
        <v>0</v>
      </c>
      <c r="AB38" s="6">
        <f>VLOOKUP(CostByType_Details!$A38,EnergyCalculations!$B$4:$I$22,CostByType_Details!AB$22,FALSE)/AB$23</f>
        <v>0</v>
      </c>
      <c r="AC38" s="6">
        <f>VLOOKUP(CostByType_Details!$A38,EnergyCalculations!$B$4:$I$22,CostByType_Details!AC$22,FALSE)/AC$23</f>
        <v>1.1322463768115942E-2</v>
      </c>
      <c r="AD38" s="339">
        <f>E38</f>
        <v>21.419064523704378</v>
      </c>
      <c r="AE38" s="339">
        <f>F38-E38</f>
        <v>76.416922589627802</v>
      </c>
      <c r="AF38" s="339">
        <f>G38-F38</f>
        <v>61.004555750896373</v>
      </c>
      <c r="AG38" s="339">
        <f>H38-G38</f>
        <v>44.80955991958669</v>
      </c>
      <c r="AH38" s="339">
        <f>I38-H38</f>
        <v>27.845390745259294</v>
      </c>
      <c r="AI38" s="339">
        <f>J38-I38</f>
        <v>44.576768001595411</v>
      </c>
      <c r="AJ38" s="339">
        <f>L38-J38</f>
        <v>7.3804706994150706</v>
      </c>
      <c r="AK38" s="339">
        <f>N38-L38</f>
        <v>7.2720856548449433</v>
      </c>
      <c r="AL38" s="339">
        <f>P38-N38</f>
        <v>7.1109661827600803</v>
      </c>
      <c r="AM38" s="339">
        <f>R38-P38</f>
        <v>6.839072010787504</v>
      </c>
      <c r="AN38" s="339">
        <f>T38-R38</f>
        <v>6.7570078426048781</v>
      </c>
      <c r="AO38" s="339">
        <f>V38-T38</f>
        <v>6.9068631853552347</v>
      </c>
      <c r="AP38" s="339">
        <f>X38-V38</f>
        <v>7.0600419849185414</v>
      </c>
      <c r="AQ38" s="6">
        <v>1</v>
      </c>
      <c r="AR38" s="6">
        <v>0</v>
      </c>
      <c r="AS38" s="6">
        <v>0</v>
      </c>
      <c r="AT38" s="6">
        <v>1</v>
      </c>
      <c r="AU38" s="70" t="str">
        <f>VLOOKUP($A38,CostByType_Summary!$C$3:$T$21,18, FALSE)</f>
        <v>Bin 2</v>
      </c>
      <c r="AV38" s="70">
        <f>VLOOKUP($A38,EnergyCalculations!$B$3:$Q$22,AV$30,FALSE)</f>
        <v>1.1542012927054479E-2</v>
      </c>
      <c r="AW38" s="70">
        <f>VLOOKUP($A38,EnergyCalculations!$B$3:$Q$22,AW$30,FALSE)</f>
        <v>0</v>
      </c>
      <c r="AX38" s="70">
        <f>VLOOKUP($A38,EnergyCalculations!$B$3:$Q$22,AX$30,FALSE)</f>
        <v>0</v>
      </c>
      <c r="AY38" s="70">
        <f>VLOOKUP($A38,EnergyCalculations!$B$3:$Q$22,AY$30,FALSE)</f>
        <v>1.1322463768115942E-2</v>
      </c>
      <c r="BA38" t="s">
        <v>270</v>
      </c>
      <c r="BB38">
        <v>0.2</v>
      </c>
      <c r="BC38" s="70">
        <v>1</v>
      </c>
      <c r="BE38">
        <v>35.204112449964185</v>
      </c>
      <c r="BF38" s="70">
        <f t="shared" si="33"/>
        <v>17.602056224982093</v>
      </c>
    </row>
    <row r="39" spans="1:58">
      <c r="A39" s="355" t="s">
        <v>342</v>
      </c>
      <c r="B39" s="272">
        <f>B117</f>
        <v>-4.8005607886314792</v>
      </c>
      <c r="C39" s="272">
        <f>B121</f>
        <v>59.538338914487376</v>
      </c>
      <c r="D39" s="339" t="s">
        <v>441</v>
      </c>
      <c r="E39" s="339">
        <f t="shared" ref="E39:X39" si="36">C125/1000</f>
        <v>7.9242080319844801</v>
      </c>
      <c r="F39" s="339">
        <f t="shared" si="36"/>
        <v>40.096912512748638</v>
      </c>
      <c r="G39" s="339">
        <f t="shared" si="36"/>
        <v>73.13337331855395</v>
      </c>
      <c r="H39" s="339">
        <f t="shared" si="36"/>
        <v>107.0092453216122</v>
      </c>
      <c r="I39" s="339">
        <f t="shared" si="36"/>
        <v>141.81908928874574</v>
      </c>
      <c r="J39" s="339">
        <f t="shared" si="36"/>
        <v>168.97555653551834</v>
      </c>
      <c r="K39" s="339">
        <f t="shared" si="36"/>
        <v>171.06808856875804</v>
      </c>
      <c r="L39" s="339">
        <f t="shared" si="36"/>
        <v>173.13266319981921</v>
      </c>
      <c r="M39" s="339">
        <f t="shared" si="36"/>
        <v>175.190110667982</v>
      </c>
      <c r="N39" s="339">
        <f t="shared" si="36"/>
        <v>177.23578757674082</v>
      </c>
      <c r="O39" s="339">
        <f t="shared" si="36"/>
        <v>179.19465568757599</v>
      </c>
      <c r="P39" s="339">
        <f t="shared" si="36"/>
        <v>181.22197643322426</v>
      </c>
      <c r="Q39" s="339">
        <f t="shared" si="36"/>
        <v>183.33216185558953</v>
      </c>
      <c r="R39" s="339">
        <f t="shared" si="36"/>
        <v>185.45449067864863</v>
      </c>
      <c r="S39" s="339">
        <f t="shared" si="36"/>
        <v>187.52875365378748</v>
      </c>
      <c r="T39" s="339">
        <f t="shared" si="36"/>
        <v>189.62621675136216</v>
      </c>
      <c r="U39" s="339">
        <f t="shared" si="36"/>
        <v>191.74713945904986</v>
      </c>
      <c r="V39" s="339">
        <f t="shared" si="36"/>
        <v>193.89178416683356</v>
      </c>
      <c r="W39" s="339">
        <f t="shared" si="36"/>
        <v>196.06041619946393</v>
      </c>
      <c r="X39" s="339">
        <f t="shared" si="36"/>
        <v>198.25330384928387</v>
      </c>
      <c r="Y39" s="342">
        <f t="shared" si="14"/>
        <v>3121.8959337572824</v>
      </c>
      <c r="Z39" s="6">
        <f>VLOOKUP(CostByType_Details!$A39,EnergyCalculations!$B$4:$I$22,CostByType_Details!Z$22,FALSE)/Z$23</f>
        <v>6.9252077562326868E-3</v>
      </c>
      <c r="AA39" s="6">
        <f>VLOOKUP(CostByType_Details!$A39,EnergyCalculations!$B$4:$I$22,CostByType_Details!AA$22,FALSE)/AA$23</f>
        <v>0</v>
      </c>
      <c r="AB39" s="6">
        <f>VLOOKUP(CostByType_Details!$A39,EnergyCalculations!$B$4:$I$22,CostByType_Details!AB$22,FALSE)/AB$23</f>
        <v>1.358695652173913E-2</v>
      </c>
      <c r="AC39" s="6">
        <f>VLOOKUP(CostByType_Details!$A39,EnergyCalculations!$B$4:$I$22,CostByType_Details!AC$22,FALSE)/AC$23</f>
        <v>6.793478260869565E-3</v>
      </c>
      <c r="AD39" s="339">
        <f t="shared" si="15"/>
        <v>7.9242080319844801</v>
      </c>
      <c r="AE39" s="339">
        <f t="shared" si="16"/>
        <v>32.17270448076416</v>
      </c>
      <c r="AF39" s="339">
        <f t="shared" si="17"/>
        <v>33.036460805805312</v>
      </c>
      <c r="AG39" s="339">
        <f t="shared" si="18"/>
        <v>33.875872003058248</v>
      </c>
      <c r="AH39" s="339">
        <f t="shared" si="19"/>
        <v>34.809843967133546</v>
      </c>
      <c r="AI39" s="339">
        <f t="shared" si="20"/>
        <v>27.156467246772593</v>
      </c>
      <c r="AJ39" s="339">
        <f t="shared" si="21"/>
        <v>4.1571066643008692</v>
      </c>
      <c r="AK39" s="339">
        <f t="shared" si="22"/>
        <v>4.1031243769216132</v>
      </c>
      <c r="AL39" s="339">
        <f t="shared" si="23"/>
        <v>3.9861888564834373</v>
      </c>
      <c r="AM39" s="339">
        <f t="shared" si="24"/>
        <v>4.2325142454243689</v>
      </c>
      <c r="AN39" s="339">
        <f t="shared" si="25"/>
        <v>4.1717260727135397</v>
      </c>
      <c r="AO39" s="339">
        <f t="shared" si="26"/>
        <v>4.265567415471395</v>
      </c>
      <c r="AP39" s="339">
        <f t="shared" si="27"/>
        <v>4.3615196824503073</v>
      </c>
      <c r="AQ39" s="6">
        <v>1</v>
      </c>
      <c r="AR39" s="6">
        <v>0</v>
      </c>
      <c r="AS39" s="6">
        <v>1</v>
      </c>
      <c r="AT39" s="6">
        <v>1</v>
      </c>
      <c r="AU39" s="70" t="str">
        <f>VLOOKUP($A39,CostByType_Summary!$C$3:$T$21,18, FALSE)</f>
        <v>Bin 2</v>
      </c>
      <c r="AV39" s="70">
        <f>VLOOKUP($A39,EnergyCalculations!$B$3:$Q$22,AV$30,FALSE)</f>
        <v>6.9252077562326868E-3</v>
      </c>
      <c r="AW39" s="70">
        <f>VLOOKUP($A39,EnergyCalculations!$B$3:$Q$22,AW$30,FALSE)</f>
        <v>0</v>
      </c>
      <c r="AX39" s="70">
        <f>VLOOKUP($A39,EnergyCalculations!$B$3:$Q$22,AX$30,FALSE)</f>
        <v>1.358695652173913E-2</v>
      </c>
      <c r="AY39" s="70">
        <f>VLOOKUP($A39,EnergyCalculations!$B$3:$Q$22,AY$30,FALSE)</f>
        <v>6.793478260869565E-3</v>
      </c>
      <c r="BA39" t="s">
        <v>292</v>
      </c>
      <c r="BB39">
        <v>1</v>
      </c>
      <c r="BC39" s="70">
        <v>1</v>
      </c>
    </row>
    <row r="40" spans="1:58">
      <c r="A40" s="355" t="s">
        <v>322</v>
      </c>
      <c r="B40" s="272">
        <f>B130</f>
        <v>-0.80009346477191334</v>
      </c>
      <c r="C40" s="272">
        <f>B135</f>
        <v>59.53833891448739</v>
      </c>
      <c r="D40" s="339" t="s">
        <v>441</v>
      </c>
      <c r="E40" s="339">
        <f t="shared" ref="E40:X40" si="37">C140/1000</f>
        <v>0.22766187150490355</v>
      </c>
      <c r="F40" s="339">
        <f t="shared" si="37"/>
        <v>1.1519811326728455</v>
      </c>
      <c r="G40" s="339">
        <f t="shared" si="37"/>
        <v>2.1011160449051403</v>
      </c>
      <c r="H40" s="339">
        <f t="shared" si="37"/>
        <v>3.0743671746013659</v>
      </c>
      <c r="I40" s="339">
        <f t="shared" si="37"/>
        <v>4.0744512451310815</v>
      </c>
      <c r="J40" s="339">
        <f t="shared" si="37"/>
        <v>4.8546544063690842</v>
      </c>
      <c r="K40" s="339">
        <f t="shared" si="37"/>
        <v>4.9147726865743069</v>
      </c>
      <c r="L40" s="339">
        <f t="shared" si="37"/>
        <v>4.974087752820898</v>
      </c>
      <c r="M40" s="339">
        <f t="shared" si="37"/>
        <v>5.0331980562397822</v>
      </c>
      <c r="N40" s="339">
        <f t="shared" si="37"/>
        <v>5.0919701924157375</v>
      </c>
      <c r="O40" s="339">
        <f t="shared" si="37"/>
        <v>5.1482483186769343</v>
      </c>
      <c r="P40" s="339">
        <f t="shared" si="37"/>
        <v>5.2064930837351042</v>
      </c>
      <c r="Q40" s="339">
        <f t="shared" si="37"/>
        <v>5.2671185444169746</v>
      </c>
      <c r="R40" s="339">
        <f t="shared" si="37"/>
        <v>5.3280928840426141</v>
      </c>
      <c r="S40" s="339">
        <f t="shared" si="37"/>
        <v>5.3876862956501057</v>
      </c>
      <c r="T40" s="339">
        <f t="shared" si="37"/>
        <v>5.4479462449445881</v>
      </c>
      <c r="U40" s="339">
        <f t="shared" si="37"/>
        <v>5.5088801869865547</v>
      </c>
      <c r="V40" s="339">
        <f t="shared" si="37"/>
        <v>5.5704956602195121</v>
      </c>
      <c r="W40" s="339">
        <f t="shared" si="37"/>
        <v>5.6328002874026115</v>
      </c>
      <c r="X40" s="339">
        <f t="shared" si="37"/>
        <v>5.6958017765536937</v>
      </c>
      <c r="Y40" s="342">
        <f t="shared" si="14"/>
        <v>89.691823845863837</v>
      </c>
      <c r="Z40" s="6">
        <f>VLOOKUP(CostByType_Details!$A40,EnergyCalculations!$B$4:$I$22,CostByType_Details!Z$22,FALSE)/Z$23</f>
        <v>0</v>
      </c>
      <c r="AA40" s="6">
        <f>VLOOKUP(CostByType_Details!$A40,EnergyCalculations!$B$4:$I$22,CostByType_Details!AA$22,FALSE)/AA$23</f>
        <v>0</v>
      </c>
      <c r="AB40" s="6">
        <f>VLOOKUP(CostByType_Details!$A40,EnergyCalculations!$B$4:$I$22,CostByType_Details!AB$22,FALSE)/AB$23</f>
        <v>0</v>
      </c>
      <c r="AC40" s="6">
        <f>VLOOKUP(CostByType_Details!$A40,EnergyCalculations!$B$4:$I$22,CostByType_Details!AC$22,FALSE)/AC$23</f>
        <v>0</v>
      </c>
      <c r="AD40" s="339">
        <f t="shared" si="15"/>
        <v>0.22766187150490355</v>
      </c>
      <c r="AE40" s="339">
        <f t="shared" si="16"/>
        <v>0.92431926116794194</v>
      </c>
      <c r="AF40" s="339">
        <f t="shared" si="17"/>
        <v>0.94913491223229474</v>
      </c>
      <c r="AG40" s="339">
        <f t="shared" si="18"/>
        <v>0.97325112969622563</v>
      </c>
      <c r="AH40" s="339">
        <f t="shared" si="19"/>
        <v>1.0000840705297156</v>
      </c>
      <c r="AI40" s="339">
        <f t="shared" si="20"/>
        <v>0.78020316123800271</v>
      </c>
      <c r="AJ40" s="339">
        <f t="shared" si="21"/>
        <v>0.1194333464518138</v>
      </c>
      <c r="AK40" s="339">
        <f t="shared" si="22"/>
        <v>0.11788243959483946</v>
      </c>
      <c r="AL40" s="339">
        <f t="shared" si="23"/>
        <v>0.11452289131936677</v>
      </c>
      <c r="AM40" s="339">
        <f t="shared" si="24"/>
        <v>0.12159980030750983</v>
      </c>
      <c r="AN40" s="339">
        <f t="shared" si="25"/>
        <v>0.11985336090197407</v>
      </c>
      <c r="AO40" s="339">
        <f t="shared" si="26"/>
        <v>0.12254941527492402</v>
      </c>
      <c r="AP40" s="339">
        <f t="shared" si="27"/>
        <v>0.12530611633418154</v>
      </c>
      <c r="AQ40" s="6">
        <v>0</v>
      </c>
      <c r="AR40" s="6">
        <v>0</v>
      </c>
      <c r="AS40" s="6">
        <v>1</v>
      </c>
      <c r="AT40" s="6">
        <v>0</v>
      </c>
      <c r="AU40" s="70" t="str">
        <f>VLOOKUP($A40,CostByType_Summary!$C$3:$T$21,18, FALSE)</f>
        <v>Bin 2</v>
      </c>
      <c r="AV40" s="70">
        <f>VLOOKUP($A40,EnergyCalculations!$B$3:$Q$22,AV$30,FALSE)</f>
        <v>0</v>
      </c>
      <c r="AW40" s="70">
        <f>VLOOKUP($A40,EnergyCalculations!$B$3:$Q$22,AW$30,FALSE)</f>
        <v>0</v>
      </c>
      <c r="AX40" s="70">
        <f>VLOOKUP($A40,EnergyCalculations!$B$3:$Q$22,AX$30,FALSE)</f>
        <v>0</v>
      </c>
      <c r="AY40" s="70">
        <f>VLOOKUP($A40,EnergyCalculations!$B$3:$Q$22,AY$30,FALSE)</f>
        <v>0</v>
      </c>
    </row>
    <row r="41" spans="1:58">
      <c r="A41" s="355" t="s">
        <v>211</v>
      </c>
      <c r="B41" s="272">
        <f>B58</f>
        <v>7.2943151246671354</v>
      </c>
      <c r="C41" s="272">
        <f>B63</f>
        <v>54.474461168331693</v>
      </c>
      <c r="D41" s="339" t="s">
        <v>441</v>
      </c>
      <c r="E41" s="339">
        <f t="shared" ref="E41:X41" si="38">C68/1000</f>
        <v>22.197939597293626</v>
      </c>
      <c r="F41" s="339">
        <f t="shared" si="38"/>
        <v>112.65962152444311</v>
      </c>
      <c r="G41" s="339">
        <f t="shared" si="38"/>
        <v>205.77070325593235</v>
      </c>
      <c r="H41" s="339">
        <f t="shared" si="38"/>
        <v>301.5079443812329</v>
      </c>
      <c r="I41" s="339">
        <f t="shared" si="38"/>
        <v>399.85585245931048</v>
      </c>
      <c r="J41" s="339">
        <f t="shared" si="38"/>
        <v>476.85208809842987</v>
      </c>
      <c r="K41" s="339">
        <f t="shared" si="38"/>
        <v>483.24327095285997</v>
      </c>
      <c r="L41" s="339">
        <f t="shared" si="38"/>
        <v>489.60017385196483</v>
      </c>
      <c r="M41" s="339">
        <f t="shared" si="38"/>
        <v>495.89628229968741</v>
      </c>
      <c r="N41" s="339">
        <f t="shared" si="38"/>
        <v>502.16104907396993</v>
      </c>
      <c r="O41" s="339">
        <f t="shared" si="38"/>
        <v>508.35536704210494</v>
      </c>
      <c r="P41" s="339">
        <f t="shared" si="38"/>
        <v>514.44362702600995</v>
      </c>
      <c r="Q41" s="339">
        <f t="shared" si="38"/>
        <v>520.40050383419998</v>
      </c>
      <c r="R41" s="339">
        <f t="shared" si="38"/>
        <v>526.25656959009746</v>
      </c>
      <c r="S41" s="339">
        <f t="shared" si="38"/>
        <v>532.06016602661998</v>
      </c>
      <c r="T41" s="339">
        <f t="shared" si="38"/>
        <v>537.9277649545968</v>
      </c>
      <c r="U41" s="339">
        <f t="shared" si="38"/>
        <v>543.86007219824546</v>
      </c>
      <c r="V41" s="339">
        <f t="shared" si="38"/>
        <v>549.85780136566495</v>
      </c>
      <c r="W41" s="339">
        <f t="shared" si="38"/>
        <v>555.92167393467719</v>
      </c>
      <c r="X41" s="339">
        <f t="shared" si="38"/>
        <v>562.05241933961531</v>
      </c>
      <c r="Y41" s="342">
        <f>SUM(E41:X41)</f>
        <v>8840.8808908069586</v>
      </c>
      <c r="Z41" s="6">
        <f>VLOOKUP(CostByType_Details!$A41,EnergyCalculations!$B$4:$I$22,CostByType_Details!Z$22,FALSE)/Z$23</f>
        <v>0</v>
      </c>
      <c r="AA41" s="6">
        <f>VLOOKUP(CostByType_Details!$A41,EnergyCalculations!$B$4:$I$22,CostByType_Details!AA$22,FALSE)/AA$23</f>
        <v>0</v>
      </c>
      <c r="AB41" s="6">
        <f>VLOOKUP(CostByType_Details!$A41,EnergyCalculations!$B$4:$I$22,CostByType_Details!AB$22,FALSE)/AB$23</f>
        <v>0</v>
      </c>
      <c r="AC41" s="6">
        <f>VLOOKUP(CostByType_Details!$A41,EnergyCalculations!$B$4:$I$22,CostByType_Details!AC$22,FALSE)/AC$23</f>
        <v>0</v>
      </c>
      <c r="AD41" s="339">
        <f>E41</f>
        <v>22.197939597293626</v>
      </c>
      <c r="AE41" s="339">
        <f t="shared" ref="AE41:AI43" si="39">F41-E41</f>
        <v>90.461681927149485</v>
      </c>
      <c r="AF41" s="339">
        <f t="shared" si="39"/>
        <v>93.111081731489236</v>
      </c>
      <c r="AG41" s="339">
        <f t="shared" si="39"/>
        <v>95.737241125300557</v>
      </c>
      <c r="AH41" s="339">
        <f t="shared" si="39"/>
        <v>98.34790807807758</v>
      </c>
      <c r="AI41" s="339">
        <f t="shared" si="39"/>
        <v>76.996235639119391</v>
      </c>
      <c r="AJ41" s="339">
        <f>L41-J41</f>
        <v>12.748085753534951</v>
      </c>
      <c r="AK41" s="339">
        <f>N41-L41</f>
        <v>12.560875222005109</v>
      </c>
      <c r="AL41" s="339">
        <f>P41-N41</f>
        <v>12.282577952040015</v>
      </c>
      <c r="AM41" s="339">
        <f>R41-P41</f>
        <v>11.812942564087507</v>
      </c>
      <c r="AN41" s="339">
        <f>T41-R41</f>
        <v>11.67119536449934</v>
      </c>
      <c r="AO41" s="339">
        <f>V41-T41</f>
        <v>11.930036411068158</v>
      </c>
      <c r="AP41" s="339">
        <f>X41-V41</f>
        <v>12.194617973950358</v>
      </c>
      <c r="AQ41" s="6">
        <v>1</v>
      </c>
      <c r="AR41" s="6">
        <v>0</v>
      </c>
      <c r="AS41" s="6">
        <v>1</v>
      </c>
      <c r="AT41" s="6">
        <v>1</v>
      </c>
      <c r="AU41" s="70" t="str">
        <f>VLOOKUP($A41,CostByType_Summary!$C$3:$T$21,18, FALSE)</f>
        <v>Bin 2</v>
      </c>
      <c r="AV41" s="70">
        <f>VLOOKUP($A41,EnergyCalculations!$B$3:$Q$22,AV$30,FALSE)</f>
        <v>0</v>
      </c>
      <c r="AW41" s="70">
        <f>VLOOKUP($A41,EnergyCalculations!$B$3:$Q$22,AW$30,FALSE)</f>
        <v>0</v>
      </c>
      <c r="AX41" s="70">
        <f>VLOOKUP($A41,EnergyCalculations!$B$3:$Q$22,AX$30,FALSE)</f>
        <v>0</v>
      </c>
      <c r="AY41" s="70">
        <f>VLOOKUP($A41,EnergyCalculations!$B$3:$Q$22,AY$30,FALSE)</f>
        <v>0</v>
      </c>
    </row>
    <row r="42" spans="1:58">
      <c r="A42" s="392" t="s">
        <v>281</v>
      </c>
      <c r="B42" s="272">
        <f>B55</f>
        <v>13.103946639888749</v>
      </c>
      <c r="C42" s="272">
        <f>B60</f>
        <v>52.679302086479552</v>
      </c>
      <c r="D42" s="339" t="s">
        <v>441</v>
      </c>
      <c r="E42" s="339">
        <f t="shared" ref="E42:X42" si="40">C65/1000</f>
        <v>7.8335136711562487</v>
      </c>
      <c r="F42" s="339">
        <f t="shared" si="40"/>
        <v>35.78118650957812</v>
      </c>
      <c r="G42" s="339">
        <f t="shared" si="40"/>
        <v>58.09215256267499</v>
      </c>
      <c r="H42" s="339">
        <f t="shared" si="40"/>
        <v>74.480183881228115</v>
      </c>
      <c r="I42" s="339">
        <f t="shared" si="40"/>
        <v>84.663973599974994</v>
      </c>
      <c r="J42" s="339">
        <f t="shared" si="40"/>
        <v>100.96686680849997</v>
      </c>
      <c r="K42" s="339">
        <f t="shared" si="40"/>
        <v>102.32011181699997</v>
      </c>
      <c r="L42" s="339">
        <f t="shared" si="40"/>
        <v>103.66609851674998</v>
      </c>
      <c r="M42" s="339">
        <f t="shared" si="40"/>
        <v>104.99921282812498</v>
      </c>
      <c r="N42" s="339">
        <f t="shared" si="40"/>
        <v>106.32569097149998</v>
      </c>
      <c r="O42" s="339">
        <f t="shared" si="40"/>
        <v>107.63725254974995</v>
      </c>
      <c r="P42" s="339">
        <f t="shared" si="40"/>
        <v>108.92635780949999</v>
      </c>
      <c r="Q42" s="339">
        <f t="shared" si="40"/>
        <v>110.18764448999997</v>
      </c>
      <c r="R42" s="339">
        <f t="shared" si="40"/>
        <v>111.42758581762497</v>
      </c>
      <c r="S42" s="339">
        <f t="shared" si="40"/>
        <v>112.65641748899999</v>
      </c>
      <c r="T42" s="339">
        <f t="shared" si="40"/>
        <v>113.89880080708343</v>
      </c>
      <c r="U42" s="339">
        <f t="shared" si="40"/>
        <v>115.15488522043916</v>
      </c>
      <c r="V42" s="339">
        <f t="shared" si="40"/>
        <v>116.42482182576087</v>
      </c>
      <c r="W42" s="339">
        <f t="shared" si="40"/>
        <v>117.70876338604781</v>
      </c>
      <c r="X42" s="339">
        <f t="shared" si="40"/>
        <v>119.00686434898083</v>
      </c>
      <c r="Y42" s="342">
        <f>SUM(E42:X42)</f>
        <v>1912.1583849106744</v>
      </c>
      <c r="Z42" s="6">
        <f>VLOOKUP(CostByType_Details!$A42,EnergyCalculations!$B$4:$I$22,CostByType_Details!Z$22,FALSE)/Z$23</f>
        <v>0</v>
      </c>
      <c r="AA42" s="6">
        <f>VLOOKUP(CostByType_Details!$A42,EnergyCalculations!$B$4:$I$22,CostByType_Details!AA$22,FALSE)/AA$23</f>
        <v>0</v>
      </c>
      <c r="AB42" s="6">
        <f>VLOOKUP(CostByType_Details!$A42,EnergyCalculations!$B$4:$I$22,CostByType_Details!AB$22,FALSE)/AB$23</f>
        <v>2.2644927536231884E-2</v>
      </c>
      <c r="AC42" s="6">
        <f>VLOOKUP(CostByType_Details!$A42,EnergyCalculations!$B$4:$I$22,CostByType_Details!AC$22,FALSE)/AC$23</f>
        <v>0</v>
      </c>
      <c r="AD42" s="339">
        <f>E42</f>
        <v>7.8335136711562487</v>
      </c>
      <c r="AE42" s="339">
        <f t="shared" si="39"/>
        <v>27.947672838421873</v>
      </c>
      <c r="AF42" s="339">
        <f t="shared" si="39"/>
        <v>22.31096605309687</v>
      </c>
      <c r="AG42" s="339">
        <f t="shared" si="39"/>
        <v>16.388031318553125</v>
      </c>
      <c r="AH42" s="339">
        <f t="shared" si="39"/>
        <v>10.18378971874688</v>
      </c>
      <c r="AI42" s="339">
        <f t="shared" si="39"/>
        <v>16.302893208524978</v>
      </c>
      <c r="AJ42" s="339">
        <f>L42-J42</f>
        <v>2.6992317082500108</v>
      </c>
      <c r="AK42" s="339">
        <f>N42-L42</f>
        <v>2.6595924547499976</v>
      </c>
      <c r="AL42" s="339">
        <f>P42-N42</f>
        <v>2.6006668380000093</v>
      </c>
      <c r="AM42" s="339">
        <f>R42-P42</f>
        <v>2.5012280081249827</v>
      </c>
      <c r="AN42" s="339">
        <f>T42-R42</f>
        <v>2.4712149894584599</v>
      </c>
      <c r="AO42" s="339">
        <f>V42-T42</f>
        <v>2.5260210186774401</v>
      </c>
      <c r="AP42" s="339">
        <f>X42-V42</f>
        <v>2.582042523219954</v>
      </c>
      <c r="AQ42" s="6">
        <v>0</v>
      </c>
      <c r="AR42" s="6">
        <v>0</v>
      </c>
      <c r="AS42" s="6">
        <v>1</v>
      </c>
      <c r="AT42" s="6">
        <v>0</v>
      </c>
      <c r="AU42" s="70" t="str">
        <f>VLOOKUP($A42,CostByType_Summary!$C$3:$T$21,18, FALSE)</f>
        <v>Bin 3</v>
      </c>
      <c r="AV42" s="70">
        <f>VLOOKUP($A42,EnergyCalculations!$B$3:$Q$22,AV$30,FALSE)</f>
        <v>0</v>
      </c>
      <c r="AW42" s="70">
        <f>VLOOKUP($A42,EnergyCalculations!$B$3:$Q$22,AW$30,FALSE)</f>
        <v>0</v>
      </c>
      <c r="AX42" s="70">
        <f>VLOOKUP($A42,EnergyCalculations!$B$3:$Q$22,AX$30,FALSE)</f>
        <v>2.2644927536231884E-2</v>
      </c>
      <c r="AY42" s="70">
        <f>VLOOKUP($A42,EnergyCalculations!$B$3:$Q$22,AY$30,FALSE)</f>
        <v>0</v>
      </c>
    </row>
    <row r="43" spans="1:58">
      <c r="A43" s="392" t="s">
        <v>308</v>
      </c>
      <c r="B43" s="272">
        <f>B116</f>
        <v>19.202243154525927</v>
      </c>
      <c r="C43" s="272">
        <f>B120</f>
        <v>59.925306246987873</v>
      </c>
      <c r="D43" s="339" t="s">
        <v>441</v>
      </c>
      <c r="E43" s="339">
        <f t="shared" ref="E43:X43" si="41">C124/1000</f>
        <v>7.2569063029752607</v>
      </c>
      <c r="F43" s="339">
        <f t="shared" si="41"/>
        <v>40.3923634470531</v>
      </c>
      <c r="G43" s="339">
        <f t="shared" si="41"/>
        <v>80.369728152179277</v>
      </c>
      <c r="H43" s="339">
        <f t="shared" si="41"/>
        <v>127.3973225881509</v>
      </c>
      <c r="I43" s="339">
        <f t="shared" si="41"/>
        <v>181.8270007933603</v>
      </c>
      <c r="J43" s="339">
        <f t="shared" si="41"/>
        <v>216.64445037922238</v>
      </c>
      <c r="K43" s="339">
        <f t="shared" si="41"/>
        <v>219.32729671236555</v>
      </c>
      <c r="L43" s="339">
        <f t="shared" si="41"/>
        <v>221.97429871303132</v>
      </c>
      <c r="M43" s="339">
        <f t="shared" si="41"/>
        <v>224.61216294063371</v>
      </c>
      <c r="N43" s="339">
        <f t="shared" si="41"/>
        <v>227.23493607207402</v>
      </c>
      <c r="O43" s="339">
        <f t="shared" si="41"/>
        <v>229.74641118680793</v>
      </c>
      <c r="P43" s="339">
        <f t="shared" si="41"/>
        <v>232.34564978491275</v>
      </c>
      <c r="Q43" s="339">
        <f t="shared" si="41"/>
        <v>235.0511296211663</v>
      </c>
      <c r="R43" s="339">
        <f t="shared" si="41"/>
        <v>237.77217857536209</v>
      </c>
      <c r="S43" s="339">
        <f t="shared" si="41"/>
        <v>240.43160205296115</v>
      </c>
      <c r="T43" s="339">
        <f t="shared" si="41"/>
        <v>243.12077052964108</v>
      </c>
      <c r="U43" s="339">
        <f t="shared" si="41"/>
        <v>245.84001669591862</v>
      </c>
      <c r="V43" s="339">
        <f t="shared" si="41"/>
        <v>248.58967696337183</v>
      </c>
      <c r="W43" s="339">
        <f t="shared" si="41"/>
        <v>251.37009150626002</v>
      </c>
      <c r="X43" s="339">
        <f t="shared" si="41"/>
        <v>254.18160430360808</v>
      </c>
      <c r="Y43" s="342">
        <f>SUM(E43:X43)</f>
        <v>3965.485597321056</v>
      </c>
      <c r="Z43" s="6">
        <f>VLOOKUP(CostByType_Details!$A43,EnergyCalculations!$B$4:$I$22,CostByType_Details!Z$22,FALSE)/Z$23</f>
        <v>0</v>
      </c>
      <c r="AA43" s="6">
        <f>VLOOKUP(CostByType_Details!$A43,EnergyCalculations!$B$4:$I$22,CostByType_Details!AA$22,FALSE)/AA$23</f>
        <v>0</v>
      </c>
      <c r="AB43" s="6">
        <f>VLOOKUP(CostByType_Details!$A43,EnergyCalculations!$B$4:$I$22,CostByType_Details!AB$22,FALSE)/AB$23</f>
        <v>2.2644927536231884E-2</v>
      </c>
      <c r="AC43" s="6">
        <f>VLOOKUP(CostByType_Details!$A43,EnergyCalculations!$B$4:$I$22,CostByType_Details!AC$22,FALSE)/AC$23</f>
        <v>0</v>
      </c>
      <c r="AD43" s="339">
        <f>E43</f>
        <v>7.2569063029752607</v>
      </c>
      <c r="AE43" s="339">
        <f t="shared" si="39"/>
        <v>33.13545714407784</v>
      </c>
      <c r="AF43" s="339">
        <f t="shared" si="39"/>
        <v>39.977364705126178</v>
      </c>
      <c r="AG43" s="339">
        <f t="shared" si="39"/>
        <v>47.027594435971622</v>
      </c>
      <c r="AH43" s="339">
        <f t="shared" si="39"/>
        <v>54.429678205209399</v>
      </c>
      <c r="AI43" s="339">
        <f t="shared" si="39"/>
        <v>34.817449585862079</v>
      </c>
      <c r="AJ43" s="339">
        <f>L43-J43</f>
        <v>5.3298483338089397</v>
      </c>
      <c r="AK43" s="339">
        <f>N43-L43</f>
        <v>5.260637359042704</v>
      </c>
      <c r="AL43" s="339">
        <f>P43-N43</f>
        <v>5.1107137128387308</v>
      </c>
      <c r="AM43" s="339">
        <f>R43-P43</f>
        <v>5.4265287904493391</v>
      </c>
      <c r="AN43" s="339">
        <f>T43-R43</f>
        <v>5.3485919542789873</v>
      </c>
      <c r="AO43" s="339">
        <f>V43-T43</f>
        <v>5.4689064337307514</v>
      </c>
      <c r="AP43" s="339">
        <f>X43-V43</f>
        <v>5.5919273402362535</v>
      </c>
      <c r="AQ43" s="6">
        <v>0.2</v>
      </c>
      <c r="AR43" s="6">
        <v>0</v>
      </c>
      <c r="AS43" s="6">
        <v>1</v>
      </c>
      <c r="AT43" s="6">
        <v>0.2</v>
      </c>
      <c r="AU43" s="70" t="str">
        <f>VLOOKUP($A43,CostByType_Summary!$C$3:$T$21,18, FALSE)</f>
        <v>Bin 3</v>
      </c>
      <c r="AV43" s="70">
        <f>VLOOKUP($A43,EnergyCalculations!$B$3:$Q$22,AV$30,FALSE)</f>
        <v>0</v>
      </c>
      <c r="AW43" s="70">
        <f>VLOOKUP($A43,EnergyCalculations!$B$3:$Q$22,AW$30,FALSE)</f>
        <v>0</v>
      </c>
      <c r="AX43" s="70">
        <f>VLOOKUP($A43,EnergyCalculations!$B$3:$Q$22,AX$30,FALSE)</f>
        <v>2.2644927536231884E-2</v>
      </c>
      <c r="AY43" s="70">
        <f>VLOOKUP($A43,EnergyCalculations!$B$3:$Q$22,AY$30,FALSE)</f>
        <v>0</v>
      </c>
      <c r="BA43" t="s">
        <v>245</v>
      </c>
      <c r="BB43">
        <v>1</v>
      </c>
      <c r="BC43" s="70">
        <v>1</v>
      </c>
    </row>
    <row r="44" spans="1:58">
      <c r="A44" s="392" t="s">
        <v>282</v>
      </c>
      <c r="B44" s="272">
        <f>B56</f>
        <v>13.103946639888742</v>
      </c>
      <c r="C44" s="272">
        <f>B61</f>
        <v>66.770473426484358</v>
      </c>
      <c r="D44" s="339" t="s">
        <v>441</v>
      </c>
      <c r="E44" s="339">
        <f t="shared" ref="E44:N44" si="42">C66/1000</f>
        <v>0.35250811520203124</v>
      </c>
      <c r="F44" s="339">
        <f t="shared" si="42"/>
        <v>1.6101533929310152</v>
      </c>
      <c r="G44" s="339">
        <f t="shared" si="42"/>
        <v>2.6141468653203757</v>
      </c>
      <c r="H44" s="339">
        <f t="shared" si="42"/>
        <v>3.3516082746552662</v>
      </c>
      <c r="I44" s="339">
        <f t="shared" si="42"/>
        <v>3.8098788119988751</v>
      </c>
      <c r="J44" s="339">
        <f t="shared" si="42"/>
        <v>4.5435090063824992</v>
      </c>
      <c r="K44" s="339">
        <f t="shared" si="42"/>
        <v>4.6044050317649994</v>
      </c>
      <c r="L44" s="339">
        <f t="shared" si="42"/>
        <v>4.6649744332537493</v>
      </c>
      <c r="M44" s="339">
        <f t="shared" si="42"/>
        <v>4.7249645772656255</v>
      </c>
      <c r="N44" s="339">
        <f t="shared" si="42"/>
        <v>4.7846560937174987</v>
      </c>
      <c r="O44" s="339">
        <f t="shared" ref="O44:X44" si="43">M66/1000</f>
        <v>4.8436763647387489</v>
      </c>
      <c r="P44" s="339">
        <f t="shared" si="43"/>
        <v>4.9016861014274991</v>
      </c>
      <c r="Q44" s="339">
        <f t="shared" si="43"/>
        <v>4.9584440020500002</v>
      </c>
      <c r="R44" s="339">
        <f t="shared" si="43"/>
        <v>5.0142413617931245</v>
      </c>
      <c r="S44" s="339">
        <f t="shared" si="43"/>
        <v>5.0695387870049995</v>
      </c>
      <c r="T44" s="339">
        <f t="shared" si="43"/>
        <v>5.1254460363187553</v>
      </c>
      <c r="U44" s="339">
        <f t="shared" si="43"/>
        <v>5.1819698349197623</v>
      </c>
      <c r="V44" s="339">
        <f t="shared" si="43"/>
        <v>5.2391169821592394</v>
      </c>
      <c r="W44" s="339">
        <f t="shared" si="43"/>
        <v>5.296894352372151</v>
      </c>
      <c r="X44" s="339">
        <f t="shared" si="43"/>
        <v>5.3553088957041384</v>
      </c>
      <c r="Y44" s="342">
        <f t="shared" si="14"/>
        <v>86.04712732098038</v>
      </c>
      <c r="Z44" s="6">
        <f>VLOOKUP(CostByType_Details!$A44,EnergyCalculations!$B$4:$I$22,CostByType_Details!Z$22,FALSE)/Z$23</f>
        <v>0</v>
      </c>
      <c r="AA44" s="6">
        <f>VLOOKUP(CostByType_Details!$A44,EnergyCalculations!$B$4:$I$22,CostByType_Details!AA$22,FALSE)/AA$23</f>
        <v>0</v>
      </c>
      <c r="AB44" s="6">
        <f>VLOOKUP(CostByType_Details!$A44,EnergyCalculations!$B$4:$I$22,CostByType_Details!AB$22,FALSE)/AB$23</f>
        <v>2.2644927536231884E-2</v>
      </c>
      <c r="AC44" s="6">
        <f>VLOOKUP(CostByType_Details!$A44,EnergyCalculations!$B$4:$I$22,CostByType_Details!AC$22,FALSE)/AC$23</f>
        <v>0</v>
      </c>
      <c r="AD44" s="339">
        <f t="shared" si="15"/>
        <v>0.35250811520203124</v>
      </c>
      <c r="AE44" s="339">
        <f t="shared" si="16"/>
        <v>1.2576452777289839</v>
      </c>
      <c r="AF44" s="339">
        <f t="shared" si="17"/>
        <v>1.0039934723893604</v>
      </c>
      <c r="AG44" s="339">
        <f t="shared" si="18"/>
        <v>0.73746140933489057</v>
      </c>
      <c r="AH44" s="339">
        <f t="shared" si="19"/>
        <v>0.4582705373436089</v>
      </c>
      <c r="AI44" s="339">
        <f t="shared" si="20"/>
        <v>0.73363019438362409</v>
      </c>
      <c r="AJ44" s="339">
        <f t="shared" si="21"/>
        <v>0.12146542687125006</v>
      </c>
      <c r="AK44" s="339">
        <f t="shared" si="22"/>
        <v>0.1196816604637494</v>
      </c>
      <c r="AL44" s="339">
        <f t="shared" si="23"/>
        <v>0.11703000771000038</v>
      </c>
      <c r="AM44" s="339">
        <f t="shared" si="24"/>
        <v>0.11255526036562546</v>
      </c>
      <c r="AN44" s="339">
        <f t="shared" si="25"/>
        <v>0.11120467452563076</v>
      </c>
      <c r="AO44" s="339">
        <f t="shared" si="26"/>
        <v>0.11367094584048409</v>
      </c>
      <c r="AP44" s="339">
        <f t="shared" si="27"/>
        <v>0.11619191354489899</v>
      </c>
      <c r="AQ44" s="6">
        <v>0</v>
      </c>
      <c r="AR44" s="6">
        <v>0</v>
      </c>
      <c r="AS44" s="6">
        <v>1</v>
      </c>
      <c r="AT44" s="6">
        <v>0</v>
      </c>
      <c r="AU44" s="70" t="str">
        <f>VLOOKUP($A44,CostByType_Summary!$C$3:$T$21,18, FALSE)</f>
        <v>Bin 3</v>
      </c>
      <c r="AV44" s="70">
        <f>VLOOKUP($A44,EnergyCalculations!$B$3:$Q$22,AV$30,FALSE)</f>
        <v>0</v>
      </c>
      <c r="AW44" s="70">
        <f>VLOOKUP($A44,EnergyCalculations!$B$3:$Q$22,AW$30,FALSE)</f>
        <v>0</v>
      </c>
      <c r="AX44" s="70">
        <f>VLOOKUP($A44,EnergyCalculations!$B$3:$Q$22,AX$30,FALSE)</f>
        <v>2.2644927536231884E-2</v>
      </c>
      <c r="AY44" s="70">
        <f>VLOOKUP($A44,EnergyCalculations!$B$3:$Q$22,AY$30,FALSE)</f>
        <v>0</v>
      </c>
    </row>
    <row r="45" spans="1:58">
      <c r="A45" s="392" t="s">
        <v>307</v>
      </c>
      <c r="B45" s="272">
        <f>B115</f>
        <v>19.202243154525924</v>
      </c>
      <c r="C45" s="272">
        <f>B119</f>
        <v>93.846351667990689</v>
      </c>
      <c r="D45" s="339" t="s">
        <v>441</v>
      </c>
      <c r="E45" s="339">
        <f t="shared" ref="E45:X45" si="44">C123/1000</f>
        <v>0.67731125494435762</v>
      </c>
      <c r="F45" s="339">
        <f t="shared" si="44"/>
        <v>3.769953921724956</v>
      </c>
      <c r="G45" s="339">
        <f t="shared" si="44"/>
        <v>7.5011746275367344</v>
      </c>
      <c r="H45" s="339">
        <f t="shared" si="44"/>
        <v>11.890416774894083</v>
      </c>
      <c r="I45" s="339">
        <f t="shared" si="44"/>
        <v>16.970520074046963</v>
      </c>
      <c r="J45" s="339">
        <f t="shared" si="44"/>
        <v>20.220148702060754</v>
      </c>
      <c r="K45" s="339">
        <f t="shared" si="44"/>
        <v>20.470547693154121</v>
      </c>
      <c r="L45" s="339">
        <f t="shared" si="44"/>
        <v>20.717601213216259</v>
      </c>
      <c r="M45" s="339">
        <f t="shared" si="44"/>
        <v>20.963801874459147</v>
      </c>
      <c r="N45" s="339">
        <f t="shared" si="44"/>
        <v>21.208594033393574</v>
      </c>
      <c r="O45" s="339">
        <f t="shared" si="44"/>
        <v>21.442998377435408</v>
      </c>
      <c r="P45" s="339">
        <f t="shared" si="44"/>
        <v>21.685593979925191</v>
      </c>
      <c r="Q45" s="339">
        <f t="shared" si="44"/>
        <v>21.938105431308855</v>
      </c>
      <c r="R45" s="339">
        <f t="shared" si="44"/>
        <v>22.192070000367131</v>
      </c>
      <c r="S45" s="339">
        <f t="shared" si="44"/>
        <v>22.440282858276376</v>
      </c>
      <c r="T45" s="339">
        <f t="shared" si="44"/>
        <v>22.691271916099833</v>
      </c>
      <c r="U45" s="339">
        <f t="shared" si="44"/>
        <v>22.945068224952404</v>
      </c>
      <c r="V45" s="339">
        <f t="shared" si="44"/>
        <v>23.201703183248039</v>
      </c>
      <c r="W45" s="339">
        <f t="shared" si="44"/>
        <v>23.46120854058427</v>
      </c>
      <c r="X45" s="339">
        <f t="shared" si="44"/>
        <v>23.723616401670085</v>
      </c>
      <c r="Y45" s="342">
        <f t="shared" si="14"/>
        <v>370.11198908329851</v>
      </c>
      <c r="Z45" s="6">
        <f>VLOOKUP(CostByType_Details!$A45,EnergyCalculations!$B$4:$I$22,CostByType_Details!Z$22,FALSE)/Z$23</f>
        <v>0</v>
      </c>
      <c r="AA45" s="6">
        <f>VLOOKUP(CostByType_Details!$A45,EnergyCalculations!$B$4:$I$22,CostByType_Details!AA$22,FALSE)/AA$23</f>
        <v>0</v>
      </c>
      <c r="AB45" s="6">
        <f>VLOOKUP(CostByType_Details!$A45,EnergyCalculations!$B$4:$I$22,CostByType_Details!AB$22,FALSE)/AB$23</f>
        <v>2.2644927536231884E-2</v>
      </c>
      <c r="AC45" s="6">
        <f>VLOOKUP(CostByType_Details!$A45,EnergyCalculations!$B$4:$I$22,CostByType_Details!AC$22,FALSE)/AC$23</f>
        <v>0</v>
      </c>
      <c r="AD45" s="339">
        <f t="shared" si="15"/>
        <v>0.67731125494435762</v>
      </c>
      <c r="AE45" s="339">
        <f t="shared" si="16"/>
        <v>3.0926426667805984</v>
      </c>
      <c r="AF45" s="339">
        <f t="shared" si="17"/>
        <v>3.7312207058117783</v>
      </c>
      <c r="AG45" s="339">
        <f t="shared" si="18"/>
        <v>4.3892421473573489</v>
      </c>
      <c r="AH45" s="339">
        <f t="shared" si="19"/>
        <v>5.0801032991528796</v>
      </c>
      <c r="AI45" s="339">
        <f t="shared" si="20"/>
        <v>3.2496286280137916</v>
      </c>
      <c r="AJ45" s="339">
        <f t="shared" si="21"/>
        <v>0.4974525111555046</v>
      </c>
      <c r="AK45" s="339">
        <f t="shared" si="22"/>
        <v>0.49099282017731483</v>
      </c>
      <c r="AL45" s="339">
        <f t="shared" si="23"/>
        <v>0.47699994653161681</v>
      </c>
      <c r="AM45" s="339">
        <f t="shared" si="24"/>
        <v>0.50647602044194073</v>
      </c>
      <c r="AN45" s="339">
        <f t="shared" si="25"/>
        <v>0.49920191573270145</v>
      </c>
      <c r="AO45" s="339">
        <f t="shared" si="26"/>
        <v>0.5104312671482063</v>
      </c>
      <c r="AP45" s="339">
        <f t="shared" si="27"/>
        <v>0.5219132184220463</v>
      </c>
      <c r="AQ45" s="6">
        <v>0.2</v>
      </c>
      <c r="AR45" s="6">
        <v>0</v>
      </c>
      <c r="AS45" s="6">
        <v>1</v>
      </c>
      <c r="AT45" s="6">
        <v>0.2</v>
      </c>
      <c r="AU45" s="70" t="str">
        <f>VLOOKUP($A45,CostByType_Summary!$C$3:$T$21,18, FALSE)</f>
        <v>Bin 3</v>
      </c>
      <c r="AV45" s="70">
        <f>VLOOKUP($A45,EnergyCalculations!$B$3:$Q$22,AV$30,FALSE)</f>
        <v>0</v>
      </c>
      <c r="AW45" s="70">
        <f>VLOOKUP($A45,EnergyCalculations!$B$3:$Q$22,AW$30,FALSE)</f>
        <v>0</v>
      </c>
      <c r="AX45" s="70">
        <f>VLOOKUP($A45,EnergyCalculations!$B$3:$Q$22,AX$30,FALSE)</f>
        <v>2.2644927536231884E-2</v>
      </c>
      <c r="AY45" s="70">
        <f>VLOOKUP($A45,EnergyCalculations!$B$3:$Q$22,AY$30,FALSE)</f>
        <v>0</v>
      </c>
    </row>
    <row r="46" spans="1:58">
      <c r="A46" s="358" t="s">
        <v>324</v>
      </c>
      <c r="B46" s="272">
        <f>B100</f>
        <v>35.204112449964192</v>
      </c>
      <c r="C46" s="272">
        <f>B105</f>
        <v>108.35605179124116</v>
      </c>
      <c r="D46" s="339" t="s">
        <v>441</v>
      </c>
      <c r="E46" s="339">
        <f t="shared" ref="E46:X46" si="45">C110/1000</f>
        <v>2.4664377330326239</v>
      </c>
      <c r="F46" s="339">
        <f t="shared" si="45"/>
        <v>12.51773572493812</v>
      </c>
      <c r="G46" s="339">
        <f t="shared" si="45"/>
        <v>22.863411472881367</v>
      </c>
      <c r="H46" s="339">
        <f t="shared" si="45"/>
        <v>33.500882709025873</v>
      </c>
      <c r="I46" s="339">
        <f t="shared" si="45"/>
        <v>44.428428051034487</v>
      </c>
      <c r="J46" s="339">
        <f t="shared" si="45"/>
        <v>52.983565344269977</v>
      </c>
      <c r="K46" s="339">
        <f t="shared" si="45"/>
        <v>53.69369677253998</v>
      </c>
      <c r="L46" s="339">
        <f t="shared" si="45"/>
        <v>54.400019316884979</v>
      </c>
      <c r="M46" s="339">
        <f t="shared" si="45"/>
        <v>55.099586922187477</v>
      </c>
      <c r="N46" s="339">
        <f t="shared" si="45"/>
        <v>55.795672119329978</v>
      </c>
      <c r="O46" s="339">
        <f t="shared" si="45"/>
        <v>56.483929671344981</v>
      </c>
      <c r="P46" s="339">
        <f t="shared" si="45"/>
        <v>57.160403002889979</v>
      </c>
      <c r="Q46" s="339">
        <f t="shared" si="45"/>
        <v>57.822278203799968</v>
      </c>
      <c r="R46" s="339">
        <f t="shared" si="45"/>
        <v>58.472952176677488</v>
      </c>
      <c r="S46" s="339">
        <f t="shared" si="45"/>
        <v>59.11779622517998</v>
      </c>
      <c r="T46" s="339">
        <f t="shared" si="45"/>
        <v>59.769751661621846</v>
      </c>
      <c r="U46" s="339">
        <f t="shared" si="45"/>
        <v>60.428896910916158</v>
      </c>
      <c r="V46" s="339">
        <f t="shared" si="45"/>
        <v>61.095311262851652</v>
      </c>
      <c r="W46" s="339">
        <f t="shared" si="45"/>
        <v>61.769074881630793</v>
      </c>
      <c r="X46" s="339">
        <f t="shared" si="45"/>
        <v>62.450268815512793</v>
      </c>
      <c r="Y46" s="342">
        <f t="shared" si="14"/>
        <v>982.3200989785505</v>
      </c>
      <c r="Z46" s="6">
        <f>VLOOKUP(CostByType_Details!$A46,EnergyCalculations!$B$4:$I$22,CostByType_Details!Z$22,FALSE)/Z$23</f>
        <v>0</v>
      </c>
      <c r="AA46" s="6">
        <f>VLOOKUP(CostByType_Details!$A46,EnergyCalculations!$B$4:$I$22,CostByType_Details!AA$22,FALSE)/AA$23</f>
        <v>0</v>
      </c>
      <c r="AB46" s="6">
        <f>VLOOKUP(CostByType_Details!$A46,EnergyCalculations!$B$4:$I$22,CostByType_Details!AB$22,FALSE)/AB$23</f>
        <v>0</v>
      </c>
      <c r="AC46" s="6">
        <f>VLOOKUP(CostByType_Details!$A46,EnergyCalculations!$B$4:$I$22,CostByType_Details!AC$22,FALSE)/AC$23</f>
        <v>0</v>
      </c>
      <c r="AD46" s="339">
        <f t="shared" si="15"/>
        <v>2.4664377330326239</v>
      </c>
      <c r="AE46" s="339">
        <f t="shared" si="16"/>
        <v>10.051297991905496</v>
      </c>
      <c r="AF46" s="339">
        <f t="shared" si="17"/>
        <v>10.345675747943247</v>
      </c>
      <c r="AG46" s="339">
        <f t="shared" si="18"/>
        <v>10.637471236144506</v>
      </c>
      <c r="AH46" s="339">
        <f t="shared" si="19"/>
        <v>10.927545342008614</v>
      </c>
      <c r="AI46" s="339">
        <f t="shared" si="20"/>
        <v>8.5551372932354894</v>
      </c>
      <c r="AJ46" s="339">
        <f t="shared" si="21"/>
        <v>1.4164539726150025</v>
      </c>
      <c r="AK46" s="339">
        <f t="shared" si="22"/>
        <v>1.3956528024449995</v>
      </c>
      <c r="AL46" s="339">
        <f t="shared" si="23"/>
        <v>1.3647308835600001</v>
      </c>
      <c r="AM46" s="339">
        <f t="shared" si="24"/>
        <v>1.3125491737875095</v>
      </c>
      <c r="AN46" s="339">
        <f t="shared" si="25"/>
        <v>1.2967994849443585</v>
      </c>
      <c r="AO46" s="339">
        <f t="shared" si="26"/>
        <v>1.3255596012298057</v>
      </c>
      <c r="AP46" s="339">
        <f t="shared" si="27"/>
        <v>1.3549575526611406</v>
      </c>
      <c r="AQ46" s="6">
        <v>1</v>
      </c>
      <c r="AR46" s="6">
        <v>0</v>
      </c>
      <c r="AS46" s="6">
        <v>1</v>
      </c>
      <c r="AT46" s="6">
        <v>1</v>
      </c>
      <c r="AU46" s="70" t="str">
        <f>VLOOKUP($A46,CostByType_Summary!$C$3:$T$21,18, FALSE)</f>
        <v>Bin 4</v>
      </c>
      <c r="AV46" s="70">
        <f>VLOOKUP($A46,EnergyCalculations!$B$3:$Q$22,AV$30,FALSE)</f>
        <v>0</v>
      </c>
      <c r="AW46" s="70">
        <f>VLOOKUP($A46,EnergyCalculations!$B$3:$Q$22,AW$30,FALSE)</f>
        <v>0</v>
      </c>
      <c r="AX46" s="70">
        <f>VLOOKUP($A46,EnergyCalculations!$B$3:$Q$22,AX$30,FALSE)</f>
        <v>0</v>
      </c>
      <c r="AY46" s="70">
        <f>VLOOKUP($A46,EnergyCalculations!$B$3:$Q$22,AY$30,FALSE)</f>
        <v>0</v>
      </c>
    </row>
    <row r="47" spans="1:58">
      <c r="A47" s="358" t="s">
        <v>278</v>
      </c>
      <c r="B47" s="272">
        <f>B97</f>
        <v>35.204112449964178</v>
      </c>
      <c r="C47" s="272">
        <f>B102</f>
        <v>109.05553145475022</v>
      </c>
      <c r="D47" s="339" t="s">
        <v>441</v>
      </c>
      <c r="E47" s="339">
        <f t="shared" ref="E47:N49" si="46">C107/1000</f>
        <v>7.8335136711562487</v>
      </c>
      <c r="F47" s="339">
        <f t="shared" si="46"/>
        <v>43.732561289484366</v>
      </c>
      <c r="G47" s="339">
        <f t="shared" si="46"/>
        <v>87.138228844012474</v>
      </c>
      <c r="H47" s="339">
        <f t="shared" si="46"/>
        <v>138.32034149370935</v>
      </c>
      <c r="I47" s="339">
        <f t="shared" si="46"/>
        <v>197.54927173327496</v>
      </c>
      <c r="J47" s="339">
        <f t="shared" si="46"/>
        <v>235.5893558864999</v>
      </c>
      <c r="K47" s="339">
        <f t="shared" si="46"/>
        <v>238.74692757299991</v>
      </c>
      <c r="L47" s="339">
        <f t="shared" si="46"/>
        <v>241.88756320574996</v>
      </c>
      <c r="M47" s="339">
        <f t="shared" si="46"/>
        <v>244.99816326562498</v>
      </c>
      <c r="N47" s="339">
        <f t="shared" si="46"/>
        <v>248.09327893349993</v>
      </c>
      <c r="O47" s="339">
        <f t="shared" ref="O47:X49" si="47">M107/1000</f>
        <v>251.15358928274992</v>
      </c>
      <c r="P47" s="339">
        <f t="shared" si="47"/>
        <v>254.16150155549994</v>
      </c>
      <c r="Q47" s="339">
        <f t="shared" si="47"/>
        <v>257.10450380999998</v>
      </c>
      <c r="R47" s="339">
        <f t="shared" si="47"/>
        <v>259.9977002411249</v>
      </c>
      <c r="S47" s="339">
        <f t="shared" si="47"/>
        <v>262.86497414099995</v>
      </c>
      <c r="T47" s="339">
        <f t="shared" si="47"/>
        <v>265.76386854986134</v>
      </c>
      <c r="U47" s="339">
        <f t="shared" si="47"/>
        <v>268.69473218102468</v>
      </c>
      <c r="V47" s="339">
        <f t="shared" si="47"/>
        <v>271.65791759344205</v>
      </c>
      <c r="W47" s="339">
        <f t="shared" si="47"/>
        <v>274.65378123411153</v>
      </c>
      <c r="X47" s="339">
        <f t="shared" si="47"/>
        <v>277.68268348095523</v>
      </c>
      <c r="Y47" s="342">
        <f t="shared" si="14"/>
        <v>4327.6244579657814</v>
      </c>
      <c r="Z47" s="6">
        <f>VLOOKUP(CostByType_Details!$A47,EnergyCalculations!$B$4:$I$22,CostByType_Details!Z$22,FALSE)/Z$23</f>
        <v>0</v>
      </c>
      <c r="AA47" s="6">
        <f>VLOOKUP(CostByType_Details!$A47,EnergyCalculations!$B$4:$I$22,CostByType_Details!AA$22,FALSE)/AA$23</f>
        <v>0</v>
      </c>
      <c r="AB47" s="6">
        <f>VLOOKUP(CostByType_Details!$A47,EnergyCalculations!$B$4:$I$22,CostByType_Details!AB$22,FALSE)/AB$23</f>
        <v>2.2644927536231884E-2</v>
      </c>
      <c r="AC47" s="6">
        <f>VLOOKUP(CostByType_Details!$A47,EnergyCalculations!$B$4:$I$22,CostByType_Details!AC$22,FALSE)/AC$23</f>
        <v>0</v>
      </c>
      <c r="AD47" s="339">
        <f t="shared" si="15"/>
        <v>7.8335136711562487</v>
      </c>
      <c r="AE47" s="339">
        <f t="shared" si="16"/>
        <v>35.899047618328119</v>
      </c>
      <c r="AF47" s="339">
        <f t="shared" si="17"/>
        <v>43.405667554528108</v>
      </c>
      <c r="AG47" s="339">
        <f t="shared" si="18"/>
        <v>51.182112649696876</v>
      </c>
      <c r="AH47" s="339">
        <f t="shared" si="19"/>
        <v>59.228930239565614</v>
      </c>
      <c r="AI47" s="339">
        <f t="shared" si="20"/>
        <v>38.040084153224939</v>
      </c>
      <c r="AJ47" s="339">
        <f t="shared" si="21"/>
        <v>6.2982073192500536</v>
      </c>
      <c r="AK47" s="339">
        <f t="shared" si="22"/>
        <v>6.2057157277499755</v>
      </c>
      <c r="AL47" s="339">
        <f t="shared" si="23"/>
        <v>6.0682226220000075</v>
      </c>
      <c r="AM47" s="339">
        <f t="shared" si="24"/>
        <v>5.8361986856249644</v>
      </c>
      <c r="AN47" s="339">
        <f t="shared" si="25"/>
        <v>5.7661683087364395</v>
      </c>
      <c r="AO47" s="339">
        <f t="shared" si="26"/>
        <v>5.8940490435807078</v>
      </c>
      <c r="AP47" s="339">
        <f t="shared" si="27"/>
        <v>6.0247658875131833</v>
      </c>
      <c r="AQ47" s="6">
        <v>0</v>
      </c>
      <c r="AR47" s="6">
        <v>0</v>
      </c>
      <c r="AS47" s="6">
        <v>1</v>
      </c>
      <c r="AT47" s="6">
        <v>0</v>
      </c>
      <c r="AU47" s="70" t="str">
        <f>VLOOKUP($A47,CostByType_Summary!$C$3:$T$21,18, FALSE)</f>
        <v>Bin 4</v>
      </c>
      <c r="AV47" s="70">
        <f>VLOOKUP($A47,EnergyCalculations!$B$3:$Q$22,AV$30,FALSE)</f>
        <v>0</v>
      </c>
      <c r="AW47" s="70">
        <f>VLOOKUP($A47,EnergyCalculations!$B$3:$Q$22,AW$30,FALSE)</f>
        <v>0</v>
      </c>
      <c r="AX47" s="70">
        <f>VLOOKUP($A47,EnergyCalculations!$B$3:$Q$22,AX$30,FALSE)</f>
        <v>2.2644927536231884E-2</v>
      </c>
      <c r="AY47" s="70">
        <f>VLOOKUP($A47,EnergyCalculations!$B$3:$Q$22,AY$30,FALSE)</f>
        <v>0</v>
      </c>
    </row>
    <row r="48" spans="1:58">
      <c r="A48" s="358" t="s">
        <v>279</v>
      </c>
      <c r="B48" s="272">
        <f>B98</f>
        <v>35.204112449964192</v>
      </c>
      <c r="C48" s="272">
        <f>B103</f>
        <v>109.05553145475022</v>
      </c>
      <c r="D48" s="339" t="s">
        <v>441</v>
      </c>
      <c r="E48" s="339">
        <f t="shared" si="46"/>
        <v>3.525081152020312</v>
      </c>
      <c r="F48" s="339">
        <f t="shared" si="46"/>
        <v>19.67965258026797</v>
      </c>
      <c r="G48" s="339">
        <f t="shared" si="46"/>
        <v>39.212202979805625</v>
      </c>
      <c r="H48" s="339">
        <f t="shared" si="46"/>
        <v>62.244153672169205</v>
      </c>
      <c r="I48" s="339">
        <f t="shared" si="46"/>
        <v>88.897172279973745</v>
      </c>
      <c r="J48" s="339">
        <f t="shared" si="46"/>
        <v>106.01521014892498</v>
      </c>
      <c r="K48" s="339">
        <f t="shared" si="46"/>
        <v>107.43611740784996</v>
      </c>
      <c r="L48" s="339">
        <f t="shared" si="46"/>
        <v>108.8494034425875</v>
      </c>
      <c r="M48" s="339">
        <f t="shared" si="46"/>
        <v>110.24917346953124</v>
      </c>
      <c r="N48" s="339">
        <f t="shared" si="46"/>
        <v>111.64197552007499</v>
      </c>
      <c r="O48" s="339">
        <f t="shared" si="47"/>
        <v>113.01911517723748</v>
      </c>
      <c r="P48" s="339">
        <f t="shared" si="47"/>
        <v>114.37267569997499</v>
      </c>
      <c r="Q48" s="339">
        <f t="shared" si="47"/>
        <v>115.69702671449998</v>
      </c>
      <c r="R48" s="339">
        <f t="shared" si="47"/>
        <v>116.99896510850623</v>
      </c>
      <c r="S48" s="339">
        <f t="shared" si="47"/>
        <v>118.28923836344998</v>
      </c>
      <c r="T48" s="339">
        <f t="shared" si="47"/>
        <v>119.5937408474376</v>
      </c>
      <c r="U48" s="339">
        <f t="shared" si="47"/>
        <v>120.9126294814611</v>
      </c>
      <c r="V48" s="339">
        <f t="shared" si="47"/>
        <v>122.24606291704892</v>
      </c>
      <c r="W48" s="339">
        <f t="shared" si="47"/>
        <v>123.59420155535022</v>
      </c>
      <c r="X48" s="339">
        <f t="shared" si="47"/>
        <v>124.95720756642989</v>
      </c>
      <c r="Y48" s="342">
        <f t="shared" si="14"/>
        <v>1947.4310060846021</v>
      </c>
      <c r="Z48" s="6">
        <f>VLOOKUP(CostByType_Details!$A48,EnergyCalculations!$B$4:$I$22,CostByType_Details!Z$22,FALSE)/Z$23</f>
        <v>0</v>
      </c>
      <c r="AA48" s="6">
        <f>VLOOKUP(CostByType_Details!$A48,EnergyCalculations!$B$4:$I$22,CostByType_Details!AA$22,FALSE)/AA$23</f>
        <v>0</v>
      </c>
      <c r="AB48" s="6">
        <f>VLOOKUP(CostByType_Details!$A48,EnergyCalculations!$B$4:$I$22,CostByType_Details!AB$22,FALSE)/AB$23</f>
        <v>2.2644927536231884E-2</v>
      </c>
      <c r="AC48" s="6">
        <f>VLOOKUP(CostByType_Details!$A48,EnergyCalculations!$B$4:$I$22,CostByType_Details!AC$22,FALSE)/AC$23</f>
        <v>0</v>
      </c>
      <c r="AD48" s="339">
        <f t="shared" si="15"/>
        <v>3.525081152020312</v>
      </c>
      <c r="AE48" s="339">
        <f t="shared" si="16"/>
        <v>16.154571428247657</v>
      </c>
      <c r="AF48" s="339">
        <f t="shared" si="17"/>
        <v>19.532550399537655</v>
      </c>
      <c r="AG48" s="339">
        <f t="shared" si="18"/>
        <v>23.03195069236358</v>
      </c>
      <c r="AH48" s="339">
        <f t="shared" si="19"/>
        <v>26.65301860780454</v>
      </c>
      <c r="AI48" s="339">
        <f t="shared" si="20"/>
        <v>17.118037868951234</v>
      </c>
      <c r="AJ48" s="339">
        <f t="shared" si="21"/>
        <v>2.8341932936625227</v>
      </c>
      <c r="AK48" s="339">
        <f t="shared" si="22"/>
        <v>2.7925720774874918</v>
      </c>
      <c r="AL48" s="339">
        <f t="shared" si="23"/>
        <v>2.7307001798999977</v>
      </c>
      <c r="AM48" s="339">
        <f t="shared" si="24"/>
        <v>2.6262894085312354</v>
      </c>
      <c r="AN48" s="339">
        <f t="shared" si="25"/>
        <v>2.594775738931375</v>
      </c>
      <c r="AO48" s="339">
        <f t="shared" si="26"/>
        <v>2.6523220696113157</v>
      </c>
      <c r="AP48" s="339">
        <f t="shared" si="27"/>
        <v>2.7111446493809694</v>
      </c>
      <c r="AQ48" s="6">
        <v>0</v>
      </c>
      <c r="AR48" s="6">
        <v>0</v>
      </c>
      <c r="AS48" s="6">
        <v>1</v>
      </c>
      <c r="AT48" s="6">
        <v>0</v>
      </c>
      <c r="AU48" s="70" t="str">
        <f>VLOOKUP($A48,CostByType_Summary!$C$3:$T$21,18, FALSE)</f>
        <v>Bin 4</v>
      </c>
      <c r="AV48" s="70">
        <f>VLOOKUP($A48,EnergyCalculations!$B$3:$Q$22,AV$30,FALSE)</f>
        <v>0</v>
      </c>
      <c r="AW48" s="70">
        <f>VLOOKUP($A48,EnergyCalculations!$B$3:$Q$22,AW$30,FALSE)</f>
        <v>0</v>
      </c>
      <c r="AX48" s="70">
        <f>VLOOKUP($A48,EnergyCalculations!$B$3:$Q$22,AX$30,FALSE)</f>
        <v>2.2644927536231884E-2</v>
      </c>
      <c r="AY48" s="70">
        <f>VLOOKUP($A48,EnergyCalculations!$B$3:$Q$22,AY$30,FALSE)</f>
        <v>0</v>
      </c>
    </row>
    <row r="49" spans="1:52" s="367" customFormat="1">
      <c r="A49" s="358" t="s">
        <v>280</v>
      </c>
      <c r="B49" s="272">
        <f>B99</f>
        <v>35.2041124499642</v>
      </c>
      <c r="C49" s="272">
        <f>B104</f>
        <v>109.05553145475029</v>
      </c>
      <c r="D49" s="339" t="s">
        <v>441</v>
      </c>
      <c r="E49" s="339">
        <f t="shared" si="46"/>
        <v>21.419064523704378</v>
      </c>
      <c r="F49" s="339">
        <f t="shared" si="46"/>
        <v>119.57731758296158</v>
      </c>
      <c r="G49" s="339">
        <f t="shared" si="46"/>
        <v>238.26081429634277</v>
      </c>
      <c r="H49" s="339">
        <f t="shared" si="46"/>
        <v>378.20733374137103</v>
      </c>
      <c r="I49" s="339">
        <f t="shared" si="46"/>
        <v>540.15615156784054</v>
      </c>
      <c r="J49" s="339">
        <f t="shared" si="46"/>
        <v>644.16861023822992</v>
      </c>
      <c r="K49" s="339">
        <f t="shared" si="46"/>
        <v>652.80231339245984</v>
      </c>
      <c r="L49" s="339">
        <f t="shared" si="46"/>
        <v>661.38970853686499</v>
      </c>
      <c r="M49" s="339">
        <f t="shared" si="46"/>
        <v>669.89497784343746</v>
      </c>
      <c r="N49" s="339">
        <f t="shared" si="46"/>
        <v>678.35790839816991</v>
      </c>
      <c r="O49" s="339">
        <f t="shared" si="47"/>
        <v>686.725671267405</v>
      </c>
      <c r="P49" s="339">
        <f t="shared" si="47"/>
        <v>694.95016282461006</v>
      </c>
      <c r="Q49" s="339">
        <f t="shared" si="47"/>
        <v>702.99717184619999</v>
      </c>
      <c r="R49" s="339">
        <f t="shared" si="47"/>
        <v>710.90799751644749</v>
      </c>
      <c r="S49" s="339">
        <f t="shared" si="47"/>
        <v>718.74794357982</v>
      </c>
      <c r="T49" s="339">
        <f t="shared" si="47"/>
        <v>726.67434914919227</v>
      </c>
      <c r="U49" s="339">
        <f t="shared" si="47"/>
        <v>734.68816770640194</v>
      </c>
      <c r="V49" s="339">
        <f t="shared" si="47"/>
        <v>742.79036324835465</v>
      </c>
      <c r="W49" s="339">
        <f t="shared" si="47"/>
        <v>750.98191040298514</v>
      </c>
      <c r="X49" s="339">
        <f t="shared" si="47"/>
        <v>759.26379454649782</v>
      </c>
      <c r="Y49" s="342">
        <f t="shared" si="14"/>
        <v>11832.961732209294</v>
      </c>
      <c r="Z49" s="6">
        <f>VLOOKUP(CostByType_Details!$A49,EnergyCalculations!$B$4:$I$22,CostByType_Details!Z$22,FALSE)/Z$23</f>
        <v>1.1542012927054479E-2</v>
      </c>
      <c r="AA49" s="6">
        <f>VLOOKUP(CostByType_Details!$A49,EnergyCalculations!$B$4:$I$22,CostByType_Details!AA$22,FALSE)/AA$23</f>
        <v>0</v>
      </c>
      <c r="AB49" s="6">
        <f>VLOOKUP(CostByType_Details!$A49,EnergyCalculations!$B$4:$I$22,CostByType_Details!AB$22,FALSE)/AB$23</f>
        <v>0</v>
      </c>
      <c r="AC49" s="6">
        <f>VLOOKUP(CostByType_Details!$A49,EnergyCalculations!$B$4:$I$22,CostByType_Details!AC$22,FALSE)/AC$23</f>
        <v>1.1322463768115942E-2</v>
      </c>
      <c r="AD49" s="339">
        <f t="shared" si="15"/>
        <v>21.419064523704378</v>
      </c>
      <c r="AE49" s="339">
        <f t="shared" si="16"/>
        <v>98.158253059257206</v>
      </c>
      <c r="AF49" s="339">
        <f t="shared" si="17"/>
        <v>118.68349671338119</v>
      </c>
      <c r="AG49" s="339">
        <f t="shared" si="18"/>
        <v>139.94651944502826</v>
      </c>
      <c r="AH49" s="339">
        <f t="shared" si="19"/>
        <v>161.94881782646951</v>
      </c>
      <c r="AI49" s="339">
        <f t="shared" si="20"/>
        <v>104.01245867038938</v>
      </c>
      <c r="AJ49" s="339">
        <f t="shared" si="21"/>
        <v>17.22109829863507</v>
      </c>
      <c r="AK49" s="339">
        <f t="shared" si="22"/>
        <v>16.968199861304925</v>
      </c>
      <c r="AL49" s="339">
        <f t="shared" si="23"/>
        <v>16.592254426440149</v>
      </c>
      <c r="AM49" s="339">
        <f t="shared" si="24"/>
        <v>15.957834691837434</v>
      </c>
      <c r="AN49" s="339">
        <f t="shared" si="25"/>
        <v>15.766351632744772</v>
      </c>
      <c r="AO49" s="339">
        <f t="shared" si="26"/>
        <v>16.116014099162385</v>
      </c>
      <c r="AP49" s="339">
        <f t="shared" si="27"/>
        <v>16.473431298143169</v>
      </c>
      <c r="AQ49" s="6">
        <v>1</v>
      </c>
      <c r="AR49" s="6">
        <v>0</v>
      </c>
      <c r="AS49" s="6">
        <v>0</v>
      </c>
      <c r="AT49" s="6">
        <v>1</v>
      </c>
      <c r="AU49" s="70" t="str">
        <f>VLOOKUP($A49,CostByType_Summary!$C$3:$T$21,18, FALSE)</f>
        <v>Bin 4</v>
      </c>
      <c r="AV49" s="70">
        <f>VLOOKUP($A49,EnergyCalculations!$B$3:$Q$22,AV$30,FALSE)</f>
        <v>1.1542012927054479E-2</v>
      </c>
      <c r="AW49" s="70">
        <f>VLOOKUP($A49,EnergyCalculations!$B$3:$Q$22,AW$30,FALSE)</f>
        <v>0</v>
      </c>
      <c r="AX49" s="70">
        <f>VLOOKUP($A49,EnergyCalculations!$B$3:$Q$22,AX$30,FALSE)</f>
        <v>0</v>
      </c>
      <c r="AY49" s="70">
        <f>VLOOKUP($A49,EnergyCalculations!$B$3:$Q$22,AY$30,FALSE)</f>
        <v>1.1322463768115942E-2</v>
      </c>
    </row>
    <row r="50" spans="1:52">
      <c r="A50" s="367"/>
      <c r="B50" s="394"/>
      <c r="C50" s="394"/>
      <c r="D50" s="367"/>
      <c r="E50" s="395"/>
      <c r="F50" s="395"/>
      <c r="G50" s="395"/>
      <c r="H50" s="395"/>
      <c r="I50" s="395"/>
      <c r="J50" s="395"/>
      <c r="K50" s="395"/>
      <c r="L50" s="395"/>
      <c r="M50" s="395"/>
      <c r="N50" s="395"/>
      <c r="O50" s="395"/>
      <c r="P50" s="395"/>
      <c r="Q50" s="395"/>
      <c r="R50" s="395"/>
      <c r="S50" s="395"/>
      <c r="T50" s="395"/>
      <c r="U50" s="395"/>
      <c r="V50" s="395"/>
      <c r="W50" s="395"/>
      <c r="X50" s="395"/>
      <c r="Y50" s="396"/>
      <c r="Z50" s="397"/>
      <c r="AA50" s="397"/>
      <c r="AB50" s="397"/>
      <c r="AC50" s="397"/>
      <c r="AD50" s="395"/>
      <c r="AE50" s="395"/>
      <c r="AF50" s="395"/>
      <c r="AG50" s="395"/>
      <c r="AH50" s="395"/>
      <c r="AI50" s="395"/>
      <c r="AJ50" s="395"/>
      <c r="AK50" s="395"/>
      <c r="AL50" s="395"/>
      <c r="AM50" s="395"/>
      <c r="AN50" s="395"/>
      <c r="AO50" s="395"/>
      <c r="AP50" s="395"/>
      <c r="AQ50" s="397"/>
      <c r="AR50" s="397"/>
      <c r="AS50" s="397"/>
      <c r="AT50" s="397"/>
      <c r="AU50" s="367"/>
      <c r="AV50" s="367"/>
      <c r="AW50" s="367"/>
    </row>
    <row r="52" spans="1:52">
      <c r="A52" s="285" t="s">
        <v>413</v>
      </c>
    </row>
    <row r="53" spans="1:52">
      <c r="A53" s="474" t="s">
        <v>210</v>
      </c>
      <c r="B53" s="477" t="s">
        <v>410</v>
      </c>
      <c r="C53" s="476" t="s">
        <v>409</v>
      </c>
      <c r="D53" s="476"/>
      <c r="E53" s="476"/>
      <c r="F53" s="476"/>
      <c r="G53" s="476"/>
      <c r="H53" s="476"/>
      <c r="I53" s="476"/>
      <c r="J53" s="476"/>
      <c r="K53" s="476"/>
      <c r="L53" s="476"/>
      <c r="M53" s="476"/>
      <c r="N53" s="476"/>
      <c r="O53" s="476"/>
      <c r="P53" s="476"/>
      <c r="Q53" s="476"/>
      <c r="R53" s="476"/>
      <c r="S53" s="476"/>
      <c r="T53" s="476"/>
      <c r="U53" s="476"/>
      <c r="V53" s="476"/>
      <c r="W53" s="476"/>
      <c r="X53" s="70"/>
      <c r="Y53" s="70"/>
      <c r="Z53" s="70"/>
      <c r="AA53" s="70"/>
      <c r="AB53" s="70"/>
      <c r="AC53" s="70"/>
      <c r="AD53" s="70"/>
      <c r="AF53" s="70"/>
      <c r="AH53" s="70"/>
      <c r="AJ53" s="70"/>
      <c r="AK53" s="70"/>
      <c r="AL53" s="70"/>
      <c r="AM53" s="70"/>
      <c r="AN53" s="70"/>
      <c r="AO53" s="70"/>
      <c r="AP53" s="70"/>
      <c r="AQ53" s="70"/>
      <c r="AR53" s="70"/>
      <c r="AS53" s="70"/>
      <c r="AT53" s="70"/>
      <c r="AU53" s="70"/>
      <c r="AV53" s="70"/>
      <c r="AW53" s="70"/>
      <c r="AX53" s="71" t="s">
        <v>450</v>
      </c>
    </row>
    <row r="54" spans="1:52">
      <c r="A54" s="475"/>
      <c r="B54" s="478"/>
      <c r="C54" s="316">
        <v>2016</v>
      </c>
      <c r="D54" s="316">
        <v>2017</v>
      </c>
      <c r="E54" s="316">
        <v>2018</v>
      </c>
      <c r="F54" s="316">
        <v>2019</v>
      </c>
      <c r="G54" s="316">
        <v>2020</v>
      </c>
      <c r="H54" s="316">
        <v>2021</v>
      </c>
      <c r="I54" s="316">
        <v>2022</v>
      </c>
      <c r="J54" s="316">
        <v>2023</v>
      </c>
      <c r="K54" s="316">
        <v>2024</v>
      </c>
      <c r="L54" s="316">
        <v>2025</v>
      </c>
      <c r="M54" s="316">
        <v>2026</v>
      </c>
      <c r="N54" s="316">
        <v>2027</v>
      </c>
      <c r="O54" s="316">
        <v>2028</v>
      </c>
      <c r="P54" s="316">
        <v>2029</v>
      </c>
      <c r="Q54" s="316">
        <v>2030</v>
      </c>
      <c r="R54" s="316">
        <v>2031</v>
      </c>
      <c r="S54" s="316">
        <v>2032</v>
      </c>
      <c r="T54" s="316">
        <v>2033</v>
      </c>
      <c r="U54" s="316">
        <v>2034</v>
      </c>
      <c r="V54" s="316">
        <v>2035</v>
      </c>
      <c r="W54" s="31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Y54" s="70" t="s">
        <v>386</v>
      </c>
      <c r="AZ54" s="70" t="s">
        <v>388</v>
      </c>
    </row>
    <row r="55" spans="1:52" s="367" customFormat="1">
      <c r="A55" s="124" t="s">
        <v>281</v>
      </c>
      <c r="B55" s="331">
        <f>(1-'7thPlanAssumptions'!$B$4*0.01)^($C$54-'7thPlanAssumptions'!$B$8)*SUM(C55:W55)/(NPV('7thPlanAssumptions'!$B$3*0.01,'Res-Capacity-Base'!D82:W82)+'Res-Capacity-Base'!C82)/1000</f>
        <v>13.103946639888749</v>
      </c>
      <c r="C55" s="284">
        <f>('Res-Capacity-Base'!C106)*(1+0.01*'7thPlanAssumptions'!$B$3)^($C$54-C$54)</f>
        <v>109669.19139618748</v>
      </c>
      <c r="D55" s="284">
        <f>('Res-Capacity-Base'!D106)*(1+0.01*'7thPlanAssumptions'!$B$3)^($C$54-D$54)</f>
        <v>481669.81839816697</v>
      </c>
      <c r="E55" s="284">
        <f>('Res-Capacity-Base'!E106)*(1+0.01*'7thPlanAssumptions'!$B$3)^($C$54-E$54)</f>
        <v>751932.44811154751</v>
      </c>
      <c r="F55" s="284">
        <f>('Res-Capacity-Base'!F106)*(1+0.01*'7thPlanAssumptions'!$B$3)^($C$54-F$54)</f>
        <v>926976.5716897276</v>
      </c>
      <c r="G55" s="284">
        <f>('Res-Capacity-Base'!G106)*(1+0.01*'7thPlanAssumptions'!$B$3)^($C$54-G$54)</f>
        <v>1013195.6724748416</v>
      </c>
      <c r="H55" s="284">
        <f>('Res-Capacity-Base'!H106)*(1+0.01*'7thPlanAssumptions'!$B$3)^($C$54-H$54)</f>
        <v>1161823.6660025406</v>
      </c>
      <c r="I55" s="284">
        <f>('Res-Capacity-Base'!I106)*(1+0.01*'7thPlanAssumptions'!$B$3)^($C$54-I$54)</f>
        <v>1132110.9890063093</v>
      </c>
      <c r="J55" s="284">
        <f>('Res-Capacity-Base'!J106)*(1+0.01*'7thPlanAssumptions'!$B$3)^($C$54-J$54)</f>
        <v>1102888.0084325364</v>
      </c>
      <c r="K55" s="284">
        <f>('Res-Capacity-Base'!K106)*(1+0.01*'7thPlanAssumptions'!$B$3)^($C$54-K$54)</f>
        <v>1074106.5488500139</v>
      </c>
      <c r="L55" s="284">
        <f>('Res-Capacity-Base'!L106)*(1+0.01*'7thPlanAssumptions'!$B$3)^($C$54-L$54)</f>
        <v>1045842.2817896159</v>
      </c>
      <c r="M55" s="284">
        <f>('Res-Capacity-Base'!M106)*(1+0.01*'7thPlanAssumptions'!$B$3)^($C$54-M$54)</f>
        <v>1018022.1947485014</v>
      </c>
      <c r="N55" s="284">
        <f>('Res-Capacity-Base'!N106)*(1+0.01*'7thPlanAssumptions'!$B$3)^($C$54-N$54)</f>
        <v>990590.78968764364</v>
      </c>
      <c r="O55" s="284">
        <f>('Res-Capacity-Base'!O106)*(1+0.01*'7thPlanAssumptions'!$B$3)^($C$54-O$54)</f>
        <v>963520.28708083543</v>
      </c>
      <c r="P55" s="284">
        <f>('Res-Capacity-Base'!P106)*(1+0.01*'7thPlanAssumptions'!$B$3)^($C$54-P$54)</f>
        <v>936887.28731658938</v>
      </c>
      <c r="Q55" s="284">
        <f>('Res-Capacity-Base'!Q106)*(1+0.01*'7thPlanAssumptions'!$B$3)^($C$54-Q$54)</f>
        <v>910787.83627815475</v>
      </c>
      <c r="R55" s="284">
        <f>('Res-Capacity-Base'!R106)*(1+0.01*'7thPlanAssumptions'!$B$3)^($C$54-R$54)</f>
        <v>885415.45385696925</v>
      </c>
      <c r="S55" s="284">
        <f>('Res-Capacity-Base'!S106)*(1+0.01*'7thPlanAssumptions'!$B$3)^($C$54-S$54)</f>
        <v>860749.88565099926</v>
      </c>
      <c r="T55" s="284">
        <f>('Res-Capacity-Base'!T106)*(1+0.01*'7thPlanAssumptions'!$B$3)^($C$54-T$54)</f>
        <v>836771.44149766827</v>
      </c>
      <c r="U55" s="284">
        <f>('Res-Capacity-Base'!U106)*(1+0.01*'7thPlanAssumptions'!$B$3)^($C$54-U$54)</f>
        <v>813460.97975548753</v>
      </c>
      <c r="V55" s="284">
        <f>('Res-Capacity-Base'!V106)*(1+0.01*'7thPlanAssumptions'!$B$3)^($C$54-V$54)</f>
        <v>790799.89202356362</v>
      </c>
      <c r="W55" s="284"/>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row>
    <row r="56" spans="1:52" s="367" customFormat="1">
      <c r="A56" s="85" t="s">
        <v>282</v>
      </c>
      <c r="B56" s="331">
        <f>(1-'7thPlanAssumptions'!$B$4*0.01)^($C$54-'7thPlanAssumptions'!$B$8)*SUM(C56:W56)/(NPV('7thPlanAssumptions'!$B$3*0.01,'Res-Capacity-Base'!D83:W83)+'Res-Capacity-Base'!C83)/1000</f>
        <v>13.103946639888742</v>
      </c>
      <c r="C56" s="284">
        <f>('Res-Capacity-Base'!C107)*(1+0.01*'7thPlanAssumptions'!$B$3)^($C$54-C$54)</f>
        <v>4935.113612828437</v>
      </c>
      <c r="D56" s="284">
        <f>('Res-Capacity-Base'!D107)*(1+0.01*'7thPlanAssumptions'!$B$3)^($C$54-D$54)</f>
        <v>21675.141827917512</v>
      </c>
      <c r="E56" s="284">
        <f>('Res-Capacity-Base'!E107)*(1+0.01*'7thPlanAssumptions'!$B$3)^($C$54-E$54)</f>
        <v>33836.960165019656</v>
      </c>
      <c r="F56" s="284">
        <f>('Res-Capacity-Base'!F107)*(1+0.01*'7thPlanAssumptions'!$B$3)^($C$54-F$54)</f>
        <v>41713.945726037753</v>
      </c>
      <c r="G56" s="284">
        <f>('Res-Capacity-Base'!G107)*(1+0.01*'7thPlanAssumptions'!$B$3)^($C$54-G$54)</f>
        <v>45593.805261367874</v>
      </c>
      <c r="H56" s="284">
        <f>('Res-Capacity-Base'!H107)*(1+0.01*'7thPlanAssumptions'!$B$3)^($C$54-H$54)</f>
        <v>52282.064970114327</v>
      </c>
      <c r="I56" s="284">
        <f>('Res-Capacity-Base'!I107)*(1+0.01*'7thPlanAssumptions'!$B$3)^($C$54-I$54)</f>
        <v>50944.994505283932</v>
      </c>
      <c r="J56" s="284">
        <f>('Res-Capacity-Base'!J107)*(1+0.01*'7thPlanAssumptions'!$B$3)^($C$54-J$54)</f>
        <v>49629.960379464137</v>
      </c>
      <c r="K56" s="284">
        <f>('Res-Capacity-Base'!K107)*(1+0.01*'7thPlanAssumptions'!$B$3)^($C$54-K$54)</f>
        <v>48334.79469825064</v>
      </c>
      <c r="L56" s="284">
        <f>('Res-Capacity-Base'!L107)*(1+0.01*'7thPlanAssumptions'!$B$3)^($C$54-L$54)</f>
        <v>47062.902680532701</v>
      </c>
      <c r="M56" s="284">
        <f>('Res-Capacity-Base'!M107)*(1+0.01*'7thPlanAssumptions'!$B$3)^($C$54-M$54)</f>
        <v>45810.998763682575</v>
      </c>
      <c r="N56" s="284">
        <f>('Res-Capacity-Base'!N107)*(1+0.01*'7thPlanAssumptions'!$B$3)^($C$54-N$54)</f>
        <v>44576.585535943967</v>
      </c>
      <c r="O56" s="284">
        <f>('Res-Capacity-Base'!O107)*(1+0.01*'7thPlanAssumptions'!$B$3)^($C$54-O$54)</f>
        <v>43358.412918637609</v>
      </c>
      <c r="P56" s="284">
        <f>('Res-Capacity-Base'!P107)*(1+0.01*'7thPlanAssumptions'!$B$3)^($C$54-P$54)</f>
        <v>42159.927929246529</v>
      </c>
      <c r="Q56" s="284">
        <f>('Res-Capacity-Base'!Q107)*(1+0.01*'7thPlanAssumptions'!$B$3)^($C$54-Q$54)</f>
        <v>40985.452632516965</v>
      </c>
      <c r="R56" s="284">
        <f>('Res-Capacity-Base'!R107)*(1+0.01*'7thPlanAssumptions'!$B$3)^($C$54-R$54)</f>
        <v>39843.695423563622</v>
      </c>
      <c r="S56" s="284">
        <f>('Res-Capacity-Base'!S107)*(1+0.01*'7thPlanAssumptions'!$B$3)^($C$54-S$54)</f>
        <v>38733.744854294964</v>
      </c>
      <c r="T56" s="284">
        <f>('Res-Capacity-Base'!T107)*(1+0.01*'7thPlanAssumptions'!$B$3)^($C$54-T$54)</f>
        <v>37654.714867395072</v>
      </c>
      <c r="U56" s="284">
        <f>('Res-Capacity-Base'!U107)*(1+0.01*'7thPlanAssumptions'!$B$3)^($C$54-U$54)</f>
        <v>36605.744088996944</v>
      </c>
      <c r="V56" s="284">
        <f>('Res-Capacity-Base'!V107)*(1+0.01*'7thPlanAssumptions'!$B$3)^($C$54-V$54)</f>
        <v>35585.995141060368</v>
      </c>
      <c r="W56" s="284"/>
      <c r="X56" s="76"/>
      <c r="Y56" s="76"/>
      <c r="Z56" s="76"/>
      <c r="AA56" s="76"/>
      <c r="AB56" s="76"/>
      <c r="AC56" s="76"/>
      <c r="AD56" s="76"/>
      <c r="AE56" s="76"/>
      <c r="AF56" s="76"/>
      <c r="AG56" s="76"/>
      <c r="AH56" s="76"/>
      <c r="AI56" s="76"/>
      <c r="AJ56" s="76"/>
      <c r="AK56" s="76"/>
      <c r="AL56" s="76"/>
      <c r="AM56" s="76"/>
      <c r="AN56" s="76"/>
      <c r="AO56" s="76"/>
      <c r="AP56" s="76"/>
      <c r="AQ56" s="76"/>
      <c r="AR56" s="76"/>
      <c r="AS56" s="76"/>
      <c r="AT56" s="76"/>
      <c r="AU56" s="76"/>
      <c r="AV56" s="76"/>
      <c r="AW56" s="76"/>
    </row>
    <row r="57" spans="1:52" s="367" customFormat="1">
      <c r="A57" s="85" t="s">
        <v>235</v>
      </c>
      <c r="B57" s="331">
        <f>(1-'7thPlanAssumptions'!$B$4*0.01)^($C$54-'7thPlanAssumptions'!$B$8)*SUM(C57:W57)/(NPV('7thPlanAssumptions'!$B$3*0.01,'Res-Capacity-Base'!D84:W84)+'Res-Capacity-Base'!C84)/1000</f>
        <v>11.231954262761777</v>
      </c>
      <c r="C57" s="284">
        <f>('Res-Capacity-Base'!C108)*(1+0.01*'7thPlanAssumptions'!$B$3)^($C$54-C$54)</f>
        <v>257028.77428445255</v>
      </c>
      <c r="D57" s="284">
        <f>('Res-Capacity-Base'!D108)*(1+0.01*'7thPlanAssumptions'!$B$3)^($C$54-D$54)</f>
        <v>1128876.774384602</v>
      </c>
      <c r="E57" s="284">
        <f>('Res-Capacity-Base'!E108)*(1+0.01*'7thPlanAssumptions'!$B$3)^($C$54-E$54)</f>
        <v>1762284.1294108196</v>
      </c>
      <c r="F57" s="284">
        <f>('Res-Capacity-Base'!F108)*(1+0.01*'7thPlanAssumptions'!$B$3)^($C$54-F$54)</f>
        <v>2172530.3978132317</v>
      </c>
      <c r="G57" s="284">
        <f>('Res-Capacity-Base'!G108)*(1+0.01*'7thPlanAssumptions'!$B$3)^($C$54-G$54)</f>
        <v>2374599.8168777716</v>
      </c>
      <c r="H57" s="284">
        <f>('Res-Capacity-Base'!H108)*(1+0.01*'7thPlanAssumptions'!$B$3)^($C$54-H$54)</f>
        <v>2722935.3021169752</v>
      </c>
      <c r="I57" s="284">
        <f>('Res-Capacity-Base'!I108)*(1+0.01*'7thPlanAssumptions'!$B$3)^($C$54-I$54)</f>
        <v>2653298.4893364203</v>
      </c>
      <c r="J57" s="284">
        <f>('Res-Capacity-Base'!J108)*(1+0.01*'7thPlanAssumptions'!$B$3)^($C$54-J$54)</f>
        <v>2584809.3650692343</v>
      </c>
      <c r="K57" s="284">
        <f>('Res-Capacity-Base'!K108)*(1+0.01*'7thPlanAssumptions'!$B$3)^($C$54-K$54)</f>
        <v>2517355.0218354207</v>
      </c>
      <c r="L57" s="284">
        <f>('Res-Capacity-Base'!L108)*(1+0.01*'7thPlanAssumptions'!$B$3)^($C$54-L$54)</f>
        <v>2451112.8089942751</v>
      </c>
      <c r="M57" s="284">
        <f>('Res-Capacity-Base'!M108)*(1+0.01*'7thPlanAssumptions'!$B$3)^($C$54-M$54)</f>
        <v>2385911.6090799584</v>
      </c>
      <c r="N57" s="284">
        <f>('Res-Capacity-Base'!N108)*(1+0.01*'7thPlanAssumptions'!$B$3)^($C$54-N$54)</f>
        <v>2321621.3528107968</v>
      </c>
      <c r="O57" s="284">
        <f>('Res-Capacity-Base'!O108)*(1+0.01*'7thPlanAssumptions'!$B$3)^($C$54-O$54)</f>
        <v>2258176.9340482275</v>
      </c>
      <c r="P57" s="284">
        <f>('Res-Capacity-Base'!P108)*(1+0.01*'7thPlanAssumptions'!$B$3)^($C$54-P$54)</f>
        <v>2195757.8790905541</v>
      </c>
      <c r="Q57" s="284">
        <f>('Res-Capacity-Base'!Q108)*(1+0.01*'7thPlanAssumptions'!$B$3)^($C$54-Q$54)</f>
        <v>2134589.2881261897</v>
      </c>
      <c r="R57" s="284">
        <f>('Res-Capacity-Base'!R108)*(1+0.01*'7thPlanAssumptions'!$B$3)^($C$54-R$54)</f>
        <v>2075124.7085904973</v>
      </c>
      <c r="S57" s="284">
        <f>('Res-Capacity-Base'!S108)*(1+0.01*'7thPlanAssumptions'!$B$3)^($C$54-S$54)</f>
        <v>2017316.6707787917</v>
      </c>
      <c r="T57" s="284">
        <f>('Res-Capacity-Base'!T108)*(1+0.01*'7thPlanAssumptions'!$B$3)^($C$54-T$54)</f>
        <v>1961119.0273794339</v>
      </c>
      <c r="U57" s="284">
        <f>('Res-Capacity-Base'!U108)*(1+0.01*'7thPlanAssumptions'!$B$3)^($C$54-U$54)</f>
        <v>1906486.9166351066</v>
      </c>
      <c r="V57" s="284">
        <f>('Res-Capacity-Base'!V108)*(1+0.01*'7thPlanAssumptions'!$B$3)^($C$54-V$54)</f>
        <v>1853376.7265303279</v>
      </c>
      <c r="W57" s="284"/>
      <c r="X57" s="76"/>
      <c r="Y57" s="76"/>
      <c r="Z57" s="76"/>
      <c r="AA57" s="76"/>
      <c r="AB57" s="76"/>
      <c r="AC57" s="76"/>
      <c r="AD57" s="76"/>
      <c r="AE57" s="76"/>
      <c r="AF57" s="76"/>
      <c r="AG57" s="76"/>
      <c r="AH57" s="76"/>
      <c r="AI57" s="76"/>
      <c r="AJ57" s="76"/>
      <c r="AK57" s="76"/>
      <c r="AL57" s="76"/>
      <c r="AM57" s="76"/>
      <c r="AN57" s="76"/>
      <c r="AO57" s="76"/>
      <c r="AP57" s="76"/>
      <c r="AQ57" s="76"/>
      <c r="AR57" s="76"/>
      <c r="AS57" s="76"/>
      <c r="AT57" s="76"/>
      <c r="AU57" s="76"/>
      <c r="AV57" s="76"/>
      <c r="AW57" s="76"/>
    </row>
    <row r="58" spans="1:52" s="367" customFormat="1">
      <c r="A58" s="166" t="s">
        <v>211</v>
      </c>
      <c r="B58" s="331">
        <f>(1-'7thPlanAssumptions'!$B$4*0.01)^($C$54-'7thPlanAssumptions'!$B$8)*SUM(C58:W58)/(NPV('7thPlanAssumptions'!$B$3*0.01,'Res-Capacity-Base'!D85:W85)+'Res-Capacity-Base'!C85)/1000</f>
        <v>7.2943151246671354</v>
      </c>
      <c r="C58" s="284">
        <f>('Res-Capacity-Base'!C109)*(1+0.01*'7thPlanAssumptions'!$B$3)^($C$54-C$54)</f>
        <v>172990.83962028832</v>
      </c>
      <c r="D58" s="284">
        <f>('Res-Capacity-Base'!D109)*(1+0.01*'7thPlanAssumptions'!$B$3)^($C$54-D$54)</f>
        <v>844200.08171499171</v>
      </c>
      <c r="E58" s="284">
        <f>('Res-Capacity-Base'!E109)*(1+0.01*'7thPlanAssumptions'!$B$3)^($C$54-E$54)</f>
        <v>1482611.2953938202</v>
      </c>
      <c r="F58" s="284">
        <f>('Res-Capacity-Base'!F109)*(1+0.01*'7thPlanAssumptions'!$B$3)^($C$54-F$54)</f>
        <v>2088859.2763569227</v>
      </c>
      <c r="G58" s="284">
        <f>('Res-Capacity-Base'!G109)*(1+0.01*'7thPlanAssumptions'!$B$3)^($C$54-G$54)</f>
        <v>2663670.7454736559</v>
      </c>
      <c r="H58" s="284">
        <f>('Res-Capacity-Base'!H109)*(1+0.01*'7thPlanAssumptions'!$B$3)^($C$54-H$54)</f>
        <v>3054410.7072336189</v>
      </c>
      <c r="I58" s="284">
        <f>('Res-Capacity-Base'!I109)*(1+0.01*'7thPlanAssumptions'!$B$3)^($C$54-I$54)</f>
        <v>2976296.6857916908</v>
      </c>
      <c r="J58" s="284">
        <f>('Res-Capacity-Base'!J109)*(1+0.01*'7thPlanAssumptions'!$B$3)^($C$54-J$54)</f>
        <v>2899470.066250599</v>
      </c>
      <c r="K58" s="284">
        <f>('Res-Capacity-Base'!K109)*(1+0.01*'7thPlanAssumptions'!$B$3)^($C$54-K$54)</f>
        <v>2823804.1963848742</v>
      </c>
      <c r="L58" s="284">
        <f>('Res-Capacity-Base'!L109)*(1+0.01*'7thPlanAssumptions'!$B$3)^($C$54-L$54)</f>
        <v>2749498.0151048643</v>
      </c>
      <c r="M58" s="284">
        <f>('Res-Capacity-Base'!M109)*(1+0.01*'7thPlanAssumptions'!$B$3)^($C$54-M$54)</f>
        <v>2676359.574030654</v>
      </c>
      <c r="N58" s="284">
        <f>('Res-Capacity-Base'!N109)*(1+0.01*'7thPlanAssumptions'!$B$3)^($C$54-N$54)</f>
        <v>2604242.9699502517</v>
      </c>
      <c r="O58" s="284">
        <f>('Res-Capacity-Base'!O109)*(1+0.01*'7thPlanAssumptions'!$B$3)^($C$54-O$54)</f>
        <v>2533075.1710561896</v>
      </c>
      <c r="P58" s="284">
        <f>('Res-Capacity-Base'!P109)*(1+0.01*'7thPlanAssumptions'!$B$3)^($C$54-P$54)</f>
        <v>2463057.5582065941</v>
      </c>
      <c r="Q58" s="284">
        <f>('Res-Capacity-Base'!Q109)*(1+0.01*'7thPlanAssumptions'!$B$3)^($C$54-Q$54)</f>
        <v>2394442.6340684071</v>
      </c>
      <c r="R58" s="284">
        <f>('Res-Capacity-Base'!R109)*(1+0.01*'7thPlanAssumptions'!$B$3)^($C$54-R$54)</f>
        <v>2327739.1584868329</v>
      </c>
      <c r="S58" s="284">
        <f>('Res-Capacity-Base'!S109)*(1+0.01*'7thPlanAssumptions'!$B$3)^($C$54-S$54)</f>
        <v>2262893.8830522806</v>
      </c>
      <c r="T58" s="284">
        <f>('Res-Capacity-Base'!T109)*(1+0.01*'7thPlanAssumptions'!$B$3)^($C$54-T$54)</f>
        <v>2199855.042729177</v>
      </c>
      <c r="U58" s="284">
        <f>('Res-Capacity-Base'!U109)*(1+0.01*'7thPlanAssumptions'!$B$3)^($C$54-U$54)</f>
        <v>2138572.3145326925</v>
      </c>
      <c r="V58" s="284">
        <f>('Res-Capacity-Base'!V109)*(1+0.01*'7thPlanAssumptions'!$B$3)^($C$54-V$54)</f>
        <v>2078996.7773566432</v>
      </c>
      <c r="W58" s="284"/>
      <c r="X58" s="76"/>
      <c r="Y58" s="76"/>
      <c r="Z58" s="76"/>
      <c r="AA58" s="76"/>
      <c r="AB58" s="76"/>
      <c r="AC58" s="76"/>
      <c r="AD58" s="76"/>
      <c r="AE58" s="76"/>
      <c r="AF58" s="76"/>
      <c r="AG58" s="76"/>
      <c r="AH58" s="76"/>
      <c r="AI58" s="76"/>
      <c r="AJ58" s="76"/>
      <c r="AK58" s="76"/>
      <c r="AL58" s="76"/>
      <c r="AM58" s="76"/>
      <c r="AN58" s="76"/>
      <c r="AO58" s="76"/>
      <c r="AP58" s="76"/>
      <c r="AQ58" s="76"/>
      <c r="AR58" s="76"/>
      <c r="AS58" s="76"/>
      <c r="AT58" s="76"/>
      <c r="AU58" s="76"/>
      <c r="AV58" s="76"/>
      <c r="AW58" s="76"/>
    </row>
    <row r="59" spans="1:52" s="367" customFormat="1">
      <c r="A59" s="85"/>
      <c r="B59" s="76"/>
      <c r="C59" s="476" t="s">
        <v>412</v>
      </c>
      <c r="D59" s="476"/>
      <c r="E59" s="476"/>
      <c r="F59" s="476"/>
      <c r="G59" s="476"/>
      <c r="H59" s="476"/>
      <c r="I59" s="476"/>
      <c r="J59" s="476"/>
      <c r="K59" s="476"/>
      <c r="L59" s="476"/>
      <c r="M59" s="476"/>
      <c r="N59" s="476"/>
      <c r="O59" s="476"/>
      <c r="P59" s="476"/>
      <c r="Q59" s="476"/>
      <c r="R59" s="476"/>
      <c r="S59" s="476"/>
      <c r="T59" s="476"/>
      <c r="U59" s="476"/>
      <c r="V59" s="476"/>
      <c r="W59" s="476"/>
      <c r="X59" s="76"/>
      <c r="Y59" s="76"/>
      <c r="Z59" s="76"/>
      <c r="AA59" s="76"/>
      <c r="AB59" s="76"/>
      <c r="AC59" s="76"/>
      <c r="AD59" s="76"/>
      <c r="AE59" s="76"/>
      <c r="AF59" s="76"/>
      <c r="AG59" s="76"/>
      <c r="AH59" s="76"/>
      <c r="AI59" s="76"/>
      <c r="AJ59" s="76"/>
      <c r="AK59" s="76"/>
      <c r="AL59" s="76"/>
      <c r="AM59" s="76"/>
      <c r="AN59" s="76"/>
      <c r="AO59" s="76"/>
      <c r="AP59" s="76"/>
      <c r="AQ59" s="76"/>
      <c r="AR59" s="76"/>
      <c r="AS59" s="76"/>
      <c r="AT59" s="76"/>
      <c r="AU59" s="76"/>
      <c r="AV59" s="76"/>
      <c r="AW59" s="76"/>
    </row>
    <row r="60" spans="1:52" s="367" customFormat="1">
      <c r="A60" s="124" t="s">
        <v>281</v>
      </c>
      <c r="B60" s="331">
        <f>(1-'7thPlanAssumptions'!$B$4*0.01)^($C$54-'7thPlanAssumptions'!$B$8)*SUM(C60:W60)/(NPV('7thPlanAssumptions'!$B$3*0.01,'Res-Capacity-Base'!D82:W82)+'Res-Capacity-Base'!C82)/1000</f>
        <v>52.679302086479552</v>
      </c>
      <c r="C60" s="284">
        <f>'Res-Capacity-Base'!C94*(1+0.01*'7thPlanAssumptions'!$B$3)^($C$54-C$54)</f>
        <v>1484244.6955874998</v>
      </c>
      <c r="D60" s="284">
        <f>'Res-Capacity-Base'!D94*(1+0.01*'7thPlanAssumptions'!$B$3)^($C$54-D$54)</f>
        <v>5091681.2863521622</v>
      </c>
      <c r="E60" s="284">
        <f>'Res-Capacity-Base'!E94*(1+0.01*'7thPlanAssumptions'!$B$3)^($C$54-E$54)</f>
        <v>3908414.3272709404</v>
      </c>
      <c r="F60" s="284">
        <f>'Res-Capacity-Base'!F94*(1+0.01*'7thPlanAssumptions'!$B$3)^($C$54-F$54)</f>
        <v>2760423.1897222702</v>
      </c>
      <c r="G60" s="284">
        <f>'Res-Capacity-Base'!G94*(1+0.01*'7thPlanAssumptions'!$B$3)^($C$54-G$54)</f>
        <v>1649396.1092495217</v>
      </c>
      <c r="H60" s="284">
        <f>'Res-Capacity-Base'!H94*(1+0.01*'7thPlanAssumptions'!$B$3)^($C$54-H$54)+C60</f>
        <v>4023152.2454865854</v>
      </c>
      <c r="I60" s="284">
        <f>'Res-Capacity-Base'!I94*(1+0.01*'7thPlanAssumptions'!$B$3)^($C$54-I$54)+D60</f>
        <v>5294321.3428533049</v>
      </c>
      <c r="J60" s="284">
        <f>'Res-Capacity-Base'!J94*(1+0.01*'7thPlanAssumptions'!$B$3)^($C$54-J$54)+E60</f>
        <v>4102215.4520132109</v>
      </c>
      <c r="K60" s="284">
        <f>'Res-Capacity-Base'!K94*(1+0.01*'7thPlanAssumptions'!$B$3)^($C$54-K$54)+F60</f>
        <v>2944988.2870954736</v>
      </c>
      <c r="L60" s="284">
        <f>'Res-Capacity-Base'!L94*(1+0.01*'7thPlanAssumptions'!$B$3)^($C$54-L$54)+G60</f>
        <v>1825979.131083932</v>
      </c>
      <c r="M60" s="284">
        <f>'Res-Capacity-Base'!M94*(1+0.01*'7thPlanAssumptions'!$B$3)^($C$54-M$54)+H60</f>
        <v>4191034.2679553991</v>
      </c>
      <c r="N60" s="284">
        <f>'Res-Capacity-Base'!N94*(1+0.01*'7thPlanAssumptions'!$B$3)^($C$54-N$54)+I60</f>
        <v>5452982.4746344369</v>
      </c>
      <c r="O60" s="284">
        <f>'Res-Capacity-Base'!O94*(1+0.01*'7thPlanAssumptions'!$B$3)^($C$54-O$54)+J60</f>
        <v>4251482.0510413032</v>
      </c>
      <c r="P60" s="284">
        <f>'Res-Capacity-Base'!P94*(1+0.01*'7thPlanAssumptions'!$B$3)^($C$54-P$54)+K60</f>
        <v>3086084.9116700217</v>
      </c>
      <c r="Q60" s="284">
        <f>'Res-Capacity-Base'!Q94*(1+0.01*'7thPlanAssumptions'!$B$3)^($C$54-Q$54)+L60</f>
        <v>1960433.3845747113</v>
      </c>
      <c r="R60" s="284">
        <f>'Res-Capacity-Base'!R94*(1+0.01*'7thPlanAssumptions'!$B$3)^($C$54-R$54)+M60</f>
        <v>4321742.9458007449</v>
      </c>
      <c r="S60" s="284">
        <f>'Res-Capacity-Base'!S94*(1+0.01*'7thPlanAssumptions'!$B$3)^($C$54-S$54)+N60</f>
        <v>5580049.9196613766</v>
      </c>
      <c r="T60" s="284">
        <f>'Res-Capacity-Base'!T94*(1+0.01*'7thPlanAssumptions'!$B$3)^($C$54-T$54)+O60</f>
        <v>4375009.6993339323</v>
      </c>
      <c r="U60" s="284">
        <f>'Res-Capacity-Base'!U94*(1+0.01*'7thPlanAssumptions'!$B$3)^($C$54-U$54)+P60</f>
        <v>3206171.3735444425</v>
      </c>
      <c r="V60" s="284">
        <f>'Res-Capacity-Base'!V94*(1+0.01*'7thPlanAssumptions'!$B$3)^($C$54-V$54)+Q60</f>
        <v>2077174.523298203</v>
      </c>
      <c r="W60" s="284"/>
      <c r="X60" s="76"/>
      <c r="Y60" s="76"/>
      <c r="Z60" s="76"/>
      <c r="AA60" s="76"/>
      <c r="AB60" s="76"/>
      <c r="AC60" s="76"/>
      <c r="AD60" s="76"/>
      <c r="AE60" s="76"/>
      <c r="AF60" s="76"/>
      <c r="AG60" s="76"/>
      <c r="AH60" s="76"/>
      <c r="AI60" s="76"/>
      <c r="AJ60" s="76"/>
      <c r="AK60" s="76"/>
      <c r="AL60" s="76"/>
      <c r="AM60" s="76"/>
      <c r="AN60" s="76"/>
      <c r="AO60" s="76"/>
      <c r="AP60" s="76"/>
      <c r="AQ60" s="76"/>
      <c r="AR60" s="76"/>
      <c r="AS60" s="76"/>
      <c r="AT60" s="76"/>
      <c r="AU60" s="76"/>
      <c r="AV60" s="76"/>
      <c r="AW60" s="76"/>
    </row>
    <row r="61" spans="1:52" s="367" customFormat="1">
      <c r="A61" s="85" t="s">
        <v>282</v>
      </c>
      <c r="B61" s="331">
        <f>(1-'7thPlanAssumptions'!$B$4*0.01)^($C$54-'7thPlanAssumptions'!$B$8)*SUM(C61:W61)/(NPV('7thPlanAssumptions'!$B$3*0.01,'Res-Capacity-Base'!D83:W83)+'Res-Capacity-Base'!C83)/1000</f>
        <v>66.770473426484358</v>
      </c>
      <c r="C61" s="284">
        <f>'Res-Capacity-Base'!C95*(1+0.01*'7thPlanAssumptions'!$B$3)^($C$54-C$54)</f>
        <v>84656.919674249992</v>
      </c>
      <c r="D61" s="284">
        <f>'Res-Capacity-Base'!D95*(1+0.01*'7thPlanAssumptions'!$B$3)^($C$54-D$54)</f>
        <v>290414.41411045671</v>
      </c>
      <c r="E61" s="284">
        <f>'Res-Capacity-Base'!E95*(1+0.01*'7thPlanAssumptions'!$B$3)^($C$54-E$54)</f>
        <v>222924.37274063902</v>
      </c>
      <c r="F61" s="284">
        <f>'Res-Capacity-Base'!F95*(1+0.01*'7thPlanAssumptions'!$B$3)^($C$54-F$54)</f>
        <v>157446.359710085</v>
      </c>
      <c r="G61" s="284">
        <f>'Res-Capacity-Base'!G95*(1+0.01*'7thPlanAssumptions'!$B$3)^($C$54-G$54)</f>
        <v>94076.666972009698</v>
      </c>
      <c r="H61" s="284">
        <f>'Res-Capacity-Base'!H95*(1+0.01*'7thPlanAssumptions'!$B$3)^($C$54-H$54)+C61</f>
        <v>229468.68363145721</v>
      </c>
      <c r="I61" s="284">
        <f>'Res-Capacity-Base'!I95*(1+0.01*'7thPlanAssumptions'!$B$3)^($C$54-I$54)+D61</f>
        <v>301972.40251829964</v>
      </c>
      <c r="J61" s="284">
        <f>'Res-Capacity-Base'!J95*(1+0.01*'7thPlanAssumptions'!$B$3)^($C$54-J$54)+E61</f>
        <v>233978.21467038328</v>
      </c>
      <c r="K61" s="284">
        <f>'Res-Capacity-Base'!K95*(1+0.01*'7thPlanAssumptions'!$B$3)^($C$54-K$54)+F61</f>
        <v>167973.40600470471</v>
      </c>
      <c r="L61" s="284">
        <f>'Res-Capacity-Base'!L95*(1+0.01*'7thPlanAssumptions'!$B$3)^($C$54-L$54)+G61</f>
        <v>104148.43932849079</v>
      </c>
      <c r="M61" s="284">
        <f>'Res-Capacity-Base'!M95*(1+0.01*'7thPlanAssumptions'!$B$3)^($C$54-M$54)+H61</f>
        <v>239044.17676486386</v>
      </c>
      <c r="N61" s="284">
        <f>'Res-Capacity-Base'!N95*(1+0.01*'7thPlanAssumptions'!$B$3)^($C$54-N$54)+I61</f>
        <v>311021.96336803806</v>
      </c>
      <c r="O61" s="284">
        <f>'Res-Capacity-Base'!O95*(1+0.01*'7thPlanAssumptions'!$B$3)^($C$54-O$54)+J61</f>
        <v>242491.93920754138</v>
      </c>
      <c r="P61" s="284">
        <f>'Res-Capacity-Base'!P95*(1+0.01*'7thPlanAssumptions'!$B$3)^($C$54-P$54)+K61</f>
        <v>176021.139406364</v>
      </c>
      <c r="Q61" s="284">
        <f>'Res-Capacity-Base'!Q95*(1+0.01*'7thPlanAssumptions'!$B$3)^($C$54-Q$54)+L61</f>
        <v>111817.31156463156</v>
      </c>
      <c r="R61" s="284">
        <f>'Res-Capacity-Base'!R95*(1+0.01*'7thPlanAssumptions'!$B$3)^($C$54-R$54)+M61</f>
        <v>246499.412464191</v>
      </c>
      <c r="S61" s="284">
        <f>'Res-Capacity-Base'!S95*(1+0.01*'7thPlanAssumptions'!$B$3)^($C$54-S$54)+N61</f>
        <v>318269.51393624122</v>
      </c>
      <c r="T61" s="284">
        <f>'Res-Capacity-Base'!T95*(1+0.01*'7thPlanAssumptions'!$B$3)^($C$54-T$54)+O61</f>
        <v>249537.59025830613</v>
      </c>
      <c r="U61" s="284">
        <f>'Res-Capacity-Base'!U95*(1+0.01*'7thPlanAssumptions'!$B$3)^($C$54-U$54)+P61</f>
        <v>182870.51537994208</v>
      </c>
      <c r="V61" s="284">
        <f>'Res-Capacity-Base'!V95*(1+0.01*'7thPlanAssumptions'!$B$3)^($C$54-V$54)+Q61</f>
        <v>118475.88021774933</v>
      </c>
      <c r="W61" s="284"/>
      <c r="X61" s="76"/>
      <c r="Y61" s="76"/>
      <c r="Z61" s="76"/>
      <c r="AA61" s="76"/>
      <c r="AB61" s="76"/>
      <c r="AC61" s="76"/>
      <c r="AD61" s="76"/>
      <c r="AE61" s="76"/>
      <c r="AF61" s="76"/>
      <c r="AG61" s="76"/>
      <c r="AH61" s="76"/>
      <c r="AI61" s="76"/>
      <c r="AJ61" s="76"/>
      <c r="AK61" s="76"/>
      <c r="AL61" s="76"/>
      <c r="AM61" s="76"/>
      <c r="AN61" s="76"/>
      <c r="AO61" s="76"/>
      <c r="AP61" s="76"/>
      <c r="AQ61" s="76"/>
      <c r="AR61" s="76"/>
      <c r="AS61" s="76"/>
      <c r="AT61" s="76"/>
      <c r="AU61" s="76"/>
      <c r="AV61" s="76"/>
      <c r="AW61" s="76"/>
    </row>
    <row r="62" spans="1:52" s="367" customFormat="1">
      <c r="A62" s="85" t="s">
        <v>235</v>
      </c>
      <c r="B62" s="331">
        <f>(1-'7thPlanAssumptions'!$B$4*0.01)^($C$54-'7thPlanAssumptions'!$B$8)*SUM(C62:W62)/(NPV('7thPlanAssumptions'!$B$3*0.01,'Res-Capacity-Base'!D84:W84)+'Res-Capacity-Base'!C84)/1000</f>
        <v>43.731221400014952</v>
      </c>
      <c r="C62" s="284">
        <f>'Res-Capacity-Base'!C96*(1+0.01*'7thPlanAssumptions'!$B$3)^($C$54-C$54)</f>
        <v>3368999.8645875007</v>
      </c>
      <c r="D62" s="284">
        <f>'Res-Capacity-Base'!D96*(1+0.01*'7thPlanAssumptions'!$B$3)^($C$54-D$54)</f>
        <v>11557308.316640625</v>
      </c>
      <c r="E62" s="284">
        <f>'Res-Capacity-Base'!E96*(1+0.01*'7thPlanAssumptions'!$B$3)^($C$54-E$54)</f>
        <v>8871480.1396784913</v>
      </c>
      <c r="F62" s="284">
        <f>'Res-Capacity-Base'!F96*(1+0.01*'7thPlanAssumptions'!$B$3)^($C$54-F$54)</f>
        <v>6265722.478258484</v>
      </c>
      <c r="G62" s="284">
        <f>'Res-Capacity-Base'!G96*(1+0.01*'7thPlanAssumptions'!$B$3)^($C$54-G$54)</f>
        <v>3743867.3590901848</v>
      </c>
      <c r="H62" s="284">
        <f>'Res-Capacity-Base'!H96*(1+0.01*'7thPlanAssumptions'!$B$3)^($C$54-H$54)+C62</f>
        <v>9131917.0016600303</v>
      </c>
      <c r="I62" s="284">
        <f>'Res-Capacity-Base'!I96*(1+0.01*'7thPlanAssumptions'!$B$3)^($C$54-I$54)+D62</f>
        <v>12017269.079809882</v>
      </c>
      <c r="J62" s="284">
        <f>'Res-Capacity-Base'!J96*(1+0.01*'7thPlanAssumptions'!$B$3)^($C$54-J$54)+E62</f>
        <v>9311377.9307601526</v>
      </c>
      <c r="K62" s="284">
        <f>'Res-Capacity-Base'!K96*(1+0.01*'7thPlanAssumptions'!$B$3)^($C$54-K$54)+F62</f>
        <v>6684655.9532484524</v>
      </c>
      <c r="L62" s="284">
        <f>'Res-Capacity-Base'!L96*(1+0.01*'7thPlanAssumptions'!$B$3)^($C$54-L$54)+G62</f>
        <v>4144682.7896032073</v>
      </c>
      <c r="M62" s="284">
        <f>'Res-Capacity-Base'!M96*(1+0.01*'7thPlanAssumptions'!$B$3)^($C$54-M$54)+H62</f>
        <v>9512982.5447241813</v>
      </c>
      <c r="N62" s="284">
        <f>'Res-Capacity-Base'!N96*(1+0.01*'7thPlanAssumptions'!$B$3)^($C$54-N$54)+I62</f>
        <v>12377404.664646415</v>
      </c>
      <c r="O62" s="284">
        <f>'Res-Capacity-Base'!O96*(1+0.01*'7thPlanAssumptions'!$B$3)^($C$54-O$54)+J62</f>
        <v>9650189.4174429588</v>
      </c>
      <c r="P62" s="284">
        <f>'Res-Capacity-Base'!P96*(1+0.01*'7thPlanAssumptions'!$B$3)^($C$54-P$54)+K62</f>
        <v>7004922.8947430653</v>
      </c>
      <c r="Q62" s="284">
        <f>'Res-Capacity-Base'!Q96*(1+0.01*'7thPlanAssumptions'!$B$3)^($C$54-Q$54)+L62</f>
        <v>4449872.6030822787</v>
      </c>
      <c r="R62" s="284">
        <f>'Res-Capacity-Base'!R96*(1+0.01*'7thPlanAssumptions'!$B$3)^($C$54-R$54)+M62</f>
        <v>9809670.4960239287</v>
      </c>
      <c r="S62" s="284">
        <f>'Res-Capacity-Base'!S96*(1+0.01*'7thPlanAssumptions'!$B$3)^($C$54-S$54)+N62</f>
        <v>12665827.595421854</v>
      </c>
      <c r="T62" s="284">
        <f>'Res-Capacity-Base'!T96*(1+0.01*'7thPlanAssumptions'!$B$3)^($C$54-T$54)+O62</f>
        <v>9930577.5715040006</v>
      </c>
      <c r="U62" s="284">
        <f>'Res-Capacity-Base'!U96*(1+0.01*'7thPlanAssumptions'!$B$3)^($C$54-U$54)+P62</f>
        <v>7277500.1018548477</v>
      </c>
      <c r="V62" s="284">
        <f>'Res-Capacity-Base'!V96*(1+0.01*'7thPlanAssumptions'!$B$3)^($C$54-V$54)+Q62</f>
        <v>4714856.4576451248</v>
      </c>
      <c r="W62" s="284"/>
      <c r="X62" s="76"/>
      <c r="Y62" s="76"/>
      <c r="Z62" s="76"/>
      <c r="AA62" s="76"/>
      <c r="AB62" s="76"/>
      <c r="AC62" s="76"/>
      <c r="AD62" s="76"/>
      <c r="AE62" s="76"/>
      <c r="AF62" s="76"/>
      <c r="AG62" s="76"/>
      <c r="AH62" s="76"/>
      <c r="AI62" s="76"/>
      <c r="AJ62" s="76"/>
      <c r="AK62" s="76"/>
      <c r="AL62" s="76"/>
      <c r="AM62" s="76"/>
      <c r="AN62" s="76"/>
      <c r="AO62" s="76"/>
      <c r="AP62" s="76"/>
      <c r="AQ62" s="76"/>
      <c r="AR62" s="76"/>
      <c r="AS62" s="76"/>
      <c r="AT62" s="76"/>
      <c r="AU62" s="76"/>
      <c r="AV62" s="76"/>
      <c r="AW62" s="76"/>
    </row>
    <row r="63" spans="1:52" s="367" customFormat="1">
      <c r="A63" s="166" t="s">
        <v>211</v>
      </c>
      <c r="B63" s="331">
        <f>(1-'7thPlanAssumptions'!$B$4*0.01)^($C$54-'7thPlanAssumptions'!$B$8)*SUM(C63:W63)/(NPV('7thPlanAssumptions'!$B$3*0.01,'Res-Capacity-Base'!D85:W85)+'Res-Capacity-Base'!C85)/1000</f>
        <v>54.474461168331693</v>
      </c>
      <c r="C63" s="284">
        <f>'Res-Capacity-Base'!C97*(1+0.01*'7thPlanAssumptions'!$B$3)^($C$54-C$54)</f>
        <v>4286498.6808567001</v>
      </c>
      <c r="D63" s="284">
        <f>'Res-Capacity-Base'!D97*(1+0.01*'7thPlanAssumptions'!$B$3)^($C$54-D$54)</f>
        <v>16796598.766314231</v>
      </c>
      <c r="E63" s="284">
        <f>'Res-Capacity-Base'!E97*(1+0.01*'7thPlanAssumptions'!$B$3)^($C$54-E$54)</f>
        <v>16623586.311987977</v>
      </c>
      <c r="F63" s="284">
        <f>'Res-Capacity-Base'!F97*(1+0.01*'7thPlanAssumptions'!$B$3)^($C$54-F$54)</f>
        <v>16435045.82750733</v>
      </c>
      <c r="G63" s="284">
        <f>'Res-Capacity-Base'!G97*(1+0.01*'7thPlanAssumptions'!$B$3)^($C$54-G$54)</f>
        <v>16233860.083559414</v>
      </c>
      <c r="H63" s="284">
        <f>'Res-Capacity-Base'!H97*(1+0.01*'7thPlanAssumptions'!$B$3)^($C$54-H$54)+C63</f>
        <v>16507107.021037631</v>
      </c>
      <c r="I63" s="284">
        <f>'Res-Capacity-Base'!I97*(1+0.01*'7thPlanAssumptions'!$B$3)^($C$54-I$54)+D63</f>
        <v>17771972.904939748</v>
      </c>
      <c r="J63" s="284">
        <f>'Res-Capacity-Base'!J97*(1+0.01*'7thPlanAssumptions'!$B$3)^($C$54-J$54)+E63</f>
        <v>17556415.725747414</v>
      </c>
      <c r="K63" s="284">
        <f>'Res-Capacity-Base'!K97*(1+0.01*'7thPlanAssumptions'!$B$3)^($C$54-K$54)+F63</f>
        <v>17323419.162863679</v>
      </c>
      <c r="L63" s="284">
        <f>'Res-Capacity-Base'!L97*(1+0.01*'7thPlanAssumptions'!$B$3)^($C$54-L$54)+G63</f>
        <v>17083813.028655723</v>
      </c>
      <c r="M63" s="284">
        <f>'Res-Capacity-Base'!M97*(1+0.01*'7thPlanAssumptions'!$B$3)^($C$54-M$54)+H63</f>
        <v>17315179.155854207</v>
      </c>
      <c r="N63" s="284">
        <f>'Res-Capacity-Base'!N97*(1+0.01*'7thPlanAssumptions'!$B$3)^($C$54-N$54)+I63</f>
        <v>18535661.819246247</v>
      </c>
      <c r="O63" s="284">
        <f>'Res-Capacity-Base'!O97*(1+0.01*'7thPlanAssumptions'!$B$3)^($C$54-O$54)+J63</f>
        <v>18274885.622402638</v>
      </c>
      <c r="P63" s="284">
        <f>'Res-Capacity-Base'!P97*(1+0.01*'7thPlanAssumptions'!$B$3)^($C$54-P$54)+K63</f>
        <v>18002564.24914917</v>
      </c>
      <c r="Q63" s="284">
        <f>'Res-Capacity-Base'!Q97*(1+0.01*'7thPlanAssumptions'!$B$3)^($C$54-Q$54)+L63</f>
        <v>17730986.168791335</v>
      </c>
      <c r="R63" s="284">
        <f>'Res-Capacity-Base'!R97*(1+0.01*'7thPlanAssumptions'!$B$3)^($C$54-R$54)+M63</f>
        <v>17944323.591883123</v>
      </c>
      <c r="S63" s="284">
        <f>'Res-Capacity-Base'!S97*(1+0.01*'7thPlanAssumptions'!$B$3)^($C$54-S$54)+N63</f>
        <v>19147279.787975926</v>
      </c>
      <c r="T63" s="284">
        <f>'Res-Capacity-Base'!T97*(1+0.01*'7thPlanAssumptions'!$B$3)^($C$54-T$54)+O63</f>
        <v>18869465.369517826</v>
      </c>
      <c r="U63" s="284">
        <f>'Res-Capacity-Base'!U97*(1+0.01*'7thPlanAssumptions'!$B$3)^($C$54-U$54)+P63</f>
        <v>18580580.418971378</v>
      </c>
      <c r="V63" s="284">
        <f>'Res-Capacity-Base'!V97*(1+0.01*'7thPlanAssumptions'!$B$3)^($C$54-V$54)+Q63</f>
        <v>18292900.183180422</v>
      </c>
      <c r="W63" s="284"/>
      <c r="X63" s="76"/>
      <c r="Y63" s="76"/>
      <c r="Z63" s="76"/>
      <c r="AA63" s="76"/>
      <c r="AB63" s="76"/>
      <c r="AC63" s="76"/>
      <c r="AD63" s="76"/>
      <c r="AE63" s="76"/>
      <c r="AF63" s="76"/>
      <c r="AG63" s="76"/>
      <c r="AH63" s="76"/>
      <c r="AI63" s="76"/>
      <c r="AJ63" s="76"/>
      <c r="AK63" s="76"/>
      <c r="AL63" s="76"/>
      <c r="AM63" s="76"/>
      <c r="AN63" s="76"/>
      <c r="AO63" s="76"/>
      <c r="AP63" s="76"/>
      <c r="AQ63" s="76"/>
      <c r="AR63" s="76"/>
      <c r="AS63" s="76"/>
      <c r="AT63" s="76"/>
      <c r="AU63" s="76"/>
      <c r="AV63" s="76"/>
      <c r="AW63" s="76"/>
    </row>
    <row r="64" spans="1:52" s="367" customFormat="1">
      <c r="A64" s="76"/>
      <c r="B64" s="76" t="s">
        <v>327</v>
      </c>
      <c r="C64" s="479" t="s">
        <v>430</v>
      </c>
      <c r="D64" s="476"/>
      <c r="E64" s="476"/>
      <c r="F64" s="476"/>
      <c r="G64" s="476"/>
      <c r="H64" s="476"/>
      <c r="I64" s="476"/>
      <c r="J64" s="476"/>
      <c r="K64" s="476"/>
      <c r="L64" s="476"/>
      <c r="M64" s="476"/>
      <c r="N64" s="476"/>
      <c r="O64" s="476"/>
      <c r="P64" s="476"/>
      <c r="Q64" s="476"/>
      <c r="R64" s="476"/>
      <c r="S64" s="476"/>
      <c r="T64" s="476"/>
      <c r="U64" s="476"/>
      <c r="V64" s="476"/>
      <c r="W64" s="476"/>
      <c r="X64" s="76"/>
      <c r="Y64" s="76"/>
      <c r="Z64" s="76"/>
      <c r="AA64" s="76"/>
      <c r="AB64" s="76"/>
      <c r="AC64" s="76"/>
      <c r="AD64" s="76"/>
      <c r="AE64" s="76"/>
      <c r="AF64" s="76"/>
      <c r="AG64" s="76"/>
      <c r="AH64" s="76"/>
      <c r="AI64" s="76"/>
      <c r="AJ64" s="76"/>
      <c r="AK64" s="76"/>
      <c r="AL64" s="76"/>
      <c r="AM64" s="76"/>
      <c r="AN64" s="76"/>
      <c r="AO64" s="76"/>
      <c r="AP64" s="76"/>
      <c r="AQ64" s="76"/>
      <c r="AR64" s="76"/>
      <c r="AS64" s="76"/>
      <c r="AT64" s="76"/>
      <c r="AU64" s="76"/>
      <c r="AV64" s="76"/>
      <c r="AW64" s="76"/>
    </row>
    <row r="65" spans="1:49" s="367" customFormat="1">
      <c r="A65" s="124" t="s">
        <v>281</v>
      </c>
      <c r="B65" s="323">
        <f>B55+B60</f>
        <v>65.783248726368299</v>
      </c>
      <c r="C65" s="309">
        <f>'Res-Capacity-Base'!C82*1000</f>
        <v>7833.5136711562491</v>
      </c>
      <c r="D65" s="309">
        <f>'Res-Capacity-Base'!D82*1000</f>
        <v>35781.186509578118</v>
      </c>
      <c r="E65" s="309">
        <f>'Res-Capacity-Base'!E82*1000</f>
        <v>58092.152562674986</v>
      </c>
      <c r="F65" s="309">
        <f>'Res-Capacity-Base'!F82*1000</f>
        <v>74480.18388122812</v>
      </c>
      <c r="G65" s="309">
        <f>'Res-Capacity-Base'!G82*1000</f>
        <v>84663.973599974997</v>
      </c>
      <c r="H65" s="309">
        <f>'Res-Capacity-Base'!H82*1000</f>
        <v>100966.86680849997</v>
      </c>
      <c r="I65" s="309">
        <f>'Res-Capacity-Base'!I82*1000</f>
        <v>102320.11181699997</v>
      </c>
      <c r="J65" s="309">
        <f>'Res-Capacity-Base'!J82*1000</f>
        <v>103666.09851674999</v>
      </c>
      <c r="K65" s="309">
        <f>'Res-Capacity-Base'!K82*1000</f>
        <v>104999.21282812498</v>
      </c>
      <c r="L65" s="309">
        <f>'Res-Capacity-Base'!L82*1000</f>
        <v>106325.69097149998</v>
      </c>
      <c r="M65" s="309">
        <f>'Res-Capacity-Base'!M82*1000</f>
        <v>107637.25254974994</v>
      </c>
      <c r="N65" s="309">
        <f>'Res-Capacity-Base'!N82*1000</f>
        <v>108926.35780949998</v>
      </c>
      <c r="O65" s="309">
        <f>'Res-Capacity-Base'!O82*1000</f>
        <v>110187.64448999996</v>
      </c>
      <c r="P65" s="309">
        <f>'Res-Capacity-Base'!P82*1000</f>
        <v>111427.58581762497</v>
      </c>
      <c r="Q65" s="309">
        <f>'Res-Capacity-Base'!Q82*1000</f>
        <v>112656.41748899998</v>
      </c>
      <c r="R65" s="309">
        <f>'Res-Capacity-Base'!R82*1000</f>
        <v>113898.80080708343</v>
      </c>
      <c r="S65" s="309">
        <f>'Res-Capacity-Base'!S82*1000</f>
        <v>115154.88522043916</v>
      </c>
      <c r="T65" s="309">
        <f>'Res-Capacity-Base'!T82*1000</f>
        <v>116424.82182576087</v>
      </c>
      <c r="U65" s="309">
        <f>'Res-Capacity-Base'!U82*1000</f>
        <v>117708.76338604781</v>
      </c>
      <c r="V65" s="309">
        <f>'Res-Capacity-Base'!V82*1000</f>
        <v>119006.86434898083</v>
      </c>
      <c r="W65" s="309"/>
      <c r="X65" s="76"/>
      <c r="Y65" s="76"/>
      <c r="Z65" s="76"/>
      <c r="AA65" s="76"/>
      <c r="AB65" s="76"/>
      <c r="AC65" s="76"/>
      <c r="AD65" s="76"/>
      <c r="AE65" s="76"/>
      <c r="AF65" s="76"/>
      <c r="AG65" s="76"/>
      <c r="AH65" s="76"/>
      <c r="AI65" s="76"/>
      <c r="AJ65" s="76"/>
      <c r="AK65" s="76"/>
      <c r="AL65" s="76"/>
      <c r="AM65" s="76"/>
      <c r="AN65" s="76"/>
      <c r="AO65" s="76"/>
      <c r="AP65" s="76"/>
      <c r="AQ65" s="76"/>
      <c r="AR65" s="76"/>
      <c r="AS65" s="76"/>
      <c r="AT65" s="76"/>
      <c r="AU65" s="76"/>
      <c r="AV65" s="76"/>
      <c r="AW65" s="76"/>
    </row>
    <row r="66" spans="1:49" s="367" customFormat="1">
      <c r="A66" s="85" t="s">
        <v>282</v>
      </c>
      <c r="B66" s="323">
        <f>B56+B61</f>
        <v>79.874420066373105</v>
      </c>
      <c r="C66" s="309">
        <f>'Res-Capacity-Base'!C83*1000</f>
        <v>352.50811520203126</v>
      </c>
      <c r="D66" s="309">
        <f>'Res-Capacity-Base'!D83*1000</f>
        <v>1610.1533929310153</v>
      </c>
      <c r="E66" s="309">
        <f>'Res-Capacity-Base'!E83*1000</f>
        <v>2614.1468653203756</v>
      </c>
      <c r="F66" s="309">
        <f>'Res-Capacity-Base'!F83*1000</f>
        <v>3351.6082746552661</v>
      </c>
      <c r="G66" s="309">
        <f>'Res-Capacity-Base'!G83*1000</f>
        <v>3809.8788119988753</v>
      </c>
      <c r="H66" s="309">
        <f>'Res-Capacity-Base'!H83*1000</f>
        <v>4543.5090063824991</v>
      </c>
      <c r="I66" s="309">
        <f>'Res-Capacity-Base'!I83*1000</f>
        <v>4604.405031764999</v>
      </c>
      <c r="J66" s="309">
        <f>'Res-Capacity-Base'!J83*1000</f>
        <v>4664.9744332537493</v>
      </c>
      <c r="K66" s="309">
        <f>'Res-Capacity-Base'!K83*1000</f>
        <v>4724.9645772656258</v>
      </c>
      <c r="L66" s="309">
        <f>'Res-Capacity-Base'!L83*1000</f>
        <v>4784.6560937174991</v>
      </c>
      <c r="M66" s="309">
        <f>'Res-Capacity-Base'!M83*1000</f>
        <v>4843.6763647387488</v>
      </c>
      <c r="N66" s="309">
        <f>'Res-Capacity-Base'!N83*1000</f>
        <v>4901.6861014274991</v>
      </c>
      <c r="O66" s="309">
        <f>'Res-Capacity-Base'!O83*1000</f>
        <v>4958.4440020500006</v>
      </c>
      <c r="P66" s="309">
        <f>'Res-Capacity-Base'!P83*1000</f>
        <v>5014.2413617931243</v>
      </c>
      <c r="Q66" s="309">
        <f>'Res-Capacity-Base'!Q83*1000</f>
        <v>5069.5387870049999</v>
      </c>
      <c r="R66" s="309">
        <f>'Res-Capacity-Base'!R83*1000</f>
        <v>5125.4460363187554</v>
      </c>
      <c r="S66" s="309">
        <f>'Res-Capacity-Base'!S83*1000</f>
        <v>5181.9698349197624</v>
      </c>
      <c r="T66" s="309">
        <f>'Res-Capacity-Base'!T83*1000</f>
        <v>5239.1169821592393</v>
      </c>
      <c r="U66" s="309">
        <f>'Res-Capacity-Base'!U83*1000</f>
        <v>5296.8943523721509</v>
      </c>
      <c r="V66" s="309">
        <f>'Res-Capacity-Base'!V83*1000</f>
        <v>5355.3088957041382</v>
      </c>
      <c r="W66" s="309"/>
      <c r="X66" s="76"/>
      <c r="Y66" s="76"/>
      <c r="Z66" s="76"/>
      <c r="AA66" s="76"/>
      <c r="AB66" s="76"/>
      <c r="AC66" s="76"/>
      <c r="AD66" s="76"/>
      <c r="AE66" s="76"/>
      <c r="AF66" s="76"/>
      <c r="AG66" s="76"/>
      <c r="AH66" s="76"/>
      <c r="AI66" s="76"/>
      <c r="AJ66" s="76"/>
      <c r="AK66" s="76"/>
      <c r="AL66" s="76"/>
      <c r="AM66" s="76"/>
      <c r="AN66" s="76"/>
      <c r="AO66" s="76"/>
      <c r="AP66" s="76"/>
      <c r="AQ66" s="76"/>
      <c r="AR66" s="76"/>
      <c r="AS66" s="76"/>
      <c r="AT66" s="76"/>
      <c r="AU66" s="76"/>
      <c r="AV66" s="76"/>
      <c r="AW66" s="76"/>
    </row>
    <row r="67" spans="1:49" s="367" customFormat="1">
      <c r="A67" s="85" t="s">
        <v>235</v>
      </c>
      <c r="B67" s="323">
        <f>B57+B62</f>
        <v>54.963175662776727</v>
      </c>
      <c r="C67" s="309">
        <f>'Res-Capacity-Base'!C84*1000</f>
        <v>21419.064523704379</v>
      </c>
      <c r="D67" s="309">
        <f>'Res-Capacity-Base'!D84*1000</f>
        <v>97835.987113332187</v>
      </c>
      <c r="E67" s="309">
        <f>'Res-Capacity-Base'!E84*1000</f>
        <v>158840.54286422854</v>
      </c>
      <c r="F67" s="309">
        <f>'Res-Capacity-Base'!F84*1000</f>
        <v>203650.10278381524</v>
      </c>
      <c r="G67" s="309">
        <f>'Res-Capacity-Base'!G84*1000</f>
        <v>231495.49352907453</v>
      </c>
      <c r="H67" s="309">
        <f>'Res-Capacity-Base'!H84*1000</f>
        <v>276072.26153066993</v>
      </c>
      <c r="I67" s="309">
        <f>'Res-Capacity-Base'!I84*1000</f>
        <v>279772.42002533993</v>
      </c>
      <c r="J67" s="309">
        <f>'Res-Capacity-Base'!J84*1000</f>
        <v>283452.73223008501</v>
      </c>
      <c r="K67" s="309">
        <f>'Res-Capacity-Base'!K84*1000</f>
        <v>287097.84764718753</v>
      </c>
      <c r="L67" s="309">
        <f>'Res-Capacity-Base'!L84*1000</f>
        <v>290724.81788492994</v>
      </c>
      <c r="M67" s="309">
        <f>'Res-Capacity-Base'!M84*1000</f>
        <v>294311.00197174505</v>
      </c>
      <c r="N67" s="309">
        <f>'Res-Capacity-Base'!N84*1000</f>
        <v>297835.78406769002</v>
      </c>
      <c r="O67" s="309">
        <f>'Res-Capacity-Base'!O84*1000</f>
        <v>301284.50221979996</v>
      </c>
      <c r="P67" s="309">
        <f>'Res-Capacity-Base'!P84*1000</f>
        <v>304674.85607847752</v>
      </c>
      <c r="Q67" s="309">
        <f>'Res-Capacity-Base'!Q84*1000</f>
        <v>308034.83296278003</v>
      </c>
      <c r="R67" s="309">
        <f>'Res-Capacity-Base'!R84*1000</f>
        <v>311431.8639210824</v>
      </c>
      <c r="S67" s="309">
        <f>'Res-Capacity-Base'!S84*1000</f>
        <v>314866.35758845799</v>
      </c>
      <c r="T67" s="309">
        <f>'Res-Capacity-Base'!T84*1000</f>
        <v>318338.72710643767</v>
      </c>
      <c r="U67" s="309">
        <f>'Res-Capacity-Base'!U84*1000</f>
        <v>321849.39017270796</v>
      </c>
      <c r="V67" s="309">
        <f>'Res-Capacity-Base'!V84*1000</f>
        <v>325398.7690913562</v>
      </c>
      <c r="W67" s="309"/>
      <c r="X67" s="76"/>
      <c r="Y67" s="76"/>
      <c r="Z67" s="76"/>
      <c r="AA67" s="76"/>
      <c r="AB67" s="76"/>
      <c r="AC67" s="76"/>
      <c r="AD67" s="76"/>
      <c r="AE67" s="76"/>
      <c r="AF67" s="76"/>
      <c r="AG67" s="76"/>
      <c r="AH67" s="76"/>
      <c r="AI67" s="76"/>
      <c r="AJ67" s="76"/>
      <c r="AK67" s="76"/>
      <c r="AL67" s="76"/>
      <c r="AM67" s="76"/>
      <c r="AN67" s="76"/>
      <c r="AO67" s="76"/>
      <c r="AP67" s="76"/>
      <c r="AQ67" s="76"/>
      <c r="AR67" s="76"/>
      <c r="AS67" s="76"/>
      <c r="AT67" s="76"/>
      <c r="AU67" s="76"/>
      <c r="AV67" s="76"/>
      <c r="AW67" s="76"/>
    </row>
    <row r="68" spans="1:49" s="367" customFormat="1">
      <c r="A68" s="166" t="s">
        <v>211</v>
      </c>
      <c r="B68" s="323">
        <f>B58+B63</f>
        <v>61.76877629299883</v>
      </c>
      <c r="C68" s="309">
        <f>'Res-Capacity-Base'!C85*1000</f>
        <v>22197.939597293625</v>
      </c>
      <c r="D68" s="309">
        <f>'Res-Capacity-Base'!D85*1000</f>
        <v>112659.62152444311</v>
      </c>
      <c r="E68" s="309">
        <f>'Res-Capacity-Base'!E85*1000</f>
        <v>205770.70325593234</v>
      </c>
      <c r="F68" s="309">
        <f>'Res-Capacity-Base'!F85*1000</f>
        <v>301507.9443812329</v>
      </c>
      <c r="G68" s="309">
        <f>'Res-Capacity-Base'!G85*1000</f>
        <v>399855.8524593105</v>
      </c>
      <c r="H68" s="309">
        <f>'Res-Capacity-Base'!H85*1000</f>
        <v>476852.0880984299</v>
      </c>
      <c r="I68" s="309">
        <f>'Res-Capacity-Base'!I85*1000</f>
        <v>483243.27095285995</v>
      </c>
      <c r="J68" s="309">
        <f>'Res-Capacity-Base'!J85*1000</f>
        <v>489600.17385196482</v>
      </c>
      <c r="K68" s="309">
        <f>'Res-Capacity-Base'!K85*1000</f>
        <v>495896.28229968739</v>
      </c>
      <c r="L68" s="309">
        <f>'Res-Capacity-Base'!L85*1000</f>
        <v>502161.04907396995</v>
      </c>
      <c r="M68" s="309">
        <f>'Res-Capacity-Base'!M85*1000</f>
        <v>508355.36704210495</v>
      </c>
      <c r="N68" s="309">
        <f>'Res-Capacity-Base'!N85*1000</f>
        <v>514443.62702600996</v>
      </c>
      <c r="O68" s="309">
        <f>'Res-Capacity-Base'!O85*1000</f>
        <v>520400.50383419998</v>
      </c>
      <c r="P68" s="309">
        <f>'Res-Capacity-Base'!P85*1000</f>
        <v>526256.56959009741</v>
      </c>
      <c r="Q68" s="309">
        <f>'Res-Capacity-Base'!Q85*1000</f>
        <v>532060.16602661996</v>
      </c>
      <c r="R68" s="309">
        <f>'Res-Capacity-Base'!R85*1000</f>
        <v>537927.76495459676</v>
      </c>
      <c r="S68" s="309">
        <f>'Res-Capacity-Base'!S85*1000</f>
        <v>543860.07219824544</v>
      </c>
      <c r="T68" s="309">
        <f>'Res-Capacity-Base'!T85*1000</f>
        <v>549857.80136566493</v>
      </c>
      <c r="U68" s="309">
        <f>'Res-Capacity-Base'!U85*1000</f>
        <v>555921.67393467715</v>
      </c>
      <c r="V68" s="309">
        <f>'Res-Capacity-Base'!V85*1000</f>
        <v>562052.41933961527</v>
      </c>
      <c r="W68" s="309"/>
      <c r="X68" s="76"/>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row>
    <row r="69" spans="1:49" s="367" customFormat="1">
      <c r="A69" s="110"/>
      <c r="B69" s="332"/>
      <c r="C69" s="309"/>
      <c r="D69" s="309"/>
      <c r="E69" s="309"/>
      <c r="F69" s="309"/>
      <c r="G69" s="309"/>
      <c r="H69" s="309"/>
      <c r="I69" s="309"/>
      <c r="J69" s="309"/>
      <c r="K69" s="309"/>
      <c r="L69" s="309"/>
      <c r="M69" s="309"/>
      <c r="N69" s="309"/>
      <c r="O69" s="309"/>
      <c r="P69" s="309"/>
      <c r="Q69" s="309"/>
      <c r="R69" s="309"/>
      <c r="S69" s="309"/>
      <c r="T69" s="309"/>
      <c r="U69" s="309"/>
      <c r="V69" s="309"/>
      <c r="W69" s="309"/>
      <c r="X69" s="76"/>
      <c r="Y69" s="76"/>
      <c r="Z69" s="76"/>
      <c r="AA69" s="76"/>
      <c r="AB69" s="76"/>
      <c r="AC69" s="76"/>
      <c r="AD69" s="76"/>
      <c r="AE69" s="76"/>
      <c r="AF69" s="76"/>
      <c r="AG69" s="76"/>
      <c r="AH69" s="76"/>
      <c r="AI69" s="76"/>
      <c r="AJ69" s="76"/>
      <c r="AK69" s="76"/>
      <c r="AL69" s="76"/>
      <c r="AM69" s="76"/>
      <c r="AN69" s="76"/>
      <c r="AO69" s="76"/>
      <c r="AP69" s="76"/>
      <c r="AQ69" s="76"/>
      <c r="AR69" s="76"/>
      <c r="AS69" s="76"/>
      <c r="AT69" s="76"/>
      <c r="AU69" s="76"/>
      <c r="AV69" s="76"/>
      <c r="AW69" s="76"/>
    </row>
    <row r="70" spans="1:49">
      <c r="A70" s="285" t="s">
        <v>414</v>
      </c>
    </row>
    <row r="71" spans="1:49">
      <c r="A71" s="474" t="s">
        <v>210</v>
      </c>
      <c r="B71" s="474" t="s">
        <v>410</v>
      </c>
      <c r="C71" s="476" t="s">
        <v>409</v>
      </c>
      <c r="D71" s="476"/>
      <c r="E71" s="476"/>
      <c r="F71" s="476"/>
      <c r="G71" s="476"/>
      <c r="H71" s="476"/>
      <c r="I71" s="476"/>
      <c r="J71" s="476"/>
      <c r="K71" s="476"/>
      <c r="L71" s="476"/>
      <c r="M71" s="476"/>
      <c r="N71" s="476"/>
      <c r="O71" s="476"/>
      <c r="P71" s="476"/>
      <c r="Q71" s="476"/>
      <c r="R71" s="476"/>
      <c r="S71" s="476"/>
      <c r="T71" s="476"/>
      <c r="U71" s="476"/>
      <c r="V71" s="476"/>
      <c r="W71" s="476"/>
      <c r="X71" s="70"/>
      <c r="Y71" s="70"/>
      <c r="Z71" s="70"/>
      <c r="AA71" s="70"/>
      <c r="AB71" s="70"/>
      <c r="AC71" s="70"/>
      <c r="AD71" s="70"/>
      <c r="AF71" s="70"/>
      <c r="AH71" s="70"/>
      <c r="AJ71" s="70"/>
      <c r="AK71" s="70"/>
      <c r="AL71" s="70"/>
      <c r="AM71" s="70"/>
      <c r="AN71" s="70"/>
      <c r="AO71" s="70"/>
      <c r="AP71" s="70"/>
      <c r="AQ71" s="70"/>
      <c r="AR71" s="70"/>
      <c r="AS71" s="70"/>
      <c r="AT71" s="70"/>
      <c r="AU71" s="70"/>
      <c r="AV71" s="70"/>
      <c r="AW71" s="70"/>
    </row>
    <row r="72" spans="1:49" s="70" customFormat="1">
      <c r="A72" s="475"/>
      <c r="B72" s="475"/>
      <c r="C72" s="274">
        <v>2016</v>
      </c>
      <c r="D72" s="274">
        <v>2017</v>
      </c>
      <c r="E72" s="274">
        <v>2018</v>
      </c>
      <c r="F72" s="274">
        <v>2019</v>
      </c>
      <c r="G72" s="274">
        <v>2020</v>
      </c>
      <c r="H72" s="274">
        <v>2021</v>
      </c>
      <c r="I72" s="274">
        <v>2022</v>
      </c>
      <c r="J72" s="274">
        <v>2023</v>
      </c>
      <c r="K72" s="274">
        <v>2024</v>
      </c>
      <c r="L72" s="274">
        <v>2025</v>
      </c>
      <c r="M72" s="274">
        <v>2026</v>
      </c>
      <c r="N72" s="274">
        <v>2027</v>
      </c>
      <c r="O72" s="274">
        <v>2028</v>
      </c>
      <c r="P72" s="274">
        <v>2029</v>
      </c>
      <c r="Q72" s="274">
        <v>2030</v>
      </c>
      <c r="R72" s="274">
        <v>2031</v>
      </c>
      <c r="S72" s="274">
        <v>2032</v>
      </c>
      <c r="T72" s="274">
        <v>2033</v>
      </c>
      <c r="U72" s="274">
        <v>2034</v>
      </c>
      <c r="V72" s="274">
        <v>2035</v>
      </c>
      <c r="W72" s="274"/>
      <c r="X72" s="76"/>
      <c r="Y72" s="76"/>
      <c r="Z72" s="76"/>
      <c r="AA72" s="76"/>
      <c r="AB72" s="76"/>
      <c r="AC72" s="76"/>
      <c r="AD72" s="76"/>
      <c r="AE72" s="76"/>
      <c r="AF72" s="76"/>
      <c r="AG72" s="76"/>
      <c r="AH72" s="76"/>
      <c r="AI72" s="76"/>
      <c r="AJ72" s="76"/>
      <c r="AK72" s="76"/>
      <c r="AL72" s="76"/>
      <c r="AM72" s="76"/>
      <c r="AN72" s="76"/>
      <c r="AO72" s="76"/>
      <c r="AP72" s="76"/>
      <c r="AQ72" s="76"/>
      <c r="AR72" s="76"/>
      <c r="AS72" s="76"/>
      <c r="AT72" s="76"/>
      <c r="AU72" s="76"/>
      <c r="AV72" s="76"/>
      <c r="AW72" s="76"/>
    </row>
    <row r="73" spans="1:49" s="76" customFormat="1" ht="12.75">
      <c r="A73" s="107" t="s">
        <v>301</v>
      </c>
      <c r="B73" s="331">
        <f>(1-'7thPlanAssumptions'!$B$4*0.01)^($C$72-'7thPlanAssumptions'!$B$8)*SUM(C73:W73)/(NPV('7thPlanAssumptions'!$B$3*0.01,'Com-Capacity-Base'!D56:W56)+'Com-Capacity-Base'!C56)/1000</f>
        <v>11.201308506806788</v>
      </c>
      <c r="C73" s="284">
        <f>('Com-Capacity-Base'!C76)*(1+0.01*'7thPlanAssumptions'!$B$3)^('7thPlanAssumptions'!$B$8-C$72)</f>
        <v>16211.117982025118</v>
      </c>
      <c r="D73" s="284">
        <f>('Com-Capacity-Base'!D76)*(1+0.01*'7thPlanAssumptions'!$B$3)^('7thPlanAssumptions'!$B$8-D$72)</f>
        <v>70986.734955805907</v>
      </c>
      <c r="E73" s="284">
        <f>('Com-Capacity-Base'!E76)*(1+0.01*'7thPlanAssumptions'!$B$3)^('7thPlanAssumptions'!$B$8-E$72)</f>
        <v>110661.36233937301</v>
      </c>
      <c r="F73" s="284">
        <f>('Com-Capacity-Base'!F76)*(1+0.01*'7thPlanAssumptions'!$B$3)^('7thPlanAssumptions'!$B$8-F$72)</f>
        <v>136231.1495902442</v>
      </c>
      <c r="G73" s="284">
        <f>('Com-Capacity-Base'!G76)*(1+0.01*'7thPlanAssumptions'!$B$3)^('7thPlanAssumptions'!$B$8-G$72)</f>
        <v>148802.31350274791</v>
      </c>
      <c r="H73" s="284">
        <f>('Com-Capacity-Base'!H76)*(1+0.01*'7thPlanAssumptions'!$B$3)^('7thPlanAssumptions'!$B$8-H$72)</f>
        <v>170476.89923399274</v>
      </c>
      <c r="I73" s="284">
        <f>('Com-Capacity-Base'!I76)*(1+0.01*'7thPlanAssumptions'!$B$3)^('7thPlanAssumptions'!$B$8-I$72)</f>
        <v>165950.02245281433</v>
      </c>
      <c r="J73" s="284">
        <f>('Com-Capacity-Base'!J76)*(1+0.01*'7thPlanAssumptions'!$B$3)^('7thPlanAssumptions'!$B$8-J$72)</f>
        <v>161493.10435004765</v>
      </c>
      <c r="K73" s="284">
        <f>('Com-Capacity-Base'!K76)*(1+0.01*'7thPlanAssumptions'!$B$3)^('7thPlanAssumptions'!$B$8-K$72)</f>
        <v>157127.14558521868</v>
      </c>
      <c r="L73" s="284">
        <f>('Com-Capacity-Base'!L76)*(1+0.01*'7thPlanAssumptions'!$B$3)^('7thPlanAssumptions'!$B$8-L$72)</f>
        <v>152847.98375768078</v>
      </c>
      <c r="M73" s="284">
        <f>('Com-Capacity-Base'!M76)*(1+0.01*'7thPlanAssumptions'!$B$3)^('7thPlanAssumptions'!$B$8-M$72)</f>
        <v>148593.56716748831</v>
      </c>
      <c r="N73" s="284">
        <f>('Com-Capacity-Base'!N76)*(1+0.01*'7thPlanAssumptions'!$B$3)^('7thPlanAssumptions'!$B$8-N$72)</f>
        <v>144494.88668766172</v>
      </c>
      <c r="O73" s="284">
        <f>('Com-Capacity-Base'!O76)*(1+0.01*'7thPlanAssumptions'!$B$3)^('7thPlanAssumptions'!$B$8-O$72)</f>
        <v>140555.206186005</v>
      </c>
      <c r="P73" s="284">
        <f>('Com-Capacity-Base'!P76)*(1+0.01*'7thPlanAssumptions'!$B$3)^('7thPlanAssumptions'!$B$8-P$72)</f>
        <v>136713.78009909805</v>
      </c>
      <c r="Q73" s="284">
        <f>('Com-Capacity-Base'!Q76)*(1+0.01*'7thPlanAssumptions'!$B$3)^('7thPlanAssumptions'!$B$8-Q$72)</f>
        <v>132925.85594752134</v>
      </c>
      <c r="R73" s="284">
        <f>('Com-Capacity-Base'!R76)*(1+0.01*'7thPlanAssumptions'!$B$3)^('7thPlanAssumptions'!$B$8-R$72)</f>
        <v>129242.8836842451</v>
      </c>
      <c r="S73" s="284">
        <f>('Com-Capacity-Base'!S76)*(1+0.01*'7thPlanAssumptions'!$B$3)^('7thPlanAssumptions'!$B$8-S$72)</f>
        <v>125661.95541079593</v>
      </c>
      <c r="T73" s="284">
        <f>('Com-Capacity-Base'!T76)*(1+0.01*'7thPlanAssumptions'!$B$3)^('7thPlanAssumptions'!$B$8-T$72)</f>
        <v>122180.2437977465</v>
      </c>
      <c r="U73" s="284">
        <f>('Com-Capacity-Base'!U76)*(1+0.01*'7thPlanAssumptions'!$B$3)^('7thPlanAssumptions'!$B$8-U$72)</f>
        <v>118794.99985239192</v>
      </c>
      <c r="V73" s="284">
        <f>('Com-Capacity-Base'!V76)*(1+0.01*'7thPlanAssumptions'!$B$3)^('7thPlanAssumptions'!$B$8-V$72)</f>
        <v>115503.55074827634</v>
      </c>
      <c r="W73" s="284"/>
    </row>
    <row r="74" spans="1:49" s="76" customFormat="1" ht="12.75">
      <c r="A74" s="91" t="s">
        <v>302</v>
      </c>
      <c r="B74" s="331">
        <f>(1-'7thPlanAssumptions'!$B$4*0.01)^($C$72-'7thPlanAssumptions'!$B$8)*SUM(C74:W74)/(NPV('7thPlanAssumptions'!$B$3*0.01,'Com-Capacity-Base'!D57:W57)+'Com-Capacity-Base'!C57)/1000</f>
        <v>11.201308506806789</v>
      </c>
      <c r="C74" s="284">
        <f>('Com-Capacity-Base'!C77)*(1+0.01*'7thPlanAssumptions'!$B$3)^('7thPlanAssumptions'!$B$8-C$72)</f>
        <v>43422.637451852999</v>
      </c>
      <c r="D74" s="284">
        <f>('Com-Capacity-Base'!D77)*(1+0.01*'7thPlanAssumptions'!$B$3)^('7thPlanAssumptions'!$B$8-D$72)</f>
        <v>190143.04006019438</v>
      </c>
      <c r="E74" s="284">
        <f>('Com-Capacity-Base'!E77)*(1+0.01*'7thPlanAssumptions'!$B$3)^('7thPlanAssumptions'!$B$8-E$72)</f>
        <v>296414.36340903485</v>
      </c>
      <c r="F74" s="284">
        <f>('Com-Capacity-Base'!F77)*(1+0.01*'7thPlanAssumptions'!$B$3)^('7thPlanAssumptions'!$B$8-F$72)</f>
        <v>364904.8649738683</v>
      </c>
      <c r="G74" s="284">
        <f>('Com-Capacity-Base'!G77)*(1+0.01*'7thPlanAssumptions'!$B$3)^('7thPlanAssumptions'!$B$8-G$72)</f>
        <v>398577.62545378896</v>
      </c>
      <c r="H74" s="284">
        <f>('Com-Capacity-Base'!H77)*(1+0.01*'7thPlanAssumptions'!$B$3)^('7thPlanAssumptions'!$B$8-H$72)</f>
        <v>456634.55151962343</v>
      </c>
      <c r="I74" s="284">
        <f>('Com-Capacity-Base'!I77)*(1+0.01*'7thPlanAssumptions'!$B$3)^('7thPlanAssumptions'!$B$8-I$72)</f>
        <v>444508.98871289549</v>
      </c>
      <c r="J74" s="284">
        <f>('Com-Capacity-Base'!J77)*(1+0.01*'7thPlanAssumptions'!$B$3)^('7thPlanAssumptions'!$B$8-J$72)</f>
        <v>432570.81522334192</v>
      </c>
      <c r="K74" s="284">
        <f>('Com-Capacity-Base'!K77)*(1+0.01*'7thPlanAssumptions'!$B$3)^('7thPlanAssumptions'!$B$8-K$72)</f>
        <v>420876.28281755006</v>
      </c>
      <c r="L74" s="284">
        <f>('Com-Capacity-Base'!L77)*(1+0.01*'7thPlanAssumptions'!$B$3)^('7thPlanAssumptions'!$B$8-L$72)</f>
        <v>409414.2422080735</v>
      </c>
      <c r="M74" s="284">
        <f>('Com-Capacity-Base'!M77)*(1+0.01*'7thPlanAssumptions'!$B$3)^('7thPlanAssumptions'!$B$8-M$72)</f>
        <v>398018.48348434374</v>
      </c>
      <c r="N74" s="284">
        <f>('Com-Capacity-Base'!N77)*(1+0.01*'7thPlanAssumptions'!$B$3)^('7thPlanAssumptions'!$B$8-N$72)</f>
        <v>387039.87505623687</v>
      </c>
      <c r="O74" s="284">
        <f>('Com-Capacity-Base'!O77)*(1+0.01*'7thPlanAssumptions'!$B$3)^('7thPlanAssumptions'!$B$8-O$72)</f>
        <v>376487.15942679916</v>
      </c>
      <c r="P74" s="284">
        <f>('Com-Capacity-Base'!P77)*(1+0.01*'7thPlanAssumptions'!$B$3)^('7thPlanAssumptions'!$B$8-P$72)</f>
        <v>366197.62526544119</v>
      </c>
      <c r="Q74" s="284">
        <f>('Com-Capacity-Base'!Q77)*(1+0.01*'7thPlanAssumptions'!$B$3)^('7thPlanAssumptions'!$B$8-Q$72)</f>
        <v>356051.39985943213</v>
      </c>
      <c r="R74" s="284">
        <f>('Com-Capacity-Base'!R77)*(1+0.01*'7thPlanAssumptions'!$B$3)^('7thPlanAssumptions'!$B$8-R$72)</f>
        <v>346186.29558279936</v>
      </c>
      <c r="S74" s="284">
        <f>('Com-Capacity-Base'!S77)*(1+0.01*'7thPlanAssumptions'!$B$3)^('7thPlanAssumptions'!$B$8-S$72)</f>
        <v>336594.52342177485</v>
      </c>
      <c r="T74" s="284">
        <f>('Com-Capacity-Base'!T77)*(1+0.01*'7thPlanAssumptions'!$B$3)^('7thPlanAssumptions'!$B$8-T$72)</f>
        <v>327268.51017253532</v>
      </c>
      <c r="U74" s="284">
        <f>('Com-Capacity-Base'!U77)*(1+0.01*'7thPlanAssumptions'!$B$3)^('7thPlanAssumptions'!$B$8-U$72)</f>
        <v>318200.89246176399</v>
      </c>
      <c r="V74" s="284">
        <f>('Com-Capacity-Base'!V77)*(1+0.01*'7thPlanAssumptions'!$B$3)^('7thPlanAssumptions'!$B$8-V$72)</f>
        <v>309384.51093288307</v>
      </c>
      <c r="W74" s="284"/>
    </row>
    <row r="75" spans="1:49" s="76" customFormat="1" ht="12.75">
      <c r="B75" s="333"/>
      <c r="C75" s="476" t="s">
        <v>412</v>
      </c>
      <c r="D75" s="476"/>
      <c r="E75" s="476"/>
      <c r="F75" s="476"/>
      <c r="G75" s="476"/>
      <c r="H75" s="476"/>
      <c r="I75" s="476"/>
      <c r="J75" s="476"/>
      <c r="K75" s="476"/>
      <c r="L75" s="476"/>
      <c r="M75" s="476"/>
      <c r="N75" s="476"/>
      <c r="O75" s="476"/>
      <c r="P75" s="476"/>
      <c r="Q75" s="476"/>
      <c r="R75" s="476"/>
      <c r="S75" s="476"/>
      <c r="T75" s="476"/>
      <c r="U75" s="476"/>
      <c r="V75" s="476"/>
      <c r="W75" s="476"/>
    </row>
    <row r="76" spans="1:49" s="76" customFormat="1" ht="12.75">
      <c r="A76" s="107" t="s">
        <v>301</v>
      </c>
      <c r="B76" s="331">
        <f>(1-'7thPlanAssumptions'!$B$4*0.01)^($C$72-'7thPlanAssumptions'!$B$8)*SUM(C76:W76)/(NPV('7thPlanAssumptions'!$B$3*0.01,'Com-Capacity-Base'!D56:W56)+'Com-Capacity-Base'!C56)/1000</f>
        <v>23.94843724411232</v>
      </c>
      <c r="C76" s="308">
        <f>'Com-Capacity-Base'!C66*(1+0.01*'7thPlanAssumptions'!$B$3)^('7thPlanAssumptions'!$B$8-C$72)</f>
        <v>116664.32919395092</v>
      </c>
      <c r="D76" s="308">
        <f>'Com-Capacity-Base'!D66*(1+0.01*'7thPlanAssumptions'!$B$3)^('7thPlanAssumptions'!$B$8-D$72)</f>
        <v>398683.25899827242</v>
      </c>
      <c r="E76" s="308">
        <f>'Com-Capacity-Base'!E66*(1+0.01*'7thPlanAssumptions'!$B$3)^('7thPlanAssumptions'!$B$8-E$72)</f>
        <v>305169.42966294667</v>
      </c>
      <c r="F76" s="308">
        <f>'Com-Capacity-Base'!F66*(1+0.01*'7thPlanAssumptions'!$B$3)^('7thPlanAssumptions'!$B$8-F$72)</f>
        <v>214644.63632056344</v>
      </c>
      <c r="G76" s="308">
        <f>'Com-Capacity-Base'!G66*(1+0.01*'7thPlanAssumptions'!$B$3)^('7thPlanAssumptions'!$B$8-G$72)</f>
        <v>128176.71055989372</v>
      </c>
      <c r="H76" s="308">
        <f>'Com-Capacity-Base'!H66*(1+0.01*'7thPlanAssumptions'!$B$3)^('7thPlanAssumptions'!$B$8-H$72)+C76</f>
        <v>313833.97039246629</v>
      </c>
      <c r="I76" s="308">
        <f>'Com-Capacity-Base'!I66*(1+0.01*'7thPlanAssumptions'!$B$3)^('7thPlanAssumptions'!$B$8-I$72)+D76</f>
        <v>413291.75646115257</v>
      </c>
      <c r="J76" s="308">
        <f>'Com-Capacity-Base'!J66*(1+0.01*'7thPlanAssumptions'!$B$3)^('7thPlanAssumptions'!$B$8-J$72)+E76</f>
        <v>319028.39095072239</v>
      </c>
      <c r="K76" s="308">
        <f>'Com-Capacity-Base'!K66*(1+0.01*'7thPlanAssumptions'!$B$3)^('7thPlanAssumptions'!$B$8-K$72)+F76</f>
        <v>227924.5579231462</v>
      </c>
      <c r="L76" s="308">
        <f>'Com-Capacity-Base'!L66*(1+0.01*'7thPlanAssumptions'!$B$3)^('7thPlanAssumptions'!$B$8-L$72)+G76</f>
        <v>140872.81421451908</v>
      </c>
      <c r="M76" s="308">
        <f>'Com-Capacity-Base'!M66*(1+0.01*'7thPlanAssumptions'!$B$3)^('7thPlanAssumptions'!$B$8-M$72)+H76</f>
        <v>325523.7217419222</v>
      </c>
      <c r="N76" s="308">
        <f>'Com-Capacity-Base'!N66*(1+0.01*'7thPlanAssumptions'!$B$3)^('7thPlanAssumptions'!$B$8-N$72)+I76</f>
        <v>424924.6888100077</v>
      </c>
      <c r="O76" s="308">
        <f>'Com-Capacity-Base'!O66*(1+0.01*'7thPlanAssumptions'!$B$3)^('7thPlanAssumptions'!$B$8-O$72)+J76</f>
        <v>330671.09926348506</v>
      </c>
      <c r="P76" s="308">
        <f>'Com-Capacity-Base'!P66*(1+0.01*'7thPlanAssumptions'!$B$3)^('7thPlanAssumptions'!$B$8-P$72)+K76</f>
        <v>239183.89267928273</v>
      </c>
      <c r="Q76" s="308">
        <f>'Com-Capacity-Base'!Q66*(1+0.01*'7thPlanAssumptions'!$B$3)^('7thPlanAssumptions'!$B$8-Q$72)+L76</f>
        <v>151453.90730959037</v>
      </c>
      <c r="R76" s="308">
        <f>'Com-Capacity-Base'!R66*(1+0.01*'7thPlanAssumptions'!$B$3)^('7thPlanAssumptions'!$B$8-R$72)+M76</f>
        <v>335811.6448430405</v>
      </c>
      <c r="S76" s="308">
        <f>'Com-Capacity-Base'!S66*(1+0.01*'7thPlanAssumptions'!$B$3)^('7thPlanAssumptions'!$B$8-S$72)+N76</f>
        <v>434927.56476843124</v>
      </c>
      <c r="T76" s="308">
        <f>'Com-Capacity-Base'!T66*(1+0.01*'7thPlanAssumptions'!$B$3)^('7thPlanAssumptions'!$B$8-T$72)+O76</f>
        <v>340396.82587090181</v>
      </c>
      <c r="U76" s="308">
        <f>'Com-Capacity-Base'!U66*(1+0.01*'7thPlanAssumptions'!$B$3)^('7thPlanAssumptions'!$B$8-U$72)+P76</f>
        <v>248640.14890352992</v>
      </c>
      <c r="V76" s="308">
        <f>'Com-Capacity-Base'!V66*(1+0.01*'7thPlanAssumptions'!$B$3)^('7thPlanAssumptions'!$B$8-V$72)+Q76</f>
        <v>160648.15935759892</v>
      </c>
      <c r="W76" s="308"/>
    </row>
    <row r="77" spans="1:49" s="76" customFormat="1" ht="12.75">
      <c r="A77" s="82" t="s">
        <v>302</v>
      </c>
      <c r="B77" s="331">
        <f>(1-'7thPlanAssumptions'!$B$4*0.01)^($C$72-'7thPlanAssumptions'!$B$8)*SUM(C77:W77)/(NPV('7thPlanAssumptions'!$B$3*0.01,'Com-Capacity-Base'!D57:W57)+'Com-Capacity-Base'!C57)/1000</f>
        <v>16.680503553113059</v>
      </c>
      <c r="C77" s="308">
        <f>'Com-Capacity-Base'!C67*(1+0.01*'7thPlanAssumptions'!$B$3)^('7thPlanAssumptions'!$B$8-C$72)</f>
        <v>217657.33058572933</v>
      </c>
      <c r="D77" s="308">
        <f>'Com-Capacity-Base'!D67*(1+0.01*'7thPlanAssumptions'!$B$3)^('7thPlanAssumptions'!$B$8-D$72)</f>
        <v>743812.05036991113</v>
      </c>
      <c r="E77" s="308">
        <f>'Com-Capacity-Base'!E67*(1+0.01*'7thPlanAssumptions'!$B$3)^('7thPlanAssumptions'!$B$8-E$72)</f>
        <v>569345.95086370653</v>
      </c>
      <c r="F77" s="308">
        <f>'Com-Capacity-Base'!F67*(1+0.01*'7thPlanAssumptions'!$B$3)^('7thPlanAssumptions'!$B$8-F$72)</f>
        <v>400456.41104582726</v>
      </c>
      <c r="G77" s="308">
        <f>'Com-Capacity-Base'!G67*(1+0.01*'7thPlanAssumptions'!$B$3)^('7thPlanAssumptions'!$B$8-G$72)</f>
        <v>239135.65402965245</v>
      </c>
      <c r="H77" s="308">
        <f>'Com-Capacity-Base'!H67*(1+0.01*'7thPlanAssumptions'!$B$3)^('7thPlanAssumptions'!$B$8-H$72)+C77</f>
        <v>585511.13879191468</v>
      </c>
      <c r="I77" s="308">
        <f>'Com-Capacity-Base'!I67*(1+0.01*'7thPlanAssumptions'!$B$3)^('7thPlanAssumptions'!$B$8-I$72)+D77</f>
        <v>771066.70981558308</v>
      </c>
      <c r="J77" s="308">
        <f>'Com-Capacity-Base'!J67*(1+0.01*'7thPlanAssumptions'!$B$3)^('7thPlanAssumptions'!$B$8-J$72)+E77</f>
        <v>595202.22192298959</v>
      </c>
      <c r="K77" s="308">
        <f>'Com-Capacity-Base'!K67*(1+0.01*'7thPlanAssumptions'!$B$3)^('7thPlanAssumptions'!$B$8-K$72)+F77</f>
        <v>425232.38418497425</v>
      </c>
      <c r="L77" s="308">
        <f>'Com-Capacity-Base'!L67*(1+0.01*'7thPlanAssumptions'!$B$3)^('7thPlanAssumptions'!$B$8-L$72)+G77</f>
        <v>262822.41457932664</v>
      </c>
      <c r="M77" s="308">
        <f>'Com-Capacity-Base'!M67*(1+0.01*'7thPlanAssumptions'!$B$3)^('7thPlanAssumptions'!$B$8-M$72)+H77</f>
        <v>607320.37638418318</v>
      </c>
      <c r="N77" s="308">
        <f>'Com-Capacity-Base'!N67*(1+0.01*'7thPlanAssumptions'!$B$3)^('7thPlanAssumptions'!$B$8-N$72)+I77</f>
        <v>792769.94180971582</v>
      </c>
      <c r="O77" s="308">
        <f>'Com-Capacity-Base'!O67*(1+0.01*'7thPlanAssumptions'!$B$3)^('7thPlanAssumptions'!$B$8-O$72)+J77</f>
        <v>616923.69265575579</v>
      </c>
      <c r="P77" s="308">
        <f>'Com-Capacity-Base'!P67*(1+0.01*'7thPlanAssumptions'!$B$3)^('7thPlanAssumptions'!$B$8-P$72)+K77</f>
        <v>446238.60574493045</v>
      </c>
      <c r="Q77" s="308">
        <f>'Com-Capacity-Base'!Q67*(1+0.01*'7thPlanAssumptions'!$B$3)^('7thPlanAssumptions'!$B$8-Q$72)+L77</f>
        <v>282563.25990595215</v>
      </c>
      <c r="R77" s="308">
        <f>'Com-Capacity-Base'!R67*(1+0.01*'7thPlanAssumptions'!$B$3)^('7thPlanAssumptions'!$B$8-R$72)+M77</f>
        <v>626514.2627668666</v>
      </c>
      <c r="S77" s="308">
        <f>'Com-Capacity-Base'!S67*(1+0.01*'7thPlanAssumptions'!$B$3)^('7thPlanAssumptions'!$B$8-S$72)+N77</f>
        <v>811432.02382170002</v>
      </c>
      <c r="T77" s="308">
        <f>'Com-Capacity-Base'!T67*(1+0.01*'7thPlanAssumptions'!$B$3)^('7thPlanAssumptions'!$B$8-T$72)+O77</f>
        <v>635068.70498302591</v>
      </c>
      <c r="U77" s="308">
        <f>'Com-Capacity-Base'!U67*(1+0.01*'7thPlanAssumptions'!$B$3)^('7thPlanAssumptions'!$B$8-U$72)+P77</f>
        <v>463880.87482001848</v>
      </c>
      <c r="V77" s="308">
        <f>'Com-Capacity-Base'!V67*(1+0.01*'7thPlanAssumptions'!$B$3)^('7thPlanAssumptions'!$B$8-V$72)+Q77</f>
        <v>299716.71521940088</v>
      </c>
      <c r="W77" s="308"/>
    </row>
    <row r="78" spans="1:49" s="76" customFormat="1" ht="12.75">
      <c r="A78" s="311"/>
      <c r="B78" s="333" t="s">
        <v>327</v>
      </c>
      <c r="C78" s="479" t="s">
        <v>430</v>
      </c>
      <c r="D78" s="476"/>
      <c r="E78" s="476"/>
      <c r="F78" s="476"/>
      <c r="G78" s="476"/>
      <c r="H78" s="476"/>
      <c r="I78" s="476"/>
      <c r="J78" s="476"/>
      <c r="K78" s="476"/>
      <c r="L78" s="476"/>
      <c r="M78" s="476"/>
      <c r="N78" s="476"/>
      <c r="O78" s="476"/>
      <c r="P78" s="476"/>
      <c r="Q78" s="476"/>
      <c r="R78" s="476"/>
      <c r="S78" s="476"/>
      <c r="T78" s="476"/>
      <c r="U78" s="476"/>
      <c r="V78" s="476"/>
      <c r="W78" s="476"/>
    </row>
    <row r="79" spans="1:49" s="76" customFormat="1" ht="12.75">
      <c r="A79" s="310" t="s">
        <v>301</v>
      </c>
      <c r="B79" s="323">
        <f>B73+B76</f>
        <v>35.149745750919109</v>
      </c>
      <c r="C79" s="309">
        <f>'Com-Capacity-Base'!C56*1000</f>
        <v>1354.6225098887153</v>
      </c>
      <c r="D79" s="309">
        <f>'Com-Capacity-Base'!D56*1000</f>
        <v>6169.0155082772008</v>
      </c>
      <c r="E79" s="309">
        <f>'Com-Capacity-Base'!E56*1000</f>
        <v>10001.566170048978</v>
      </c>
      <c r="F79" s="309">
        <f>'Com-Capacity-Base'!F56*1000</f>
        <v>12805.06421911671</v>
      </c>
      <c r="G79" s="309">
        <f>'Com-Capacity-Base'!G56*1000</f>
        <v>14546.160063468829</v>
      </c>
      <c r="H79" s="309">
        <f>'Com-Capacity-Base'!H56*1000</f>
        <v>17331.556030337793</v>
      </c>
      <c r="I79" s="309">
        <f>'Com-Capacity-Base'!I56*1000</f>
        <v>17546.183736989242</v>
      </c>
      <c r="J79" s="309">
        <f>'Com-Capacity-Base'!J56*1000</f>
        <v>17757.943897042504</v>
      </c>
      <c r="K79" s="309">
        <f>'Com-Capacity-Base'!K56*1000</f>
        <v>17968.973035250699</v>
      </c>
      <c r="L79" s="309">
        <f>'Com-Capacity-Base'!L56*1000</f>
        <v>18178.794885765921</v>
      </c>
      <c r="M79" s="309">
        <f>'Com-Capacity-Base'!M56*1000</f>
        <v>18379.712894944634</v>
      </c>
      <c r="N79" s="309">
        <f>'Com-Capacity-Base'!N56*1000</f>
        <v>18587.651982793021</v>
      </c>
      <c r="O79" s="309">
        <f>'Com-Capacity-Base'!O56*1000</f>
        <v>18804.090369693306</v>
      </c>
      <c r="P79" s="309">
        <f>'Com-Capacity-Base'!P56*1000</f>
        <v>19021.774286028973</v>
      </c>
      <c r="Q79" s="309">
        <f>'Com-Capacity-Base'!Q56*1000</f>
        <v>19234.528164236894</v>
      </c>
      <c r="R79" s="309">
        <f>'Com-Capacity-Base'!R56*1000</f>
        <v>19449.661642371288</v>
      </c>
      <c r="S79" s="309">
        <f>'Com-Capacity-Base'!S56*1000</f>
        <v>19667.20133567349</v>
      </c>
      <c r="T79" s="309">
        <f>'Com-Capacity-Base'!T56*1000</f>
        <v>19887.174157069745</v>
      </c>
      <c r="U79" s="309">
        <f>'Com-Capacity-Base'!U56*1000</f>
        <v>20109.607320500803</v>
      </c>
      <c r="V79" s="309">
        <f>'Com-Capacity-Base'!V56*1000</f>
        <v>20334.528344288647</v>
      </c>
      <c r="W79" s="309"/>
    </row>
    <row r="80" spans="1:49" s="76" customFormat="1" ht="12.75">
      <c r="A80" s="91" t="s">
        <v>302</v>
      </c>
      <c r="B80" s="323">
        <f>B74+B77</f>
        <v>27.881812059919849</v>
      </c>
      <c r="C80" s="309">
        <f>'Com-Capacity-Base'!C57*1000</f>
        <v>3628.4531514876303</v>
      </c>
      <c r="D80" s="309">
        <f>'Com-Capacity-Base'!D57*1000</f>
        <v>16524.148682885359</v>
      </c>
      <c r="E80" s="309">
        <f>'Com-Capacity-Base'!E57*1000</f>
        <v>26789.909384059763</v>
      </c>
      <c r="F80" s="309">
        <f>'Com-Capacity-Base'!F57*1000</f>
        <v>34299.279158348327</v>
      </c>
      <c r="G80" s="309">
        <f>'Com-Capacity-Base'!G57*1000</f>
        <v>38962.928741434356</v>
      </c>
      <c r="H80" s="309">
        <f>'Com-Capacity-Base'!H57*1000</f>
        <v>46423.810795547659</v>
      </c>
      <c r="I80" s="309">
        <f>'Com-Capacity-Base'!I57*1000</f>
        <v>46998.706438364039</v>
      </c>
      <c r="J80" s="309">
        <f>'Com-Capacity-Base'!J57*1000</f>
        <v>47565.921152792427</v>
      </c>
      <c r="K80" s="309">
        <f>'Com-Capacity-Base'!K57*1000</f>
        <v>48131.177772992945</v>
      </c>
      <c r="L80" s="309">
        <f>'Com-Capacity-Base'!L57*1000</f>
        <v>48693.200586873005</v>
      </c>
      <c r="M80" s="309">
        <f>'Com-Capacity-Base'!M57*1000</f>
        <v>49231.373825744558</v>
      </c>
      <c r="N80" s="309">
        <f>'Com-Capacity-Base'!N57*1000</f>
        <v>49788.353525338454</v>
      </c>
      <c r="O80" s="309">
        <f>'Com-Capacity-Base'!O57*1000</f>
        <v>50368.099204535632</v>
      </c>
      <c r="P80" s="309">
        <f>'Com-Capacity-Base'!P57*1000</f>
        <v>50951.181123291892</v>
      </c>
      <c r="Q80" s="309">
        <f>'Com-Capacity-Base'!Q57*1000</f>
        <v>51521.057582777394</v>
      </c>
      <c r="R80" s="309">
        <f>'Com-Capacity-Base'!R57*1000</f>
        <v>52097.307970637383</v>
      </c>
      <c r="S80" s="309">
        <f>'Com-Capacity-Base'!S57*1000</f>
        <v>52680.003577696843</v>
      </c>
      <c r="T80" s="309">
        <f>'Com-Capacity-Base'!T57*1000</f>
        <v>53269.216492151099</v>
      </c>
      <c r="U80" s="309">
        <f>'Com-Capacity-Base'!U57*1000</f>
        <v>53865.01960848429</v>
      </c>
      <c r="V80" s="309">
        <f>'Com-Capacity-Base'!V57*1000</f>
        <v>54467.48663648744</v>
      </c>
      <c r="W80" s="309"/>
    </row>
    <row r="81" spans="1:49" s="76" customFormat="1">
      <c r="A81"/>
      <c r="B81"/>
      <c r="C81"/>
      <c r="D81"/>
      <c r="E81"/>
      <c r="F81"/>
      <c r="G81"/>
      <c r="H81"/>
      <c r="I81"/>
      <c r="J81"/>
      <c r="K81"/>
      <c r="L81"/>
      <c r="M81"/>
      <c r="N81"/>
      <c r="O81"/>
      <c r="P81"/>
      <c r="Q81"/>
      <c r="R81"/>
      <c r="S81"/>
      <c r="T81"/>
      <c r="U81"/>
      <c r="V81"/>
      <c r="W81"/>
      <c r="X81"/>
      <c r="Y81"/>
      <c r="Z81"/>
      <c r="AA81"/>
      <c r="AB81"/>
      <c r="AC81"/>
      <c r="AD81"/>
      <c r="AE81" s="70"/>
      <c r="AF81"/>
      <c r="AG81" s="70"/>
      <c r="AH81"/>
      <c r="AI81" s="70"/>
      <c r="AJ81"/>
      <c r="AK81"/>
      <c r="AL81"/>
      <c r="AM81"/>
      <c r="AN81"/>
      <c r="AO81"/>
      <c r="AP81"/>
      <c r="AQ81"/>
      <c r="AR81"/>
      <c r="AS81"/>
      <c r="AT81"/>
      <c r="AU81"/>
      <c r="AV81"/>
      <c r="AW81"/>
    </row>
    <row r="82" spans="1:49" s="76" customFormat="1">
      <c r="A82" s="285" t="s">
        <v>415</v>
      </c>
      <c r="B82"/>
      <c r="C82"/>
      <c r="D82"/>
      <c r="E82"/>
      <c r="F82"/>
      <c r="G82"/>
      <c r="H82"/>
      <c r="I82"/>
      <c r="J82"/>
      <c r="K82"/>
      <c r="L82"/>
      <c r="M82"/>
      <c r="N82"/>
      <c r="O82"/>
      <c r="P82"/>
      <c r="Q82"/>
      <c r="R82"/>
      <c r="S82"/>
      <c r="T82"/>
      <c r="U82"/>
      <c r="V82"/>
      <c r="W82"/>
      <c r="X82"/>
      <c r="Y82"/>
      <c r="Z82"/>
      <c r="AA82"/>
      <c r="AB82"/>
      <c r="AC82"/>
      <c r="AD82"/>
      <c r="AE82" s="70"/>
      <c r="AF82"/>
      <c r="AG82" s="70"/>
      <c r="AH82"/>
      <c r="AI82" s="70"/>
      <c r="AJ82"/>
      <c r="AK82"/>
      <c r="AL82"/>
      <c r="AM82"/>
      <c r="AN82"/>
      <c r="AO82"/>
      <c r="AP82"/>
      <c r="AQ82"/>
      <c r="AR82"/>
      <c r="AS82"/>
      <c r="AT82"/>
      <c r="AU82"/>
      <c r="AV82"/>
      <c r="AW82"/>
    </row>
    <row r="83" spans="1:49" s="76" customFormat="1">
      <c r="A83" s="474" t="s">
        <v>210</v>
      </c>
      <c r="B83" s="474" t="s">
        <v>410</v>
      </c>
      <c r="C83" s="476" t="s">
        <v>409</v>
      </c>
      <c r="D83" s="476"/>
      <c r="E83" s="476"/>
      <c r="F83" s="476"/>
      <c r="G83" s="476"/>
      <c r="H83" s="476"/>
      <c r="I83" s="476"/>
      <c r="J83" s="476"/>
      <c r="K83" s="476"/>
      <c r="L83" s="476"/>
      <c r="M83" s="476"/>
      <c r="N83" s="476"/>
      <c r="O83" s="476"/>
      <c r="P83" s="476"/>
      <c r="Q83" s="476"/>
      <c r="R83" s="476"/>
      <c r="S83" s="476"/>
      <c r="T83" s="476"/>
      <c r="U83" s="476"/>
      <c r="V83" s="476"/>
      <c r="W83" s="476"/>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row>
    <row r="84" spans="1:49" s="76" customFormat="1" ht="12.75">
      <c r="A84" s="475"/>
      <c r="B84" s="475"/>
      <c r="C84" s="307">
        <f>'Ag-Ind-Capacity-Base'!C5</f>
        <v>2016</v>
      </c>
      <c r="D84" s="321">
        <f>'Ag-Ind-Capacity-Base'!D5</f>
        <v>2017</v>
      </c>
      <c r="E84" s="321">
        <f>'Ag-Ind-Capacity-Base'!E5</f>
        <v>2018</v>
      </c>
      <c r="F84" s="321">
        <f>'Ag-Ind-Capacity-Base'!F5</f>
        <v>2019</v>
      </c>
      <c r="G84" s="321">
        <f>'Ag-Ind-Capacity-Base'!G5</f>
        <v>2020</v>
      </c>
      <c r="H84" s="321">
        <f>'Ag-Ind-Capacity-Base'!H5</f>
        <v>2021</v>
      </c>
      <c r="I84" s="321">
        <f>'Ag-Ind-Capacity-Base'!I5</f>
        <v>2022</v>
      </c>
      <c r="J84" s="321">
        <f>'Ag-Ind-Capacity-Base'!J5</f>
        <v>2023</v>
      </c>
      <c r="K84" s="321">
        <f>'Ag-Ind-Capacity-Base'!K5</f>
        <v>2024</v>
      </c>
      <c r="L84" s="321">
        <f>'Ag-Ind-Capacity-Base'!L5</f>
        <v>2025</v>
      </c>
      <c r="M84" s="321">
        <f>'Ag-Ind-Capacity-Base'!M5</f>
        <v>2026</v>
      </c>
      <c r="N84" s="321">
        <f>'Ag-Ind-Capacity-Base'!N5</f>
        <v>2027</v>
      </c>
      <c r="O84" s="321">
        <f>'Ag-Ind-Capacity-Base'!O5</f>
        <v>2028</v>
      </c>
      <c r="P84" s="321">
        <f>'Ag-Ind-Capacity-Base'!P5</f>
        <v>2029</v>
      </c>
      <c r="Q84" s="321">
        <f>'Ag-Ind-Capacity-Base'!Q5</f>
        <v>2030</v>
      </c>
      <c r="R84" s="321">
        <f>'Ag-Ind-Capacity-Base'!R5</f>
        <v>2031</v>
      </c>
      <c r="S84" s="321">
        <f>'Ag-Ind-Capacity-Base'!S5</f>
        <v>2032</v>
      </c>
      <c r="T84" s="321">
        <f>'Ag-Ind-Capacity-Base'!T5</f>
        <v>2033</v>
      </c>
      <c r="U84" s="321">
        <f>'Ag-Ind-Capacity-Base'!U5</f>
        <v>2034</v>
      </c>
      <c r="V84" s="321">
        <f>'Ag-Ind-Capacity-Base'!V5</f>
        <v>2035</v>
      </c>
      <c r="W84" s="321"/>
    </row>
    <row r="85" spans="1:49" s="76" customFormat="1" ht="12.75">
      <c r="A85" s="107" t="s">
        <v>319</v>
      </c>
      <c r="B85" s="331">
        <f>(1-'7thPlanAssumptions'!$B$4*0.01)^($C$84-'7thPlanAssumptions'!$B$8)*SUM(C85:W85)/(NPV('7thPlanAssumptions'!$B$3*0.01,'Ag-Ind-Capacity-Base'!D58:W58)+'Ag-Ind-Capacity-Base'!C58)/1000</f>
        <v>-8.8010281124910463</v>
      </c>
      <c r="C85" s="284">
        <f>('Ag-Ind-Capacity-Base'!C78)*(1+0.01*'7thPlanAssumptions'!$B$3)^('7thPlanAssumptions'!$B$8-C$84)</f>
        <v>-4281.339081801374</v>
      </c>
      <c r="D85" s="284">
        <f>('Ag-Ind-Capacity-Base'!D78)*(1+0.01*'7thPlanAssumptions'!$B$3)^('7thPlanAssumptions'!$B$8-D$84)</f>
        <v>-20830.579427221357</v>
      </c>
      <c r="E85" s="284">
        <f>('Ag-Ind-Capacity-Base'!E78)*(1+0.01*'7thPlanAssumptions'!$B$3)^('7thPlanAssumptions'!$B$8-E$84)</f>
        <v>-36531.93567173052</v>
      </c>
      <c r="F85" s="284">
        <f>('Ag-Ind-Capacity-Base'!F78)*(1+0.01*'7thPlanAssumptions'!$B$3)^('7thPlanAssumptions'!$B$8-F$84)</f>
        <v>-51397.860366672066</v>
      </c>
      <c r="G85" s="284">
        <f>('Ag-Ind-Capacity-Base'!G78)*(1+0.01*'7thPlanAssumptions'!$B$3)^('7thPlanAssumptions'!$B$8-G$84)</f>
        <v>-65497.555542659196</v>
      </c>
      <c r="H85" s="284">
        <f>('Ag-Ind-Capacity-Base'!H78)*(1+0.01*'7thPlanAssumptions'!$B$3)^('7thPlanAssumptions'!$B$8-H$84)</f>
        <v>-75037.947418153286</v>
      </c>
      <c r="I85" s="284">
        <f>('Ag-Ind-Capacity-Base'!I78)*(1+0.01*'7thPlanAssumptions'!$B$3)^('7thPlanAssumptions'!$B$8-I$84)</f>
        <v>-73045.375149412794</v>
      </c>
      <c r="J85" s="284">
        <f>('Ag-Ind-Capacity-Base'!J78)*(1+0.01*'7thPlanAssumptions'!$B$3)^('7thPlanAssumptions'!$B$8-J$84)</f>
        <v>-71083.596235406498</v>
      </c>
      <c r="K85" s="284">
        <f>('Ag-Ind-Capacity-Base'!K78)*(1+0.01*'7thPlanAssumptions'!$B$3)^('7thPlanAssumptions'!$B$8-K$84)</f>
        <v>-69161.854429348707</v>
      </c>
      <c r="L85" s="284">
        <f>('Ag-Ind-Capacity-Base'!L78)*(1+0.01*'7thPlanAssumptions'!$B$3)^('7thPlanAssumptions'!$B$8-L$84)</f>
        <v>-67278.317588572245</v>
      </c>
      <c r="M85" s="284">
        <f>('Ag-Ind-Capacity-Base'!M78)*(1+0.01*'7thPlanAssumptions'!$B$3)^('7thPlanAssumptions'!$B$8-M$84)</f>
        <v>-65405.67273273407</v>
      </c>
      <c r="N85" s="284">
        <f>('Ag-Ind-Capacity-Base'!N78)*(1+0.01*'7thPlanAssumptions'!$B$3)^('7thPlanAssumptions'!$B$8-N$84)</f>
        <v>-63601.577446446099</v>
      </c>
      <c r="O85" s="284">
        <f>('Ag-Ind-Capacity-Base'!O78)*(1+0.01*'7thPlanAssumptions'!$B$3)^('7thPlanAssumptions'!$B$8-O$84)</f>
        <v>-61867.468369756047</v>
      </c>
      <c r="P85" s="284">
        <f>('Ag-Ind-Capacity-Base'!P78)*(1+0.01*'7thPlanAssumptions'!$B$3)^('7thPlanAssumptions'!$B$8-P$84)</f>
        <v>-60176.607437774881</v>
      </c>
      <c r="Q85" s="284">
        <f>('Ag-Ind-Capacity-Base'!Q78)*(1+0.01*'7thPlanAssumptions'!$B$3)^('7thPlanAssumptions'!$B$8-Q$84)</f>
        <v>-58509.296179844117</v>
      </c>
      <c r="R85" s="284">
        <f>('Ag-Ind-Capacity-Base'!R78)*(1+0.01*'7thPlanAssumptions'!$B$3)^('7thPlanAssumptions'!$B$8-R$84)</f>
        <v>-56888.181059402421</v>
      </c>
      <c r="S85" s="284">
        <f>('Ag-Ind-Capacity-Base'!S78)*(1+0.01*'7thPlanAssumptions'!$B$3)^('7thPlanAssumptions'!$B$8-S$84)</f>
        <v>-55311.982121607121</v>
      </c>
      <c r="T85" s="284">
        <f>('Ag-Ind-Capacity-Base'!T78)*(1+0.01*'7thPlanAssumptions'!$B$3)^('7thPlanAssumptions'!$B$8-T$84)</f>
        <v>-53779.454875281655</v>
      </c>
      <c r="U85" s="284">
        <f>('Ag-Ind-Capacity-Base'!U78)*(1+0.01*'7thPlanAssumptions'!$B$3)^('7thPlanAssumptions'!$B$8-U$84)</f>
        <v>-52289.389310325103</v>
      </c>
      <c r="V85" s="284">
        <f>('Ag-Ind-Capacity-Base'!V78)*(1+0.01*'7thPlanAssumptions'!$B$3)^('7thPlanAssumptions'!$B$8-V$84)</f>
        <v>-50840.608942346051</v>
      </c>
      <c r="W85" s="284"/>
    </row>
    <row r="86" spans="1:49" s="76" customFormat="1" ht="12.75">
      <c r="A86" s="91" t="s">
        <v>312</v>
      </c>
      <c r="B86" s="331">
        <f>(1-'7thPlanAssumptions'!$B$4*0.01)^($C$84-'7thPlanAssumptions'!$B$8)*SUM(C86:W86)/(NPV('7thPlanAssumptions'!$B$3*0.01,'Ag-Ind-Capacity-Base'!D59:W59)+'Ag-Ind-Capacity-Base'!C59)/1000</f>
        <v>19.202243154525927</v>
      </c>
      <c r="C86" s="284">
        <f>('Ag-Ind-Capacity-Base'!C79)*(1+0.01*'7thPlanAssumptions'!$B$3)^('7thPlanAssumptions'!$B$8-C$84)</f>
        <v>529329.19556817005</v>
      </c>
      <c r="D86" s="284">
        <f>('Ag-Ind-Capacity-Base'!D79)*(1+0.01*'7thPlanAssumptions'!$B$3)^('7thPlanAssumptions'!$B$8-D$84)</f>
        <v>2575417.0928200949</v>
      </c>
      <c r="E86" s="284">
        <f>('Ag-Ind-Capacity-Base'!E79)*(1+0.01*'7thPlanAssumptions'!$B$3)^('7thPlanAssumptions'!$B$8-E$84)</f>
        <v>4516675.6830503196</v>
      </c>
      <c r="F86" s="284">
        <f>('Ag-Ind-Capacity-Base'!F79)*(1+0.01*'7thPlanAssumptions'!$B$3)^('7thPlanAssumptions'!$B$8-F$84)</f>
        <v>6354644.5544249108</v>
      </c>
      <c r="G86" s="284">
        <f>('Ag-Ind-Capacity-Base'!G79)*(1+0.01*'7thPlanAssumptions'!$B$3)^('7thPlanAssumptions'!$B$8-G$84)</f>
        <v>8097879.5943651376</v>
      </c>
      <c r="H86" s="284">
        <f>('Ag-Ind-Capacity-Base'!H79)*(1+0.01*'7thPlanAssumptions'!$B$3)^('7thPlanAssumptions'!$B$8-H$84)</f>
        <v>9277418.9535171296</v>
      </c>
      <c r="I86" s="284">
        <f>('Ag-Ind-Capacity-Base'!I79)*(1+0.01*'7thPlanAssumptions'!$B$3)^('7thPlanAssumptions'!$B$8-I$84)</f>
        <v>9031064.5639273971</v>
      </c>
      <c r="J86" s="284">
        <f>('Ag-Ind-Capacity-Base'!J79)*(1+0.01*'7thPlanAssumptions'!$B$3)^('7thPlanAssumptions'!$B$8-J$84)</f>
        <v>8788517.3527411669</v>
      </c>
      <c r="K86" s="284">
        <f>('Ag-Ind-Capacity-Base'!K79)*(1+0.01*'7thPlanAssumptions'!$B$3)^('7thPlanAssumptions'!$B$8-K$84)</f>
        <v>8550920.1839922052</v>
      </c>
      <c r="L86" s="284">
        <f>('Ag-Ind-Capacity-Base'!L79)*(1+0.01*'7thPlanAssumptions'!$B$3)^('7thPlanAssumptions'!$B$8-L$84)</f>
        <v>8318046.5382234771</v>
      </c>
      <c r="M86" s="284">
        <f>('Ag-Ind-Capacity-Base'!M79)*(1+0.01*'7thPlanAssumptions'!$B$3)^('7thPlanAssumptions'!$B$8-M$84)</f>
        <v>8086519.5378653035</v>
      </c>
      <c r="N86" s="284">
        <f>('Ag-Ind-Capacity-Base'!N79)*(1+0.01*'7thPlanAssumptions'!$B$3)^('7thPlanAssumptions'!$B$8-N$84)</f>
        <v>7863467.7570151538</v>
      </c>
      <c r="O86" s="284">
        <f>('Ag-Ind-Capacity-Base'!O79)*(1+0.01*'7thPlanAssumptions'!$B$3)^('7thPlanAssumptions'!$B$8-O$84)</f>
        <v>7649068.8166243853</v>
      </c>
      <c r="P86" s="284">
        <f>('Ag-Ind-Capacity-Base'!P79)*(1+0.01*'7thPlanAssumptions'!$B$3)^('7thPlanAssumptions'!$B$8-P$84)</f>
        <v>7440016.9195794389</v>
      </c>
      <c r="Q86" s="284">
        <f>('Ag-Ind-Capacity-Base'!Q79)*(1+0.01*'7thPlanAssumptions'!$B$3)^('7thPlanAssumptions'!$B$8-Q$84)</f>
        <v>7233876.6185989054</v>
      </c>
      <c r="R86" s="284">
        <f>('Ag-Ind-Capacity-Base'!R79)*(1+0.01*'7thPlanAssumptions'!$B$3)^('7thPlanAssumptions'!$B$8-R$84)</f>
        <v>7033447.8400715729</v>
      </c>
      <c r="S86" s="284">
        <f>('Ag-Ind-Capacity-Base'!S79)*(1+0.01*'7thPlanAssumptions'!$B$3)^('7thPlanAssumptions'!$B$8-S$84)</f>
        <v>6838572.3350350633</v>
      </c>
      <c r="T86" s="284">
        <f>('Ag-Ind-Capacity-Base'!T79)*(1+0.01*'7thPlanAssumptions'!$B$3)^('7thPlanAssumptions'!$B$8-T$84)</f>
        <v>6649096.2391257323</v>
      </c>
      <c r="U86" s="284">
        <f>('Ag-Ind-Capacity-Base'!U79)*(1+0.01*'7thPlanAssumptions'!$B$3)^('7thPlanAssumptions'!$B$8-U$84)</f>
        <v>6464869.9510947401</v>
      </c>
      <c r="V86" s="284">
        <f>('Ag-Ind-Capacity-Base'!V79)*(1+0.01*'7thPlanAssumptions'!$B$3)^('7thPlanAssumptions'!$B$8-V$84)</f>
        <v>6285748.0146900564</v>
      </c>
      <c r="W86" s="284"/>
    </row>
    <row r="87" spans="1:49" s="76" customFormat="1" ht="12.75">
      <c r="B87" s="333"/>
      <c r="C87" s="476" t="s">
        <v>412</v>
      </c>
      <c r="D87" s="476"/>
      <c r="E87" s="476"/>
      <c r="F87" s="476"/>
      <c r="G87" s="476"/>
      <c r="H87" s="476"/>
      <c r="I87" s="476"/>
      <c r="J87" s="476"/>
      <c r="K87" s="476"/>
      <c r="L87" s="476"/>
      <c r="M87" s="476"/>
      <c r="N87" s="476"/>
      <c r="O87" s="476"/>
      <c r="P87" s="476"/>
      <c r="Q87" s="476"/>
      <c r="R87" s="476"/>
      <c r="S87" s="476"/>
      <c r="T87" s="476"/>
      <c r="U87" s="476"/>
      <c r="V87" s="476"/>
      <c r="W87" s="476"/>
    </row>
    <row r="88" spans="1:49" s="76" customFormat="1" ht="12.75">
      <c r="A88" s="107" t="s">
        <v>319</v>
      </c>
      <c r="B88" s="331">
        <f>(1-'7thPlanAssumptions'!$B$4*0.01)^($C$84-'7thPlanAssumptions'!$B$8)*SUM(C88:W88)/(NPV('7thPlanAssumptions'!$B$3*0.01,'Ag-Ind-Capacity-Base'!D58:W58)+'Ag-Ind-Capacity-Base'!C58)/1000</f>
        <v>10.743665050063438</v>
      </c>
      <c r="C88" s="308">
        <f>'Ag-Ind-Capacity-Base'!C68*('7thPlanAssumptions'!$B$10)^('7thPlanAssumptions'!$B$8-C$84)</f>
        <v>18026.690870742626</v>
      </c>
      <c r="D88" s="308">
        <f>'Ag-Ind-Capacity-Base'!D68*('7thPlanAssumptions'!$B$10)^('7thPlanAssumptions'!$B$8-D$84)</f>
        <v>70374.346244975051</v>
      </c>
      <c r="E88" s="308">
        <f>'Ag-Ind-Capacity-Base'!E68*('7thPlanAssumptions'!$B$10)^('7thPlanAssumptions'!$B$8-E$84)</f>
        <v>69484.346847685752</v>
      </c>
      <c r="F88" s="308">
        <f>'Ag-Ind-Capacity-Base'!F68*('7thPlanAssumptions'!$B$10)^('7thPlanAssumptions'!$B$8-F$84)</f>
        <v>68509.470079386345</v>
      </c>
      <c r="G88" s="308">
        <f>'Ag-Ind-Capacity-Base'!G68*('7thPlanAssumptions'!$B$10)^('7thPlanAssumptions'!$B$8-G$84)</f>
        <v>67690.67772345549</v>
      </c>
      <c r="H88" s="308">
        <f>'Ag-Ind-Capacity-Base'!H68*('7thPlanAssumptions'!$B$10)^('7thPlanAssumptions'!$B$8-H$84)</f>
        <v>50776.962640567705</v>
      </c>
      <c r="I88" s="308">
        <f>'Ag-Ind-Capacity-Base'!I68*('7thPlanAssumptions'!$B$10)^('7thPlanAssumptions'!$B$8-I$84)+D88</f>
        <v>74136.46259006008</v>
      </c>
      <c r="J88" s="308">
        <f>'Ag-Ind-Capacity-Base'!J68*('7thPlanAssumptions'!$B$10)^('7thPlanAssumptions'!$B$8-J$84)+E88</f>
        <v>73053.4356550136</v>
      </c>
      <c r="K88" s="308">
        <f>'Ag-Ind-Capacity-Base'!K68*('7thPlanAssumptions'!$B$10)^('7thPlanAssumptions'!$B$8-K$84)+F88</f>
        <v>71929.439193217011</v>
      </c>
      <c r="L88" s="308">
        <f>'Ag-Ind-Capacity-Base'!L68*('7thPlanAssumptions'!$B$10)^('7thPlanAssumptions'!$B$8-L$84)+G88</f>
        <v>70960.296601052367</v>
      </c>
      <c r="M88" s="308">
        <f>'Ag-Ind-Capacity-Base'!M68*('7thPlanAssumptions'!$B$10)^('7thPlanAssumptions'!$B$8-M$84)+H88</f>
        <v>53787.416298345765</v>
      </c>
      <c r="N88" s="308">
        <f>'Ag-Ind-Capacity-Base'!N68*('7thPlanAssumptions'!$B$10)^('7thPlanAssumptions'!$B$8-N$84)+I88</f>
        <v>77132.283689533273</v>
      </c>
      <c r="O88" s="308">
        <f>'Ag-Ind-Capacity-Base'!O68*('7thPlanAssumptions'!$B$10)^('7thPlanAssumptions'!$B$8-O$84)+J88</f>
        <v>76051.774351775559</v>
      </c>
      <c r="P88" s="308">
        <f>'Ag-Ind-Capacity-Base'!P68*('7thPlanAssumptions'!$B$10)^('7thPlanAssumptions'!$B$8-P$84)+K88</f>
        <v>74829.047960544252</v>
      </c>
      <c r="Q88" s="308">
        <f>'Ag-Ind-Capacity-Base'!Q68*('7thPlanAssumptions'!$B$10)^('7thPlanAssumptions'!$B$8-Q$84)+L88</f>
        <v>73685.238257987585</v>
      </c>
      <c r="R88" s="308">
        <f>'Ag-Ind-Capacity-Base'!R68*('7thPlanAssumptions'!$B$10)^('7thPlanAssumptions'!$B$8-R$84)+M88</f>
        <v>56436.858087553883</v>
      </c>
      <c r="S88" s="308">
        <f>'Ag-Ind-Capacity-Base'!S68*('7thPlanAssumptions'!$B$10)^('7thPlanAssumptions'!$B$8-S$84)+N88</f>
        <v>79708.317483334831</v>
      </c>
      <c r="T88" s="308">
        <f>'Ag-Ind-Capacity-Base'!T68*('7thPlanAssumptions'!$B$10)^('7thPlanAssumptions'!$B$8-T$84)+O88</f>
        <v>78556.434063054141</v>
      </c>
      <c r="U88" s="308">
        <f>'Ag-Ind-Capacity-Base'!U68*('7thPlanAssumptions'!$B$10)^('7thPlanAssumptions'!$B$8-U$84)+P88</f>
        <v>77264.311148627065</v>
      </c>
      <c r="V88" s="308">
        <f>'Ag-Ind-Capacity-Base'!V68*('7thPlanAssumptions'!$B$10)^('7thPlanAssumptions'!$B$8-V$84)+Q88</f>
        <v>76053.02769003126</v>
      </c>
      <c r="W88" s="308"/>
    </row>
    <row r="89" spans="1:49">
      <c r="A89" s="82" t="s">
        <v>312</v>
      </c>
      <c r="B89" s="331">
        <f>(1-'7thPlanAssumptions'!$B$4*0.01)^($C$84-'7thPlanAssumptions'!$B$8)*SUM(C89:W89)/(NPV('7thPlanAssumptions'!$B$3*0.01,'Ag-Ind-Capacity-Base'!D59:W59)+'Ag-Ind-Capacity-Base'!C59)/1000</f>
        <v>0</v>
      </c>
      <c r="C89" s="308">
        <f>'Ag-Ind-Capacity-Base'!C69*('7thPlanAssumptions'!$B$10)^('7thPlanAssumptions'!$B$8-C$84)</f>
        <v>0</v>
      </c>
      <c r="D89" s="308">
        <f>'Ag-Ind-Capacity-Base'!D69*('7thPlanAssumptions'!$B$10)^('7thPlanAssumptions'!$B$8-D$84)</f>
        <v>0</v>
      </c>
      <c r="E89" s="308">
        <f>'Ag-Ind-Capacity-Base'!E69*('7thPlanAssumptions'!$B$10)^('7thPlanAssumptions'!$B$8-E$84)</f>
        <v>0</v>
      </c>
      <c r="F89" s="308">
        <f>'Ag-Ind-Capacity-Base'!F69*('7thPlanAssumptions'!$B$10)^('7thPlanAssumptions'!$B$8-F$84)</f>
        <v>0</v>
      </c>
      <c r="G89" s="308">
        <f>'Ag-Ind-Capacity-Base'!G69*('7thPlanAssumptions'!$B$10)^('7thPlanAssumptions'!$B$8-G$84)</f>
        <v>0</v>
      </c>
      <c r="H89" s="308">
        <f>'Ag-Ind-Capacity-Base'!H69*('7thPlanAssumptions'!$B$10)^('7thPlanAssumptions'!$B$8-H$84)+C89</f>
        <v>0</v>
      </c>
      <c r="I89" s="308">
        <f>'Ag-Ind-Capacity-Base'!I69*('7thPlanAssumptions'!$B$10)^('7thPlanAssumptions'!$B$8-I$84)+D89</f>
        <v>0</v>
      </c>
      <c r="J89" s="308">
        <f>'Ag-Ind-Capacity-Base'!J69*('7thPlanAssumptions'!$B$10)^('7thPlanAssumptions'!$B$8-J$84)+E89</f>
        <v>0</v>
      </c>
      <c r="K89" s="308">
        <f>'Ag-Ind-Capacity-Base'!K69*('7thPlanAssumptions'!$B$10)^('7thPlanAssumptions'!$B$8-K$84)+F89</f>
        <v>0</v>
      </c>
      <c r="L89" s="308">
        <f>'Ag-Ind-Capacity-Base'!L69*('7thPlanAssumptions'!$B$10)^('7thPlanAssumptions'!$B$8-L$84)+G89</f>
        <v>0</v>
      </c>
      <c r="M89" s="308">
        <f>'Ag-Ind-Capacity-Base'!M69*('7thPlanAssumptions'!$B$10)^('7thPlanAssumptions'!$B$8-M$84)+H89</f>
        <v>0</v>
      </c>
      <c r="N89" s="308">
        <f>'Ag-Ind-Capacity-Base'!N69*('7thPlanAssumptions'!$B$10)^('7thPlanAssumptions'!$B$8-N$84)+I89</f>
        <v>0</v>
      </c>
      <c r="O89" s="308">
        <f>'Ag-Ind-Capacity-Base'!O69*('7thPlanAssumptions'!$B$10)^('7thPlanAssumptions'!$B$8-O$84)+J89</f>
        <v>0</v>
      </c>
      <c r="P89" s="308">
        <f>'Ag-Ind-Capacity-Base'!P69*('7thPlanAssumptions'!$B$10)^('7thPlanAssumptions'!$B$8-P$84)+K89</f>
        <v>0</v>
      </c>
      <c r="Q89" s="308">
        <f>'Ag-Ind-Capacity-Base'!Q69*('7thPlanAssumptions'!$B$10)^('7thPlanAssumptions'!$B$8-Q$84)+L89</f>
        <v>0</v>
      </c>
      <c r="R89" s="308">
        <f>'Ag-Ind-Capacity-Base'!R69*('7thPlanAssumptions'!$B$10)^('7thPlanAssumptions'!$B$8-R$84)+M89</f>
        <v>0</v>
      </c>
      <c r="S89" s="308">
        <f>'Ag-Ind-Capacity-Base'!S69*('7thPlanAssumptions'!$B$10)^('7thPlanAssumptions'!$B$8-S$84)+N89</f>
        <v>0</v>
      </c>
      <c r="T89" s="308">
        <f>'Ag-Ind-Capacity-Base'!T69*('7thPlanAssumptions'!$B$10)^('7thPlanAssumptions'!$B$8-T$84)+O89</f>
        <v>0</v>
      </c>
      <c r="U89" s="308">
        <f>'Ag-Ind-Capacity-Base'!U69*('7thPlanAssumptions'!$B$10)^('7thPlanAssumptions'!$B$8-U$84)+P89</f>
        <v>0</v>
      </c>
      <c r="V89" s="308">
        <f>'Ag-Ind-Capacity-Base'!V69*('7thPlanAssumptions'!$B$10)^('7thPlanAssumptions'!$B$8-V$84)+Q89</f>
        <v>0</v>
      </c>
      <c r="W89" s="308"/>
      <c r="X89" s="76"/>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row>
    <row r="90" spans="1:49" s="70" customFormat="1">
      <c r="A90" s="311"/>
      <c r="B90" s="333" t="s">
        <v>327</v>
      </c>
      <c r="C90" s="479" t="s">
        <v>430</v>
      </c>
      <c r="D90" s="476"/>
      <c r="E90" s="476"/>
      <c r="F90" s="476"/>
      <c r="G90" s="476"/>
      <c r="H90" s="476"/>
      <c r="I90" s="476"/>
      <c r="J90" s="476"/>
      <c r="K90" s="476"/>
      <c r="L90" s="476"/>
      <c r="M90" s="476"/>
      <c r="N90" s="476"/>
      <c r="O90" s="476"/>
      <c r="P90" s="476"/>
      <c r="Q90" s="476"/>
      <c r="R90" s="476"/>
      <c r="S90" s="476"/>
      <c r="T90" s="476"/>
      <c r="U90" s="476"/>
      <c r="V90" s="476"/>
      <c r="W90" s="476"/>
      <c r="X90" s="76"/>
      <c r="Y90" s="76"/>
      <c r="Z90" s="76"/>
      <c r="AA90" s="76"/>
      <c r="AB90" s="76"/>
      <c r="AC90" s="76"/>
      <c r="AD90" s="76"/>
      <c r="AE90" s="76"/>
      <c r="AF90" s="76"/>
      <c r="AG90" s="76"/>
      <c r="AH90" s="76"/>
      <c r="AI90" s="76"/>
      <c r="AJ90" s="76"/>
      <c r="AK90" s="76"/>
      <c r="AL90" s="76"/>
      <c r="AM90" s="76"/>
      <c r="AN90" s="76"/>
      <c r="AO90" s="76"/>
      <c r="AP90" s="76"/>
      <c r="AQ90" s="76"/>
      <c r="AR90" s="76"/>
      <c r="AS90" s="76"/>
      <c r="AT90" s="76"/>
      <c r="AU90" s="76"/>
      <c r="AV90" s="76"/>
      <c r="AW90" s="76"/>
    </row>
    <row r="91" spans="1:49" s="76" customFormat="1" ht="12.75">
      <c r="A91" s="310" t="s">
        <v>319</v>
      </c>
      <c r="B91" s="334">
        <f>B85+B88</f>
        <v>1.9426369375723915</v>
      </c>
      <c r="C91" s="309">
        <f>'Ag-Ind-Capacity-Base'!C58*1000</f>
        <v>455.32374300980712</v>
      </c>
      <c r="D91" s="309">
        <f>'Ag-Ind-Capacity-Base'!D58*1000</f>
        <v>2303.9622653456909</v>
      </c>
      <c r="E91" s="309">
        <f>'Ag-Ind-Capacity-Base'!E58*1000</f>
        <v>4202.2320898102807</v>
      </c>
      <c r="F91" s="309">
        <f>'Ag-Ind-Capacity-Base'!F58*1000</f>
        <v>6148.7343492027321</v>
      </c>
      <c r="G91" s="309">
        <f>'Ag-Ind-Capacity-Base'!G58*1000</f>
        <v>8148.9024902621632</v>
      </c>
      <c r="H91" s="309">
        <f>'Ag-Ind-Capacity-Base'!H58*1000</f>
        <v>9709.3088127381689</v>
      </c>
      <c r="I91" s="309">
        <f>'Ag-Ind-Capacity-Base'!I58*1000</f>
        <v>9829.5453731486141</v>
      </c>
      <c r="J91" s="309">
        <f>'Ag-Ind-Capacity-Base'!J58*1000</f>
        <v>9948.1755056417951</v>
      </c>
      <c r="K91" s="309">
        <f>'Ag-Ind-Capacity-Base'!K58*1000</f>
        <v>10066.396112479564</v>
      </c>
      <c r="L91" s="309">
        <f>'Ag-Ind-Capacity-Base'!L58*1000</f>
        <v>10183.940384831474</v>
      </c>
      <c r="M91" s="309">
        <f>'Ag-Ind-Capacity-Base'!M58*1000</f>
        <v>10296.496637353868</v>
      </c>
      <c r="N91" s="309">
        <f>'Ag-Ind-Capacity-Base'!N58*1000</f>
        <v>10412.986167470208</v>
      </c>
      <c r="O91" s="309">
        <f>'Ag-Ind-Capacity-Base'!O58*1000</f>
        <v>10534.237088833948</v>
      </c>
      <c r="P91" s="309">
        <f>'Ag-Ind-Capacity-Base'!P58*1000</f>
        <v>10656.185768085228</v>
      </c>
      <c r="Q91" s="309">
        <f>'Ag-Ind-Capacity-Base'!Q58*1000</f>
        <v>10775.372591300211</v>
      </c>
      <c r="R91" s="309">
        <f>'Ag-Ind-Capacity-Base'!R58*1000</f>
        <v>10895.892489889176</v>
      </c>
      <c r="S91" s="309">
        <f>'Ag-Ind-Capacity-Base'!S58*1000</f>
        <v>11017.760373973109</v>
      </c>
      <c r="T91" s="309">
        <f>'Ag-Ind-Capacity-Base'!T58*1000</f>
        <v>11140.991320439025</v>
      </c>
      <c r="U91" s="309">
        <f>'Ag-Ind-Capacity-Base'!U58*1000</f>
        <v>11265.600574805223</v>
      </c>
      <c r="V91" s="309">
        <f>'Ag-Ind-Capacity-Base'!V58*1000</f>
        <v>11391.603553107387</v>
      </c>
      <c r="W91" s="309"/>
    </row>
    <row r="92" spans="1:49" s="76" customFormat="1" ht="12.75">
      <c r="A92" s="91" t="s">
        <v>312</v>
      </c>
      <c r="B92" s="323">
        <f>B86+B89</f>
        <v>19.202243154525927</v>
      </c>
      <c r="C92" s="309">
        <f>'Ag-Ind-Capacity-Base'!C59*1000</f>
        <v>25801.678770555744</v>
      </c>
      <c r="D92" s="309">
        <f>'Ag-Ind-Capacity-Base'!D59*1000</f>
        <v>130557.86170292248</v>
      </c>
      <c r="E92" s="309">
        <f>'Ag-Ind-Capacity-Base'!E59*1000</f>
        <v>238126.48508924924</v>
      </c>
      <c r="F92" s="309">
        <f>'Ag-Ind-Capacity-Base'!F59*1000</f>
        <v>348428.27978815482</v>
      </c>
      <c r="G92" s="309">
        <f>'Ag-Ind-Capacity-Base'!G59*1000</f>
        <v>461771.14111485594</v>
      </c>
      <c r="H92" s="309">
        <f>'Ag-Ind-Capacity-Base'!H59*1000</f>
        <v>550194.16605516279</v>
      </c>
      <c r="I92" s="309">
        <f>'Ag-Ind-Capacity-Base'!I59*1000</f>
        <v>557007.57114508806</v>
      </c>
      <c r="J92" s="309">
        <f>'Ag-Ind-Capacity-Base'!J59*1000</f>
        <v>563729.9453197018</v>
      </c>
      <c r="K92" s="309">
        <f>'Ag-Ind-Capacity-Base'!K59*1000</f>
        <v>570429.1130405087</v>
      </c>
      <c r="L92" s="309">
        <f>'Ag-Ind-Capacity-Base'!L59*1000</f>
        <v>577089.95514045027</v>
      </c>
      <c r="M92" s="309">
        <f>'Ag-Ind-Capacity-Base'!M59*1000</f>
        <v>583468.14278338582</v>
      </c>
      <c r="N92" s="309">
        <f>'Ag-Ind-Capacity-Base'!N59*1000</f>
        <v>590069.2161566451</v>
      </c>
      <c r="O92" s="309">
        <f>'Ag-Ind-Capacity-Base'!O59*1000</f>
        <v>596940.10170059046</v>
      </c>
      <c r="P92" s="309">
        <f>'Ag-Ind-Capacity-Base'!P59*1000</f>
        <v>603850.52685816283</v>
      </c>
      <c r="Q92" s="309">
        <f>'Ag-Ind-Capacity-Base'!Q59*1000</f>
        <v>610604.44684034504</v>
      </c>
      <c r="R92" s="309">
        <f>'Ag-Ind-Capacity-Base'!R59*1000</f>
        <v>617433.90776038682</v>
      </c>
      <c r="S92" s="309">
        <f>'Ag-Ind-Capacity-Base'!S59*1000</f>
        <v>624339.75452514284</v>
      </c>
      <c r="T92" s="309">
        <f>'Ag-Ind-Capacity-Base'!T59*1000</f>
        <v>631322.84149154474</v>
      </c>
      <c r="U92" s="309">
        <f>'Ag-Ind-Capacity-Base'!U59*1000</f>
        <v>638384.03257229598</v>
      </c>
      <c r="V92" s="309">
        <f>'Ag-Ind-Capacity-Base'!V59*1000</f>
        <v>645524.20134275185</v>
      </c>
      <c r="W92" s="309"/>
    </row>
    <row r="93" spans="1:49" s="76" customFormat="1">
      <c r="A93"/>
      <c r="B93"/>
      <c r="C93"/>
      <c r="D93"/>
      <c r="E93"/>
      <c r="F93"/>
      <c r="G93"/>
      <c r="H93"/>
      <c r="I93"/>
      <c r="J93"/>
      <c r="K93"/>
      <c r="L93"/>
      <c r="M93"/>
      <c r="N93"/>
      <c r="O93"/>
      <c r="P93"/>
      <c r="Q93"/>
      <c r="R93"/>
      <c r="S93"/>
      <c r="T93"/>
      <c r="U93"/>
      <c r="V93"/>
      <c r="W93"/>
      <c r="X93"/>
      <c r="Y93"/>
      <c r="Z93"/>
      <c r="AA93"/>
      <c r="AB93"/>
      <c r="AC93"/>
      <c r="AD93"/>
      <c r="AE93" s="70"/>
      <c r="AF93"/>
      <c r="AG93" s="70"/>
      <c r="AH93"/>
      <c r="AI93" s="70"/>
      <c r="AJ93"/>
      <c r="AK93"/>
      <c r="AL93"/>
      <c r="AM93"/>
      <c r="AN93"/>
      <c r="AO93"/>
      <c r="AP93"/>
      <c r="AQ93"/>
      <c r="AR93"/>
      <c r="AS93"/>
      <c r="AT93"/>
      <c r="AU93"/>
      <c r="AV93"/>
      <c r="AW93"/>
    </row>
    <row r="94" spans="1:49" s="76" customFormat="1">
      <c r="A94" s="285" t="s">
        <v>416</v>
      </c>
      <c r="B94"/>
      <c r="C94"/>
      <c r="D94"/>
      <c r="E94"/>
      <c r="F94"/>
      <c r="G94"/>
      <c r="H94"/>
      <c r="I94"/>
      <c r="J94"/>
      <c r="K94"/>
      <c r="L94"/>
      <c r="M94"/>
      <c r="N94"/>
      <c r="O94"/>
      <c r="P94"/>
      <c r="Q94"/>
      <c r="R94"/>
      <c r="S94"/>
      <c r="T94"/>
      <c r="U94"/>
      <c r="V94"/>
      <c r="W94"/>
      <c r="X94"/>
      <c r="Y94"/>
      <c r="Z94"/>
      <c r="AA94"/>
      <c r="AB94"/>
      <c r="AC94"/>
      <c r="AD94"/>
      <c r="AE94" s="70"/>
      <c r="AF94"/>
      <c r="AG94" s="70"/>
      <c r="AH94"/>
      <c r="AI94" s="70"/>
      <c r="AJ94"/>
      <c r="AK94"/>
      <c r="AL94"/>
      <c r="AM94"/>
      <c r="AN94"/>
      <c r="AO94"/>
      <c r="AP94"/>
      <c r="AQ94"/>
      <c r="AR94"/>
      <c r="AS94"/>
      <c r="AT94"/>
      <c r="AU94"/>
      <c r="AV94"/>
      <c r="AW94"/>
    </row>
    <row r="95" spans="1:49" s="76" customFormat="1">
      <c r="A95" s="474" t="s">
        <v>210</v>
      </c>
      <c r="B95" s="474" t="s">
        <v>410</v>
      </c>
      <c r="C95" s="476" t="s">
        <v>409</v>
      </c>
      <c r="D95" s="476"/>
      <c r="E95" s="476"/>
      <c r="F95" s="476"/>
      <c r="G95" s="476"/>
      <c r="H95" s="476"/>
      <c r="I95" s="476"/>
      <c r="J95" s="476"/>
      <c r="K95" s="476"/>
      <c r="L95" s="476"/>
      <c r="M95" s="476"/>
      <c r="N95" s="476"/>
      <c r="O95" s="476"/>
      <c r="P95" s="476"/>
      <c r="Q95" s="476"/>
      <c r="R95" s="476"/>
      <c r="S95" s="476"/>
      <c r="T95" s="476"/>
      <c r="U95" s="476"/>
      <c r="V95" s="476"/>
      <c r="W95" s="476"/>
      <c r="X95" s="70"/>
      <c r="Y95" s="70"/>
      <c r="Z95" s="70"/>
      <c r="AA95" s="70"/>
      <c r="AB95" s="70"/>
      <c r="AC95" s="70"/>
      <c r="AD95" s="70"/>
      <c r="AE95" s="70"/>
      <c r="AF95" s="70"/>
      <c r="AG95" s="70"/>
      <c r="AH95" s="70"/>
      <c r="AI95" s="70"/>
      <c r="AJ95" s="70"/>
      <c r="AK95" s="70"/>
      <c r="AL95" s="70"/>
      <c r="AM95" s="70"/>
      <c r="AN95" s="70"/>
      <c r="AO95" s="70"/>
      <c r="AP95" s="70"/>
      <c r="AQ95" s="70"/>
      <c r="AR95" s="70"/>
      <c r="AS95" s="70"/>
      <c r="AT95" s="70"/>
      <c r="AU95" s="70"/>
      <c r="AV95" s="70"/>
      <c r="AW95" s="70"/>
    </row>
    <row r="96" spans="1:49" s="76" customFormat="1" ht="12.75">
      <c r="A96" s="475"/>
      <c r="B96" s="475"/>
      <c r="C96" s="307">
        <f>'Res-Capacity-Smart'!C5</f>
        <v>2016</v>
      </c>
      <c r="D96" s="321">
        <f>'Res-Capacity-Smart'!D5</f>
        <v>2017</v>
      </c>
      <c r="E96" s="321">
        <f>'Res-Capacity-Smart'!E5</f>
        <v>2018</v>
      </c>
      <c r="F96" s="321">
        <f>'Res-Capacity-Smart'!F5</f>
        <v>2019</v>
      </c>
      <c r="G96" s="321">
        <f>'Res-Capacity-Smart'!G5</f>
        <v>2020</v>
      </c>
      <c r="H96" s="321">
        <f>'Res-Capacity-Smart'!H5</f>
        <v>2021</v>
      </c>
      <c r="I96" s="321">
        <f>'Res-Capacity-Smart'!I5</f>
        <v>2022</v>
      </c>
      <c r="J96" s="321">
        <f>'Res-Capacity-Smart'!J5</f>
        <v>2023</v>
      </c>
      <c r="K96" s="321">
        <f>'Res-Capacity-Smart'!K5</f>
        <v>2024</v>
      </c>
      <c r="L96" s="321">
        <f>'Res-Capacity-Smart'!L5</f>
        <v>2025</v>
      </c>
      <c r="M96" s="321">
        <f>'Res-Capacity-Smart'!M5</f>
        <v>2026</v>
      </c>
      <c r="N96" s="321">
        <f>'Res-Capacity-Smart'!N5</f>
        <v>2027</v>
      </c>
      <c r="O96" s="321">
        <f>'Res-Capacity-Smart'!O5</f>
        <v>2028</v>
      </c>
      <c r="P96" s="321">
        <f>'Res-Capacity-Smart'!P5</f>
        <v>2029</v>
      </c>
      <c r="Q96" s="321">
        <f>'Res-Capacity-Smart'!Q5</f>
        <v>2030</v>
      </c>
      <c r="R96" s="321">
        <f>'Res-Capacity-Smart'!R5</f>
        <v>2031</v>
      </c>
      <c r="S96" s="321">
        <f>'Res-Capacity-Smart'!S5</f>
        <v>2032</v>
      </c>
      <c r="T96" s="321">
        <f>'Res-Capacity-Smart'!T5</f>
        <v>2033</v>
      </c>
      <c r="U96" s="321">
        <f>'Res-Capacity-Smart'!U5</f>
        <v>2034</v>
      </c>
      <c r="V96" s="321">
        <f>'Res-Capacity-Smart'!V5</f>
        <v>2035</v>
      </c>
      <c r="W96" s="307"/>
    </row>
    <row r="97" spans="1:49" s="76" customFormat="1" ht="12.75">
      <c r="A97" s="124" t="s">
        <v>278</v>
      </c>
      <c r="B97" s="331">
        <f>(1-'7thPlanAssumptions'!$B$4*0.01)^($C$96-'7thPlanAssumptions'!$B$8)*SUM(C97:W97)/(NPV('7thPlanAssumptions'!$B$3*0.01,'Res-Capacity-Smart'!D82:W82)+'Res-Capacity-Smart'!C82)/1000</f>
        <v>35.204112449964178</v>
      </c>
      <c r="C97" s="284">
        <f>('Res-Capacity-Smart'!C106)*(1+0.01*'7thPlanAssumptions'!$B$3)^('7thPlanAssumptions'!$B$8-C$96)</f>
        <v>294629.29393009265</v>
      </c>
      <c r="D97" s="284">
        <f>('Res-Capacity-Smart'!D106)*(1+0.01*'7thPlanAssumptions'!$B$3)^('7thPlanAssumptions'!$B$8-D$96)</f>
        <v>1581579.0131610439</v>
      </c>
      <c r="E97" s="284">
        <f>('Res-Capacity-Smart'!E106)*(1+0.01*'7thPlanAssumptions'!$B$3)^('7thPlanAssumptions'!$B$8-E$96)</f>
        <v>3030130.7520801071</v>
      </c>
      <c r="F97" s="284">
        <f>('Res-Capacity-Smart'!F106)*(1+0.01*'7thPlanAssumptions'!$B$3)^('7thPlanAssumptions'!$B$8-F$96)</f>
        <v>4624932.0228875382</v>
      </c>
      <c r="G97" s="284">
        <f>('Res-Capacity-Smart'!G106)*(1+0.01*'7thPlanAssumptions'!$B$3)^('7thPlanAssumptions'!$B$8-G$96)</f>
        <v>6351281.9858742887</v>
      </c>
      <c r="H97" s="284">
        <f>('Res-Capacity-Smart'!H106)*(1+0.01*'7thPlanAssumptions'!$B$3)^('7thPlanAssumptions'!$B$8-H$96)</f>
        <v>7282966.0855342727</v>
      </c>
      <c r="I97" s="284">
        <f>('Res-Capacity-Smart'!I106)*(1+0.01*'7thPlanAssumptions'!$B$3)^('7thPlanAssumptions'!$B$8-I$96)</f>
        <v>7096710.2661649389</v>
      </c>
      <c r="J97" s="284">
        <f>('Res-Capacity-Smart'!J106)*(1+0.01*'7thPlanAssumptions'!$B$3)^('7thPlanAssumptions'!$B$8-J$96)</f>
        <v>6913524.1401934363</v>
      </c>
      <c r="K97" s="284">
        <f>('Res-Capacity-Smart'!K106)*(1+0.01*'7thPlanAssumptions'!$B$3)^('7thPlanAssumptions'!$B$8-K$96)</f>
        <v>6733105.7168427566</v>
      </c>
      <c r="L97" s="284">
        <f>('Res-Capacity-Smart'!L106)*(1+0.01*'7thPlanAssumptions'!$B$3)^('7thPlanAssumptions'!$B$8-L$96)</f>
        <v>6555929.347952269</v>
      </c>
      <c r="M97" s="284">
        <f>('Res-Capacity-Smart'!M106)*(1+0.01*'7thPlanAssumptions'!$B$3)^('7thPlanAssumptions'!$B$8-M$96)</f>
        <v>6381537.3499701926</v>
      </c>
      <c r="N97" s="284">
        <f>('Res-Capacity-Smart'!N106)*(1+0.01*'7thPlanAssumptions'!$B$3)^('7thPlanAssumptions'!$B$8-N$96)</f>
        <v>6209581.8298832504</v>
      </c>
      <c r="O97" s="284">
        <f>('Res-Capacity-Smart'!O106)*(1+0.01*'7thPlanAssumptions'!$B$3)^('7thPlanAssumptions'!$B$8-O$96)</f>
        <v>6039888.6499516601</v>
      </c>
      <c r="P97" s="284">
        <f>('Res-Capacity-Smart'!P106)*(1+0.01*'7thPlanAssumptions'!$B$3)^('7thPlanAssumptions'!$B$8-P$96)</f>
        <v>5872937.9846184021</v>
      </c>
      <c r="Q97" s="284">
        <f>('Res-Capacity-Smart'!Q106)*(1+0.01*'7thPlanAssumptions'!$B$3)^('7thPlanAssumptions'!$B$8-Q$96)</f>
        <v>5709331.9036560562</v>
      </c>
      <c r="R97" s="284">
        <f>('Res-Capacity-Smart'!R106)*(1+0.01*'7thPlanAssumptions'!$B$3)^('7thPlanAssumptions'!$B$8-R$96)</f>
        <v>5550283.4989024429</v>
      </c>
      <c r="S97" s="284">
        <f>('Res-Capacity-Smart'!S106)*(1+0.01*'7thPlanAssumptions'!$B$3)^('7thPlanAssumptions'!$B$8-S$96)</f>
        <v>5395665.804340763</v>
      </c>
      <c r="T97" s="284">
        <f>('Res-Capacity-Smart'!T106)*(1+0.01*'7thPlanAssumptions'!$B$3)^('7thPlanAssumptions'!$B$8-T$96)</f>
        <v>5245355.3909254065</v>
      </c>
      <c r="U97" s="284">
        <f>('Res-Capacity-Smart'!U106)*(1+0.01*'7thPlanAssumptions'!$B$3)^('7thPlanAssumptions'!$B$8-U$96)</f>
        <v>5099232.2680503419</v>
      </c>
      <c r="V97" s="284">
        <f>('Res-Capacity-Smart'!V106)*(1+0.01*'7thPlanAssumptions'!$B$3)^('7thPlanAssumptions'!$B$8-V$96)</f>
        <v>4957179.7877623755</v>
      </c>
      <c r="W97" s="284"/>
    </row>
    <row r="98" spans="1:49" s="76" customFormat="1" ht="12.75">
      <c r="A98" s="85" t="s">
        <v>279</v>
      </c>
      <c r="B98" s="331">
        <f>(1-'7thPlanAssumptions'!$B$4*0.01)^($C$96-'7thPlanAssumptions'!$B$8)*SUM(C98:W98)/(NPV('7thPlanAssumptions'!$B$3*0.01,'Res-Capacity-Smart'!D83:W83)+'Res-Capacity-Smart'!C83)/1000</f>
        <v>35.204112449964192</v>
      </c>
      <c r="C98" s="284">
        <f>('Res-Capacity-Smart'!C107)*(1+0.01*'7thPlanAssumptions'!$B$3)^('7thPlanAssumptions'!$B$8-C$96)</f>
        <v>132583.18226854168</v>
      </c>
      <c r="D98" s="284">
        <f>('Res-Capacity-Smart'!D107)*(1+0.01*'7thPlanAssumptions'!$B$3)^('7thPlanAssumptions'!$B$8-D$96)</f>
        <v>711710.55592246982</v>
      </c>
      <c r="E98" s="284">
        <f>('Res-Capacity-Smart'!E107)*(1+0.01*'7thPlanAssumptions'!$B$3)^('7thPlanAssumptions'!$B$8-E$96)</f>
        <v>1363558.8384360487</v>
      </c>
      <c r="F98" s="284">
        <f>('Res-Capacity-Smart'!F107)*(1+0.01*'7thPlanAssumptions'!$B$3)^('7thPlanAssumptions'!$B$8-F$96)</f>
        <v>2081219.4102993922</v>
      </c>
      <c r="G98" s="284">
        <f>('Res-Capacity-Smart'!G107)*(1+0.01*'7thPlanAssumptions'!$B$3)^('7thPlanAssumptions'!$B$8-G$96)</f>
        <v>2858076.89364343</v>
      </c>
      <c r="H98" s="284">
        <f>('Res-Capacity-Smart'!H107)*(1+0.01*'7thPlanAssumptions'!$B$3)^('7thPlanAssumptions'!$B$8-H$96)</f>
        <v>3277334.7384904237</v>
      </c>
      <c r="I98" s="284">
        <f>('Res-Capacity-Smart'!I107)*(1+0.01*'7thPlanAssumptions'!$B$3)^('7thPlanAssumptions'!$B$8-I$96)</f>
        <v>3193519.6197742228</v>
      </c>
      <c r="J98" s="284">
        <f>('Res-Capacity-Smart'!J107)*(1+0.01*'7thPlanAssumptions'!$B$3)^('7thPlanAssumptions'!$B$8-J$96)</f>
        <v>3111085.8630870469</v>
      </c>
      <c r="K98" s="284">
        <f>('Res-Capacity-Smart'!K107)*(1+0.01*'7thPlanAssumptions'!$B$3)^('7thPlanAssumptions'!$B$8-K$96)</f>
        <v>3029897.5725792404</v>
      </c>
      <c r="L98" s="284">
        <f>('Res-Capacity-Smart'!L107)*(1+0.01*'7thPlanAssumptions'!$B$3)^('7thPlanAssumptions'!$B$8-L$96)</f>
        <v>2950168.206578522</v>
      </c>
      <c r="M98" s="284">
        <f>('Res-Capacity-Smart'!M107)*(1+0.01*'7thPlanAssumptions'!$B$3)^('7thPlanAssumptions'!$B$8-M$96)</f>
        <v>2871691.8074865872</v>
      </c>
      <c r="N98" s="284">
        <f>('Res-Capacity-Smart'!N107)*(1+0.01*'7thPlanAssumptions'!$B$3)^('7thPlanAssumptions'!$B$8-N$96)</f>
        <v>2794311.8234474636</v>
      </c>
      <c r="O98" s="284">
        <f>('Res-Capacity-Smart'!O107)*(1+0.01*'7thPlanAssumptions'!$B$3)^('7thPlanAssumptions'!$B$8-O$96)</f>
        <v>2717949.8924782467</v>
      </c>
      <c r="P98" s="284">
        <f>('Res-Capacity-Smart'!P107)*(1+0.01*'7thPlanAssumptions'!$B$3)^('7thPlanAssumptions'!$B$8-P$96)</f>
        <v>2642822.0930782817</v>
      </c>
      <c r="Q98" s="284">
        <f>('Res-Capacity-Smart'!Q107)*(1+0.01*'7thPlanAssumptions'!$B$3)^('7thPlanAssumptions'!$B$8-Q$96)</f>
        <v>2569199.3566452255</v>
      </c>
      <c r="R98" s="284">
        <f>('Res-Capacity-Smart'!R107)*(1+0.01*'7thPlanAssumptions'!$B$3)^('7thPlanAssumptions'!$B$8-R$96)</f>
        <v>2497627.5745060993</v>
      </c>
      <c r="S98" s="284">
        <f>('Res-Capacity-Smart'!S107)*(1+0.01*'7thPlanAssumptions'!$B$3)^('7thPlanAssumptions'!$B$8-S$96)</f>
        <v>2428049.6119533433</v>
      </c>
      <c r="T98" s="284">
        <f>('Res-Capacity-Smart'!T107)*(1+0.01*'7thPlanAssumptions'!$B$3)^('7thPlanAssumptions'!$B$8-T$96)</f>
        <v>2360409.9259164324</v>
      </c>
      <c r="U98" s="284">
        <f>('Res-Capacity-Smart'!U107)*(1+0.01*'7thPlanAssumptions'!$B$3)^('7thPlanAssumptions'!$B$8-U$96)</f>
        <v>2294654.5206226548</v>
      </c>
      <c r="V98" s="284">
        <f>('Res-Capacity-Smart'!V107)*(1+0.01*'7thPlanAssumptions'!$B$3)^('7thPlanAssumptions'!$B$8-V$96)</f>
        <v>2230730.9044930697</v>
      </c>
      <c r="W98" s="284"/>
    </row>
    <row r="99" spans="1:49" s="76" customFormat="1" ht="12.75">
      <c r="A99" s="85" t="s">
        <v>280</v>
      </c>
      <c r="B99" s="331">
        <f>(1-'7thPlanAssumptions'!$B$4*0.01)^($C$96-'7thPlanAssumptions'!$B$8)*SUM(C99:W99)/(NPV('7thPlanAssumptions'!$B$3*0.01,'Res-Capacity-Smart'!D84:W84)+'Res-Capacity-Smart'!C84)/1000</f>
        <v>35.2041124499642</v>
      </c>
      <c r="C99" s="284">
        <f>('Res-Capacity-Smart'!C108)*(1+0.01*'7thPlanAssumptions'!$B$3)^('7thPlanAssumptions'!$B$8-C$96)</f>
        <v>805600.66940313927</v>
      </c>
      <c r="D99" s="284">
        <f>('Res-Capacity-Smart'!D108)*(1+0.01*'7thPlanAssumptions'!$B$3)^('7thPlanAssumptions'!$B$8-D$96)</f>
        <v>4324488.9017003402</v>
      </c>
      <c r="E99" s="284">
        <f>('Res-Capacity-Smart'!E108)*(1+0.01*'7thPlanAssumptions'!$B$3)^('7thPlanAssumptions'!$B$8-E$96)</f>
        <v>8285243.2278304677</v>
      </c>
      <c r="F99" s="284">
        <f>('Res-Capacity-Smart'!F108)*(1+0.01*'7thPlanAssumptions'!$B$3)^('7thPlanAssumptions'!$B$8-F$96)</f>
        <v>12645885.559723927</v>
      </c>
      <c r="G99" s="284">
        <f>('Res-Capacity-Smart'!G108)*(1+0.01*'7thPlanAssumptions'!$B$3)^('7thPlanAssumptions'!$B$8-G$96)</f>
        <v>17366219.601376273</v>
      </c>
      <c r="H99" s="284">
        <f>('Res-Capacity-Smart'!H108)*(1+0.01*'7thPlanAssumptions'!$B$3)^('7thPlanAssumptions'!$B$8-H$96)</f>
        <v>19913710.125303719</v>
      </c>
      <c r="I99" s="284">
        <f>('Res-Capacity-Smart'!I108)*(1+0.01*'7thPlanAssumptions'!$B$3)^('7thPlanAssumptions'!$B$8-I$96)</f>
        <v>19404433.499199566</v>
      </c>
      <c r="J99" s="284">
        <f>('Res-Capacity-Smart'!J108)*(1+0.01*'7thPlanAssumptions'!$B$3)^('7thPlanAssumptions'!$B$8-J$96)</f>
        <v>18903550.29190034</v>
      </c>
      <c r="K99" s="284">
        <f>('Res-Capacity-Smart'!K108)*(1+0.01*'7thPlanAssumptions'!$B$3)^('7thPlanAssumptions'!$B$8-K$96)</f>
        <v>18410234.774338622</v>
      </c>
      <c r="L99" s="284">
        <f>('Res-Capacity-Smart'!L108)*(1+0.01*'7thPlanAssumptions'!$B$3)^('7thPlanAssumptions'!$B$8-L$96)</f>
        <v>17925783.959972352</v>
      </c>
      <c r="M99" s="284">
        <f>('Res-Capacity-Smart'!M108)*(1+0.01*'7thPlanAssumptions'!$B$3)^('7thPlanAssumptions'!$B$8-M$96)</f>
        <v>17448946.411204215</v>
      </c>
      <c r="N99" s="284">
        <f>('Res-Capacity-Smart'!N108)*(1+0.01*'7thPlanAssumptions'!$B$3)^('7thPlanAssumptions'!$B$8-N$96)</f>
        <v>16978770.889137924</v>
      </c>
      <c r="O99" s="284">
        <f>('Res-Capacity-Smart'!O108)*(1+0.01*'7thPlanAssumptions'!$B$3)^('7thPlanAssumptions'!$B$8-O$96)</f>
        <v>16514781.251439253</v>
      </c>
      <c r="P99" s="284">
        <f>('Res-Capacity-Smart'!P108)*(1+0.01*'7thPlanAssumptions'!$B$3)^('7thPlanAssumptions'!$B$8-P$96)</f>
        <v>16058290.432228038</v>
      </c>
      <c r="Q99" s="284">
        <f>('Res-Capacity-Smart'!Q108)*(1+0.01*'7thPlanAssumptions'!$B$3)^('7thPlanAssumptions'!$B$8-Q$96)</f>
        <v>15610944.66228242</v>
      </c>
      <c r="R99" s="284">
        <f>('Res-Capacity-Smart'!R108)*(1+0.01*'7thPlanAssumptions'!$B$3)^('7thPlanAssumptions'!$B$8-R$96)</f>
        <v>15176060.881284678</v>
      </c>
      <c r="S99" s="284">
        <f>('Res-Capacity-Smart'!S108)*(1+0.01*'7thPlanAssumptions'!$B$3)^('7thPlanAssumptions'!$B$8-S$96)</f>
        <v>14753291.92786889</v>
      </c>
      <c r="T99" s="284">
        <f>('Res-Capacity-Smart'!T108)*(1+0.01*'7thPlanAssumptions'!$B$3)^('7thPlanAssumptions'!$B$8-T$96)</f>
        <v>14342300.311758902</v>
      </c>
      <c r="U99" s="284">
        <f>('Res-Capacity-Smart'!U108)*(1+0.01*'7thPlanAssumptions'!$B$3)^('7thPlanAssumptions'!$B$8-U$96)</f>
        <v>13942757.944354797</v>
      </c>
      <c r="V99" s="284">
        <f>('Res-Capacity-Smart'!V108)*(1+0.01*'7thPlanAssumptions'!$B$3)^('7thPlanAssumptions'!$B$8-V$96)</f>
        <v>13554345.876824556</v>
      </c>
      <c r="W99" s="284"/>
    </row>
    <row r="100" spans="1:49">
      <c r="A100" s="166" t="s">
        <v>324</v>
      </c>
      <c r="B100" s="331">
        <f>(1-'7thPlanAssumptions'!$B$4*0.01)^($C$96-'7thPlanAssumptions'!$B$8)*SUM(C100:W100)/(NPV('7thPlanAssumptions'!$B$3*0.01,'Res-Capacity-Smart'!D85:W85)+'Res-Capacity-Smart'!C85)/1000</f>
        <v>35.204112449964192</v>
      </c>
      <c r="C100" s="284">
        <f>('Res-Capacity-Smart'!C109)*(1+0.01*'7thPlanAssumptions'!$B$3)^('7thPlanAssumptions'!$B$8-C$96)</f>
        <v>92766.137688846284</v>
      </c>
      <c r="D100" s="284">
        <f>('Res-Capacity-Smart'!D109)*(1+0.01*'7thPlanAssumptions'!$B$3)^('7thPlanAssumptions'!$B$8-D$96)</f>
        <v>452701.31753336877</v>
      </c>
      <c r="E100" s="284">
        <f>('Res-Capacity-Smart'!E109)*(1+0.01*'7thPlanAssumptions'!$B$3)^('7thPlanAssumptions'!$B$8-E$96)</f>
        <v>795048.59256959008</v>
      </c>
      <c r="F100" s="284">
        <f>('Res-Capacity-Smart'!F109)*(1+0.01*'7thPlanAssumptions'!$B$3)^('7thPlanAssumptions'!$B$8-F$96)</f>
        <v>1120148.3712575973</v>
      </c>
      <c r="G100" s="284">
        <f>('Res-Capacity-Smart'!G109)*(1+0.01*'7thPlanAssumptions'!$B$3)^('7thPlanAssumptions'!$B$8-G$96)</f>
        <v>1428390.3568231561</v>
      </c>
      <c r="H100" s="284">
        <f>('Res-Capacity-Smart'!H109)*(1+0.01*'7thPlanAssumptions'!$B$3)^('7thPlanAssumptions'!$B$8-H$96)</f>
        <v>1637924.2094405647</v>
      </c>
      <c r="I100" s="284">
        <f>('Res-Capacity-Smart'!I109)*(1+0.01*'7thPlanAssumptions'!$B$3)^('7thPlanAssumptions'!$B$8-I$96)</f>
        <v>1596035.6557783189</v>
      </c>
      <c r="J100" s="284">
        <f>('Res-Capacity-Smart'!J109)*(1+0.01*'7thPlanAssumptions'!$B$3)^('7thPlanAssumptions'!$B$8-J$96)</f>
        <v>1554837.469896564</v>
      </c>
      <c r="K100" s="284">
        <f>('Res-Capacity-Smart'!K109)*(1+0.01*'7thPlanAssumptions'!$B$3)^('7thPlanAssumptions'!$B$8-K$96)</f>
        <v>1514261.7346858601</v>
      </c>
      <c r="L100" s="284">
        <f>('Res-Capacity-Smart'!L109)*(1+0.01*'7thPlanAssumptions'!$B$3)^('7thPlanAssumptions'!$B$8-L$96)</f>
        <v>1474415.1309068163</v>
      </c>
      <c r="M100" s="284">
        <f>('Res-Capacity-Smart'!M109)*(1+0.01*'7thPlanAssumptions'!$B$3)^('7thPlanAssumptions'!$B$8-M$96)</f>
        <v>1435194.7264626839</v>
      </c>
      <c r="N100" s="284">
        <f>('Res-Capacity-Smart'!N109)*(1+0.01*'7thPlanAssumptions'!$B$3)^('7thPlanAssumptions'!$B$8-N$96)</f>
        <v>1396522.2809247635</v>
      </c>
      <c r="O100" s="284">
        <f>('Res-Capacity-Smart'!O109)*(1+0.01*'7thPlanAssumptions'!$B$3)^('7thPlanAssumptions'!$B$8-O$96)</f>
        <v>1358358.6310707608</v>
      </c>
      <c r="P100" s="284">
        <f>('Res-Capacity-Smart'!P109)*(1+0.01*'7thPlanAssumptions'!$B$3)^('7thPlanAssumptions'!$B$8-P$96)</f>
        <v>1320811.7671529553</v>
      </c>
      <c r="Q100" s="284">
        <f>('Res-Capacity-Smart'!Q109)*(1+0.01*'7thPlanAssumptions'!$B$3)^('7thPlanAssumptions'!$B$8-Q$96)</f>
        <v>1284017.0934344842</v>
      </c>
      <c r="R100" s="284">
        <f>('Res-Capacity-Smart'!R109)*(1+0.01*'7thPlanAssumptions'!$B$3)^('7thPlanAssumptions'!$B$8-R$96)</f>
        <v>1248247.4317939773</v>
      </c>
      <c r="S100" s="284">
        <f>('Res-Capacity-Smart'!S109)*(1+0.01*'7thPlanAssumptions'!$B$3)^('7thPlanAssumptions'!$B$8-S$96)</f>
        <v>1213474.2278333714</v>
      </c>
      <c r="T100" s="284">
        <f>('Res-Capacity-Smart'!T109)*(1+0.01*'7thPlanAssumptions'!$B$3)^('7thPlanAssumptions'!$B$8-T$96)</f>
        <v>1179669.7226122036</v>
      </c>
      <c r="U100" s="284">
        <f>('Res-Capacity-Smart'!U109)*(1+0.01*'7thPlanAssumptions'!$B$3)^('7thPlanAssumptions'!$B$8-U$96)</f>
        <v>1146806.9304880565</v>
      </c>
      <c r="V100" s="284">
        <f>('Res-Capacity-Smart'!V109)*(1+0.01*'7thPlanAssumptions'!$B$3)^('7thPlanAssumptions'!$B$8-V$96)</f>
        <v>1114859.6175743139</v>
      </c>
      <c r="W100" s="284"/>
      <c r="X100" s="76"/>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row>
    <row r="101" spans="1:49">
      <c r="A101" s="85"/>
      <c r="B101" s="333"/>
      <c r="C101" s="476" t="s">
        <v>412</v>
      </c>
      <c r="D101" s="476"/>
      <c r="E101" s="476"/>
      <c r="F101" s="476"/>
      <c r="G101" s="476"/>
      <c r="H101" s="476"/>
      <c r="I101" s="476"/>
      <c r="J101" s="476"/>
      <c r="K101" s="476"/>
      <c r="L101" s="476"/>
      <c r="M101" s="476"/>
      <c r="N101" s="476"/>
      <c r="O101" s="476"/>
      <c r="P101" s="476"/>
      <c r="Q101" s="476"/>
      <c r="R101" s="476"/>
      <c r="S101" s="476"/>
      <c r="T101" s="476"/>
      <c r="U101" s="476"/>
      <c r="V101" s="476"/>
      <c r="W101" s="4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row>
    <row r="102" spans="1:49" s="70" customFormat="1">
      <c r="A102" s="124" t="s">
        <v>278</v>
      </c>
      <c r="B102" s="331">
        <f>(1-'7thPlanAssumptions'!$B$4*0.01)^($C$96-'7thPlanAssumptions'!$B$8)*SUM(C102:W102)/(NPV('7thPlanAssumptions'!$B$3*0.01,'Res-Capacity-Smart'!D82:W82)+'Res-Capacity-Smart'!C82)/1000</f>
        <v>109.05553145475022</v>
      </c>
      <c r="C102" s="284">
        <f>'Res-Capacity-Smart'!C94*(1+0.01*'7thPlanAssumptions'!$B$3)^($C$96-C$96)</f>
        <v>3008893.8301104372</v>
      </c>
      <c r="D102" s="284">
        <f>'Res-Capacity-Smart'!D94*(1+0.01*'7thPlanAssumptions'!$B$3)^($C$96-D$96)</f>
        <v>13258666.473611265</v>
      </c>
      <c r="E102" s="284">
        <f>'Res-Capacity-Smart'!E94*(1+0.01*'7thPlanAssumptions'!$B$3)^($C$96-E$96)</f>
        <v>15414520.486849217</v>
      </c>
      <c r="F102" s="284">
        <f>'Res-Capacity-Smart'!F94*(1+0.01*'7thPlanAssumptions'!$B$3)^($C$96-F$96)</f>
        <v>17477062.870079249</v>
      </c>
      <c r="G102" s="284">
        <f>'Res-Capacity-Smart'!G94*(1+0.01*'7thPlanAssumptions'!$B$3)^($C$96-G$96)</f>
        <v>19446918.297737584</v>
      </c>
      <c r="H102" s="284">
        <f>'Res-Capacity-Smart'!H94*(1+0.01*'7thPlanAssumptions'!$B$3)^($C$96-H$96)+C102</f>
        <v>15018396.709197916</v>
      </c>
      <c r="I102" s="284">
        <f>'Res-Capacity-Smart'!I94*(1+0.01*'7thPlanAssumptions'!$B$3)^($C$96-I$96)+D102</f>
        <v>14217191.466798056</v>
      </c>
      <c r="J102" s="284">
        <f>'Res-Capacity-Smart'!J94*(1+0.01*'7thPlanAssumptions'!$B$3)^($C$96-J$96)+E102</f>
        <v>16331235.695977336</v>
      </c>
      <c r="K102" s="284">
        <f>'Res-Capacity-Smart'!K94*(1+0.01*'7thPlanAssumptions'!$B$3)^($C$96-K$96)+F102</f>
        <v>18350089.959376231</v>
      </c>
      <c r="L102" s="284">
        <f>'Res-Capacity-Smart'!L94*(1+0.01*'7thPlanAssumptions'!$B$3)^($C$96-L$96)+G102</f>
        <v>20282188.691573951</v>
      </c>
      <c r="M102" s="284">
        <f>'Res-Capacity-Smart'!M94*(1+0.01*'7thPlanAssumptions'!$B$3)^($C$96-M$96)+H102</f>
        <v>15812509.764738835</v>
      </c>
      <c r="N102" s="284">
        <f>'Res-Capacity-Smart'!N94*(1+0.01*'7thPlanAssumptions'!$B$3)^($C$96-N$96)+I102</f>
        <v>14967688.001813872</v>
      </c>
      <c r="O102" s="284">
        <f>'Res-Capacity-Smart'!O94*(1+0.01*'7thPlanAssumptions'!$B$3)^($C$96-O$96)+J102</f>
        <v>17037294.351342995</v>
      </c>
      <c r="P102" s="284">
        <f>'Res-Capacity-Smart'!P94*(1+0.01*'7thPlanAssumptions'!$B$3)^($C$96-P$96)+K102</f>
        <v>19017503.122618392</v>
      </c>
      <c r="Q102" s="284">
        <f>'Res-Capacity-Smart'!Q94*(1+0.01*'7thPlanAssumptions'!$B$3)^($C$96-Q$96)+L102</f>
        <v>20918182.209521171</v>
      </c>
      <c r="R102" s="284">
        <f>'Res-Capacity-Smart'!R94*(1+0.01*'7thPlanAssumptions'!$B$3)^($C$96-R$96)+M102</f>
        <v>16430786.016258026</v>
      </c>
      <c r="S102" s="284">
        <f>'Res-Capacity-Smart'!S94*(1+0.01*'7thPlanAssumptions'!$B$3)^($C$96-S$96)+N102</f>
        <v>15568740.547799634</v>
      </c>
      <c r="T102" s="284">
        <f>'Res-Capacity-Smart'!T94*(1+0.01*'7thPlanAssumptions'!$B$3)^($C$96-T$96)+O102</f>
        <v>17621603.003257558</v>
      </c>
      <c r="U102" s="284">
        <f>'Res-Capacity-Smart'!U94*(1+0.01*'7thPlanAssumptions'!$B$3)^($C$96-U$96)+P102</f>
        <v>19585534.325518087</v>
      </c>
      <c r="V102" s="284">
        <f>'Res-Capacity-Smart'!V94*(1+0.01*'7thPlanAssumptions'!$B$3)^($C$96-V$96)+Q102</f>
        <v>21470389.414412677</v>
      </c>
      <c r="W102" s="284"/>
      <c r="X102" s="76"/>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row>
    <row r="103" spans="1:49" s="76" customFormat="1" ht="12.75">
      <c r="A103" s="85" t="s">
        <v>279</v>
      </c>
      <c r="B103" s="331">
        <f>(1-'7thPlanAssumptions'!$B$4*0.01)^($C$96-'7thPlanAssumptions'!$B$8)*SUM(C103:W103)/(NPV('7thPlanAssumptions'!$B$3*0.01,'Res-Capacity-Smart'!D83:W83)+'Res-Capacity-Smart'!C83)/1000</f>
        <v>109.05553145475022</v>
      </c>
      <c r="C103" s="284">
        <f>'Res-Capacity-Smart'!C95*(1+0.01*'7thPlanAssumptions'!$B$3)^($C$96-C$96)</f>
        <v>1354002.2235496966</v>
      </c>
      <c r="D103" s="284">
        <f>'Res-Capacity-Smart'!D95*(1+0.01*'7thPlanAssumptions'!$B$3)^($C$96-D$96)</f>
        <v>5966399.9131250689</v>
      </c>
      <c r="E103" s="284">
        <f>'Res-Capacity-Smart'!E95*(1+0.01*'7thPlanAssumptions'!$B$3)^($C$96-E$96)</f>
        <v>6936534.2190821478</v>
      </c>
      <c r="F103" s="284">
        <f>'Res-Capacity-Smart'!F95*(1+0.01*'7thPlanAssumptions'!$B$3)^($C$96-F$96)</f>
        <v>7864678.2915356625</v>
      </c>
      <c r="G103" s="284">
        <f>'Res-Capacity-Smart'!G95*(1+0.01*'7thPlanAssumptions'!$B$3)^($C$96-G$96)</f>
        <v>8751113.2339819111</v>
      </c>
      <c r="H103" s="284">
        <f>'Res-Capacity-Smart'!H95*(1+0.01*'7thPlanAssumptions'!$B$3)^($C$96-H$96)+C103</f>
        <v>6758278.5191390608</v>
      </c>
      <c r="I103" s="284">
        <f>'Res-Capacity-Smart'!I95*(1+0.01*'7thPlanAssumptions'!$B$3)^($C$96-I$96)+D103</f>
        <v>6397736.1600591242</v>
      </c>
      <c r="J103" s="284">
        <f>'Res-Capacity-Smart'!J95*(1+0.01*'7thPlanAssumptions'!$B$3)^($C$96-J$96)+E103</f>
        <v>7349056.0631898008</v>
      </c>
      <c r="K103" s="284">
        <f>'Res-Capacity-Smart'!K95*(1+0.01*'7thPlanAssumptions'!$B$3)^($C$96-K$96)+F103</f>
        <v>8257540.4817193039</v>
      </c>
      <c r="L103" s="284">
        <f>'Res-Capacity-Smart'!L95*(1+0.01*'7thPlanAssumptions'!$B$3)^($C$96-L$96)+G103</f>
        <v>9126984.9112082757</v>
      </c>
      <c r="M103" s="284">
        <f>'Res-Capacity-Smart'!M95*(1+0.01*'7thPlanAssumptions'!$B$3)^($C$96-M$96)+H103</f>
        <v>7115629.3941324744</v>
      </c>
      <c r="N103" s="284">
        <f>'Res-Capacity-Smart'!N95*(1+0.01*'7thPlanAssumptions'!$B$3)^($C$96-N$96)+I103</f>
        <v>6735459.6008162415</v>
      </c>
      <c r="O103" s="284">
        <f>'Res-Capacity-Smart'!O95*(1+0.01*'7thPlanAssumptions'!$B$3)^($C$96-O$96)+J103</f>
        <v>7666782.4581043469</v>
      </c>
      <c r="P103" s="284">
        <f>'Res-Capacity-Smart'!P95*(1+0.01*'7thPlanAssumptions'!$B$3)^($C$96-P$96)+K103</f>
        <v>8557876.4051782768</v>
      </c>
      <c r="Q103" s="284">
        <f>'Res-Capacity-Smart'!Q95*(1+0.01*'7thPlanAssumptions'!$B$3)^($C$96-Q$96)+L103</f>
        <v>9413181.9942845255</v>
      </c>
      <c r="R103" s="284">
        <f>'Res-Capacity-Smart'!R95*(1+0.01*'7thPlanAssumptions'!$B$3)^($C$96-R$96)+M103</f>
        <v>7393853.7073161099</v>
      </c>
      <c r="S103" s="284">
        <f>'Res-Capacity-Smart'!S95*(1+0.01*'7thPlanAssumptions'!$B$3)^($C$96-S$96)+N103</f>
        <v>7005933.2465098342</v>
      </c>
      <c r="T103" s="284">
        <f>'Res-Capacity-Smart'!T95*(1+0.01*'7thPlanAssumptions'!$B$3)^($C$96-T$96)+O103</f>
        <v>7929721.3514659004</v>
      </c>
      <c r="U103" s="284">
        <f>'Res-Capacity-Smart'!U95*(1+0.01*'7thPlanAssumptions'!$B$3)^($C$96-U$96)+P103</f>
        <v>8813490.4464831408</v>
      </c>
      <c r="V103" s="284">
        <f>'Res-Capacity-Smart'!V95*(1+0.01*'7thPlanAssumptions'!$B$3)^($C$96-V$96)+Q103</f>
        <v>9661675.2364857029</v>
      </c>
      <c r="W103" s="284"/>
    </row>
    <row r="104" spans="1:49" s="76" customFormat="1" ht="12.75">
      <c r="A104" s="85" t="s">
        <v>280</v>
      </c>
      <c r="B104" s="331">
        <f>(1-'7thPlanAssumptions'!$B$4*0.01)^($C$96-'7thPlanAssumptions'!$B$8)*SUM(C104:W104)/(NPV('7thPlanAssumptions'!$B$3*0.01,'Res-Capacity-Smart'!D84:W84)+'Res-Capacity-Smart'!C84)/1000</f>
        <v>109.05553145475029</v>
      </c>
      <c r="C104" s="284">
        <f>'Res-Capacity-Smart'!C96*(1+0.01*'7thPlanAssumptions'!$B$3)^($C$96-C$96)</f>
        <v>8227175.4154733988</v>
      </c>
      <c r="D104" s="284">
        <f>'Res-Capacity-Smart'!D96*(1+0.01*'7thPlanAssumptions'!$B$3)^($C$96-D$96)</f>
        <v>36252982.329274245</v>
      </c>
      <c r="E104" s="284">
        <f>'Res-Capacity-Smart'!E96*(1+0.01*'7thPlanAssumptions'!$B$3)^($C$96-E$96)</f>
        <v>42147703.15975631</v>
      </c>
      <c r="F104" s="284">
        <f>'Res-Capacity-Smart'!F96*(1+0.01*'7thPlanAssumptions'!$B$3)^($C$96-F$96)</f>
        <v>47787283.333330989</v>
      </c>
      <c r="G104" s="284">
        <f>'Res-Capacity-Smart'!G96*(1+0.01*'7thPlanAssumptions'!$B$3)^($C$96-G$96)</f>
        <v>53173430.888385355</v>
      </c>
      <c r="H104" s="284">
        <f>'Res-Capacity-Smart'!H96*(1+0.01*'7thPlanAssumptions'!$B$3)^($C$96-H$96)+C104</f>
        <v>41064587.573435418</v>
      </c>
      <c r="I104" s="284">
        <f>'Res-Capacity-Smart'!I96*(1+0.01*'7thPlanAssumptions'!$B$3)^($C$96-I$96)+D104</f>
        <v>38873863.524930701</v>
      </c>
      <c r="J104" s="284">
        <f>'Res-Capacity-Smart'!J96*(1+0.01*'7thPlanAssumptions'!$B$3)^($C$96-J$96)+E104</f>
        <v>44654264.460143745</v>
      </c>
      <c r="K104" s="284">
        <f>'Res-Capacity-Smart'!K96*(1+0.01*'7thPlanAssumptions'!$B$3)^($C$96-K$96)+F104</f>
        <v>50174388.831780165</v>
      </c>
      <c r="L104" s="284">
        <f>'Res-Capacity-Smart'!L96*(1+0.01*'7thPlanAssumptions'!$B$3)^($C$96-L$96)+G104</f>
        <v>55457298.793817922</v>
      </c>
      <c r="M104" s="284">
        <f>'Res-Capacity-Smart'!M96*(1+0.01*'7thPlanAssumptions'!$B$3)^($C$96-M$96)+H104</f>
        <v>43235919.55672878</v>
      </c>
      <c r="N104" s="284">
        <f>'Res-Capacity-Smart'!N96*(1+0.01*'7thPlanAssumptions'!$B$3)^($C$96-N$96)+I104</f>
        <v>40925935.479245365</v>
      </c>
      <c r="O104" s="284">
        <f>'Res-Capacity-Smart'!O96*(1+0.01*'7thPlanAssumptions'!$B$3)^($C$96-O$96)+J104</f>
        <v>46584830.554957859</v>
      </c>
      <c r="P104" s="284">
        <f>'Res-Capacity-Smart'!P96*(1+0.01*'7thPlanAssumptions'!$B$3)^($C$96-P$96)+K104</f>
        <v>51999287.109559454</v>
      </c>
      <c r="Q104" s="284">
        <f>'Res-Capacity-Smart'!Q96*(1+0.01*'7thPlanAssumptions'!$B$3)^($C$96-Q$96)+L104</f>
        <v>57196286.784319311</v>
      </c>
      <c r="R104" s="284">
        <f>'Res-Capacity-Smart'!R96*(1+0.01*'7thPlanAssumptions'!$B$3)^($C$96-R$96)+M104</f>
        <v>44926463.478739798</v>
      </c>
      <c r="S104" s="284">
        <f>'Res-Capacity-Smart'!S96*(1+0.01*'7thPlanAssumptions'!$B$3)^($C$96-S$96)+N104</f>
        <v>42569384.869269319</v>
      </c>
      <c r="T104" s="284">
        <f>'Res-Capacity-Smart'!T96*(1+0.01*'7thPlanAssumptions'!$B$3)^($C$96-T$96)+O104</f>
        <v>48182497.354621395</v>
      </c>
      <c r="U104" s="284">
        <f>'Res-Capacity-Smart'!U96*(1+0.01*'7thPlanAssumptions'!$B$3)^($C$96-U$96)+P104</f>
        <v>53552446.712916613</v>
      </c>
      <c r="V104" s="284">
        <f>'Res-Capacity-Smart'!V96*(1+0.01*'7thPlanAssumptions'!$B$3)^($C$96-V$96)+Q104</f>
        <v>58706179.055979811</v>
      </c>
      <c r="W104" s="284"/>
    </row>
    <row r="105" spans="1:49" s="76" customFormat="1" ht="12.75">
      <c r="A105" s="166" t="s">
        <v>324</v>
      </c>
      <c r="B105" s="331">
        <f>(1-'7thPlanAssumptions'!$B$4*0.01)^($C$96-'7thPlanAssumptions'!$B$8)*SUM(C105:W105)/(NPV('7thPlanAssumptions'!$B$3*0.01,'Res-Capacity-Smart'!D85:W85)+'Res-Capacity-Smart'!C85)/1000</f>
        <v>108.35605179124116</v>
      </c>
      <c r="C105" s="284">
        <f>'Res-Capacity-Smart'!C97*(1+0.01*'7thPlanAssumptions'!$B$3)^($C$96-C$96)</f>
        <v>947371.71450905746</v>
      </c>
      <c r="D105" s="284">
        <f>'Res-Capacity-Smart'!D97*(1+0.01*'7thPlanAssumptions'!$B$3)^($C$96-D$96)</f>
        <v>3712265.8271723841</v>
      </c>
      <c r="E105" s="284">
        <f>'Res-Capacity-Smart'!E97*(1+0.01*'7thPlanAssumptions'!$B$3)^($C$96-E$96)</f>
        <v>3674027.8344212188</v>
      </c>
      <c r="F105" s="284">
        <f>'Res-Capacity-Smart'!F97*(1+0.01*'7thPlanAssumptions'!$B$3)^($C$96-F$96)</f>
        <v>3632357.9459328582</v>
      </c>
      <c r="G105" s="284">
        <f>'Res-Capacity-Smart'!G97*(1+0.01*'7thPlanAssumptions'!$B$3)^($C$96-G$96)</f>
        <v>3587893.2913582698</v>
      </c>
      <c r="H105" s="284">
        <f>'Res-Capacity-Smart'!H97*(1+0.01*'7thPlanAssumptions'!$B$3)^($C$96-H$96)+C105</f>
        <v>3648284.4028262822</v>
      </c>
      <c r="I105" s="284">
        <f>'Res-Capacity-Smart'!I97*(1+0.01*'7thPlanAssumptions'!$B$3)^($C$96-I$96)+D105</f>
        <v>3927836.1419666391</v>
      </c>
      <c r="J105" s="284">
        <f>'Res-Capacity-Smart'!J97*(1+0.01*'7thPlanAssumptions'!$B$3)^($C$96-J$96)+E105</f>
        <v>3880195.2141067619</v>
      </c>
      <c r="K105" s="284">
        <f>'Res-Capacity-Smart'!K97*(1+0.01*'7thPlanAssumptions'!$B$3)^($C$96-K$96)+F105</f>
        <v>3828699.9566278127</v>
      </c>
      <c r="L105" s="284">
        <f>'Res-Capacity-Smart'!L97*(1+0.01*'7thPlanAssumptions'!$B$3)^($C$96-L$96)+G105</f>
        <v>3775743.8982986128</v>
      </c>
      <c r="M105" s="284">
        <f>'Res-Capacity-Smart'!M97*(1+0.01*'7thPlanAssumptions'!$B$3)^($C$96-M$96)+H105</f>
        <v>3826878.808378547</v>
      </c>
      <c r="N105" s="284">
        <f>'Res-Capacity-Smart'!N97*(1+0.01*'7thPlanAssumptions'!$B$3)^($C$96-N$96)+I105</f>
        <v>4096621.2810661136</v>
      </c>
      <c r="O105" s="284">
        <f>'Res-Capacity-Smart'!O97*(1+0.01*'7thPlanAssumptions'!$B$3)^($C$96-O$96)+J105</f>
        <v>4038986.3647624678</v>
      </c>
      <c r="P105" s="284">
        <f>'Res-Capacity-Smart'!P97*(1+0.01*'7thPlanAssumptions'!$B$3)^($C$96-P$96)+K105</f>
        <v>3978799.814973298</v>
      </c>
      <c r="Q105" s="284">
        <f>'Res-Capacity-Smart'!Q97*(1+0.01*'7thPlanAssumptions'!$B$3)^($C$96-Q$96)+L105</f>
        <v>3918777.5425389842</v>
      </c>
      <c r="R105" s="284">
        <f>'Res-Capacity-Smart'!R97*(1+0.01*'7thPlanAssumptions'!$B$3)^($C$96-R$96)+M105</f>
        <v>3965927.875556943</v>
      </c>
      <c r="S105" s="284">
        <f>'Res-Capacity-Smart'!S97*(1+0.01*'7thPlanAssumptions'!$B$3)^($C$96-S$96)+N105</f>
        <v>4231796.7720204648</v>
      </c>
      <c r="T105" s="284">
        <f>'Res-Capacity-Smart'!T97*(1+0.01*'7thPlanAssumptions'!$B$3)^($C$96-T$96)+O105</f>
        <v>4170396.1881114161</v>
      </c>
      <c r="U105" s="284">
        <f>'Res-Capacity-Smart'!U97*(1+0.01*'7thPlanAssumptions'!$B$3)^($C$96-U$96)+P105</f>
        <v>4106548.8732580859</v>
      </c>
      <c r="V105" s="284">
        <f>'Res-Capacity-Smart'!V97*(1+0.01*'7thPlanAssumptions'!$B$3)^($C$96-V$96)+Q105</f>
        <v>4042967.8159656064</v>
      </c>
      <c r="W105" s="284"/>
    </row>
    <row r="106" spans="1:49" s="76" customFormat="1" ht="12.75">
      <c r="B106" s="333" t="s">
        <v>327</v>
      </c>
      <c r="C106" s="479" t="s">
        <v>430</v>
      </c>
      <c r="D106" s="476"/>
      <c r="E106" s="476"/>
      <c r="F106" s="476"/>
      <c r="G106" s="476"/>
      <c r="H106" s="476"/>
      <c r="I106" s="476"/>
      <c r="J106" s="476"/>
      <c r="K106" s="476"/>
      <c r="L106" s="476"/>
      <c r="M106" s="476"/>
      <c r="N106" s="476"/>
      <c r="O106" s="476"/>
      <c r="P106" s="476"/>
      <c r="Q106" s="476"/>
      <c r="R106" s="476"/>
      <c r="S106" s="476"/>
      <c r="T106" s="476"/>
      <c r="U106" s="476"/>
      <c r="V106" s="476"/>
      <c r="W106" s="476"/>
    </row>
    <row r="107" spans="1:49" s="76" customFormat="1" ht="12.75">
      <c r="A107" s="124" t="s">
        <v>278</v>
      </c>
      <c r="B107" s="323">
        <f>B97+B102</f>
        <v>144.25964390471441</v>
      </c>
      <c r="C107" s="309">
        <f>'Res-Capacity-Smart'!C82*1000</f>
        <v>7833.5136711562491</v>
      </c>
      <c r="D107" s="309">
        <f>'Res-Capacity-Smart'!D82*1000</f>
        <v>43732.561289484365</v>
      </c>
      <c r="E107" s="309">
        <f>'Res-Capacity-Smart'!E82*1000</f>
        <v>87138.228844012468</v>
      </c>
      <c r="F107" s="309">
        <f>'Res-Capacity-Smart'!F82*1000</f>
        <v>138320.34149370936</v>
      </c>
      <c r="G107" s="309">
        <f>'Res-Capacity-Smart'!G82*1000</f>
        <v>197549.27173327497</v>
      </c>
      <c r="H107" s="309">
        <f>'Res-Capacity-Smart'!H82*1000</f>
        <v>235589.35588649989</v>
      </c>
      <c r="I107" s="309">
        <f>'Res-Capacity-Smart'!I82*1000</f>
        <v>238746.92757299991</v>
      </c>
      <c r="J107" s="309">
        <f>'Res-Capacity-Smart'!J82*1000</f>
        <v>241887.56320574996</v>
      </c>
      <c r="K107" s="309">
        <f>'Res-Capacity-Smart'!K82*1000</f>
        <v>244998.16326562499</v>
      </c>
      <c r="L107" s="309">
        <f>'Res-Capacity-Smart'!L82*1000</f>
        <v>248093.27893349994</v>
      </c>
      <c r="M107" s="309">
        <f>'Res-Capacity-Smart'!M82*1000</f>
        <v>251153.58928274992</v>
      </c>
      <c r="N107" s="309">
        <f>'Res-Capacity-Smart'!N82*1000</f>
        <v>254161.50155549994</v>
      </c>
      <c r="O107" s="309">
        <f>'Res-Capacity-Smart'!O82*1000</f>
        <v>257104.50380999999</v>
      </c>
      <c r="P107" s="309">
        <f>'Res-Capacity-Smart'!P82*1000</f>
        <v>259997.7002411249</v>
      </c>
      <c r="Q107" s="309">
        <f>'Res-Capacity-Smart'!Q82*1000</f>
        <v>262864.97414099996</v>
      </c>
      <c r="R107" s="309">
        <f>'Res-Capacity-Smart'!R82*1000</f>
        <v>265763.86854986136</v>
      </c>
      <c r="S107" s="309">
        <f>'Res-Capacity-Smart'!S82*1000</f>
        <v>268694.73218102468</v>
      </c>
      <c r="T107" s="309">
        <f>'Res-Capacity-Smart'!T82*1000</f>
        <v>271657.91759344208</v>
      </c>
      <c r="U107" s="309">
        <f>'Res-Capacity-Smart'!U82*1000</f>
        <v>274653.78123411152</v>
      </c>
      <c r="V107" s="309">
        <f>'Res-Capacity-Smart'!V82*1000</f>
        <v>277682.68348095525</v>
      </c>
      <c r="W107" s="309"/>
    </row>
    <row r="108" spans="1:49" s="76" customFormat="1" ht="12.75">
      <c r="A108" s="85" t="s">
        <v>279</v>
      </c>
      <c r="B108" s="323">
        <f>B98+B103</f>
        <v>144.25964390471441</v>
      </c>
      <c r="C108" s="309">
        <f>'Res-Capacity-Smart'!C83*1000</f>
        <v>3525.0811520203119</v>
      </c>
      <c r="D108" s="309">
        <f>'Res-Capacity-Smart'!D83*1000</f>
        <v>19679.652580267968</v>
      </c>
      <c r="E108" s="309">
        <f>'Res-Capacity-Smart'!E83*1000</f>
        <v>39212.202979805625</v>
      </c>
      <c r="F108" s="309">
        <f>'Res-Capacity-Smart'!F83*1000</f>
        <v>62244.153672169203</v>
      </c>
      <c r="G108" s="309">
        <f>'Res-Capacity-Smart'!G83*1000</f>
        <v>88897.172279973747</v>
      </c>
      <c r="H108" s="309">
        <f>'Res-Capacity-Smart'!H83*1000</f>
        <v>106015.21014892498</v>
      </c>
      <c r="I108" s="309">
        <f>'Res-Capacity-Smart'!I83*1000</f>
        <v>107436.11740784996</v>
      </c>
      <c r="J108" s="309">
        <f>'Res-Capacity-Smart'!J83*1000</f>
        <v>108849.4034425875</v>
      </c>
      <c r="K108" s="309">
        <f>'Res-Capacity-Smart'!K83*1000</f>
        <v>110249.17346953125</v>
      </c>
      <c r="L108" s="309">
        <f>'Res-Capacity-Smart'!L83*1000</f>
        <v>111641.97552007499</v>
      </c>
      <c r="M108" s="309">
        <f>'Res-Capacity-Smart'!M83*1000</f>
        <v>113019.11517723749</v>
      </c>
      <c r="N108" s="309">
        <f>'Res-Capacity-Smart'!N83*1000</f>
        <v>114372.67569997499</v>
      </c>
      <c r="O108" s="309">
        <f>'Res-Capacity-Smart'!O83*1000</f>
        <v>115697.02671449998</v>
      </c>
      <c r="P108" s="309">
        <f>'Res-Capacity-Smart'!P83*1000</f>
        <v>116998.96510850622</v>
      </c>
      <c r="Q108" s="309">
        <f>'Res-Capacity-Smart'!Q83*1000</f>
        <v>118289.23836344999</v>
      </c>
      <c r="R108" s="309">
        <f>'Res-Capacity-Smart'!R83*1000</f>
        <v>119593.7408474376</v>
      </c>
      <c r="S108" s="309">
        <f>'Res-Capacity-Smart'!S83*1000</f>
        <v>120912.6294814611</v>
      </c>
      <c r="T108" s="309">
        <f>'Res-Capacity-Smart'!T83*1000</f>
        <v>122246.06291704891</v>
      </c>
      <c r="U108" s="309">
        <f>'Res-Capacity-Smart'!U83*1000</f>
        <v>123594.20155535023</v>
      </c>
      <c r="V108" s="309">
        <f>'Res-Capacity-Smart'!V83*1000</f>
        <v>124957.20756642989</v>
      </c>
      <c r="W108" s="309"/>
    </row>
    <row r="109" spans="1:49" s="76" customFormat="1" ht="12.75">
      <c r="A109" s="85" t="s">
        <v>280</v>
      </c>
      <c r="B109" s="323">
        <f>B99+B104</f>
        <v>144.25964390471449</v>
      </c>
      <c r="C109" s="309">
        <f>'Res-Capacity-Smart'!C84*1000</f>
        <v>21419.064523704379</v>
      </c>
      <c r="D109" s="309">
        <f>'Res-Capacity-Smart'!D84*1000</f>
        <v>119577.31758296158</v>
      </c>
      <c r="E109" s="309">
        <f>'Res-Capacity-Smart'!E84*1000</f>
        <v>238260.81429634278</v>
      </c>
      <c r="F109" s="309">
        <f>'Res-Capacity-Smart'!F84*1000</f>
        <v>378207.33374137105</v>
      </c>
      <c r="G109" s="309">
        <f>'Res-Capacity-Smart'!G84*1000</f>
        <v>540156.15156784048</v>
      </c>
      <c r="H109" s="309">
        <f>'Res-Capacity-Smart'!H84*1000</f>
        <v>644168.61023822997</v>
      </c>
      <c r="I109" s="309">
        <f>'Res-Capacity-Smart'!I84*1000</f>
        <v>652802.31339245988</v>
      </c>
      <c r="J109" s="309">
        <f>'Res-Capacity-Smart'!J84*1000</f>
        <v>661389.70853686496</v>
      </c>
      <c r="K109" s="309">
        <f>'Res-Capacity-Smart'!K84*1000</f>
        <v>669894.97784343746</v>
      </c>
      <c r="L109" s="309">
        <f>'Res-Capacity-Smart'!L84*1000</f>
        <v>678357.90839816991</v>
      </c>
      <c r="M109" s="309">
        <f>'Res-Capacity-Smart'!M84*1000</f>
        <v>686725.67126740504</v>
      </c>
      <c r="N109" s="309">
        <f>'Res-Capacity-Smart'!N84*1000</f>
        <v>694950.16282461002</v>
      </c>
      <c r="O109" s="309">
        <f>'Res-Capacity-Smart'!O84*1000</f>
        <v>702997.17184620001</v>
      </c>
      <c r="P109" s="309">
        <f>'Res-Capacity-Smart'!P84*1000</f>
        <v>710907.99751644745</v>
      </c>
      <c r="Q109" s="309">
        <f>'Res-Capacity-Smart'!Q84*1000</f>
        <v>718747.94357981998</v>
      </c>
      <c r="R109" s="309">
        <f>'Res-Capacity-Smart'!R84*1000</f>
        <v>726674.34914919222</v>
      </c>
      <c r="S109" s="309">
        <f>'Res-Capacity-Smart'!S84*1000</f>
        <v>734688.1677064019</v>
      </c>
      <c r="T109" s="309">
        <f>'Res-Capacity-Smart'!T84*1000</f>
        <v>742790.36324835464</v>
      </c>
      <c r="U109" s="309">
        <f>'Res-Capacity-Smart'!U84*1000</f>
        <v>750981.91040298517</v>
      </c>
      <c r="V109" s="309">
        <f>'Res-Capacity-Smart'!V84*1000</f>
        <v>759263.79454649787</v>
      </c>
      <c r="W109" s="309"/>
    </row>
    <row r="110" spans="1:49" s="76" customFormat="1" ht="12.75">
      <c r="A110" s="166" t="s">
        <v>324</v>
      </c>
      <c r="B110" s="323">
        <f>B100+B105</f>
        <v>143.56016424120534</v>
      </c>
      <c r="C110" s="309">
        <f>'Res-Capacity-Smart'!C85*1000</f>
        <v>2466.4377330326238</v>
      </c>
      <c r="D110" s="309">
        <f>'Res-Capacity-Smart'!D85*1000</f>
        <v>12517.73572493812</v>
      </c>
      <c r="E110" s="309">
        <f>'Res-Capacity-Smart'!E85*1000</f>
        <v>22863.411472881366</v>
      </c>
      <c r="F110" s="309">
        <f>'Res-Capacity-Smart'!F85*1000</f>
        <v>33500.882709025871</v>
      </c>
      <c r="G110" s="309">
        <f>'Res-Capacity-Smart'!G85*1000</f>
        <v>44428.428051034491</v>
      </c>
      <c r="H110" s="309">
        <f>'Res-Capacity-Smart'!H85*1000</f>
        <v>52983.565344269977</v>
      </c>
      <c r="I110" s="309">
        <f>'Res-Capacity-Smart'!I85*1000</f>
        <v>53693.696772539981</v>
      </c>
      <c r="J110" s="309">
        <f>'Res-Capacity-Smart'!J85*1000</f>
        <v>54400.01931688498</v>
      </c>
      <c r="K110" s="309">
        <f>'Res-Capacity-Smart'!K85*1000</f>
        <v>55099.586922187475</v>
      </c>
      <c r="L110" s="309">
        <f>'Res-Capacity-Smart'!L85*1000</f>
        <v>55795.672119329982</v>
      </c>
      <c r="M110" s="309">
        <f>'Res-Capacity-Smart'!M85*1000</f>
        <v>56483.92967134498</v>
      </c>
      <c r="N110" s="309">
        <f>'Res-Capacity-Smart'!N85*1000</f>
        <v>57160.40300288998</v>
      </c>
      <c r="O110" s="309">
        <f>'Res-Capacity-Smart'!O85*1000</f>
        <v>57822.278203799971</v>
      </c>
      <c r="P110" s="309">
        <f>'Res-Capacity-Smart'!P85*1000</f>
        <v>58472.952176677485</v>
      </c>
      <c r="Q110" s="309">
        <f>'Res-Capacity-Smart'!Q85*1000</f>
        <v>59117.796225179976</v>
      </c>
      <c r="R110" s="309">
        <f>'Res-Capacity-Smart'!R85*1000</f>
        <v>59769.751661621849</v>
      </c>
      <c r="S110" s="309">
        <f>'Res-Capacity-Smart'!S85*1000</f>
        <v>60428.896910916155</v>
      </c>
      <c r="T110" s="309">
        <f>'Res-Capacity-Smart'!T85*1000</f>
        <v>61095.311262851654</v>
      </c>
      <c r="U110" s="309">
        <f>'Res-Capacity-Smart'!U85*1000</f>
        <v>61769.07488163079</v>
      </c>
      <c r="V110" s="309">
        <f>'Res-Capacity-Smart'!V85*1000</f>
        <v>62450.268815512791</v>
      </c>
      <c r="W110" s="309"/>
    </row>
    <row r="111" spans="1:49" s="76" customFormat="1">
      <c r="A111"/>
      <c r="B111"/>
      <c r="C111"/>
      <c r="D111"/>
      <c r="E111"/>
      <c r="F111"/>
      <c r="G111"/>
      <c r="H111"/>
      <c r="I111"/>
      <c r="J111"/>
      <c r="K111"/>
      <c r="L111"/>
      <c r="M111"/>
      <c r="N111"/>
      <c r="O111"/>
      <c r="P111"/>
      <c r="Q111"/>
      <c r="R111"/>
      <c r="S111"/>
      <c r="T111"/>
      <c r="U111"/>
      <c r="V111"/>
      <c r="W111"/>
      <c r="X111"/>
      <c r="Y111"/>
      <c r="Z111"/>
      <c r="AA111"/>
      <c r="AB111"/>
      <c r="AC111"/>
      <c r="AD111"/>
      <c r="AE111" s="70"/>
      <c r="AF111"/>
      <c r="AG111" s="70"/>
      <c r="AH111"/>
      <c r="AI111" s="70"/>
      <c r="AJ111"/>
      <c r="AK111"/>
      <c r="AL111"/>
      <c r="AM111"/>
      <c r="AN111"/>
      <c r="AO111"/>
      <c r="AP111"/>
      <c r="AQ111"/>
      <c r="AR111"/>
      <c r="AS111"/>
      <c r="AT111"/>
      <c r="AU111"/>
      <c r="AV111"/>
      <c r="AW111"/>
    </row>
    <row r="112" spans="1:49">
      <c r="A112" s="285" t="s">
        <v>428</v>
      </c>
    </row>
    <row r="113" spans="1:49">
      <c r="A113" s="474" t="s">
        <v>210</v>
      </c>
      <c r="B113" s="474" t="s">
        <v>348</v>
      </c>
      <c r="C113" s="476" t="s">
        <v>409</v>
      </c>
      <c r="D113" s="476"/>
      <c r="E113" s="476"/>
      <c r="F113" s="476"/>
      <c r="G113" s="476"/>
      <c r="H113" s="476"/>
      <c r="I113" s="476"/>
      <c r="J113" s="476"/>
      <c r="K113" s="476"/>
      <c r="L113" s="476"/>
      <c r="M113" s="476"/>
      <c r="N113" s="476"/>
      <c r="O113" s="476"/>
      <c r="P113" s="476"/>
      <c r="Q113" s="476"/>
      <c r="R113" s="476"/>
      <c r="S113" s="476"/>
      <c r="T113" s="476"/>
      <c r="U113" s="476"/>
      <c r="V113" s="476"/>
      <c r="W113" s="476"/>
      <c r="X113" s="70"/>
      <c r="Y113" s="70"/>
      <c r="Z113" s="70"/>
      <c r="AA113" s="70"/>
      <c r="AB113" s="70"/>
      <c r="AC113" s="70"/>
      <c r="AD113" s="70"/>
      <c r="AF113" s="70"/>
      <c r="AH113" s="70"/>
      <c r="AJ113" s="70"/>
      <c r="AK113" s="70"/>
      <c r="AL113" s="70"/>
      <c r="AM113" s="70"/>
      <c r="AN113" s="70"/>
      <c r="AO113" s="70"/>
      <c r="AP113" s="70"/>
      <c r="AQ113" s="70"/>
      <c r="AR113" s="70"/>
      <c r="AS113" s="70"/>
      <c r="AT113" s="70"/>
      <c r="AU113" s="70"/>
      <c r="AV113" s="70"/>
      <c r="AW113" s="70"/>
    </row>
    <row r="114" spans="1:49" s="70" customFormat="1">
      <c r="A114" s="475"/>
      <c r="B114" s="475"/>
      <c r="C114" s="274">
        <f>'Com-Capacity-Smart'!C99</f>
        <v>2016</v>
      </c>
      <c r="D114" s="321">
        <f>'Com-Capacity-Smart'!D99</f>
        <v>2017</v>
      </c>
      <c r="E114" s="321">
        <f>'Com-Capacity-Smart'!E99</f>
        <v>2018</v>
      </c>
      <c r="F114" s="321">
        <f>'Com-Capacity-Smart'!F99</f>
        <v>2019</v>
      </c>
      <c r="G114" s="321">
        <f>'Com-Capacity-Smart'!G99</f>
        <v>2020</v>
      </c>
      <c r="H114" s="321">
        <f>'Com-Capacity-Smart'!H99</f>
        <v>2021</v>
      </c>
      <c r="I114" s="321">
        <f>'Com-Capacity-Smart'!I99</f>
        <v>2022</v>
      </c>
      <c r="J114" s="321">
        <f>'Com-Capacity-Smart'!J99</f>
        <v>2023</v>
      </c>
      <c r="K114" s="321">
        <f>'Com-Capacity-Smart'!K99</f>
        <v>2024</v>
      </c>
      <c r="L114" s="321">
        <f>'Com-Capacity-Smart'!L99</f>
        <v>2025</v>
      </c>
      <c r="M114" s="321">
        <f>'Com-Capacity-Smart'!M99</f>
        <v>2026</v>
      </c>
      <c r="N114" s="321">
        <f>'Com-Capacity-Smart'!N99</f>
        <v>2027</v>
      </c>
      <c r="O114" s="321">
        <f>'Com-Capacity-Smart'!O99</f>
        <v>2028</v>
      </c>
      <c r="P114" s="321">
        <f>'Com-Capacity-Smart'!P99</f>
        <v>2029</v>
      </c>
      <c r="Q114" s="321">
        <f>'Com-Capacity-Smart'!Q99</f>
        <v>2030</v>
      </c>
      <c r="R114" s="321">
        <f>'Com-Capacity-Smart'!R99</f>
        <v>2031</v>
      </c>
      <c r="S114" s="321">
        <f>'Com-Capacity-Smart'!S99</f>
        <v>2032</v>
      </c>
      <c r="T114" s="321">
        <f>'Com-Capacity-Smart'!T99</f>
        <v>2033</v>
      </c>
      <c r="U114" s="321">
        <f>'Com-Capacity-Smart'!U99</f>
        <v>2034</v>
      </c>
      <c r="V114" s="321">
        <f>'Com-Capacity-Smart'!V99</f>
        <v>2035</v>
      </c>
      <c r="W114" s="274"/>
      <c r="X114" s="76"/>
      <c r="Y114" s="76"/>
      <c r="Z114" s="76"/>
      <c r="AA114" s="76"/>
      <c r="AB114" s="76"/>
      <c r="AC114" s="76"/>
      <c r="AD114" s="76"/>
      <c r="AE114" s="76"/>
      <c r="AF114" s="76"/>
      <c r="AG114" s="76"/>
      <c r="AH114" s="76"/>
      <c r="AI114" s="76"/>
      <c r="AJ114" s="76"/>
      <c r="AK114" s="76"/>
      <c r="AL114" s="76"/>
      <c r="AM114" s="76"/>
      <c r="AN114" s="76"/>
      <c r="AO114" s="76"/>
      <c r="AP114" s="76"/>
      <c r="AQ114" s="76"/>
      <c r="AR114" s="76"/>
      <c r="AS114" s="76"/>
      <c r="AT114" s="76"/>
      <c r="AU114" s="76"/>
      <c r="AV114" s="76"/>
      <c r="AW114" s="76"/>
    </row>
    <row r="115" spans="1:49" s="76" customFormat="1" ht="12.75">
      <c r="A115" s="336" t="s">
        <v>307</v>
      </c>
      <c r="B115" s="331">
        <f>(1-'7thPlanAssumptions'!$B$4*0.01)^($C$114-'7thPlanAssumptions'!$B$8)*SUM(C115:W115)/(NPV('7thPlanAssumptions'!$B$3*0.01,'Com-Capacity-Smart'!D69:W69)+'Com-Capacity-Smart'!C69)/1000</f>
        <v>19.202243154525924</v>
      </c>
      <c r="C115" s="284">
        <f>('Com-Capacity-Smart'!C91)*(1+0.01*'7thPlanAssumptions'!$B$3)^('7thPlanAssumptions'!$B$8-C$114)</f>
        <v>13895.243984592958</v>
      </c>
      <c r="D115" s="284">
        <f>('Com-Capacity-Smart'!D91)*(1+0.01*'7thPlanAssumptions'!$B$3)^('7thPlanAssumptions'!$B$8-D$114)</f>
        <v>74367.055667987137</v>
      </c>
      <c r="E115" s="284">
        <f>('Com-Capacity-Smart'!E91)*(1+0.01*'7thPlanAssumptions'!$B$3)^('7thPlanAssumptions'!$B$8-E$114)</f>
        <v>142278.89443633673</v>
      </c>
      <c r="F115" s="284">
        <f>('Com-Capacity-Smart'!F91)*(1+0.01*'7thPlanAssumptions'!$B$3)^('7thPlanAssumptions'!$B$8-F$114)</f>
        <v>216857.74832732737</v>
      </c>
      <c r="G115" s="284">
        <f>('Com-Capacity-Smart'!G91)*(1+0.01*'7thPlanAssumptions'!$B$3)^('7thPlanAssumptions'!$B$8-G$114)</f>
        <v>297604.62700549577</v>
      </c>
      <c r="H115" s="284">
        <f>('Com-Capacity-Smart'!H91)*(1+0.01*'7thPlanAssumptions'!$B$3)^('7thPlanAssumptions'!$B$8-H$114)</f>
        <v>340953.79846798541</v>
      </c>
      <c r="I115" s="284">
        <f>('Com-Capacity-Smart'!I91)*(1+0.01*'7thPlanAssumptions'!$B$3)^('7thPlanAssumptions'!$B$8-I$114)</f>
        <v>331900.04490562878</v>
      </c>
      <c r="J115" s="284">
        <f>('Com-Capacity-Smart'!J91)*(1+0.01*'7thPlanAssumptions'!$B$3)^('7thPlanAssumptions'!$B$8-J$114)</f>
        <v>322986.20870009536</v>
      </c>
      <c r="K115" s="284">
        <f>('Com-Capacity-Smart'!K91)*(1+0.01*'7thPlanAssumptions'!$B$3)^('7thPlanAssumptions'!$B$8-K$114)</f>
        <v>314254.2911704373</v>
      </c>
      <c r="L115" s="284">
        <f>('Com-Capacity-Smart'!L91)*(1+0.01*'7thPlanAssumptions'!$B$3)^('7thPlanAssumptions'!$B$8-L$114)</f>
        <v>305695.96751536155</v>
      </c>
      <c r="M115" s="284">
        <f>('Com-Capacity-Smart'!M91)*(1+0.01*'7thPlanAssumptions'!$B$3)^('7thPlanAssumptions'!$B$8-M$114)</f>
        <v>297187.13433497667</v>
      </c>
      <c r="N115" s="284">
        <f>('Com-Capacity-Smart'!N91)*(1+0.01*'7thPlanAssumptions'!$B$3)^('7thPlanAssumptions'!$B$8-N$114)</f>
        <v>288989.77337532351</v>
      </c>
      <c r="O115" s="284">
        <f>('Com-Capacity-Smart'!O91)*(1+0.01*'7thPlanAssumptions'!$B$3)^('7thPlanAssumptions'!$B$8-O$114)</f>
        <v>281110.41237201</v>
      </c>
      <c r="P115" s="284">
        <f>('Com-Capacity-Smart'!P91)*(1+0.01*'7thPlanAssumptions'!$B$3)^('7thPlanAssumptions'!$B$8-P$114)</f>
        <v>273427.56019819609</v>
      </c>
      <c r="Q115" s="284">
        <f>('Com-Capacity-Smart'!Q91)*(1+0.01*'7thPlanAssumptions'!$B$3)^('7thPlanAssumptions'!$B$8-Q$114)</f>
        <v>265851.71189504268</v>
      </c>
      <c r="R115" s="284">
        <f>('Com-Capacity-Smart'!R91)*(1+0.01*'7thPlanAssumptions'!$B$3)^('7thPlanAssumptions'!$B$8-R$114)</f>
        <v>258485.76736849014</v>
      </c>
      <c r="S115" s="284">
        <f>('Com-Capacity-Smart'!S91)*(1+0.01*'7thPlanAssumptions'!$B$3)^('7thPlanAssumptions'!$B$8-S$114)</f>
        <v>251323.91082159185</v>
      </c>
      <c r="T115" s="284">
        <f>('Com-Capacity-Smart'!T91)*(1+0.01*'7thPlanAssumptions'!$B$3)^('7thPlanAssumptions'!$B$8-T$114)</f>
        <v>244360.48759549306</v>
      </c>
      <c r="U115" s="284">
        <f>('Com-Capacity-Smart'!U91)*(1+0.01*'7thPlanAssumptions'!$B$3)^('7thPlanAssumptions'!$B$8-U$114)</f>
        <v>237589.99970478384</v>
      </c>
      <c r="V115" s="284">
        <f>('Com-Capacity-Smart'!V91)*(1+0.01*'7thPlanAssumptions'!$B$3)^('7thPlanAssumptions'!$B$8-V$114)</f>
        <v>231007.10149655267</v>
      </c>
      <c r="W115" s="284"/>
    </row>
    <row r="116" spans="1:49" s="76" customFormat="1" ht="12.75">
      <c r="A116" s="101" t="s">
        <v>308</v>
      </c>
      <c r="B116" s="331">
        <f>(1-'7thPlanAssumptions'!$B$4*0.01)^($C$114-'7thPlanAssumptions'!$B$8)*SUM(C116:W116)/(NPV('7thPlanAssumptions'!$B$3*0.01,'Com-Capacity-Smart'!D70:W70)+'Com-Capacity-Smart'!C70)/1000</f>
        <v>19.202243154525927</v>
      </c>
      <c r="C116" s="284">
        <f>('Com-Capacity-Smart'!C92)*(1+0.01*'7thPlanAssumptions'!$B$3)^('7thPlanAssumptions'!$B$8-C$114)</f>
        <v>148877.61412063887</v>
      </c>
      <c r="D116" s="284">
        <f>('Com-Capacity-Smart'!D92)*(1+0.01*'7thPlanAssumptions'!$B$3)^('7thPlanAssumptions'!$B$8-D$114)</f>
        <v>796789.88215700502</v>
      </c>
      <c r="E116" s="284">
        <f>('Com-Capacity-Smart'!E92)*(1+0.01*'7thPlanAssumptions'!$B$3)^('7thPlanAssumptions'!$B$8-E$114)</f>
        <v>1524416.7261036073</v>
      </c>
      <c r="F116" s="284">
        <f>('Com-Capacity-Smart'!F92)*(1+0.01*'7thPlanAssumptions'!$B$3)^('7thPlanAssumptions'!$B$8-F$114)</f>
        <v>2323475.8749356507</v>
      </c>
      <c r="G116" s="284">
        <f>('Com-Capacity-Smart'!G92)*(1+0.01*'7thPlanAssumptions'!$B$3)^('7thPlanAssumptions'!$B$8-G$114)</f>
        <v>3188621.0036303112</v>
      </c>
      <c r="H116" s="284">
        <f>('Com-Capacity-Smart'!H92)*(1+0.01*'7thPlanAssumptions'!$B$3)^('7thPlanAssumptions'!$B$8-H$114)</f>
        <v>3653076.4121569865</v>
      </c>
      <c r="I116" s="284">
        <f>('Com-Capacity-Smart'!I92)*(1+0.01*'7thPlanAssumptions'!$B$3)^('7thPlanAssumptions'!$B$8-I$114)</f>
        <v>3556071.9097031644</v>
      </c>
      <c r="J116" s="284">
        <f>('Com-Capacity-Smart'!J92)*(1+0.01*'7thPlanAssumptions'!$B$3)^('7thPlanAssumptions'!$B$8-J$114)</f>
        <v>3460566.5217867354</v>
      </c>
      <c r="K116" s="284">
        <f>('Com-Capacity-Smart'!K92)*(1+0.01*'7thPlanAssumptions'!$B$3)^('7thPlanAssumptions'!$B$8-K$114)</f>
        <v>3367010.2625404</v>
      </c>
      <c r="L116" s="284">
        <f>('Com-Capacity-Smart'!L92)*(1+0.01*'7thPlanAssumptions'!$B$3)^('7thPlanAssumptions'!$B$8-L$114)</f>
        <v>3275313.937664588</v>
      </c>
      <c r="M116" s="284">
        <f>('Com-Capacity-Smart'!M92)*(1+0.01*'7thPlanAssumptions'!$B$3)^('7thPlanAssumptions'!$B$8-M$114)</f>
        <v>3184147.8678747499</v>
      </c>
      <c r="N116" s="284">
        <f>('Com-Capacity-Smart'!N92)*(1+0.01*'7thPlanAssumptions'!$B$3)^('7thPlanAssumptions'!$B$8-N$114)</f>
        <v>3096319.0004498945</v>
      </c>
      <c r="O116" s="284">
        <f>('Com-Capacity-Smart'!O92)*(1+0.01*'7thPlanAssumptions'!$B$3)^('7thPlanAssumptions'!$B$8-O$114)</f>
        <v>3011897.2754143933</v>
      </c>
      <c r="P116" s="284">
        <f>('Com-Capacity-Smart'!P92)*(1+0.01*'7thPlanAssumptions'!$B$3)^('7thPlanAssumptions'!$B$8-P$114)</f>
        <v>2929581.0021235291</v>
      </c>
      <c r="Q116" s="284">
        <f>('Com-Capacity-Smart'!Q92)*(1+0.01*'7thPlanAssumptions'!$B$3)^('7thPlanAssumptions'!$B$8-Q$114)</f>
        <v>2848411.198875457</v>
      </c>
      <c r="R116" s="284">
        <f>('Com-Capacity-Smart'!R92)*(1+0.01*'7thPlanAssumptions'!$B$3)^('7thPlanAssumptions'!$B$8-R$114)</f>
        <v>2769490.3646623944</v>
      </c>
      <c r="S116" s="284">
        <f>('Com-Capacity-Smart'!S92)*(1+0.01*'7thPlanAssumptions'!$B$3)^('7thPlanAssumptions'!$B$8-S$114)</f>
        <v>2692756.1873741988</v>
      </c>
      <c r="T116" s="284">
        <f>('Com-Capacity-Smart'!T92)*(1+0.01*'7thPlanAssumptions'!$B$3)^('7thPlanAssumptions'!$B$8-T$114)</f>
        <v>2618148.0813802825</v>
      </c>
      <c r="U116" s="284">
        <f>('Com-Capacity-Smart'!U92)*(1+0.01*'7thPlanAssumptions'!$B$3)^('7thPlanAssumptions'!$B$8-U$114)</f>
        <v>2545607.1396941124</v>
      </c>
      <c r="V116" s="284">
        <f>('Com-Capacity-Smart'!V92)*(1+0.01*'7thPlanAssumptions'!$B$3)^('7thPlanAssumptions'!$B$8-V$114)</f>
        <v>2475076.0874630646</v>
      </c>
      <c r="W116" s="284"/>
    </row>
    <row r="117" spans="1:49" s="76" customFormat="1" ht="12.75">
      <c r="A117" s="76" t="s">
        <v>342</v>
      </c>
      <c r="B117" s="331">
        <f>(1-'7thPlanAssumptions'!$B$4*0.01)^($C$114-'7thPlanAssumptions'!$B$8)*SUM(C117:W117)/(NPV('7thPlanAssumptions'!$B$3*0.01,'Com-Capacity-Smart'!D71:W71)+'Com-Capacity-Smart'!C71)/1000</f>
        <v>-4.8005607886314792</v>
      </c>
      <c r="C117" s="284">
        <f>('Com-Capacity-Smart'!C93)*(1+0.01*'7thPlanAssumptions'!$B$3)^('7thPlanAssumptions'!$B$8-C$114)</f>
        <v>-40641.877417990494</v>
      </c>
      <c r="D117" s="284">
        <f>('Com-Capacity-Smart'!D93)*(1+0.01*'7thPlanAssumptions'!$B$3)^('7thPlanAssumptions'!$B$8-D$114)</f>
        <v>-197740.43574951796</v>
      </c>
      <c r="E117" s="284">
        <f>('Com-Capacity-Smart'!E93)*(1+0.01*'7thPlanAssumptions'!$B$3)^('7thPlanAssumptions'!$B$8-E$114)</f>
        <v>-346790.20349579194</v>
      </c>
      <c r="F117" s="284">
        <f>('Com-Capacity-Smart'!F93)*(1+0.01*'7thPlanAssumptions'!$B$3)^('7thPlanAssumptions'!$B$8-F$114)</f>
        <v>-487909.39018321602</v>
      </c>
      <c r="G117" s="284">
        <f>('Com-Capacity-Smart'!G93)*(1+0.01*'7thPlanAssumptions'!$B$3)^('7thPlanAssumptions'!$B$8-G$114)</f>
        <v>-621754.91655352956</v>
      </c>
      <c r="H117" s="284">
        <f>('Com-Capacity-Smart'!H93)*(1+0.01*'7thPlanAssumptions'!$B$3)^('7thPlanAssumptions'!$B$8-H$114)</f>
        <v>-712319.90795343567</v>
      </c>
      <c r="I117" s="284">
        <f>('Com-Capacity-Smart'!I93)*(1+0.01*'7thPlanAssumptions'!$B$3)^('7thPlanAssumptions'!$B$8-I$114)</f>
        <v>-693404.82639942656</v>
      </c>
      <c r="J117" s="284">
        <f>('Com-Capacity-Smart'!J93)*(1+0.01*'7thPlanAssumptions'!$B$3)^('7thPlanAssumptions'!$B$8-J$114)</f>
        <v>-674782.05987220828</v>
      </c>
      <c r="K117" s="284">
        <f>('Com-Capacity-Smart'!K93)*(1+0.01*'7thPlanAssumptions'!$B$3)^('7thPlanAssumptions'!$B$8-K$114)</f>
        <v>-656539.35743295983</v>
      </c>
      <c r="L117" s="284">
        <f>('Com-Capacity-Smart'!L93)*(1+0.01*'7thPlanAssumptions'!$B$3)^('7thPlanAssumptions'!$B$8-L$114)</f>
        <v>-638659.3269255663</v>
      </c>
      <c r="M117" s="284">
        <f>('Com-Capacity-Smart'!M93)*(1+0.01*'7thPlanAssumptions'!$B$3)^('7thPlanAssumptions'!$B$8-M$114)</f>
        <v>-620882.69180644758</v>
      </c>
      <c r="N117" s="284">
        <f>('Com-Capacity-Smart'!N93)*(1+0.01*'7thPlanAssumptions'!$B$3)^('7thPlanAssumptions'!$B$8-N$114)</f>
        <v>-603756.78374946641</v>
      </c>
      <c r="O117" s="284">
        <f>('Com-Capacity-Smart'!O93)*(1+0.01*'7thPlanAssumptions'!$B$3)^('7thPlanAssumptions'!$B$8-O$114)</f>
        <v>-587295.24048515479</v>
      </c>
      <c r="P117" s="284">
        <f>('Com-Capacity-Smart'!P93)*(1+0.01*'7thPlanAssumptions'!$B$3)^('7thPlanAssumptions'!$B$8-P$114)</f>
        <v>-571244.24302490824</v>
      </c>
      <c r="Q117" s="284">
        <f>('Com-Capacity-Smart'!Q93)*(1+0.01*'7thPlanAssumptions'!$B$3)^('7thPlanAssumptions'!$B$8-Q$114)</f>
        <v>-555416.79781028011</v>
      </c>
      <c r="R117" s="284">
        <f>('Com-Capacity-Smart'!R93)*(1+0.01*'7thPlanAssumptions'!$B$3)^('7thPlanAssumptions'!$B$8-R$114)</f>
        <v>-540027.88309303694</v>
      </c>
      <c r="S117" s="284">
        <f>('Com-Capacity-Smart'!S93)*(1+0.01*'7thPlanAssumptions'!$B$3)^('7thPlanAssumptions'!$B$8-S$114)</f>
        <v>-525065.34852329409</v>
      </c>
      <c r="T117" s="284">
        <f>('Com-Capacity-Smart'!T93)*(1+0.01*'7thPlanAssumptions'!$B$3)^('7thPlanAssumptions'!$B$8-T$114)</f>
        <v>-510517.38040050684</v>
      </c>
      <c r="U117" s="284">
        <f>('Com-Capacity-Smart'!U93)*(1+0.01*'7thPlanAssumptions'!$B$3)^('7thPlanAssumptions'!$B$8-U$114)</f>
        <v>-496372.49234593741</v>
      </c>
      <c r="V117" s="284">
        <f>('Com-Capacity-Smart'!V93)*(1+0.01*'7thPlanAssumptions'!$B$3)^('7thPlanAssumptions'!$B$8-V$114)</f>
        <v>-482619.51623356168</v>
      </c>
      <c r="W117" s="284"/>
    </row>
    <row r="118" spans="1:49" s="76" customFormat="1" ht="12.75">
      <c r="C118" s="476" t="s">
        <v>412</v>
      </c>
      <c r="D118" s="476"/>
      <c r="E118" s="476"/>
      <c r="F118" s="476"/>
      <c r="G118" s="476"/>
      <c r="H118" s="476"/>
      <c r="I118" s="476"/>
      <c r="J118" s="476"/>
      <c r="K118" s="476"/>
      <c r="L118" s="476"/>
      <c r="M118" s="476"/>
      <c r="N118" s="476"/>
      <c r="O118" s="476"/>
      <c r="P118" s="476"/>
      <c r="Q118" s="476"/>
      <c r="R118" s="476"/>
      <c r="S118" s="476"/>
      <c r="T118" s="476"/>
      <c r="U118" s="476"/>
      <c r="V118" s="476"/>
      <c r="W118" s="476"/>
    </row>
    <row r="119" spans="1:49" s="76" customFormat="1" ht="12.75">
      <c r="A119" s="76" t="s">
        <v>307</v>
      </c>
      <c r="B119" s="331">
        <f>(1-'7thPlanAssumptions'!$B$4*0.01)^($C$114-'7thPlanAssumptions'!$B$8)*SUM(C119:W119)/(NPV('7thPlanAssumptions'!$B$3*0.01,'Com-Capacity-Smart'!D69:W69)+'Com-Capacity-Smart'!C69)/1000</f>
        <v>93.846351667990689</v>
      </c>
      <c r="C119" s="284">
        <f>'Com-Capacity-Smart'!C80*('7thPlanAssumptions'!$B$10)^('7thPlanAssumptions'!$B$8-CostByType_Details!C$114)</f>
        <v>223810.93863604905</v>
      </c>
      <c r="D119" s="284">
        <f>'Com-Capacity-Smart'!D80*('7thPlanAssumptions'!$B$10)^('7thPlanAssumptions'!$B$8-CostByType_Details!D$114)</f>
        <v>982628.64471787028</v>
      </c>
      <c r="E119" s="284">
        <f>'Com-Capacity-Smart'!E80*('7thPlanAssumptions'!$B$10)^('7thPlanAssumptions'!$B$8-CostByType_Details!E$114)</f>
        <v>1139927.6196440922</v>
      </c>
      <c r="F119" s="284">
        <f>'Com-Capacity-Smart'!F80*('7thPlanAssumptions'!$B$10)^('7thPlanAssumptions'!$B$8-CostByType_Details!F$114)</f>
        <v>1289384.7791310952</v>
      </c>
      <c r="G119" s="284">
        <f>'Com-Capacity-Smart'!G80*('7thPlanAssumptions'!$B$10)^('7thPlanAssumptions'!$B$8-CostByType_Details!G$114)</f>
        <v>1434934.9128977086</v>
      </c>
      <c r="H119" s="284">
        <f>'Com-Capacity-Smart'!H80*('7thPlanAssumptions'!$B$10)^('7thPlanAssumptions'!$B$8-CostByType_Details!H$114)+C119</f>
        <v>1106403.0711368951</v>
      </c>
      <c r="I119" s="284">
        <f>'Com-Capacity-Smart'!I80*('7thPlanAssumptions'!$B$10)^('7thPlanAssumptions'!$B$8-CostByType_Details!I$114)+D119</f>
        <v>1048020.7854654174</v>
      </c>
      <c r="J119" s="284">
        <f>'Com-Capacity-Smart'!J80*('7thPlanAssumptions'!$B$10)^('7thPlanAssumptions'!$B$8-CostByType_Details!J$114)+E119</f>
        <v>1201964.6052716575</v>
      </c>
      <c r="K119" s="284">
        <f>'Com-Capacity-Smart'!K80*('7thPlanAssumptions'!$B$10)^('7thPlanAssumptions'!$B$8-CostByType_Details!K$114)+F119</f>
        <v>1348829.8045184803</v>
      </c>
      <c r="L119" s="284">
        <f>'Com-Capacity-Smart'!L80*('7thPlanAssumptions'!$B$10)^('7thPlanAssumptions'!$B$8-CostByType_Details!L$114)+G119</f>
        <v>1491766.5890668898</v>
      </c>
      <c r="M119" s="284">
        <f>'Com-Capacity-Smart'!M80*('7thPlanAssumptions'!$B$10)^('7thPlanAssumptions'!$B$8-CostByType_Details!M$114)+H119</f>
        <v>1158730.0039710093</v>
      </c>
      <c r="N119" s="284">
        <f>'Com-Capacity-Smart'!N80*('7thPlanAssumptions'!$B$10)^('7thPlanAssumptions'!$B$8-CostByType_Details!N$114)+I119</f>
        <v>1100093.3789265824</v>
      </c>
      <c r="O119" s="284">
        <f>'Com-Capacity-Smart'!O80*('7thPlanAssumptions'!$B$10)^('7thPlanAssumptions'!$B$8-CostByType_Details!O$114)+J119</f>
        <v>1254080.9589627446</v>
      </c>
      <c r="P119" s="284">
        <f>'Com-Capacity-Smart'!P80*('7thPlanAssumptions'!$B$10)^('7thPlanAssumptions'!$B$8-CostByType_Details!P$114)+K119</f>
        <v>1399230.059915578</v>
      </c>
      <c r="Q119" s="284">
        <f>'Com-Capacity-Smart'!Q80*('7thPlanAssumptions'!$B$10)^('7thPlanAssumptions'!$B$8-CostByType_Details!Q$114)+L119</f>
        <v>1539130.8255801899</v>
      </c>
      <c r="R119" s="284">
        <f>'Com-Capacity-Smart'!R80*('7thPlanAssumptions'!$B$10)^('7thPlanAssumptions'!$B$8-CostByType_Details!R$114)+M119</f>
        <v>1204781.9211608297</v>
      </c>
      <c r="S119" s="284">
        <f>'Com-Capacity-Smart'!S80*('7thPlanAssumptions'!$B$10)^('7thPlanAssumptions'!$B$8-CostByType_Details!S$114)+N119</f>
        <v>1144869.3371807134</v>
      </c>
      <c r="T119" s="284">
        <f>'Com-Capacity-Smart'!T80*('7thPlanAssumptions'!$B$10)^('7thPlanAssumptions'!$B$8-CostByType_Details!T$114)+O119</f>
        <v>1297616.3112329135</v>
      </c>
      <c r="U119" s="284">
        <f>'Com-Capacity-Smart'!U80*('7thPlanAssumptions'!$B$10)^('7thPlanAssumptions'!$B$8-CostByType_Details!U$114)+P119</f>
        <v>1441559.1796304616</v>
      </c>
      <c r="V119" s="284">
        <f>'Com-Capacity-Smart'!V80*('7thPlanAssumptions'!$B$10)^('7thPlanAssumptions'!$B$8-CostByType_Details!V$114)+Q119</f>
        <v>1580287.133785021</v>
      </c>
      <c r="W119" s="284"/>
    </row>
    <row r="120" spans="1:49" s="76" customFormat="1" ht="12.75">
      <c r="A120" s="76" t="s">
        <v>308</v>
      </c>
      <c r="B120" s="331">
        <f>(1-'7thPlanAssumptions'!$B$4*0.01)^($C$114-'7thPlanAssumptions'!$B$8)*SUM(C120:W120)/(NPV('7thPlanAssumptions'!$B$3*0.01,'Com-Capacity-Smart'!D70:W70)+'Com-Capacity-Smart'!C70)/1000</f>
        <v>59.925306246987873</v>
      </c>
      <c r="C120" s="284">
        <f>'Com-Capacity-Smart'!C81*('7thPlanAssumptions'!$B$10)^('7thPlanAssumptions'!$B$8-CostByType_Details!C$114)</f>
        <v>1531219.3206706056</v>
      </c>
      <c r="D120" s="284">
        <f>'Com-Capacity-Smart'!D81*('7thPlanAssumptions'!$B$10)^('7thPlanAssumptions'!$B$8-CostByType_Details!D$114)</f>
        <v>6722727.5619585263</v>
      </c>
      <c r="E120" s="284">
        <f>'Com-Capacity-Smart'!E81*('7thPlanAssumptions'!$B$10)^('7thPlanAssumptions'!$B$8-CostByType_Details!E$114)</f>
        <v>7798900.2950544097</v>
      </c>
      <c r="F120" s="284">
        <f>'Com-Capacity-Smart'!F81*('7thPlanAssumptions'!$B$10)^('7thPlanAssumptions'!$B$8-CostByType_Details!F$114)</f>
        <v>8821422.659750782</v>
      </c>
      <c r="G120" s="284">
        <f>'Com-Capacity-Smart'!G81*('7thPlanAssumptions'!$B$10)^('7thPlanAssumptions'!$B$8-CostByType_Details!G$114)</f>
        <v>9817214.8149860948</v>
      </c>
      <c r="H120" s="284">
        <f>'Com-Capacity-Smart'!H81*('7thPlanAssumptions'!$B$10)^('7thPlanAssumptions'!$B$8-CostByType_Details!H$114)+C120</f>
        <v>7569539.5823751474</v>
      </c>
      <c r="I120" s="284">
        <f>'Com-Capacity-Smart'!I81*('7thPlanAssumptions'!$B$10)^('7thPlanAssumptions'!$B$8-CostByType_Details!I$114)+D120</f>
        <v>7170112.7967592347</v>
      </c>
      <c r="J120" s="284">
        <f>'Com-Capacity-Smart'!J81*('7thPlanAssumptions'!$B$10)^('7thPlanAssumptions'!$B$8-CostByType_Details!J$114)+E120</f>
        <v>8223330.9844925376</v>
      </c>
      <c r="K120" s="284">
        <f>'Com-Capacity-Smart'!K81*('7thPlanAssumptions'!$B$10)^('7thPlanAssumptions'!$B$8-CostByType_Details!K$114)+F120</f>
        <v>9228120.2588298712</v>
      </c>
      <c r="L120" s="284">
        <f>'Com-Capacity-Smart'!L81*('7thPlanAssumptions'!$B$10)^('7thPlanAssumptions'!$B$8-CostByType_Details!L$114)+G120</f>
        <v>10206032.989409002</v>
      </c>
      <c r="M120" s="284">
        <f>'Com-Capacity-Smart'!M81*('7thPlanAssumptions'!$B$10)^('7thPlanAssumptions'!$B$8-CostByType_Details!M$114)+H120</f>
        <v>7927538.2174522411</v>
      </c>
      <c r="N120" s="284">
        <f>'Com-Capacity-Smart'!N81*('7thPlanAssumptions'!$B$10)^('7thPlanAssumptions'!$B$8-CostByType_Details!N$114)+I120</f>
        <v>7526371.3499429217</v>
      </c>
      <c r="O120" s="284">
        <f>'Com-Capacity-Smart'!O81*('7thPlanAssumptions'!$B$10)^('7thPlanAssumptions'!$B$8-CostByType_Details!O$114)+J120</f>
        <v>8579888.9265708961</v>
      </c>
      <c r="P120" s="284">
        <f>'Com-Capacity-Smart'!P81*('7thPlanAssumptions'!$B$10)^('7thPlanAssumptions'!$B$8-CostByType_Details!P$114)+K120</f>
        <v>9572937.3857365474</v>
      </c>
      <c r="Q120" s="284">
        <f>'Com-Capacity-Smart'!Q81*('7thPlanAssumptions'!$B$10)^('7thPlanAssumptions'!$B$8-CostByType_Details!Q$114)+L120</f>
        <v>10530078.965445561</v>
      </c>
      <c r="R120" s="284">
        <f>'Com-Capacity-Smart'!R81*('7thPlanAssumptions'!$B$10)^('7thPlanAssumptions'!$B$8-CostByType_Details!R$114)+M120</f>
        <v>8242605.8624239862</v>
      </c>
      <c r="S120" s="284">
        <f>'Com-Capacity-Smart'!S81*('7thPlanAssumptions'!$B$10)^('7thPlanAssumptions'!$B$8-CostByType_Details!S$114)+N120</f>
        <v>7832709.4261696506</v>
      </c>
      <c r="T120" s="284">
        <f>'Com-Capacity-Smart'!T81*('7thPlanAssumptions'!$B$10)^('7thPlanAssumptions'!$B$8-CostByType_Details!T$114)+O120</f>
        <v>8877739.303923035</v>
      </c>
      <c r="U120" s="284">
        <f>'Com-Capacity-Smart'!U81*('7thPlanAssumptions'!$B$10)^('7thPlanAssumptions'!$B$8-CostByType_Details!U$114)+P120</f>
        <v>9862535.2326041143</v>
      </c>
      <c r="V120" s="284">
        <f>'Com-Capacity-Smart'!V81*('7thPlanAssumptions'!$B$10)^('7thPlanAssumptions'!$B$8-CostByType_Details!V$114)+Q120</f>
        <v>10811652.934415821</v>
      </c>
      <c r="W120" s="284"/>
    </row>
    <row r="121" spans="1:49" s="76" customFormat="1" ht="12.75">
      <c r="A121" s="76" t="s">
        <v>342</v>
      </c>
      <c r="B121" s="331">
        <f>(1-'7thPlanAssumptions'!$B$4*0.01)^($C$114-'7thPlanAssumptions'!$B$8)*SUM(C121:W121)/(NPV('7thPlanAssumptions'!$B$3*0.01,'Com-Capacity-Smart'!D71:W71)+'Com-Capacity-Smart'!C71)/1000</f>
        <v>59.538338914487376</v>
      </c>
      <c r="C121" s="284">
        <f>'Com-Capacity-Smart'!C82*('7thPlanAssumptions'!$B$10)^('7thPlanAssumptions'!$B$8-CostByType_Details!C$114)</f>
        <v>1672021.0972839948</v>
      </c>
      <c r="D121" s="284">
        <f>'Com-Capacity-Smart'!D82*('7thPlanAssumptions'!$B$10)^('7thPlanAssumptions'!$B$8-CostByType_Details!D$114)</f>
        <v>6527398.3158019017</v>
      </c>
      <c r="E121" s="284">
        <f>'Com-Capacity-Smart'!E82*('7thPlanAssumptions'!$B$10)^('7thPlanAssumptions'!$B$8-CostByType_Details!E$114)</f>
        <v>6444848.6243744548</v>
      </c>
      <c r="F121" s="284">
        <f>'Com-Capacity-Smart'!F82*('7thPlanAssumptions'!$B$10)^('7thPlanAssumptions'!$B$8-CostByType_Details!F$114)</f>
        <v>6354426.3424628023</v>
      </c>
      <c r="G121" s="284">
        <f>'Com-Capacity-Smart'!G82*('7thPlanAssumptions'!$B$10)^('7thPlanAssumptions'!$B$8-CostByType_Details!G$114)</f>
        <v>6278481.2839255519</v>
      </c>
      <c r="H121" s="284">
        <f>'Com-Capacity-Smart'!H82*('7thPlanAssumptions'!$B$10)^('7thPlanAssumptions'!$B$8-CostByType_Details!H$114)+C121</f>
        <v>6381712.5986134857</v>
      </c>
      <c r="I121" s="284">
        <f>'Com-Capacity-Smart'!I82*('7thPlanAssumptions'!$B$10)^('7thPlanAssumptions'!$B$8-CostByType_Details!I$114)+D121</f>
        <v>6876344.1064921068</v>
      </c>
      <c r="J121" s="284">
        <f>'Com-Capacity-Smart'!J82*('7thPlanAssumptions'!$B$10)^('7thPlanAssumptions'!$B$8-CostByType_Details!J$114)+E121</f>
        <v>6775890.6235257043</v>
      </c>
      <c r="K121" s="284">
        <f>'Com-Capacity-Smart'!K82*('7thPlanAssumptions'!$B$10)^('7thPlanAssumptions'!$B$8-CostByType_Details!K$114)+F121</f>
        <v>6671637.1135015022</v>
      </c>
      <c r="L121" s="284">
        <f>'Com-Capacity-Smart'!L82*('7thPlanAssumptions'!$B$10)^('7thPlanAssumptions'!$B$8-CostByType_Details!L$114)+G121</f>
        <v>6581746.6909056455</v>
      </c>
      <c r="M121" s="284">
        <f>'Com-Capacity-Smart'!M82*('7thPlanAssumptions'!$B$10)^('7thPlanAssumptions'!$B$8-CostByType_Details!M$114)+H121</f>
        <v>6660939.7770397905</v>
      </c>
      <c r="N121" s="284">
        <f>'Com-Capacity-Smart'!N82*('7thPlanAssumptions'!$B$10)^('7thPlanAssumptions'!$B$8-CostByType_Details!N$114)+I121</f>
        <v>7154214.0781871006</v>
      </c>
      <c r="O121" s="284">
        <f>'Com-Capacity-Smart'!O82*('7thPlanAssumptions'!$B$10)^('7thPlanAssumptions'!$B$8-CostByType_Details!O$114)+J121</f>
        <v>7053994.1087263981</v>
      </c>
      <c r="P121" s="284">
        <f>'Com-Capacity-Smart'!P82*('7thPlanAssumptions'!$B$10)^('7thPlanAssumptions'!$B$8-CostByType_Details!P$114)+K121</f>
        <v>6940583.1484451331</v>
      </c>
      <c r="Q121" s="284">
        <f>'Com-Capacity-Smart'!Q82*('7thPlanAssumptions'!$B$10)^('7thPlanAssumptions'!$B$8-CostByType_Details!Q$114)+L121</f>
        <v>6834491.9103101864</v>
      </c>
      <c r="R121" s="284">
        <f>'Com-Capacity-Smart'!R82*('7thPlanAssumptions'!$B$10)^('7thPlanAssumptions'!$B$8-CostByType_Details!R$114)+M121</f>
        <v>6906682.1930686627</v>
      </c>
      <c r="S121" s="284">
        <f>'Com-Capacity-Smart'!S82*('7thPlanAssumptions'!$B$10)^('7thPlanAssumptions'!$B$8-CostByType_Details!S$114)+N121</f>
        <v>7393147.7172801895</v>
      </c>
      <c r="T121" s="284">
        <f>'Com-Capacity-Smart'!T82*('7thPlanAssumptions'!$B$10)^('7thPlanAssumptions'!$B$8-CostByType_Details!T$114)+O121</f>
        <v>7286307.6214394784</v>
      </c>
      <c r="U121" s="284">
        <f>'Com-Capacity-Smart'!U82*('7thPlanAssumptions'!$B$10)^('7thPlanAssumptions'!$B$8-CostByType_Details!U$114)+P121</f>
        <v>7166459.9583993126</v>
      </c>
      <c r="V121" s="284">
        <f>'Com-Capacity-Smart'!V82*('7thPlanAssumptions'!$B$10)^('7thPlanAssumptions'!$B$8-CostByType_Details!V$114)+Q121</f>
        <v>7054110.359014418</v>
      </c>
      <c r="W121" s="284"/>
    </row>
    <row r="122" spans="1:49" s="76" customFormat="1" ht="12.75">
      <c r="B122" s="333" t="s">
        <v>327</v>
      </c>
      <c r="C122" s="476" t="s">
        <v>401</v>
      </c>
      <c r="D122" s="476"/>
      <c r="E122" s="476"/>
      <c r="F122" s="476"/>
      <c r="G122" s="476"/>
      <c r="H122" s="476"/>
      <c r="I122" s="476"/>
      <c r="J122" s="476"/>
      <c r="K122" s="476"/>
      <c r="L122" s="476"/>
      <c r="M122" s="476"/>
      <c r="N122" s="476"/>
      <c r="O122" s="476"/>
      <c r="P122" s="476"/>
      <c r="Q122" s="476"/>
      <c r="R122" s="476"/>
      <c r="S122" s="476"/>
      <c r="T122" s="476"/>
      <c r="U122" s="476"/>
      <c r="V122" s="476"/>
      <c r="W122" s="476"/>
    </row>
    <row r="123" spans="1:49" s="76" customFormat="1" ht="12.75">
      <c r="A123" s="76" t="s">
        <v>307</v>
      </c>
      <c r="B123" s="323">
        <f>B115+B119</f>
        <v>113.04859482251661</v>
      </c>
      <c r="C123" s="338">
        <f>'Com-Capacity-Smart'!C69*1000</f>
        <v>677.31125494435764</v>
      </c>
      <c r="D123" s="338">
        <f>'Com-Capacity-Smart'!D69*1000</f>
        <v>3769.9539217249562</v>
      </c>
      <c r="E123" s="338">
        <f>'Com-Capacity-Smart'!E69*1000</f>
        <v>7501.1746275367341</v>
      </c>
      <c r="F123" s="338">
        <f>'Com-Capacity-Smart'!F69*1000</f>
        <v>11890.416774894084</v>
      </c>
      <c r="G123" s="338">
        <f>'Com-Capacity-Smart'!G69*1000</f>
        <v>16970.520074046963</v>
      </c>
      <c r="H123" s="338">
        <f>'Com-Capacity-Smart'!H69*1000</f>
        <v>20220.148702060753</v>
      </c>
      <c r="I123" s="338">
        <f>'Com-Capacity-Smart'!I69*1000</f>
        <v>20470.54769315412</v>
      </c>
      <c r="J123" s="338">
        <f>'Com-Capacity-Smart'!J69*1000</f>
        <v>20717.601213216258</v>
      </c>
      <c r="K123" s="338">
        <f>'Com-Capacity-Smart'!K69*1000</f>
        <v>20963.801874459146</v>
      </c>
      <c r="L123" s="338">
        <f>'Com-Capacity-Smart'!L69*1000</f>
        <v>21208.594033393572</v>
      </c>
      <c r="M123" s="338">
        <f>'Com-Capacity-Smart'!M69*1000</f>
        <v>21442.998377435408</v>
      </c>
      <c r="N123" s="338">
        <f>'Com-Capacity-Smart'!N69*1000</f>
        <v>21685.59397992519</v>
      </c>
      <c r="O123" s="338">
        <f>'Com-Capacity-Smart'!O69*1000</f>
        <v>21938.105431308857</v>
      </c>
      <c r="P123" s="338">
        <f>'Com-Capacity-Smart'!P69*1000</f>
        <v>22192.07000036713</v>
      </c>
      <c r="Q123" s="338">
        <f>'Com-Capacity-Smart'!Q69*1000</f>
        <v>22440.282858276376</v>
      </c>
      <c r="R123" s="338">
        <f>'Com-Capacity-Smart'!R69*1000</f>
        <v>22691.271916099831</v>
      </c>
      <c r="S123" s="338">
        <f>'Com-Capacity-Smart'!S69*1000</f>
        <v>22945.068224952403</v>
      </c>
      <c r="T123" s="338">
        <f>'Com-Capacity-Smart'!T69*1000</f>
        <v>23201.703183248039</v>
      </c>
      <c r="U123" s="338">
        <f>'Com-Capacity-Smart'!U69*1000</f>
        <v>23461.20854058427</v>
      </c>
      <c r="V123" s="338">
        <f>'Com-Capacity-Smart'!V69*1000</f>
        <v>23723.616401670086</v>
      </c>
    </row>
    <row r="124" spans="1:49" s="76" customFormat="1" ht="12.75">
      <c r="A124" s="76" t="s">
        <v>308</v>
      </c>
      <c r="B124" s="323">
        <f>B116+B120</f>
        <v>79.127549401513804</v>
      </c>
      <c r="C124" s="338">
        <f>'Com-Capacity-Smart'!C70*1000</f>
        <v>7256.9063029752606</v>
      </c>
      <c r="D124" s="338">
        <f>'Com-Capacity-Smart'!D70*1000</f>
        <v>40392.363447053103</v>
      </c>
      <c r="E124" s="338">
        <f>'Com-Capacity-Smart'!E70*1000</f>
        <v>80369.728152179276</v>
      </c>
      <c r="F124" s="338">
        <f>'Com-Capacity-Smart'!F70*1000</f>
        <v>127397.3225881509</v>
      </c>
      <c r="G124" s="338">
        <f>'Com-Capacity-Smart'!G70*1000</f>
        <v>181827.00079336029</v>
      </c>
      <c r="H124" s="338">
        <f>'Com-Capacity-Smart'!H70*1000</f>
        <v>216644.45037922237</v>
      </c>
      <c r="I124" s="338">
        <f>'Com-Capacity-Smart'!I70*1000</f>
        <v>219327.29671236555</v>
      </c>
      <c r="J124" s="338">
        <f>'Com-Capacity-Smart'!J70*1000</f>
        <v>221974.29871303131</v>
      </c>
      <c r="K124" s="338">
        <f>'Com-Capacity-Smart'!K70*1000</f>
        <v>224612.16294063372</v>
      </c>
      <c r="L124" s="338">
        <f>'Com-Capacity-Smart'!L70*1000</f>
        <v>227234.93607207402</v>
      </c>
      <c r="M124" s="338">
        <f>'Com-Capacity-Smart'!M70*1000</f>
        <v>229746.41118680793</v>
      </c>
      <c r="N124" s="338">
        <f>'Com-Capacity-Smart'!N70*1000</f>
        <v>232345.64978491276</v>
      </c>
      <c r="O124" s="338">
        <f>'Com-Capacity-Smart'!O70*1000</f>
        <v>235051.1296211663</v>
      </c>
      <c r="P124" s="338">
        <f>'Com-Capacity-Smart'!P70*1000</f>
        <v>237772.17857536208</v>
      </c>
      <c r="Q124" s="338">
        <f>'Com-Capacity-Smart'!Q70*1000</f>
        <v>240431.60205296116</v>
      </c>
      <c r="R124" s="338">
        <f>'Com-Capacity-Smart'!R70*1000</f>
        <v>243120.77052964107</v>
      </c>
      <c r="S124" s="338">
        <f>'Com-Capacity-Smart'!S70*1000</f>
        <v>245840.01669591863</v>
      </c>
      <c r="T124" s="338">
        <f>'Com-Capacity-Smart'!T70*1000</f>
        <v>248589.67696337184</v>
      </c>
      <c r="U124" s="338">
        <f>'Com-Capacity-Smart'!U70*1000</f>
        <v>251370.09150626001</v>
      </c>
      <c r="V124" s="338">
        <f>'Com-Capacity-Smart'!V70*1000</f>
        <v>254181.6043036081</v>
      </c>
    </row>
    <row r="125" spans="1:49" s="76" customFormat="1" ht="12.75">
      <c r="A125" s="76" t="s">
        <v>342</v>
      </c>
      <c r="B125" s="323">
        <f>B117+B121</f>
        <v>54.737778125855897</v>
      </c>
      <c r="C125" s="338">
        <f>'Com-Capacity-Smart'!C71*1000</f>
        <v>7924.2080319844799</v>
      </c>
      <c r="D125" s="338">
        <f>'Com-Capacity-Smart'!D71*1000</f>
        <v>40096.91251274864</v>
      </c>
      <c r="E125" s="338">
        <f>'Com-Capacity-Smart'!E71*1000</f>
        <v>73133.373318553946</v>
      </c>
      <c r="F125" s="338">
        <f>'Com-Capacity-Smart'!F71*1000</f>
        <v>107009.24532161219</v>
      </c>
      <c r="G125" s="338">
        <f>'Com-Capacity-Smart'!G71*1000</f>
        <v>141819.08928874574</v>
      </c>
      <c r="H125" s="338">
        <f>'Com-Capacity-Smart'!H71*1000</f>
        <v>168975.55653551835</v>
      </c>
      <c r="I125" s="338">
        <f>'Com-Capacity-Smart'!I71*1000</f>
        <v>171068.08856875804</v>
      </c>
      <c r="J125" s="338">
        <f>'Com-Capacity-Smart'!J71*1000</f>
        <v>173132.66319981922</v>
      </c>
      <c r="K125" s="338">
        <f>'Com-Capacity-Smart'!K71*1000</f>
        <v>175190.11066798199</v>
      </c>
      <c r="L125" s="338">
        <f>'Com-Capacity-Smart'!L71*1000</f>
        <v>177235.78757674081</v>
      </c>
      <c r="M125" s="338">
        <f>'Com-Capacity-Smart'!M71*1000</f>
        <v>179194.65568757599</v>
      </c>
      <c r="N125" s="338">
        <f>'Com-Capacity-Smart'!N71*1000</f>
        <v>181221.97643322425</v>
      </c>
      <c r="O125" s="338">
        <f>'Com-Capacity-Smart'!O71*1000</f>
        <v>183332.16185558954</v>
      </c>
      <c r="P125" s="338">
        <f>'Com-Capacity-Smart'!P71*1000</f>
        <v>185454.49067864864</v>
      </c>
      <c r="Q125" s="338">
        <f>'Com-Capacity-Smart'!Q71*1000</f>
        <v>187528.75365378748</v>
      </c>
      <c r="R125" s="338">
        <f>'Com-Capacity-Smart'!R71*1000</f>
        <v>189626.21675136217</v>
      </c>
      <c r="S125" s="338">
        <f>'Com-Capacity-Smart'!S71*1000</f>
        <v>191747.13945904985</v>
      </c>
      <c r="T125" s="338">
        <f>'Com-Capacity-Smart'!T71*1000</f>
        <v>193891.78416683356</v>
      </c>
      <c r="U125" s="338">
        <f>'Com-Capacity-Smart'!U71*1000</f>
        <v>196060.41619946394</v>
      </c>
      <c r="V125" s="338">
        <f>'Com-Capacity-Smart'!V71*1000</f>
        <v>198253.30384928387</v>
      </c>
    </row>
    <row r="126" spans="1:49" s="76" customFormat="1">
      <c r="A126"/>
      <c r="B126"/>
      <c r="C126"/>
      <c r="D126"/>
      <c r="E126"/>
      <c r="F126"/>
      <c r="G126"/>
      <c r="H126"/>
      <c r="I126"/>
      <c r="J126"/>
      <c r="K126"/>
      <c r="L126"/>
      <c r="M126"/>
      <c r="N126"/>
      <c r="O126"/>
      <c r="P126"/>
      <c r="Q126"/>
      <c r="R126"/>
      <c r="S126"/>
      <c r="T126"/>
      <c r="U126"/>
      <c r="V126"/>
      <c r="W126"/>
      <c r="X126"/>
      <c r="Y126"/>
      <c r="Z126"/>
      <c r="AA126"/>
      <c r="AB126"/>
      <c r="AC126"/>
      <c r="AD126"/>
      <c r="AE126" s="70"/>
      <c r="AF126"/>
      <c r="AG126" s="70"/>
      <c r="AH126"/>
      <c r="AI126" s="70"/>
      <c r="AJ126"/>
      <c r="AK126"/>
      <c r="AL126"/>
      <c r="AM126"/>
      <c r="AN126"/>
      <c r="AO126"/>
      <c r="AP126"/>
      <c r="AQ126"/>
      <c r="AR126"/>
      <c r="AS126"/>
      <c r="AT126"/>
      <c r="AU126"/>
      <c r="AV126"/>
      <c r="AW126"/>
    </row>
    <row r="127" spans="1:49" s="76" customFormat="1">
      <c r="A127" s="285" t="s">
        <v>429</v>
      </c>
      <c r="B127"/>
      <c r="C127"/>
      <c r="D127"/>
      <c r="E127"/>
      <c r="F127"/>
      <c r="G127"/>
      <c r="H127"/>
      <c r="I127"/>
      <c r="J127"/>
      <c r="K127"/>
      <c r="L127"/>
      <c r="M127"/>
      <c r="N127"/>
      <c r="O127"/>
      <c r="P127"/>
      <c r="Q127"/>
      <c r="R127"/>
      <c r="S127"/>
      <c r="T127"/>
      <c r="U127"/>
      <c r="V127"/>
      <c r="W127"/>
      <c r="X127"/>
      <c r="Y127"/>
      <c r="Z127"/>
      <c r="AA127"/>
      <c r="AB127"/>
      <c r="AC127"/>
      <c r="AD127"/>
      <c r="AE127" s="70"/>
      <c r="AF127"/>
      <c r="AG127" s="70"/>
      <c r="AH127"/>
      <c r="AI127" s="70"/>
      <c r="AJ127"/>
      <c r="AK127"/>
      <c r="AL127"/>
      <c r="AM127"/>
      <c r="AN127"/>
      <c r="AO127"/>
      <c r="AP127"/>
      <c r="AQ127"/>
      <c r="AR127"/>
      <c r="AS127"/>
      <c r="AT127"/>
      <c r="AU127"/>
      <c r="AV127"/>
      <c r="AW127"/>
    </row>
    <row r="128" spans="1:49" s="76" customFormat="1">
      <c r="A128" s="474" t="s">
        <v>210</v>
      </c>
      <c r="B128" s="474" t="s">
        <v>384</v>
      </c>
      <c r="C128" s="476" t="s">
        <v>409</v>
      </c>
      <c r="D128" s="476"/>
      <c r="E128" s="476"/>
      <c r="F128" s="476"/>
      <c r="G128" s="476"/>
      <c r="H128" s="476"/>
      <c r="I128" s="476"/>
      <c r="J128" s="476"/>
      <c r="K128" s="476"/>
      <c r="L128" s="476"/>
      <c r="M128" s="476"/>
      <c r="N128" s="476"/>
      <c r="O128" s="476"/>
      <c r="P128" s="476"/>
      <c r="Q128" s="476"/>
      <c r="R128" s="476"/>
      <c r="S128" s="476"/>
      <c r="T128" s="476"/>
      <c r="U128" s="476"/>
      <c r="V128" s="476"/>
      <c r="W128" s="476"/>
      <c r="X128" s="70"/>
      <c r="Y128" s="70"/>
      <c r="Z128" s="70"/>
      <c r="AA128" s="70"/>
      <c r="AB128" s="70"/>
      <c r="AC128" s="70"/>
      <c r="AD128" s="70"/>
      <c r="AE128" s="70"/>
      <c r="AF128" s="70"/>
      <c r="AG128" s="70"/>
      <c r="AH128" s="70"/>
      <c r="AI128" s="70"/>
      <c r="AJ128" s="70"/>
      <c r="AK128" s="70"/>
      <c r="AL128" s="70"/>
      <c r="AM128" s="70"/>
      <c r="AN128" s="70"/>
      <c r="AO128" s="70"/>
      <c r="AP128" s="70"/>
      <c r="AQ128" s="70"/>
      <c r="AR128" s="70"/>
      <c r="AS128" s="70"/>
      <c r="AT128" s="70"/>
      <c r="AU128" s="70"/>
      <c r="AV128" s="70"/>
      <c r="AW128" s="70"/>
    </row>
    <row r="129" spans="1:49" s="76" customFormat="1" ht="12.75">
      <c r="A129" s="475"/>
      <c r="B129" s="475"/>
      <c r="C129" s="307">
        <f>'Ag-Ind-Capacity-Smart'!C117</f>
        <v>2016</v>
      </c>
      <c r="D129" s="321">
        <f>'Ag-Ind-Capacity-Smart'!D117</f>
        <v>2017</v>
      </c>
      <c r="E129" s="321">
        <f>'Ag-Ind-Capacity-Smart'!E117</f>
        <v>2018</v>
      </c>
      <c r="F129" s="321">
        <f>'Ag-Ind-Capacity-Smart'!F117</f>
        <v>2019</v>
      </c>
      <c r="G129" s="321">
        <f>'Ag-Ind-Capacity-Smart'!G117</f>
        <v>2020</v>
      </c>
      <c r="H129" s="321">
        <f>'Ag-Ind-Capacity-Smart'!H117</f>
        <v>2021</v>
      </c>
      <c r="I129" s="321">
        <f>'Ag-Ind-Capacity-Smart'!I117</f>
        <v>2022</v>
      </c>
      <c r="J129" s="321">
        <f>'Ag-Ind-Capacity-Smart'!J117</f>
        <v>2023</v>
      </c>
      <c r="K129" s="321">
        <f>'Ag-Ind-Capacity-Smart'!K117</f>
        <v>2024</v>
      </c>
      <c r="L129" s="321">
        <f>'Ag-Ind-Capacity-Smart'!L117</f>
        <v>2025</v>
      </c>
      <c r="M129" s="321">
        <f>'Ag-Ind-Capacity-Smart'!M117</f>
        <v>2026</v>
      </c>
      <c r="N129" s="321">
        <f>'Ag-Ind-Capacity-Smart'!N117</f>
        <v>2027</v>
      </c>
      <c r="O129" s="321">
        <f>'Ag-Ind-Capacity-Smart'!O117</f>
        <v>2028</v>
      </c>
      <c r="P129" s="321">
        <f>'Ag-Ind-Capacity-Smart'!P117</f>
        <v>2029</v>
      </c>
      <c r="Q129" s="321">
        <f>'Ag-Ind-Capacity-Smart'!Q117</f>
        <v>2030</v>
      </c>
      <c r="R129" s="321">
        <f>'Ag-Ind-Capacity-Smart'!R117</f>
        <v>2031</v>
      </c>
      <c r="S129" s="321">
        <f>'Ag-Ind-Capacity-Smart'!S117</f>
        <v>2032</v>
      </c>
      <c r="T129" s="321">
        <f>'Ag-Ind-Capacity-Smart'!T117</f>
        <v>2033</v>
      </c>
      <c r="U129" s="321">
        <f>'Ag-Ind-Capacity-Smart'!U117</f>
        <v>2034</v>
      </c>
      <c r="V129" s="321">
        <f>'Ag-Ind-Capacity-Smart'!V117</f>
        <v>2035</v>
      </c>
      <c r="W129" s="321"/>
    </row>
    <row r="130" spans="1:49">
      <c r="A130" s="107" t="s">
        <v>322</v>
      </c>
      <c r="B130" s="331">
        <f>(1-'7thPlanAssumptions'!$B$4*0.01)^($C$129-'7thPlanAssumptions'!$B$8)*SUM(C130:W130)/(NPV('7thPlanAssumptions'!$B$3*0.01,'Ag-Ind-Capacity-Smart'!D84:W84)+'Ag-Ind-Capacity-Smart'!C84)/1000</f>
        <v>-0.80009346477191334</v>
      </c>
      <c r="C130" s="284">
        <f>('Ag-Ind-Capacity-Smart'!C108)*(1+0.01*'7thPlanAssumptions'!$B$3)^('7thPlanAssumptions'!$B$8-C$129)</f>
        <v>-194.60632190006245</v>
      </c>
      <c r="D130" s="284">
        <f>('Ag-Ind-Capacity-Smart'!D108)*(1+0.01*'7thPlanAssumptions'!$B$3)^('7thPlanAssumptions'!$B$8-D$129)</f>
        <v>-946.84451941915256</v>
      </c>
      <c r="E130" s="284">
        <f>('Ag-Ind-Capacity-Smart'!E108)*(1+0.01*'7thPlanAssumptions'!$B$3)^('7thPlanAssumptions'!$B$8-E$129)</f>
        <v>-1660.5425305332055</v>
      </c>
      <c r="F130" s="284">
        <f>('Ag-Ind-Capacity-Smart'!F108)*(1+0.01*'7thPlanAssumptions'!$B$3)^('7thPlanAssumptions'!$B$8-F$129)</f>
        <v>-2336.266380303276</v>
      </c>
      <c r="G130" s="284">
        <f>('Ag-Ind-Capacity-Smart'!G108)*(1+0.01*'7thPlanAssumptions'!$B$3)^('7thPlanAssumptions'!$B$8-G$129)</f>
        <v>-2977.1616155754182</v>
      </c>
      <c r="H130" s="284">
        <f>('Ag-Ind-Capacity-Smart'!H108)*(1+0.01*'7thPlanAssumptions'!$B$3)^('7thPlanAssumptions'!$B$8-H$129)</f>
        <v>-3410.8157917342401</v>
      </c>
      <c r="I130" s="284">
        <f>('Ag-Ind-Capacity-Smart'!I108)*(1+0.01*'7thPlanAssumptions'!$B$3)^('7thPlanAssumptions'!$B$8-I$129)</f>
        <v>-3320.2443249733083</v>
      </c>
      <c r="J130" s="284">
        <f>('Ag-Ind-Capacity-Smart'!J108)*(1+0.01*'7thPlanAssumptions'!$B$3)^('7thPlanAssumptions'!$B$8-J$129)</f>
        <v>-3231.0725561548406</v>
      </c>
      <c r="K130" s="284">
        <f>('Ag-Ind-Capacity-Smart'!K108)*(1+0.01*'7thPlanAssumptions'!$B$3)^('7thPlanAssumptions'!$B$8-K$129)</f>
        <v>-3143.7206558794865</v>
      </c>
      <c r="L130" s="284">
        <f>('Ag-Ind-Capacity-Smart'!L108)*(1+0.01*'7thPlanAssumptions'!$B$3)^('7thPlanAssumptions'!$B$8-L$129)</f>
        <v>-3058.1053449351016</v>
      </c>
      <c r="M130" s="284">
        <f>('Ag-Ind-Capacity-Smart'!M108)*(1+0.01*'7thPlanAssumptions'!$B$3)^('7thPlanAssumptions'!$B$8-M$129)</f>
        <v>-2972.9851242151849</v>
      </c>
      <c r="N130" s="284">
        <f>('Ag-Ind-Capacity-Smart'!N108)*(1+0.01*'7thPlanAssumptions'!$B$3)^('7thPlanAssumptions'!$B$8-N$129)</f>
        <v>-2890.9807930202769</v>
      </c>
      <c r="O130" s="284">
        <f>('Ag-Ind-Capacity-Smart'!O108)*(1+0.01*'7thPlanAssumptions'!$B$3)^('7thPlanAssumptions'!$B$8-O$129)</f>
        <v>-2812.1576531707292</v>
      </c>
      <c r="P130" s="284">
        <f>('Ag-Ind-Capacity-Smart'!P108)*(1+0.01*'7thPlanAssumptions'!$B$3)^('7thPlanAssumptions'!$B$8-P$129)</f>
        <v>-2735.3003380806763</v>
      </c>
      <c r="Q130" s="284">
        <f>('Ag-Ind-Capacity-Smart'!Q108)*(1+0.01*'7thPlanAssumptions'!$B$3)^('7thPlanAssumptions'!$B$8-Q$129)</f>
        <v>-2659.5134627201869</v>
      </c>
      <c r="R130" s="284">
        <f>('Ag-Ind-Capacity-Smart'!R108)*(1+0.01*'7thPlanAssumptions'!$B$3)^('7thPlanAssumptions'!$B$8-R$129)</f>
        <v>-2585.8264117910194</v>
      </c>
      <c r="S130" s="284">
        <f>('Ag-Ind-Capacity-Smart'!S108)*(1+0.01*'7thPlanAssumptions'!$B$3)^('7thPlanAssumptions'!$B$8-S$129)</f>
        <v>-2514.1810055275964</v>
      </c>
      <c r="T130" s="284">
        <f>('Ag-Ind-Capacity-Smart'!T108)*(1+0.01*'7thPlanAssumptions'!$B$3)^('7thPlanAssumptions'!$B$8-T$129)</f>
        <v>-2444.5206761491663</v>
      </c>
      <c r="U130" s="284">
        <f>('Ag-Ind-Capacity-Smart'!U108)*(1+0.01*'7thPlanAssumptions'!$B$3)^('7thPlanAssumptions'!$B$8-U$129)</f>
        <v>-2376.7904231965954</v>
      </c>
      <c r="V130" s="284">
        <f>('Ag-Ind-Capacity-Smart'!V108)*(1+0.01*'7thPlanAssumptions'!$B$3)^('7thPlanAssumptions'!$B$8-V$129)</f>
        <v>-2310.9367701066385</v>
      </c>
      <c r="W130" s="284"/>
      <c r="X130" s="76"/>
      <c r="Y130" s="76"/>
      <c r="Z130" s="76"/>
      <c r="AA130" s="76"/>
      <c r="AB130" s="76"/>
      <c r="AC130" s="76"/>
      <c r="AD130" s="76"/>
      <c r="AE130" s="76"/>
      <c r="AF130" s="76"/>
      <c r="AG130" s="76"/>
      <c r="AH130" s="76"/>
      <c r="AI130" s="76"/>
      <c r="AJ130" s="76"/>
      <c r="AK130" s="76"/>
      <c r="AL130" s="76"/>
      <c r="AM130" s="76"/>
      <c r="AN130" s="76"/>
      <c r="AO130" s="76"/>
      <c r="AP130" s="76"/>
      <c r="AQ130" s="76"/>
      <c r="AR130" s="76"/>
      <c r="AS130" s="76"/>
      <c r="AT130" s="76"/>
      <c r="AU130" s="76"/>
      <c r="AV130" s="76"/>
      <c r="AW130" s="76"/>
    </row>
    <row r="131" spans="1:49">
      <c r="A131" s="91" t="s">
        <v>320</v>
      </c>
      <c r="B131" s="331">
        <f>(1-'7thPlanAssumptions'!$B$4*0.01)^($C$129-'7thPlanAssumptions'!$B$8)*SUM(C131:W131)/(NPV('7thPlanAssumptions'!$B$3*0.01,'Ag-Ind-Capacity-Smart'!D85:W85)+'Ag-Ind-Capacity-Smart'!C85)/1000</f>
        <v>27.203177802245058</v>
      </c>
      <c r="C131" s="284">
        <f>('Ag-Ind-Capacity-Smart'!C109)*(1+0.01*'7thPlanAssumptions'!$B$3)^('7thPlanAssumptions'!$B$8-C$129)</f>
        <v>749883.0270549074</v>
      </c>
      <c r="D131" s="284">
        <f>('Ag-Ind-Capacity-Smart'!D109)*(1+0.01*'7thPlanAssumptions'!$B$3)^('7thPlanAssumptions'!$B$8-D$129)</f>
        <v>3648507.5481618005</v>
      </c>
      <c r="E131" s="284">
        <f>('Ag-Ind-Capacity-Smart'!E109)*(1+0.01*'7thPlanAssumptions'!$B$3)^('7thPlanAssumptions'!$B$8-E$129)</f>
        <v>6398623.8843212854</v>
      </c>
      <c r="F131" s="284">
        <f>('Ag-Ind-Capacity-Smart'!F109)*(1+0.01*'7thPlanAssumptions'!$B$3)^('7thPlanAssumptions'!$B$8-F$129)</f>
        <v>9002413.118768625</v>
      </c>
      <c r="G131" s="284">
        <f>('Ag-Ind-Capacity-Smart'!G109)*(1+0.01*'7thPlanAssumptions'!$B$3)^('7thPlanAssumptions'!$B$8-G$129)</f>
        <v>11471996.092017278</v>
      </c>
      <c r="H131" s="284">
        <f>('Ag-Ind-Capacity-Smart'!H109)*(1+0.01*'7thPlanAssumptions'!$B$3)^('7thPlanAssumptions'!$B$8-H$129)</f>
        <v>13143010.184149267</v>
      </c>
      <c r="I131" s="284">
        <f>('Ag-Ind-Capacity-Smart'!I109)*(1+0.01*'7thPlanAssumptions'!$B$3)^('7thPlanAssumptions'!$B$8-I$129)</f>
        <v>12794008.132230479</v>
      </c>
      <c r="J131" s="284">
        <f>('Ag-Ind-Capacity-Smart'!J109)*(1+0.01*'7thPlanAssumptions'!$B$3)^('7thPlanAssumptions'!$B$8-J$129)</f>
        <v>12450399.583049987</v>
      </c>
      <c r="K131" s="284">
        <f>('Ag-Ind-Capacity-Smart'!K109)*(1+0.01*'7thPlanAssumptions'!$B$3)^('7thPlanAssumptions'!$B$8-K$129)</f>
        <v>12113803.593988957</v>
      </c>
      <c r="L131" s="284">
        <f>('Ag-Ind-Capacity-Smart'!L109)*(1+0.01*'7thPlanAssumptions'!$B$3)^('7thPlanAssumptions'!$B$8-L$129)</f>
        <v>11783899.262483262</v>
      </c>
      <c r="M131" s="284">
        <f>('Ag-Ind-Capacity-Smart'!M109)*(1+0.01*'7thPlanAssumptions'!$B$3)^('7thPlanAssumptions'!$B$8-M$129)</f>
        <v>11455902.678642511</v>
      </c>
      <c r="N131" s="284">
        <f>('Ag-Ind-Capacity-Smart'!N109)*(1+0.01*'7thPlanAssumptions'!$B$3)^('7thPlanAssumptions'!$B$8-N$129)</f>
        <v>11139912.655771468</v>
      </c>
      <c r="O131" s="284">
        <f>('Ag-Ind-Capacity-Smart'!O109)*(1+0.01*'7thPlanAssumptions'!$B$3)^('7thPlanAssumptions'!$B$8-O$129)</f>
        <v>10836180.823551213</v>
      </c>
      <c r="P131" s="284">
        <f>('Ag-Ind-Capacity-Smart'!P109)*(1+0.01*'7thPlanAssumptions'!$B$3)^('7thPlanAssumptions'!$B$8-P$129)</f>
        <v>10540023.969404206</v>
      </c>
      <c r="Q131" s="284">
        <f>('Ag-Ind-Capacity-Smart'!Q109)*(1+0.01*'7thPlanAssumptions'!$B$3)^('7thPlanAssumptions'!$B$8-Q$129)</f>
        <v>10247991.876348451</v>
      </c>
      <c r="R131" s="284">
        <f>('Ag-Ind-Capacity-Smart'!R109)*(1+0.01*'7thPlanAssumptions'!$B$3)^('7thPlanAssumptions'!$B$8-R$129)</f>
        <v>9964051.1067680642</v>
      </c>
      <c r="S131" s="284">
        <f>('Ag-Ind-Capacity-Smart'!S109)*(1+0.01*'7thPlanAssumptions'!$B$3)^('7thPlanAssumptions'!$B$8-S$129)</f>
        <v>9687977.4746330045</v>
      </c>
      <c r="T131" s="284">
        <f>('Ag-Ind-Capacity-Smart'!T109)*(1+0.01*'7thPlanAssumptions'!$B$3)^('7thPlanAssumptions'!$B$8-T$129)</f>
        <v>9419553.0054281205</v>
      </c>
      <c r="U131" s="284">
        <f>('Ag-Ind-Capacity-Smart'!U109)*(1+0.01*'7thPlanAssumptions'!$B$3)^('7thPlanAssumptions'!$B$8-U$129)</f>
        <v>9158565.7640508804</v>
      </c>
      <c r="V131" s="284">
        <f>('Ag-Ind-Capacity-Smart'!V109)*(1+0.01*'7thPlanAssumptions'!$B$3)^('7thPlanAssumptions'!$B$8-V$129)</f>
        <v>8904809.6874775793</v>
      </c>
      <c r="W131" s="284"/>
      <c r="X131" s="76"/>
      <c r="Y131" s="76"/>
      <c r="Z131" s="76"/>
      <c r="AA131" s="76"/>
      <c r="AB131" s="76"/>
      <c r="AC131" s="76"/>
      <c r="AD131" s="76"/>
      <c r="AE131" s="76"/>
      <c r="AF131" s="76"/>
      <c r="AG131" s="76"/>
      <c r="AH131" s="76"/>
      <c r="AI131" s="76"/>
      <c r="AJ131" s="76"/>
      <c r="AK131" s="76"/>
      <c r="AL131" s="76"/>
      <c r="AM131" s="76"/>
      <c r="AN131" s="76"/>
      <c r="AO131" s="76"/>
      <c r="AP131" s="76"/>
      <c r="AQ131" s="76"/>
      <c r="AR131" s="76"/>
      <c r="AS131" s="76"/>
      <c r="AT131" s="76"/>
      <c r="AU131" s="76"/>
      <c r="AV131" s="76"/>
      <c r="AW131" s="76"/>
    </row>
    <row r="132" spans="1:49" s="70" customFormat="1">
      <c r="A132" s="91" t="s">
        <v>321</v>
      </c>
      <c r="B132" s="331">
        <f>(1-'7thPlanAssumptions'!$B$4*0.01)^($C$129-'7thPlanAssumptions'!$B$8)*SUM(C132:W132)/(NPV('7thPlanAssumptions'!$B$3*0.01,'Ag-Ind-Capacity-Smart'!D86:W86)+'Ag-Ind-Capacity-Smart'!C86)/1000</f>
        <v>19.202243154525924</v>
      </c>
      <c r="C132" s="284">
        <f>('Ag-Ind-Capacity-Smart'!C110)*(1+0.01*'7thPlanAssumptions'!$B$3)^('7thPlanAssumptions'!$B$8-C$129)</f>
        <v>132332.29889204248</v>
      </c>
      <c r="D132" s="284">
        <f>('Ag-Ind-Capacity-Smart'!D110)*(1+0.01*'7thPlanAssumptions'!$B$3)^('7thPlanAssumptions'!$B$8-D$129)</f>
        <v>643854.27320502372</v>
      </c>
      <c r="E132" s="284">
        <f>('Ag-Ind-Capacity-Smart'!E110)*(1+0.01*'7thPlanAssumptions'!$B$3)^('7thPlanAssumptions'!$B$8-E$129)</f>
        <v>1129168.9207625799</v>
      </c>
      <c r="F132" s="284">
        <f>('Ag-Ind-Capacity-Smart'!F110)*(1+0.01*'7thPlanAssumptions'!$B$3)^('7thPlanAssumptions'!$B$8-F$129)</f>
        <v>1588661.1386062277</v>
      </c>
      <c r="G132" s="284">
        <f>('Ag-Ind-Capacity-Smart'!G110)*(1+0.01*'7thPlanAssumptions'!$B$3)^('7thPlanAssumptions'!$B$8-G$129)</f>
        <v>2024469.8985912844</v>
      </c>
      <c r="H132" s="284">
        <f>('Ag-Ind-Capacity-Smart'!H110)*(1+0.01*'7thPlanAssumptions'!$B$3)^('7thPlanAssumptions'!$B$8-H$129)</f>
        <v>2319354.7383792824</v>
      </c>
      <c r="I132" s="284">
        <f>('Ag-Ind-Capacity-Smart'!I110)*(1+0.01*'7thPlanAssumptions'!$B$3)^('7thPlanAssumptions'!$B$8-I$129)</f>
        <v>2257766.1409818493</v>
      </c>
      <c r="J132" s="284">
        <f>('Ag-Ind-Capacity-Smart'!J110)*(1+0.01*'7thPlanAssumptions'!$B$3)^('7thPlanAssumptions'!$B$8-J$129)</f>
        <v>2197129.3381852917</v>
      </c>
      <c r="K132" s="284">
        <f>('Ag-Ind-Capacity-Smart'!K110)*(1+0.01*'7thPlanAssumptions'!$B$3)^('7thPlanAssumptions'!$B$8-K$129)</f>
        <v>2137730.0459980504</v>
      </c>
      <c r="L132" s="284">
        <f>('Ag-Ind-Capacity-Smart'!L110)*(1+0.01*'7thPlanAssumptions'!$B$3)^('7thPlanAssumptions'!$B$8-L$129)</f>
        <v>2079511.6345558693</v>
      </c>
      <c r="M132" s="284">
        <f>('Ag-Ind-Capacity-Smart'!M110)*(1+0.01*'7thPlanAssumptions'!$B$3)^('7thPlanAssumptions'!$B$8-M$129)</f>
        <v>2021629.8844663261</v>
      </c>
      <c r="N132" s="284">
        <f>('Ag-Ind-Capacity-Smart'!N110)*(1+0.01*'7thPlanAssumptions'!$B$3)^('7thPlanAssumptions'!$B$8-N$129)</f>
        <v>1965866.9392537884</v>
      </c>
      <c r="O132" s="284">
        <f>('Ag-Ind-Capacity-Smart'!O110)*(1+0.01*'7thPlanAssumptions'!$B$3)^('7thPlanAssumptions'!$B$8-O$129)</f>
        <v>1912267.2041560963</v>
      </c>
      <c r="P132" s="284">
        <f>('Ag-Ind-Capacity-Smart'!P110)*(1+0.01*'7thPlanAssumptions'!$B$3)^('7thPlanAssumptions'!$B$8-P$129)</f>
        <v>1860004.2298948597</v>
      </c>
      <c r="Q132" s="284">
        <f>('Ag-Ind-Capacity-Smart'!Q110)*(1+0.01*'7thPlanAssumptions'!$B$3)^('7thPlanAssumptions'!$B$8-Q$129)</f>
        <v>1808469.1546497263</v>
      </c>
      <c r="R132" s="284">
        <f>('Ag-Ind-Capacity-Smart'!R110)*(1+0.01*'7thPlanAssumptions'!$B$3)^('7thPlanAssumptions'!$B$8-R$129)</f>
        <v>1758361.9600178932</v>
      </c>
      <c r="S132" s="284">
        <f>('Ag-Ind-Capacity-Smart'!S110)*(1+0.01*'7thPlanAssumptions'!$B$3)^('7thPlanAssumptions'!$B$8-S$129)</f>
        <v>1709643.0837587658</v>
      </c>
      <c r="T132" s="284">
        <f>('Ag-Ind-Capacity-Smart'!T110)*(1+0.01*'7thPlanAssumptions'!$B$3)^('7thPlanAssumptions'!$B$8-T$129)</f>
        <v>1662274.0597814331</v>
      </c>
      <c r="U132" s="284">
        <f>('Ag-Ind-Capacity-Smart'!U110)*(1+0.01*'7thPlanAssumptions'!$B$3)^('7thPlanAssumptions'!$B$8-U$129)</f>
        <v>1616217.487773685</v>
      </c>
      <c r="V132" s="284">
        <f>('Ag-Ind-Capacity-Smart'!V110)*(1+0.01*'7thPlanAssumptions'!$B$3)^('7thPlanAssumptions'!$B$8-V$129)</f>
        <v>1571437.0036725141</v>
      </c>
      <c r="W132" s="284"/>
      <c r="X132" s="76"/>
      <c r="Y132" s="76"/>
      <c r="Z132" s="76"/>
      <c r="AA132" s="76"/>
      <c r="AB132" s="76"/>
      <c r="AC132" s="76"/>
      <c r="AD132" s="76"/>
      <c r="AE132" s="76"/>
      <c r="AF132" s="76"/>
      <c r="AG132" s="76"/>
      <c r="AH132" s="76"/>
      <c r="AI132" s="76"/>
      <c r="AJ132" s="76"/>
      <c r="AK132" s="76"/>
      <c r="AL132" s="76"/>
      <c r="AM132" s="76"/>
      <c r="AN132" s="76"/>
      <c r="AO132" s="76"/>
      <c r="AP132" s="76"/>
      <c r="AQ132" s="76"/>
      <c r="AR132" s="76"/>
      <c r="AS132" s="76"/>
      <c r="AT132" s="76"/>
      <c r="AU132" s="76"/>
      <c r="AV132" s="76"/>
      <c r="AW132" s="76"/>
    </row>
    <row r="133" spans="1:49" s="76" customFormat="1" ht="12.75">
      <c r="A133" s="124" t="s">
        <v>323</v>
      </c>
      <c r="B133" s="331">
        <f>(1-'7thPlanAssumptions'!$B$4*0.01)^($C$129-'7thPlanAssumptions'!$B$8)*SUM(C133:W133)/(NPV('7thPlanAssumptions'!$B$3*0.01,'Ag-Ind-Capacity-Smart'!D87:W87)+'Ag-Ind-Capacity-Smart'!C87)/1000</f>
        <v>35.2041124499642</v>
      </c>
      <c r="C133" s="284">
        <f>('Ag-Ind-Capacity-Smart'!C111)*(1+0.01*'7thPlanAssumptions'!$B$3)^('7thPlanAssumptions'!$B$8-C$129)</f>
        <v>177451.31127618652</v>
      </c>
      <c r="D133" s="284">
        <f>('Ag-Ind-Capacity-Smart'!D111)*(1+0.01*'7thPlanAssumptions'!$B$3)^('7thPlanAssumptions'!$B$8-D$129)</f>
        <v>863377.92064064136</v>
      </c>
      <c r="E133" s="284">
        <f>('Ag-Ind-Capacity-Smart'!E111)*(1+0.01*'7thPlanAssumptions'!$B$3)^('7thPlanAssumptions'!$B$8-E$129)</f>
        <v>1514161.7527940122</v>
      </c>
      <c r="F133" s="284">
        <f>('Ag-Ind-Capacity-Smart'!F111)*(1+0.01*'7thPlanAssumptions'!$B$3)^('7thPlanAssumptions'!$B$8-F$129)</f>
        <v>2130318.936340542</v>
      </c>
      <c r="G133" s="284">
        <f>('Ag-Ind-Capacity-Smart'!G111)*(1+0.01*'7thPlanAssumptions'!$B$3)^('7thPlanAssumptions'!$B$8-G$129)</f>
        <v>2714717.7306824084</v>
      </c>
      <c r="H133" s="284">
        <f>('Ag-Ind-Capacity-Smart'!H111)*(1+0.01*'7thPlanAssumptions'!$B$3)^('7thPlanAssumptions'!$B$8-H$129)</f>
        <v>3110144.2587028858</v>
      </c>
      <c r="I133" s="284">
        <f>('Ag-Ind-Capacity-Smart'!I111)*(1+0.01*'7thPlanAssumptions'!$B$3)^('7thPlanAssumptions'!$B$8-I$129)</f>
        <v>3027556.8823832804</v>
      </c>
      <c r="J133" s="284">
        <f>('Ag-Ind-Capacity-Smart'!J111)*(1+0.01*'7thPlanAssumptions'!$B$3)^('7thPlanAssumptions'!$B$8-J$129)</f>
        <v>2946245.8172998964</v>
      </c>
      <c r="K133" s="284">
        <f>('Ag-Ind-Capacity-Smart'!K111)*(1+0.01*'7thPlanAssumptions'!$B$3)^('7thPlanAssumptions'!$B$8-K$129)</f>
        <v>2866594.1950145294</v>
      </c>
      <c r="L133" s="284">
        <f>('Ag-Ind-Capacity-Smart'!L111)*(1+0.01*'7thPlanAssumptions'!$B$3)^('7thPlanAssumptions'!$B$8-L$129)</f>
        <v>2788526.0775758717</v>
      </c>
      <c r="M133" s="284">
        <f>('Ag-Ind-Capacity-Smart'!M111)*(1+0.01*'7thPlanAssumptions'!$B$3)^('7thPlanAssumptions'!$B$8-M$129)</f>
        <v>2710909.406979607</v>
      </c>
      <c r="N133" s="284">
        <f>('Ag-Ind-Capacity-Smart'!N111)*(1+0.01*'7thPlanAssumptions'!$B$3)^('7thPlanAssumptions'!$B$8-N$129)</f>
        <v>2636133.9528279374</v>
      </c>
      <c r="O133" s="284">
        <f>('Ag-Ind-Capacity-Smart'!O111)*(1+0.01*'7thPlanAssumptions'!$B$3)^('7thPlanAssumptions'!$B$8-O$129)</f>
        <v>2564259.2604302708</v>
      </c>
      <c r="P133" s="284">
        <f>('Ag-Ind-Capacity-Smart'!P111)*(1+0.01*'7thPlanAssumptions'!$B$3)^('7thPlanAssumptions'!$B$8-P$129)</f>
        <v>2494177.1006590123</v>
      </c>
      <c r="Q133" s="284">
        <f>('Ag-Ind-Capacity-Smart'!Q111)*(1+0.01*'7thPlanAssumptions'!$B$3)^('7thPlanAssumptions'!$B$8-Q$129)</f>
        <v>2425071.0188064915</v>
      </c>
      <c r="R133" s="284">
        <f>('Ag-Ind-Capacity-Smart'!R111)*(1+0.01*'7thPlanAssumptions'!$B$3)^('7thPlanAssumptions'!$B$8-R$129)</f>
        <v>2357879.6568620894</v>
      </c>
      <c r="S133" s="284">
        <f>('Ag-Ind-Capacity-Smart'!S111)*(1+0.01*'7thPlanAssumptions'!$B$3)^('7thPlanAssumptions'!$B$8-S$129)</f>
        <v>2292549.9637450874</v>
      </c>
      <c r="T133" s="284">
        <f>('Ag-Ind-Capacity-Smart'!T111)*(1+0.01*'7thPlanAssumptions'!$B$3)^('7thPlanAssumptions'!$B$8-T$129)</f>
        <v>2229030.3582592928</v>
      </c>
      <c r="U133" s="284">
        <f>('Ag-Ind-Capacity-Smart'!U111)*(1+0.01*'7thPlanAssumptions'!$B$3)^('7thPlanAssumptions'!$B$8-U$129)</f>
        <v>2167270.6883669985</v>
      </c>
      <c r="V133" s="284">
        <f>('Ag-Ind-Capacity-Smart'!V111)*(1+0.01*'7thPlanAssumptions'!$B$3)^('7thPlanAssumptions'!$B$8-V$129)</f>
        <v>2107222.1915913336</v>
      </c>
      <c r="W133" s="284"/>
    </row>
    <row r="134" spans="1:49" s="76" customFormat="1" ht="12.75">
      <c r="A134" s="311"/>
      <c r="B134" s="312"/>
      <c r="C134" s="476" t="s">
        <v>412</v>
      </c>
      <c r="D134" s="476"/>
      <c r="E134" s="476"/>
      <c r="F134" s="476"/>
      <c r="G134" s="476"/>
      <c r="H134" s="476"/>
      <c r="I134" s="476"/>
      <c r="J134" s="476"/>
      <c r="K134" s="476"/>
      <c r="L134" s="476"/>
      <c r="M134" s="476"/>
      <c r="N134" s="476"/>
      <c r="O134" s="476"/>
      <c r="P134" s="476"/>
      <c r="Q134" s="476"/>
      <c r="R134" s="476"/>
      <c r="S134" s="476"/>
      <c r="T134" s="476"/>
      <c r="U134" s="476"/>
      <c r="V134" s="476"/>
      <c r="W134" s="476"/>
    </row>
    <row r="135" spans="1:49" s="76" customFormat="1" ht="12.75">
      <c r="A135" s="310" t="s">
        <v>322</v>
      </c>
      <c r="B135" s="337">
        <f>(1-'7thPlanAssumptions'!$B$4*0.01)^($C$129-'7thPlanAssumptions'!$B$8)*SUM(C135:W135)/(NPV('7thPlanAssumptions'!$B$3*0.01,'Ag-Ind-Capacity-Smart'!D84:W84)+'Ag-Ind-Capacity-Smart'!C84)/1000</f>
        <v>59.53833891448739</v>
      </c>
      <c r="C135" s="284">
        <f>'Ag-Ind-Capacity-Smart'!C96*(1+0.01*'7thPlanAssumptions'!$B$3)^('7thPlanAssumptions'!$B$8-C$129)</f>
        <v>48037.034195331209</v>
      </c>
      <c r="D135" s="284">
        <f>'Ag-Ind-Capacity-Smart'!D96*(1+0.01*'7thPlanAssumptions'!$B$3)^('7thPlanAssumptions'!$B$8-D$129)</f>
        <v>187531.6385732574</v>
      </c>
      <c r="E135" s="284">
        <f>'Ag-Ind-Capacity-Smart'!E96*(1+0.01*'7thPlanAssumptions'!$B$3)^('7thPlanAssumptions'!$B$8-E$129)</f>
        <v>185159.99245207169</v>
      </c>
      <c r="F135" s="284">
        <f>'Ag-Ind-Capacity-Smart'!F96*(1+0.01*'7thPlanAssumptions'!$B$3)^('7thPlanAssumptions'!$B$8-F$129)</f>
        <v>182562.16742745569</v>
      </c>
      <c r="G135" s="284">
        <f>'Ag-Ind-Capacity-Smart'!G96*(1+0.01*'7thPlanAssumptions'!$B$3)^('7thPlanAssumptions'!$B$8-G$129)</f>
        <v>180380.27188807176</v>
      </c>
      <c r="H135" s="284">
        <f>'Ag-Ind-Capacity-Smart'!H96*(1+0.01*'7thPlanAssumptions'!$B$3)^('7thPlanAssumptions'!$B$8-H$129)+C135</f>
        <v>183346.09941366219</v>
      </c>
      <c r="I135" s="284">
        <f>'Ag-Ind-Capacity-Smart'!I96*(1+0.01*'7thPlanAssumptions'!$B$3)^('7thPlanAssumptions'!$B$8-I$129)+D135</f>
        <v>197556.82360646693</v>
      </c>
      <c r="J135" s="284">
        <f>'Ag-Ind-Capacity-Smart'!J96*(1+0.01*'7thPlanAssumptions'!$B$3)^('7thPlanAssumptions'!$B$8-J$129)+E135</f>
        <v>194670.80296705329</v>
      </c>
      <c r="K135" s="284">
        <f>'Ag-Ind-Capacity-Smart'!K96*(1+0.01*'7thPlanAssumptions'!$B$3)^('7thPlanAssumptions'!$B$8-K$129)+F135</f>
        <v>191675.60785010672</v>
      </c>
      <c r="L135" s="284">
        <f>'Ag-Ind-Capacity-Smart'!L96*(1+0.01*'7thPlanAssumptions'!$B$3)^('7thPlanAssumptions'!$B$8-L$129)+G135</f>
        <v>189093.06310166797</v>
      </c>
      <c r="M135" s="284">
        <f>'Ag-Ind-Capacity-Smart'!M96*(1+0.01*'7thPlanAssumptions'!$B$3)^('7thPlanAssumptions'!$B$8-M$129)+H135</f>
        <v>191368.27421762759</v>
      </c>
      <c r="N135" s="284">
        <f>'Ag-Ind-Capacity-Smart'!N96*(1+0.01*'7thPlanAssumptions'!$B$3)^('7thPlanAssumptions'!$B$8-N$129)+I135</f>
        <v>205540.00596813127</v>
      </c>
      <c r="O135" s="284">
        <f>'Ag-Ind-Capacity-Smart'!O96*(1+0.01*'7thPlanAssumptions'!$B$3)^('7thPlanAssumptions'!$B$8-O$129)+J135</f>
        <v>202660.69415331099</v>
      </c>
      <c r="P135" s="284">
        <f>'Ag-Ind-Capacity-Smart'!P96*(1+0.01*'7thPlanAssumptions'!$B$3)^('7thPlanAssumptions'!$B$8-P$129)+K135</f>
        <v>199402.40621304122</v>
      </c>
      <c r="Q135" s="284">
        <f>'Ag-Ind-Capacity-Smart'!Q96*(1+0.01*'7thPlanAssumptions'!$B$3)^('7thPlanAssumptions'!$B$8-Q$129)+L135</f>
        <v>196354.41331247828</v>
      </c>
      <c r="R135" s="284">
        <f>'Ag-Ind-Capacity-Smart'!R96*(1+0.01*'7thPlanAssumptions'!$B$3)^('7thPlanAssumptions'!$B$8-R$129)+M135</f>
        <v>198428.43444000604</v>
      </c>
      <c r="S135" s="284">
        <f>'Ag-Ind-Capacity-Smart'!S96*(1+0.01*'7thPlanAssumptions'!$B$3)^('7thPlanAssumptions'!$B$8-S$129)+N135</f>
        <v>212404.55056638658</v>
      </c>
      <c r="T135" s="284">
        <f>'Ag-Ind-Capacity-Smart'!T96*(1+0.01*'7thPlanAssumptions'!$B$3)^('7thPlanAssumptions'!$B$8-T$129)+O135</f>
        <v>209335.04304302493</v>
      </c>
      <c r="U135" s="284">
        <f>'Ag-Ind-Capacity-Smart'!U96*(1+0.01*'7thPlanAssumptions'!$B$3)^('7thPlanAssumptions'!$B$8-U$129)+P135</f>
        <v>205891.82914037551</v>
      </c>
      <c r="V135" s="284">
        <f>'Ag-Ind-Capacity-Smart'!V96*(1+0.01*'7thPlanAssumptions'!$B$3)^('7thPlanAssumptions'!$B$8-V$129)+Q135</f>
        <v>202664.03401491285</v>
      </c>
      <c r="W135" s="284"/>
    </row>
    <row r="136" spans="1:49" s="76" customFormat="1" ht="12.75">
      <c r="A136" s="91" t="s">
        <v>320</v>
      </c>
      <c r="B136" s="337">
        <f>(1-'7thPlanAssumptions'!$B$4*0.01)^($C$129-'7thPlanAssumptions'!$B$8)*SUM(C136:W136)/(NPV('7thPlanAssumptions'!$B$3*0.01,'Ag-Ind-Capacity-Smart'!D85:W85)+'Ag-Ind-Capacity-Smart'!C85)/1000</f>
        <v>1.9042112659217718</v>
      </c>
      <c r="C136" s="284">
        <f>'Ag-Ind-Capacity-Smart'!C97*(1+0.01*'7thPlanAssumptions'!$B$3)^('7thPlanAssumptions'!$B$8-C$129)</f>
        <v>174121.44591058223</v>
      </c>
      <c r="D136" s="284">
        <f>'Ag-Ind-Capacity-Smart'!D97*(1+0.01*'7thPlanAssumptions'!$B$3)^('7thPlanAssumptions'!$B$8-D$129)</f>
        <v>679752.20804805448</v>
      </c>
      <c r="E136" s="284">
        <f>'Ag-Ind-Capacity-Smart'!E97*(1+0.01*'7thPlanAssumptions'!$B$3)^('7thPlanAssumptions'!$B$8-E$129)</f>
        <v>671155.62296060123</v>
      </c>
      <c r="F136" s="284">
        <f>'Ag-Ind-Capacity-Smart'!F97*(1+0.01*'7thPlanAssumptions'!$B$3)^('7thPlanAssumptions'!$B$8-F$129)</f>
        <v>661739.19963043637</v>
      </c>
      <c r="G136" s="284">
        <f>'Ag-Ind-Capacity-Smart'!G97*(1+0.01*'7thPlanAssumptions'!$B$3)^('7thPlanAssumptions'!$B$8-G$129)</f>
        <v>653830.40982883167</v>
      </c>
      <c r="H136" s="284">
        <f>'Ag-Ind-Capacity-Smart'!H97*(1+0.01*'7thPlanAssumptions'!$B$3)^('7thPlanAssumptions'!$B$8-H$129)+C136</f>
        <v>664580.74414333736</v>
      </c>
      <c r="I136" s="284">
        <f>'Ag-Ind-Capacity-Smart'!I97*(1+0.01*'7thPlanAssumptions'!$B$3)^('7thPlanAssumptions'!$B$8-I$129)+D136</f>
        <v>716090.83183580881</v>
      </c>
      <c r="J136" s="284">
        <f>'Ag-Ind-Capacity-Smart'!J97*(1+0.01*'7thPlanAssumptions'!$B$3)^('7thPlanAssumptions'!$B$8-J$129)+E136</f>
        <v>705629.77621319937</v>
      </c>
      <c r="K136" s="284">
        <f>'Ag-Ind-Capacity-Smart'!K97*(1+0.01*'7thPlanAssumptions'!$B$3)^('7thPlanAssumptions'!$B$8-K$129)+F136</f>
        <v>694772.99220721016</v>
      </c>
      <c r="L136" s="284">
        <f>'Ag-Ind-Capacity-Smart'!L97*(1+0.01*'7thPlanAssumptions'!$B$3)^('7thPlanAssumptions'!$B$8-L$129)+G136</f>
        <v>685411.95580561948</v>
      </c>
      <c r="M136" s="284">
        <f>'Ag-Ind-Capacity-Smart'!M97*(1+0.01*'7thPlanAssumptions'!$B$3)^('7thPlanAssumptions'!$B$8-M$129)+H136</f>
        <v>693658.989701421</v>
      </c>
      <c r="N136" s="284">
        <f>'Ag-Ind-Capacity-Smart'!N97*(1+0.01*'7thPlanAssumptions'!$B$3)^('7thPlanAssumptions'!$B$8-N$129)+I136</f>
        <v>745027.74018299277</v>
      </c>
      <c r="O136" s="284">
        <f>'Ag-Ind-Capacity-Smart'!O97*(1+0.01*'7thPlanAssumptions'!$B$3)^('7thPlanAssumptions'!$B$8-O$129)+J136</f>
        <v>734591.00226146844</v>
      </c>
      <c r="P136" s="284">
        <f>'Ag-Ind-Capacity-Smart'!P97*(1+0.01*'7thPlanAssumptions'!$B$3)^('7thPlanAssumptions'!$B$8-P$129)+K136</f>
        <v>722780.57689162088</v>
      </c>
      <c r="Q136" s="284">
        <f>'Ag-Ind-Capacity-Smart'!Q97*(1+0.01*'7thPlanAssumptions'!$B$3)^('7thPlanAssumptions'!$B$8-Q$129)+L136</f>
        <v>711732.41499192524</v>
      </c>
      <c r="R136" s="284">
        <f>'Ag-Ind-Capacity-Smart'!R97*(1+0.01*'7thPlanAssumptions'!$B$3)^('7thPlanAssumptions'!$B$8-R$129)+M136</f>
        <v>719250.18880172761</v>
      </c>
      <c r="S136" s="284">
        <f>'Ag-Ind-Capacity-Smart'!S97*(1+0.01*'7thPlanAssumptions'!$B$3)^('7thPlanAssumptions'!$B$8-S$129)+N136</f>
        <v>769909.88478221197</v>
      </c>
      <c r="T136" s="284">
        <f>'Ag-Ind-Capacity-Smart'!T97*(1+0.01*'7thPlanAssumptions'!$B$3)^('7thPlanAssumptions'!$B$8-T$129)+O136</f>
        <v>758783.73810904566</v>
      </c>
      <c r="U136" s="284">
        <f>'Ag-Ind-Capacity-Smart'!U97*(1+0.01*'7thPlanAssumptions'!$B$3)^('7thPlanAssumptions'!$B$8-U$129)+P136</f>
        <v>746303.00541287498</v>
      </c>
      <c r="V136" s="284">
        <f>'Ag-Ind-Capacity-Smart'!V97*(1+0.01*'7thPlanAssumptions'!$B$3)^('7thPlanAssumptions'!$B$8-V$129)+Q136</f>
        <v>734603.10836961993</v>
      </c>
      <c r="W136" s="284"/>
    </row>
    <row r="137" spans="1:49" s="76" customFormat="1" ht="12.75">
      <c r="A137" s="91" t="s">
        <v>321</v>
      </c>
      <c r="B137" s="337">
        <f>(1-'7thPlanAssumptions'!$B$4*0.01)^($C$129-'7thPlanAssumptions'!$B$8)*SUM(C137:W137)/(NPV('7thPlanAssumptions'!$B$3*0.01,'Ag-Ind-Capacity-Smart'!D86:W86)+'Ag-Ind-Capacity-Smart'!C86)/1000</f>
        <v>9.5210563296088573</v>
      </c>
      <c r="C137" s="284">
        <f>'Ag-Ind-Capacity-Smart'!C98*(1+0.01*'7thPlanAssumptions'!$B$3)^('7thPlanAssumptions'!$B$8-C$129)</f>
        <v>217651.80738822775</v>
      </c>
      <c r="D137" s="284">
        <f>'Ag-Ind-Capacity-Smart'!D98*(1+0.01*'7thPlanAssumptions'!$B$3)^('7thPlanAssumptions'!$B$8-D$129)</f>
        <v>849690.26006006787</v>
      </c>
      <c r="E137" s="284">
        <f>'Ag-Ind-Capacity-Smart'!E98*(1+0.01*'7thPlanAssumptions'!$B$3)^('7thPlanAssumptions'!$B$8-E$129)</f>
        <v>838944.52870075172</v>
      </c>
      <c r="F137" s="284">
        <f>'Ag-Ind-Capacity-Smart'!F98*(1+0.01*'7thPlanAssumptions'!$B$3)^('7thPlanAssumptions'!$B$8-F$129)</f>
        <v>827173.99953804503</v>
      </c>
      <c r="G137" s="284">
        <f>'Ag-Ind-Capacity-Smart'!G98*(1+0.01*'7thPlanAssumptions'!$B$3)^('7thPlanAssumptions'!$B$8-G$129)</f>
        <v>817288.01228603953</v>
      </c>
      <c r="H137" s="284">
        <f>'Ag-Ind-Capacity-Smart'!H98*(1+0.01*'7thPlanAssumptions'!$B$3)^('7thPlanAssumptions'!$B$8-H$129)+C137</f>
        <v>830725.93017917185</v>
      </c>
      <c r="I137" s="284">
        <f>'Ag-Ind-Capacity-Smart'!I98*(1+0.01*'7thPlanAssumptions'!$B$3)^('7thPlanAssumptions'!$B$8-I$129)+D137</f>
        <v>895113.53979476064</v>
      </c>
      <c r="J137" s="284">
        <f>'Ag-Ind-Capacity-Smart'!J98*(1+0.01*'7thPlanAssumptions'!$B$3)^('7thPlanAssumptions'!$B$8-J$129)+E137</f>
        <v>882037.22026649944</v>
      </c>
      <c r="K137" s="284">
        <f>'Ag-Ind-Capacity-Smart'!K98*(1+0.01*'7thPlanAssumptions'!$B$3)^('7thPlanAssumptions'!$B$8-K$129)+F137</f>
        <v>868466.24025901186</v>
      </c>
      <c r="L137" s="284">
        <f>'Ag-Ind-Capacity-Smart'!L98*(1+0.01*'7thPlanAssumptions'!$B$3)^('7thPlanAssumptions'!$B$8-L$129)+G137</f>
        <v>856764.94475702476</v>
      </c>
      <c r="M137" s="284">
        <f>'Ag-Ind-Capacity-Smart'!M98*(1+0.01*'7thPlanAssumptions'!$B$3)^('7thPlanAssumptions'!$B$8-M$129)+H137</f>
        <v>867073.73712677672</v>
      </c>
      <c r="N137" s="284">
        <f>'Ag-Ind-Capacity-Smart'!N98*(1+0.01*'7thPlanAssumptions'!$B$3)^('7thPlanAssumptions'!$B$8-N$129)+I137</f>
        <v>931284.67522874032</v>
      </c>
      <c r="O137" s="284">
        <f>'Ag-Ind-Capacity-Smart'!O98*(1+0.01*'7thPlanAssumptions'!$B$3)^('7thPlanAssumptions'!$B$8-O$129)+J137</f>
        <v>918238.75282683549</v>
      </c>
      <c r="P137" s="284">
        <f>'Ag-Ind-Capacity-Smart'!P98*(1+0.01*'7thPlanAssumptions'!$B$3)^('7thPlanAssumptions'!$B$8-P$129)+K137</f>
        <v>903475.72111452522</v>
      </c>
      <c r="Q137" s="284">
        <f>'Ag-Ind-Capacity-Smart'!Q98*(1+0.01*'7thPlanAssumptions'!$B$3)^('7thPlanAssumptions'!$B$8-Q$129)+L137</f>
        <v>889665.5187399073</v>
      </c>
      <c r="R137" s="284">
        <f>'Ag-Ind-Capacity-Smart'!R98*(1+0.01*'7thPlanAssumptions'!$B$3)^('7thPlanAssumptions'!$B$8-R$129)+M137</f>
        <v>899062.73600215989</v>
      </c>
      <c r="S137" s="284">
        <f>'Ag-Ind-Capacity-Smart'!S98*(1+0.01*'7thPlanAssumptions'!$B$3)^('7thPlanAssumptions'!$B$8-S$129)+N137</f>
        <v>962387.35597776412</v>
      </c>
      <c r="T137" s="284">
        <f>'Ag-Ind-Capacity-Smart'!T98*(1+0.01*'7thPlanAssumptions'!$B$3)^('7thPlanAssumptions'!$B$8-T$129)+O137</f>
        <v>948479.67263630731</v>
      </c>
      <c r="U137" s="284">
        <f>'Ag-Ind-Capacity-Smart'!U98*(1+0.01*'7thPlanAssumptions'!$B$3)^('7thPlanAssumptions'!$B$8-U$129)+P137</f>
        <v>932878.7567660925</v>
      </c>
      <c r="V137" s="284">
        <f>'Ag-Ind-Capacity-Smart'!V98*(1+0.01*'7thPlanAssumptions'!$B$3)^('7thPlanAssumptions'!$B$8-V$129)+Q137</f>
        <v>918253.88546202588</v>
      </c>
      <c r="W137" s="284"/>
    </row>
    <row r="138" spans="1:49" s="76" customFormat="1" ht="12.75">
      <c r="A138" s="107" t="s">
        <v>323</v>
      </c>
      <c r="B138" s="337">
        <f>(1-'7thPlanAssumptions'!$B$4*0.01)^($C$129-'7thPlanAssumptions'!$B$8)*SUM(C138:W138)/(NPV('7thPlanAssumptions'!$B$3*0.01,'Ag-Ind-Capacity-Smart'!D87:W87)+'Ag-Ind-Capacity-Smart'!C87)/1000</f>
        <v>7.6168450636870881</v>
      </c>
      <c r="C138" s="284">
        <f>'Ag-Ind-Capacity-Smart'!C99*(1+0.01*'7thPlanAssumptions'!$B$3)^('7thPlanAssumptions'!$B$8-C$129)</f>
        <v>127357.40043745443</v>
      </c>
      <c r="D138" s="284">
        <f>'Ag-Ind-Capacity-Smart'!D99*(1+0.01*'7thPlanAssumptions'!$B$3)^('7thPlanAssumptions'!$B$8-D$129)</f>
        <v>497190.18645800557</v>
      </c>
      <c r="E138" s="284">
        <f>'Ag-Ind-Capacity-Smart'!E99*(1+0.01*'7thPlanAssumptions'!$B$3)^('7thPlanAssumptions'!$B$8-E$129)</f>
        <v>490902.3985083258</v>
      </c>
      <c r="F138" s="284">
        <f>'Ag-Ind-Capacity-Smart'!F99*(1+0.01*'7thPlanAssumptions'!$B$3)^('7thPlanAssumptions'!$B$8-F$129)</f>
        <v>484014.95744397631</v>
      </c>
      <c r="G138" s="284">
        <f>'Ag-Ind-Capacity-Smart'!G99*(1+0.01*'7thPlanAssumptions'!$B$3)^('7thPlanAssumptions'!$B$8-G$129)</f>
        <v>478230.24261765945</v>
      </c>
      <c r="H138" s="284">
        <f>'Ag-Ind-Capacity-Smart'!H99*(1+0.01*'7thPlanAssumptions'!$B$3)^('7thPlanAssumptions'!$B$8-H$129)+C138</f>
        <v>486093.34428769874</v>
      </c>
      <c r="I138" s="284">
        <f>'Ag-Ind-Capacity-Smart'!I99*(1+0.01*'7thPlanAssumptions'!$B$3)^('7thPlanAssumptions'!$B$8-I$129)+D138</f>
        <v>523769.29414276278</v>
      </c>
      <c r="J138" s="284">
        <f>'Ag-Ind-Capacity-Smart'!J99*(1+0.01*'7thPlanAssumptions'!$B$3)^('7thPlanAssumptions'!$B$8-J$129)+E138</f>
        <v>516117.77917308331</v>
      </c>
      <c r="K138" s="284">
        <f>'Ag-Ind-Capacity-Smart'!K99*(1+0.01*'7thPlanAssumptions'!$B$3)^('7thPlanAssumptions'!$B$8-K$129)+F138</f>
        <v>508176.81715727318</v>
      </c>
      <c r="L138" s="284">
        <f>'Ag-Ind-Capacity-Smart'!L99*(1+0.01*'7thPlanAssumptions'!$B$3)^('7thPlanAssumptions'!$B$8-L$129)+G138</f>
        <v>501329.88767496764</v>
      </c>
      <c r="M138" s="284">
        <f>'Ag-Ind-Capacity-Smart'!M99*(1+0.01*'7thPlanAssumptions'!$B$3)^('7thPlanAssumptions'!$B$8-M$129)+H138</f>
        <v>507362.00389589701</v>
      </c>
      <c r="N138" s="284">
        <f>'Ag-Ind-Capacity-Smart'!N99*(1+0.01*'7thPlanAssumptions'!$B$3)^('7thPlanAssumptions'!$B$8-N$129)+I138</f>
        <v>544934.57567670313</v>
      </c>
      <c r="O138" s="284">
        <f>'Ag-Ind-Capacity-Smart'!O99*(1+0.01*'7thPlanAssumptions'!$B$3)^('7thPlanAssumptions'!$B$8-O$129)+J138</f>
        <v>537300.8473683889</v>
      </c>
      <c r="P138" s="284">
        <f>'Ag-Ind-Capacity-Smart'!P99*(1+0.01*'7thPlanAssumptions'!$B$3)^('7thPlanAssumptions'!$B$8-P$129)+K138</f>
        <v>528662.36481215619</v>
      </c>
      <c r="Q138" s="284">
        <f>'Ag-Ind-Capacity-Smart'!Q99*(1+0.01*'7thPlanAssumptions'!$B$3)^('7thPlanAssumptions'!$B$8-Q$129)+L138</f>
        <v>520581.42353695154</v>
      </c>
      <c r="R138" s="284">
        <f>'Ag-Ind-Capacity-Smart'!R99*(1+0.01*'7thPlanAssumptions'!$B$3)^('7thPlanAssumptions'!$B$8-R$129)+M138</f>
        <v>526080.13809497806</v>
      </c>
      <c r="S138" s="284">
        <f>'Ag-Ind-Capacity-Smart'!S99*(1+0.01*'7thPlanAssumptions'!$B$3)^('7thPlanAssumptions'!$B$8-S$129)+N138</f>
        <v>563134.08715498913</v>
      </c>
      <c r="T138" s="284">
        <f>'Ag-Ind-Capacity-Smart'!T99*(1+0.01*'7thPlanAssumptions'!$B$3)^('7thPlanAssumptions'!$B$8-T$129)+O138</f>
        <v>554996.10558833135</v>
      </c>
      <c r="U138" s="284">
        <f>'Ag-Ind-Capacity-Smart'!U99*(1+0.01*'7thPlanAssumptions'!$B$3)^('7thPlanAssumptions'!$B$8-U$129)+P138</f>
        <v>545867.34110198775</v>
      </c>
      <c r="V138" s="284">
        <f>'Ag-Ind-Capacity-Smart'!V99*(1+0.01*'7thPlanAssumptions'!$B$3)^('7thPlanAssumptions'!$B$8-V$129)+Q138</f>
        <v>537309.70212177979</v>
      </c>
      <c r="W138" s="284"/>
    </row>
    <row r="139" spans="1:49" s="76" customFormat="1" ht="12.75">
      <c r="B139" s="333" t="s">
        <v>327</v>
      </c>
      <c r="C139" s="476" t="s">
        <v>401</v>
      </c>
      <c r="D139" s="476"/>
      <c r="E139" s="476"/>
      <c r="F139" s="476"/>
      <c r="G139" s="476"/>
      <c r="H139" s="476"/>
      <c r="I139" s="476"/>
      <c r="J139" s="476"/>
      <c r="K139" s="476"/>
      <c r="L139" s="476"/>
      <c r="M139" s="476"/>
      <c r="N139" s="476"/>
      <c r="O139" s="476"/>
      <c r="P139" s="476"/>
      <c r="Q139" s="476"/>
      <c r="R139" s="476"/>
      <c r="S139" s="476"/>
      <c r="T139" s="476"/>
      <c r="U139" s="476"/>
      <c r="V139" s="476"/>
      <c r="W139" s="476"/>
    </row>
    <row r="140" spans="1:49" s="76" customFormat="1" ht="12.75">
      <c r="A140" s="108" t="s">
        <v>322</v>
      </c>
      <c r="B140" s="323">
        <f>B130+B135</f>
        <v>58.738245449715478</v>
      </c>
      <c r="C140" s="309">
        <f>'Ag-Ind-Capacity-Smart'!C84*1000</f>
        <v>227.66187150490356</v>
      </c>
      <c r="D140" s="309">
        <f>'Ag-Ind-Capacity-Smart'!D84*1000</f>
        <v>1151.9811326728454</v>
      </c>
      <c r="E140" s="309">
        <f>'Ag-Ind-Capacity-Smart'!E84*1000</f>
        <v>2101.1160449051404</v>
      </c>
      <c r="F140" s="309">
        <f>'Ag-Ind-Capacity-Smart'!F84*1000</f>
        <v>3074.3671746013661</v>
      </c>
      <c r="G140" s="309">
        <f>'Ag-Ind-Capacity-Smart'!G84*1000</f>
        <v>4074.4512451310816</v>
      </c>
      <c r="H140" s="309">
        <f>'Ag-Ind-Capacity-Smart'!H84*1000</f>
        <v>4854.6544063690844</v>
      </c>
      <c r="I140" s="309">
        <f>'Ag-Ind-Capacity-Smart'!I84*1000</f>
        <v>4914.772686574307</v>
      </c>
      <c r="J140" s="309">
        <f>'Ag-Ind-Capacity-Smart'!J84*1000</f>
        <v>4974.0877528208975</v>
      </c>
      <c r="K140" s="309">
        <f>'Ag-Ind-Capacity-Smart'!K84*1000</f>
        <v>5033.1980562397821</v>
      </c>
      <c r="L140" s="309">
        <f>'Ag-Ind-Capacity-Smart'!L84*1000</f>
        <v>5091.9701924157371</v>
      </c>
      <c r="M140" s="309">
        <f>'Ag-Ind-Capacity-Smart'!M84*1000</f>
        <v>5148.2483186769341</v>
      </c>
      <c r="N140" s="309">
        <f>'Ag-Ind-Capacity-Smart'!N84*1000</f>
        <v>5206.4930837351039</v>
      </c>
      <c r="O140" s="309">
        <f>'Ag-Ind-Capacity-Smart'!O84*1000</f>
        <v>5267.1185444169741</v>
      </c>
      <c r="P140" s="309">
        <f>'Ag-Ind-Capacity-Smart'!P84*1000</f>
        <v>5328.0928840426141</v>
      </c>
      <c r="Q140" s="309">
        <f>'Ag-Ind-Capacity-Smart'!Q84*1000</f>
        <v>5387.6862956501054</v>
      </c>
      <c r="R140" s="309">
        <f>'Ag-Ind-Capacity-Smart'!R84*1000</f>
        <v>5447.9462449445882</v>
      </c>
      <c r="S140" s="309">
        <f>'Ag-Ind-Capacity-Smart'!S84*1000</f>
        <v>5508.8801869865547</v>
      </c>
      <c r="T140" s="309">
        <f>'Ag-Ind-Capacity-Smart'!T84*1000</f>
        <v>5570.4956602195125</v>
      </c>
      <c r="U140" s="309">
        <f>'Ag-Ind-Capacity-Smart'!U84*1000</f>
        <v>5632.8002874026115</v>
      </c>
      <c r="V140" s="309">
        <f>'Ag-Ind-Capacity-Smart'!V84*1000</f>
        <v>5695.8017765536933</v>
      </c>
      <c r="W140" s="309"/>
    </row>
    <row r="141" spans="1:49" s="76" customFormat="1" ht="12.75">
      <c r="A141" s="312" t="s">
        <v>320</v>
      </c>
      <c r="B141" s="323">
        <f>B131+B136</f>
        <v>29.107389068166832</v>
      </c>
      <c r="C141" s="309">
        <f>'Ag-Ind-Capacity-Smart'!C85*1000</f>
        <v>25801.678770555744</v>
      </c>
      <c r="D141" s="309">
        <f>'Ag-Ind-Capacity-Smart'!D85*1000</f>
        <v>130557.86170292248</v>
      </c>
      <c r="E141" s="309">
        <f>'Ag-Ind-Capacity-Smart'!E85*1000</f>
        <v>238126.48508924924</v>
      </c>
      <c r="F141" s="309">
        <f>'Ag-Ind-Capacity-Smart'!F85*1000</f>
        <v>348428.27978815482</v>
      </c>
      <c r="G141" s="309">
        <f>'Ag-Ind-Capacity-Smart'!G85*1000</f>
        <v>461771.14111485594</v>
      </c>
      <c r="H141" s="309">
        <f>'Ag-Ind-Capacity-Smart'!H85*1000</f>
        <v>550194.16605516279</v>
      </c>
      <c r="I141" s="309">
        <f>'Ag-Ind-Capacity-Smart'!I85*1000</f>
        <v>557007.57114508806</v>
      </c>
      <c r="J141" s="309">
        <f>'Ag-Ind-Capacity-Smart'!J85*1000</f>
        <v>563729.9453197018</v>
      </c>
      <c r="K141" s="309">
        <f>'Ag-Ind-Capacity-Smart'!K85*1000</f>
        <v>570429.1130405087</v>
      </c>
      <c r="L141" s="309">
        <f>'Ag-Ind-Capacity-Smart'!L85*1000</f>
        <v>577089.95514045027</v>
      </c>
      <c r="M141" s="309">
        <f>'Ag-Ind-Capacity-Smart'!M85*1000</f>
        <v>583468.14278338582</v>
      </c>
      <c r="N141" s="309">
        <f>'Ag-Ind-Capacity-Smart'!N85*1000</f>
        <v>590069.2161566451</v>
      </c>
      <c r="O141" s="309">
        <f>'Ag-Ind-Capacity-Smart'!O85*1000</f>
        <v>596940.10170059046</v>
      </c>
      <c r="P141" s="309">
        <f>'Ag-Ind-Capacity-Smart'!P85*1000</f>
        <v>603850.52685816283</v>
      </c>
      <c r="Q141" s="309">
        <f>'Ag-Ind-Capacity-Smart'!Q85*1000</f>
        <v>610604.44684034504</v>
      </c>
      <c r="R141" s="309">
        <f>'Ag-Ind-Capacity-Smart'!R85*1000</f>
        <v>617433.90776038682</v>
      </c>
      <c r="S141" s="309">
        <f>'Ag-Ind-Capacity-Smart'!S85*1000</f>
        <v>624339.75452514284</v>
      </c>
      <c r="T141" s="309">
        <f>'Ag-Ind-Capacity-Smart'!T85*1000</f>
        <v>631322.84149154474</v>
      </c>
      <c r="U141" s="309">
        <f>'Ag-Ind-Capacity-Smart'!U85*1000</f>
        <v>638384.03257229598</v>
      </c>
      <c r="V141" s="309">
        <f>'Ag-Ind-Capacity-Smart'!V85*1000</f>
        <v>645524.20134275185</v>
      </c>
      <c r="W141" s="309"/>
    </row>
    <row r="142" spans="1:49" s="76" customFormat="1" ht="12.75">
      <c r="A142" s="312" t="s">
        <v>321</v>
      </c>
      <c r="B142" s="323">
        <f>B132+B137</f>
        <v>28.723299484134781</v>
      </c>
      <c r="C142" s="309">
        <f>'Ag-Ind-Capacity-Smart'!C86*1000</f>
        <v>6450.419692638935</v>
      </c>
      <c r="D142" s="309">
        <f>'Ag-Ind-Capacity-Smart'!D86*1000</f>
        <v>32639.465425730621</v>
      </c>
      <c r="E142" s="309">
        <f>'Ag-Ind-Capacity-Smart'!E86*1000</f>
        <v>59531.621272312317</v>
      </c>
      <c r="F142" s="309">
        <f>'Ag-Ind-Capacity-Smart'!F86*1000</f>
        <v>87107.069947038704</v>
      </c>
      <c r="G142" s="309">
        <f>'Ag-Ind-Capacity-Smart'!G86*1000</f>
        <v>115442.78527871399</v>
      </c>
      <c r="H142" s="309">
        <f>'Ag-Ind-Capacity-Smart'!H86*1000</f>
        <v>137548.5415137907</v>
      </c>
      <c r="I142" s="309">
        <f>'Ag-Ind-Capacity-Smart'!I86*1000</f>
        <v>139251.89278627202</v>
      </c>
      <c r="J142" s="309">
        <f>'Ag-Ind-Capacity-Smart'!J86*1000</f>
        <v>140932.48632992545</v>
      </c>
      <c r="K142" s="309">
        <f>'Ag-Ind-Capacity-Smart'!K86*1000</f>
        <v>142607.27826012715</v>
      </c>
      <c r="L142" s="309">
        <f>'Ag-Ind-Capacity-Smart'!L86*1000</f>
        <v>144272.48878511257</v>
      </c>
      <c r="M142" s="309">
        <f>'Ag-Ind-Capacity-Smart'!M86*1000</f>
        <v>145867.03569584648</v>
      </c>
      <c r="N142" s="309">
        <f>'Ag-Ind-Capacity-Smart'!N86*1000</f>
        <v>147517.30403916127</v>
      </c>
      <c r="O142" s="309">
        <f>'Ag-Ind-Capacity-Smart'!O86*1000</f>
        <v>149235.02542514761</v>
      </c>
      <c r="P142" s="309">
        <f>'Ag-Ind-Capacity-Smart'!P86*1000</f>
        <v>150962.63171454071</v>
      </c>
      <c r="Q142" s="309">
        <f>'Ag-Ind-Capacity-Smart'!Q86*1000</f>
        <v>152651.11171008626</v>
      </c>
      <c r="R142" s="309">
        <f>'Ag-Ind-Capacity-Smart'!R86*1000</f>
        <v>154358.47694009671</v>
      </c>
      <c r="S142" s="309">
        <f>'Ag-Ind-Capacity-Smart'!S86*1000</f>
        <v>156084.93863128571</v>
      </c>
      <c r="T142" s="309">
        <f>'Ag-Ind-Capacity-Smart'!T86*1000</f>
        <v>157830.71037288618</v>
      </c>
      <c r="U142" s="309">
        <f>'Ag-Ind-Capacity-Smart'!U86*1000</f>
        <v>159596.008143074</v>
      </c>
      <c r="V142" s="309">
        <f>'Ag-Ind-Capacity-Smart'!V86*1000</f>
        <v>161381.05033568796</v>
      </c>
      <c r="W142" s="309"/>
    </row>
    <row r="143" spans="1:49" s="76" customFormat="1" ht="12.75">
      <c r="A143" s="108" t="s">
        <v>323</v>
      </c>
      <c r="B143" s="323">
        <f>B133+B138</f>
        <v>42.820957513651287</v>
      </c>
      <c r="C143" s="309">
        <f>'Ag-Ind-Capacity-Smart'!C87*1000</f>
        <v>4718.0212609016216</v>
      </c>
      <c r="D143" s="309">
        <f>'Ag-Ind-Capacity-Smart'!D87*1000</f>
        <v>23873.437568534398</v>
      </c>
      <c r="E143" s="309">
        <f>'Ag-Ind-Capacity-Smart'!E87*1000</f>
        <v>43543.128702034162</v>
      </c>
      <c r="F143" s="309">
        <f>'Ag-Ind-Capacity-Smart'!F87*1000</f>
        <v>63712.599732691182</v>
      </c>
      <c r="G143" s="309">
        <f>'Ag-Ind-Capacity-Smart'!G87*1000</f>
        <v>84438.151518145096</v>
      </c>
      <c r="H143" s="309">
        <f>'Ag-Ind-Capacity-Smart'!H87*1000</f>
        <v>100606.93322151549</v>
      </c>
      <c r="I143" s="309">
        <f>'Ag-Ind-Capacity-Smart'!I87*1000</f>
        <v>101852.81300938755</v>
      </c>
      <c r="J143" s="309">
        <f>'Ag-Ind-Capacity-Smart'!J87*1000</f>
        <v>103082.04714417405</v>
      </c>
      <c r="K143" s="309">
        <f>'Ag-Ind-Capacity-Smart'!K87*1000</f>
        <v>104307.03781312158</v>
      </c>
      <c r="L143" s="309">
        <f>'Ag-Ind-Capacity-Smart'!L87*1000</f>
        <v>105525.0203685395</v>
      </c>
      <c r="M143" s="309">
        <f>'Ag-Ind-Capacity-Smart'!M87*1000</f>
        <v>106691.31753753344</v>
      </c>
      <c r="N143" s="309">
        <f>'Ag-Ind-Capacity-Smart'!N87*1000</f>
        <v>107898.37095435799</v>
      </c>
      <c r="O143" s="309">
        <f>'Ag-Ind-Capacity-Smart'!O87*1000</f>
        <v>109154.76145382228</v>
      </c>
      <c r="P143" s="309">
        <f>'Ag-Ind-Capacity-Smart'!P87*1000</f>
        <v>110418.38205406409</v>
      </c>
      <c r="Q143" s="309">
        <f>'Ag-Ind-Capacity-Smart'!Q87*1000</f>
        <v>111653.38456509171</v>
      </c>
      <c r="R143" s="309">
        <f>'Ag-Ind-Capacity-Smart'!R87*1000</f>
        <v>112902.20027618502</v>
      </c>
      <c r="S143" s="309">
        <f>'Ag-Ind-Capacity-Smart'!S87*1000</f>
        <v>114164.98368459755</v>
      </c>
      <c r="T143" s="309">
        <f>'Ag-Ind-Capacity-Smart'!T87*1000</f>
        <v>115441.89101559675</v>
      </c>
      <c r="U143" s="309">
        <f>'Ag-Ind-Capacity-Smart'!U87*1000</f>
        <v>116733.08024179126</v>
      </c>
      <c r="V143" s="309">
        <f>'Ag-Ind-Capacity-Smart'!V87*1000</f>
        <v>118038.71110267466</v>
      </c>
      <c r="W143" s="309"/>
    </row>
    <row r="144" spans="1:49" s="76" customFormat="1">
      <c r="A144"/>
      <c r="B144"/>
      <c r="C144"/>
      <c r="D144"/>
      <c r="E144"/>
      <c r="F144"/>
      <c r="G144"/>
      <c r="H144"/>
      <c r="I144"/>
      <c r="J144"/>
      <c r="K144"/>
      <c r="L144"/>
      <c r="M144"/>
      <c r="N144"/>
      <c r="O144"/>
      <c r="P144"/>
      <c r="Q144"/>
      <c r="R144"/>
      <c r="S144"/>
      <c r="T144"/>
      <c r="U144"/>
      <c r="V144"/>
      <c r="W144"/>
      <c r="X144"/>
      <c r="Y144"/>
      <c r="Z144"/>
      <c r="AA144"/>
      <c r="AB144"/>
      <c r="AC144"/>
      <c r="AD144"/>
      <c r="AE144" s="70"/>
      <c r="AF144"/>
      <c r="AG144" s="70"/>
      <c r="AH144"/>
      <c r="AI144" s="70"/>
      <c r="AJ144"/>
      <c r="AK144"/>
      <c r="AL144"/>
      <c r="AM144"/>
      <c r="AN144"/>
      <c r="AO144"/>
      <c r="AP144"/>
      <c r="AQ144"/>
      <c r="AR144"/>
      <c r="AS144"/>
      <c r="AT144"/>
      <c r="AU144"/>
      <c r="AV144"/>
      <c r="AW144"/>
    </row>
    <row r="147" spans="1:49" s="70" customFormat="1">
      <c r="A147"/>
      <c r="B147"/>
      <c r="C147"/>
      <c r="D147"/>
      <c r="E147"/>
      <c r="F147"/>
      <c r="G147"/>
      <c r="H147"/>
      <c r="I147"/>
      <c r="J147"/>
      <c r="K147"/>
      <c r="L147"/>
      <c r="M147"/>
      <c r="N147"/>
      <c r="O147"/>
      <c r="P147"/>
      <c r="Q147"/>
      <c r="R147"/>
      <c r="S147"/>
      <c r="T147"/>
      <c r="U147"/>
      <c r="V147"/>
      <c r="W147"/>
      <c r="X147"/>
      <c r="Y147"/>
      <c r="Z147"/>
      <c r="AA147"/>
      <c r="AB147"/>
      <c r="AC147"/>
      <c r="AD147"/>
      <c r="AF147"/>
      <c r="AH147"/>
      <c r="AJ147"/>
      <c r="AK147"/>
      <c r="AL147"/>
      <c r="AM147"/>
      <c r="AN147"/>
      <c r="AO147"/>
      <c r="AP147"/>
      <c r="AQ147"/>
      <c r="AR147"/>
      <c r="AS147"/>
      <c r="AT147"/>
      <c r="AU147"/>
      <c r="AV147"/>
      <c r="AW147"/>
    </row>
    <row r="148" spans="1:49" s="76" customFormat="1">
      <c r="A148"/>
      <c r="B148"/>
      <c r="C148"/>
      <c r="D148"/>
      <c r="E148"/>
      <c r="F148"/>
      <c r="G148"/>
      <c r="H148"/>
      <c r="I148"/>
      <c r="J148"/>
      <c r="K148"/>
      <c r="L148"/>
      <c r="M148"/>
      <c r="N148"/>
      <c r="O148"/>
      <c r="P148"/>
      <c r="Q148"/>
      <c r="R148"/>
      <c r="S148"/>
      <c r="T148"/>
      <c r="U148"/>
      <c r="V148"/>
      <c r="W148"/>
      <c r="X148"/>
      <c r="Y148"/>
      <c r="Z148"/>
      <c r="AA148"/>
      <c r="AB148"/>
      <c r="AC148"/>
      <c r="AD148"/>
      <c r="AE148" s="70"/>
      <c r="AF148"/>
      <c r="AG148" s="70"/>
      <c r="AH148"/>
      <c r="AI148" s="70"/>
      <c r="AJ148"/>
      <c r="AK148"/>
      <c r="AL148"/>
      <c r="AM148"/>
      <c r="AN148"/>
      <c r="AO148"/>
      <c r="AP148"/>
      <c r="AQ148"/>
      <c r="AR148"/>
      <c r="AS148"/>
      <c r="AT148"/>
      <c r="AU148"/>
      <c r="AV148"/>
      <c r="AW148"/>
    </row>
    <row r="149" spans="1:49" s="76" customFormat="1">
      <c r="A149"/>
      <c r="B149"/>
      <c r="C149"/>
      <c r="D149"/>
      <c r="E149"/>
      <c r="F149"/>
      <c r="G149"/>
      <c r="H149"/>
      <c r="I149"/>
      <c r="J149"/>
      <c r="K149"/>
      <c r="L149"/>
      <c r="M149"/>
      <c r="N149"/>
      <c r="O149"/>
      <c r="P149"/>
      <c r="Q149"/>
      <c r="R149"/>
      <c r="S149"/>
      <c r="T149"/>
      <c r="U149"/>
      <c r="V149"/>
      <c r="W149"/>
      <c r="X149"/>
      <c r="Y149"/>
      <c r="Z149"/>
      <c r="AA149"/>
      <c r="AB149"/>
      <c r="AC149"/>
      <c r="AD149"/>
      <c r="AE149" s="70"/>
      <c r="AF149"/>
      <c r="AG149" s="70"/>
      <c r="AH149"/>
      <c r="AI149" s="70"/>
      <c r="AJ149"/>
      <c r="AK149"/>
      <c r="AL149"/>
      <c r="AM149"/>
      <c r="AN149"/>
      <c r="AO149"/>
      <c r="AP149"/>
      <c r="AQ149"/>
      <c r="AR149"/>
      <c r="AS149"/>
      <c r="AT149"/>
      <c r="AU149"/>
      <c r="AV149"/>
      <c r="AW149"/>
    </row>
    <row r="150" spans="1:49" s="76" customFormat="1">
      <c r="A150"/>
      <c r="B150"/>
      <c r="C150"/>
      <c r="D150"/>
      <c r="E150"/>
      <c r="F150"/>
      <c r="G150"/>
      <c r="H150"/>
      <c r="I150"/>
      <c r="J150"/>
      <c r="K150"/>
      <c r="L150"/>
      <c r="M150"/>
      <c r="N150"/>
      <c r="O150"/>
      <c r="P150"/>
      <c r="Q150"/>
      <c r="R150"/>
      <c r="S150"/>
      <c r="T150"/>
      <c r="U150"/>
      <c r="V150"/>
      <c r="W150"/>
      <c r="X150"/>
      <c r="Y150"/>
      <c r="Z150"/>
      <c r="AA150"/>
      <c r="AB150"/>
      <c r="AC150"/>
      <c r="AD150"/>
      <c r="AE150" s="70"/>
      <c r="AF150"/>
      <c r="AG150" s="70"/>
      <c r="AH150"/>
      <c r="AI150" s="70"/>
      <c r="AJ150"/>
      <c r="AK150"/>
      <c r="AL150"/>
      <c r="AM150"/>
      <c r="AN150"/>
      <c r="AO150"/>
      <c r="AP150"/>
      <c r="AQ150"/>
      <c r="AR150"/>
      <c r="AS150"/>
      <c r="AT150"/>
      <c r="AU150"/>
      <c r="AV150"/>
      <c r="AW150"/>
    </row>
    <row r="151" spans="1:49" s="76" customFormat="1">
      <c r="A151"/>
      <c r="B151"/>
      <c r="C151"/>
      <c r="D151"/>
      <c r="E151"/>
      <c r="F151"/>
      <c r="G151"/>
      <c r="H151"/>
      <c r="I151"/>
      <c r="J151"/>
      <c r="K151"/>
      <c r="L151"/>
      <c r="M151"/>
      <c r="N151"/>
      <c r="O151"/>
      <c r="P151"/>
      <c r="Q151"/>
      <c r="R151"/>
      <c r="S151"/>
      <c r="T151"/>
      <c r="U151"/>
      <c r="V151"/>
      <c r="W151"/>
      <c r="X151"/>
      <c r="Y151"/>
      <c r="Z151"/>
      <c r="AA151"/>
      <c r="AB151"/>
      <c r="AC151"/>
      <c r="AD151"/>
      <c r="AE151" s="70"/>
      <c r="AF151"/>
      <c r="AG151" s="70"/>
      <c r="AH151"/>
      <c r="AI151" s="70"/>
      <c r="AJ151"/>
      <c r="AK151"/>
      <c r="AL151"/>
      <c r="AM151"/>
      <c r="AN151"/>
      <c r="AO151"/>
      <c r="AP151"/>
      <c r="AQ151"/>
      <c r="AR151"/>
      <c r="AS151"/>
      <c r="AT151"/>
      <c r="AU151"/>
      <c r="AV151"/>
      <c r="AW151"/>
    </row>
    <row r="152" spans="1:49" s="76" customFormat="1">
      <c r="A152"/>
      <c r="B152"/>
      <c r="C152"/>
      <c r="D152"/>
      <c r="E152"/>
      <c r="F152"/>
      <c r="G152"/>
      <c r="H152"/>
      <c r="I152"/>
      <c r="J152"/>
      <c r="K152"/>
      <c r="L152"/>
      <c r="M152"/>
      <c r="N152"/>
      <c r="O152"/>
      <c r="P152"/>
      <c r="Q152"/>
      <c r="R152"/>
      <c r="S152"/>
      <c r="T152"/>
      <c r="U152"/>
      <c r="V152"/>
      <c r="W152"/>
      <c r="X152"/>
      <c r="Y152"/>
      <c r="Z152"/>
      <c r="AA152"/>
      <c r="AB152"/>
      <c r="AC152"/>
      <c r="AD152"/>
      <c r="AE152" s="70"/>
      <c r="AF152"/>
      <c r="AG152" s="70"/>
      <c r="AH152"/>
      <c r="AI152" s="70"/>
      <c r="AJ152"/>
      <c r="AK152"/>
      <c r="AL152"/>
      <c r="AM152"/>
      <c r="AN152"/>
      <c r="AO152"/>
      <c r="AP152"/>
      <c r="AQ152"/>
      <c r="AR152"/>
      <c r="AS152"/>
      <c r="AT152"/>
      <c r="AU152"/>
      <c r="AV152"/>
      <c r="AW152"/>
    </row>
    <row r="153" spans="1:49" s="76" customFormat="1">
      <c r="A153"/>
      <c r="B153"/>
      <c r="C153"/>
      <c r="D153"/>
      <c r="E153"/>
      <c r="F153"/>
      <c r="G153"/>
      <c r="H153"/>
      <c r="I153"/>
      <c r="J153"/>
      <c r="K153"/>
      <c r="L153"/>
      <c r="M153"/>
      <c r="N153"/>
      <c r="O153"/>
      <c r="P153"/>
      <c r="Q153"/>
      <c r="R153"/>
      <c r="S153"/>
      <c r="T153"/>
      <c r="U153"/>
      <c r="V153"/>
      <c r="W153"/>
      <c r="X153"/>
      <c r="Y153"/>
      <c r="Z153"/>
      <c r="AA153"/>
      <c r="AB153"/>
      <c r="AC153"/>
      <c r="AD153"/>
      <c r="AE153" s="70"/>
      <c r="AF153"/>
      <c r="AG153" s="70"/>
      <c r="AH153"/>
      <c r="AI153" s="70"/>
      <c r="AJ153"/>
      <c r="AK153"/>
      <c r="AL153"/>
      <c r="AM153"/>
      <c r="AN153"/>
      <c r="AO153"/>
      <c r="AP153"/>
      <c r="AQ153"/>
      <c r="AR153"/>
      <c r="AS153"/>
      <c r="AT153"/>
      <c r="AU153"/>
      <c r="AV153"/>
      <c r="AW153"/>
    </row>
    <row r="154" spans="1:49" s="76" customFormat="1">
      <c r="A154"/>
      <c r="B154"/>
      <c r="C154"/>
      <c r="D154"/>
      <c r="E154"/>
      <c r="F154"/>
      <c r="G154"/>
      <c r="H154"/>
      <c r="I154"/>
      <c r="J154"/>
      <c r="K154"/>
      <c r="L154"/>
      <c r="M154"/>
      <c r="N154"/>
      <c r="O154"/>
      <c r="P154"/>
      <c r="Q154"/>
      <c r="R154"/>
      <c r="S154"/>
      <c r="T154"/>
      <c r="U154"/>
      <c r="V154"/>
      <c r="W154"/>
      <c r="X154"/>
      <c r="Y154"/>
      <c r="Z154"/>
      <c r="AA154"/>
      <c r="AB154"/>
      <c r="AC154"/>
      <c r="AD154"/>
      <c r="AE154" s="70"/>
      <c r="AF154"/>
      <c r="AG154" s="70"/>
      <c r="AH154"/>
      <c r="AI154" s="70"/>
      <c r="AJ154"/>
      <c r="AK154"/>
      <c r="AL154"/>
      <c r="AM154"/>
      <c r="AN154"/>
      <c r="AO154"/>
      <c r="AP154"/>
      <c r="AQ154"/>
      <c r="AR154"/>
      <c r="AS154"/>
      <c r="AT154"/>
      <c r="AU154"/>
      <c r="AV154"/>
      <c r="AW154"/>
    </row>
    <row r="155" spans="1:49" s="76" customFormat="1">
      <c r="A155"/>
      <c r="B155"/>
      <c r="C155"/>
      <c r="D155"/>
      <c r="E155"/>
      <c r="F155"/>
      <c r="G155"/>
      <c r="H155"/>
      <c r="I155"/>
      <c r="J155"/>
      <c r="K155"/>
      <c r="L155"/>
      <c r="M155"/>
      <c r="N155"/>
      <c r="O155"/>
      <c r="P155"/>
      <c r="Q155"/>
      <c r="R155"/>
      <c r="S155"/>
      <c r="T155"/>
      <c r="U155"/>
      <c r="V155"/>
      <c r="W155"/>
      <c r="X155"/>
      <c r="Y155"/>
      <c r="Z155"/>
      <c r="AA155"/>
      <c r="AB155"/>
      <c r="AC155"/>
      <c r="AD155"/>
      <c r="AE155" s="70"/>
      <c r="AF155"/>
      <c r="AG155" s="70"/>
      <c r="AH155"/>
      <c r="AI155" s="70"/>
      <c r="AJ155"/>
      <c r="AK155"/>
      <c r="AL155"/>
      <c r="AM155"/>
      <c r="AN155"/>
      <c r="AO155"/>
      <c r="AP155"/>
      <c r="AQ155"/>
      <c r="AR155"/>
      <c r="AS155"/>
      <c r="AT155"/>
      <c r="AU155"/>
      <c r="AV155"/>
      <c r="AW155"/>
    </row>
    <row r="156" spans="1:49" s="76" customFormat="1">
      <c r="A156"/>
      <c r="B156"/>
      <c r="C156"/>
      <c r="D156"/>
      <c r="E156"/>
      <c r="F156"/>
      <c r="G156"/>
      <c r="H156"/>
      <c r="I156"/>
      <c r="J156"/>
      <c r="K156"/>
      <c r="L156"/>
      <c r="M156"/>
      <c r="N156"/>
      <c r="O156"/>
      <c r="P156"/>
      <c r="Q156"/>
      <c r="R156"/>
      <c r="S156"/>
      <c r="T156"/>
      <c r="U156"/>
      <c r="V156"/>
      <c r="W156"/>
      <c r="X156"/>
      <c r="Y156"/>
      <c r="Z156"/>
      <c r="AA156"/>
      <c r="AB156"/>
      <c r="AC156"/>
      <c r="AD156"/>
      <c r="AE156" s="70"/>
      <c r="AF156"/>
      <c r="AG156" s="70"/>
      <c r="AH156"/>
      <c r="AI156" s="70"/>
      <c r="AJ156"/>
      <c r="AK156"/>
      <c r="AL156"/>
      <c r="AM156"/>
      <c r="AN156"/>
      <c r="AO156"/>
      <c r="AP156"/>
      <c r="AQ156"/>
      <c r="AR156"/>
      <c r="AS156"/>
      <c r="AT156"/>
      <c r="AU156"/>
      <c r="AV156"/>
      <c r="AW156"/>
    </row>
    <row r="157" spans="1:49" s="76" customFormat="1">
      <c r="A157"/>
      <c r="B157"/>
      <c r="C157"/>
      <c r="D157"/>
      <c r="E157"/>
      <c r="F157"/>
      <c r="G157"/>
      <c r="H157"/>
      <c r="I157"/>
      <c r="J157"/>
      <c r="K157"/>
      <c r="L157"/>
      <c r="M157"/>
      <c r="N157"/>
      <c r="O157"/>
      <c r="P157"/>
      <c r="Q157"/>
      <c r="R157"/>
      <c r="S157"/>
      <c r="T157"/>
      <c r="U157"/>
      <c r="V157"/>
      <c r="W157"/>
      <c r="X157"/>
      <c r="Y157"/>
      <c r="Z157"/>
      <c r="AA157"/>
      <c r="AB157"/>
      <c r="AC157"/>
      <c r="AD157"/>
      <c r="AE157" s="70"/>
      <c r="AF157"/>
      <c r="AG157" s="70"/>
      <c r="AH157"/>
      <c r="AI157" s="70"/>
      <c r="AJ157"/>
      <c r="AK157"/>
      <c r="AL157"/>
      <c r="AM157"/>
      <c r="AN157"/>
      <c r="AO157"/>
      <c r="AP157"/>
      <c r="AQ157"/>
      <c r="AR157"/>
      <c r="AS157"/>
      <c r="AT157"/>
      <c r="AU157"/>
      <c r="AV157"/>
      <c r="AW157"/>
    </row>
    <row r="158" spans="1:49" s="76" customFormat="1">
      <c r="A158"/>
      <c r="B158"/>
      <c r="C158"/>
      <c r="D158"/>
      <c r="E158"/>
      <c r="F158"/>
      <c r="G158"/>
      <c r="H158"/>
      <c r="I158"/>
      <c r="J158"/>
      <c r="K158"/>
      <c r="L158"/>
      <c r="M158"/>
      <c r="N158"/>
      <c r="O158"/>
      <c r="P158"/>
      <c r="Q158"/>
      <c r="R158"/>
      <c r="S158"/>
      <c r="T158"/>
      <c r="U158"/>
      <c r="V158"/>
      <c r="W158"/>
      <c r="X158"/>
      <c r="Y158"/>
      <c r="Z158"/>
      <c r="AA158"/>
      <c r="AB158"/>
      <c r="AC158"/>
      <c r="AD158"/>
      <c r="AE158" s="70"/>
      <c r="AF158"/>
      <c r="AG158" s="70"/>
      <c r="AH158"/>
      <c r="AI158" s="70"/>
      <c r="AJ158"/>
      <c r="AK158"/>
      <c r="AL158"/>
      <c r="AM158"/>
      <c r="AN158"/>
      <c r="AO158"/>
      <c r="AP158"/>
      <c r="AQ158"/>
      <c r="AR158"/>
      <c r="AS158"/>
      <c r="AT158"/>
      <c r="AU158"/>
      <c r="AV158"/>
      <c r="AW158"/>
    </row>
    <row r="159" spans="1:49" s="76" customFormat="1">
      <c r="A159"/>
      <c r="B159"/>
      <c r="C159"/>
      <c r="D159"/>
      <c r="E159"/>
      <c r="F159"/>
      <c r="G159"/>
      <c r="H159"/>
      <c r="I159"/>
      <c r="J159"/>
      <c r="K159"/>
      <c r="L159"/>
      <c r="M159"/>
      <c r="N159"/>
      <c r="O159"/>
      <c r="P159"/>
      <c r="Q159"/>
      <c r="R159"/>
      <c r="S159"/>
      <c r="T159"/>
      <c r="U159"/>
      <c r="V159"/>
      <c r="W159"/>
      <c r="X159"/>
      <c r="Y159"/>
      <c r="Z159"/>
      <c r="AA159"/>
      <c r="AB159"/>
      <c r="AC159"/>
      <c r="AD159"/>
      <c r="AE159" s="70"/>
      <c r="AF159"/>
      <c r="AG159" s="70"/>
      <c r="AH159"/>
      <c r="AI159" s="70"/>
      <c r="AJ159"/>
      <c r="AK159"/>
      <c r="AL159"/>
      <c r="AM159"/>
      <c r="AN159"/>
      <c r="AO159"/>
      <c r="AP159"/>
      <c r="AQ159"/>
      <c r="AR159"/>
      <c r="AS159"/>
      <c r="AT159"/>
      <c r="AU159"/>
      <c r="AV159"/>
      <c r="AW159"/>
    </row>
    <row r="160" spans="1:49" s="76" customFormat="1">
      <c r="A160"/>
      <c r="B160"/>
      <c r="C160"/>
      <c r="D160"/>
      <c r="E160"/>
      <c r="F160"/>
      <c r="G160"/>
      <c r="H160"/>
      <c r="I160"/>
      <c r="J160"/>
      <c r="K160"/>
      <c r="L160"/>
      <c r="M160"/>
      <c r="N160"/>
      <c r="O160"/>
      <c r="P160"/>
      <c r="Q160"/>
      <c r="R160"/>
      <c r="S160"/>
      <c r="T160"/>
      <c r="U160"/>
      <c r="V160"/>
      <c r="W160"/>
      <c r="X160"/>
      <c r="Y160"/>
      <c r="Z160"/>
      <c r="AA160"/>
      <c r="AB160"/>
      <c r="AC160"/>
      <c r="AD160"/>
      <c r="AE160" s="70"/>
      <c r="AF160"/>
      <c r="AG160" s="70"/>
      <c r="AH160"/>
      <c r="AI160" s="70"/>
      <c r="AJ160"/>
      <c r="AK160"/>
      <c r="AL160"/>
      <c r="AM160"/>
      <c r="AN160"/>
      <c r="AO160"/>
      <c r="AP160"/>
      <c r="AQ160"/>
      <c r="AR160"/>
      <c r="AS160"/>
      <c r="AT160"/>
      <c r="AU160"/>
      <c r="AV160"/>
      <c r="AW160"/>
    </row>
    <row r="161" spans="1:49" s="76" customFormat="1">
      <c r="A161"/>
      <c r="B161"/>
      <c r="C161"/>
      <c r="D161"/>
      <c r="E161"/>
      <c r="F161"/>
      <c r="G161"/>
      <c r="H161"/>
      <c r="I161"/>
      <c r="J161"/>
      <c r="K161"/>
      <c r="L161"/>
      <c r="M161"/>
      <c r="N161"/>
      <c r="O161"/>
      <c r="P161"/>
      <c r="Q161"/>
      <c r="R161"/>
      <c r="S161"/>
      <c r="T161"/>
      <c r="U161"/>
      <c r="V161"/>
      <c r="W161"/>
      <c r="X161"/>
      <c r="Y161"/>
      <c r="Z161"/>
      <c r="AA161"/>
      <c r="AB161"/>
      <c r="AC161"/>
      <c r="AD161"/>
      <c r="AE161" s="70"/>
      <c r="AF161"/>
      <c r="AG161" s="70"/>
      <c r="AH161"/>
      <c r="AI161" s="70"/>
      <c r="AJ161"/>
      <c r="AK161"/>
      <c r="AL161"/>
      <c r="AM161"/>
      <c r="AN161"/>
      <c r="AO161"/>
      <c r="AP161"/>
      <c r="AQ161"/>
      <c r="AR161"/>
      <c r="AS161"/>
      <c r="AT161"/>
      <c r="AU161"/>
      <c r="AV161"/>
      <c r="AW161"/>
    </row>
    <row r="162" spans="1:49" s="76" customFormat="1">
      <c r="A162"/>
      <c r="B162"/>
      <c r="C162"/>
      <c r="D162"/>
      <c r="E162"/>
      <c r="F162"/>
      <c r="G162"/>
      <c r="H162"/>
      <c r="I162"/>
      <c r="J162"/>
      <c r="K162"/>
      <c r="L162"/>
      <c r="M162"/>
      <c r="N162"/>
      <c r="O162"/>
      <c r="P162"/>
      <c r="Q162"/>
      <c r="R162"/>
      <c r="S162"/>
      <c r="T162"/>
      <c r="U162"/>
      <c r="V162"/>
      <c r="W162"/>
      <c r="X162"/>
      <c r="Y162"/>
      <c r="Z162"/>
      <c r="AA162"/>
      <c r="AB162"/>
      <c r="AC162"/>
      <c r="AD162"/>
      <c r="AE162" s="70"/>
      <c r="AF162"/>
      <c r="AG162" s="70"/>
      <c r="AH162"/>
      <c r="AI162" s="70"/>
      <c r="AJ162"/>
      <c r="AK162"/>
      <c r="AL162"/>
      <c r="AM162"/>
      <c r="AN162"/>
      <c r="AO162"/>
      <c r="AP162"/>
      <c r="AQ162"/>
      <c r="AR162"/>
      <c r="AS162"/>
      <c r="AT162"/>
      <c r="AU162"/>
      <c r="AV162"/>
      <c r="AW162"/>
    </row>
  </sheetData>
  <mergeCells count="30">
    <mergeCell ref="C139:W139"/>
    <mergeCell ref="A128:A129"/>
    <mergeCell ref="B128:B129"/>
    <mergeCell ref="C128:W128"/>
    <mergeCell ref="C101:W101"/>
    <mergeCell ref="C106:W106"/>
    <mergeCell ref="C122:W122"/>
    <mergeCell ref="A113:A114"/>
    <mergeCell ref="B113:B114"/>
    <mergeCell ref="C113:W113"/>
    <mergeCell ref="C134:W134"/>
    <mergeCell ref="A95:A96"/>
    <mergeCell ref="B95:B96"/>
    <mergeCell ref="C95:W95"/>
    <mergeCell ref="C118:W118"/>
    <mergeCell ref="C75:W75"/>
    <mergeCell ref="C78:W78"/>
    <mergeCell ref="C87:W87"/>
    <mergeCell ref="C90:W90"/>
    <mergeCell ref="A83:A84"/>
    <mergeCell ref="B83:B84"/>
    <mergeCell ref="C83:W83"/>
    <mergeCell ref="A71:A72"/>
    <mergeCell ref="B71:B72"/>
    <mergeCell ref="C71:W71"/>
    <mergeCell ref="A53:A54"/>
    <mergeCell ref="B53:B54"/>
    <mergeCell ref="C53:W53"/>
    <mergeCell ref="C59:W59"/>
    <mergeCell ref="C64:W6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9" tint="-0.249977111117893"/>
  </sheetPr>
  <dimension ref="A1:O60"/>
  <sheetViews>
    <sheetView topLeftCell="A40" zoomScaleNormal="100" workbookViewId="0">
      <selection activeCell="E70" sqref="E70"/>
    </sheetView>
  </sheetViews>
  <sheetFormatPr defaultRowHeight="15"/>
  <cols>
    <col min="1" max="1" width="27.7109375" bestFit="1" customWidth="1"/>
    <col min="2" max="2" width="9.7109375" bestFit="1" customWidth="1"/>
    <col min="3" max="3" width="7.42578125" customWidth="1"/>
    <col min="4" max="4" width="8" bestFit="1" customWidth="1"/>
    <col min="5" max="5" width="9.85546875" bestFit="1" customWidth="1"/>
    <col min="6" max="9" width="9.5703125" bestFit="1" customWidth="1"/>
    <col min="10" max="12" width="6.42578125" bestFit="1" customWidth="1"/>
    <col min="13" max="13" width="6.42578125" style="70" bestFit="1" customWidth="1"/>
    <col min="14" max="14" width="6.5703125" customWidth="1"/>
    <col min="15" max="15" width="27.5703125" bestFit="1" customWidth="1"/>
  </cols>
  <sheetData>
    <row r="1" spans="1:15" ht="30.75" thickBot="1">
      <c r="B1" s="335" t="s">
        <v>418</v>
      </c>
      <c r="C1" s="335" t="s">
        <v>431</v>
      </c>
      <c r="D1" s="335" t="s">
        <v>419</v>
      </c>
      <c r="E1" s="335" t="s">
        <v>432</v>
      </c>
      <c r="F1" s="335" t="s">
        <v>420</v>
      </c>
      <c r="G1" s="335" t="s">
        <v>433</v>
      </c>
      <c r="H1" s="335" t="s">
        <v>421</v>
      </c>
      <c r="I1" s="335" t="s">
        <v>422</v>
      </c>
      <c r="J1" s="335" t="s">
        <v>423</v>
      </c>
      <c r="K1" s="335" t="s">
        <v>424</v>
      </c>
      <c r="L1" s="335" t="s">
        <v>425</v>
      </c>
      <c r="M1" s="335" t="s">
        <v>426</v>
      </c>
      <c r="N1" s="335" t="s">
        <v>427</v>
      </c>
    </row>
    <row r="2" spans="1:15" ht="15" customHeight="1">
      <c r="A2" s="70" t="s">
        <v>443</v>
      </c>
      <c r="B2" s="369">
        <f>CostByType_Details!AD25</f>
        <v>62.137554128247857</v>
      </c>
      <c r="C2" s="369">
        <f>CostByType_Details!AE25</f>
        <v>250.44574565155881</v>
      </c>
      <c r="D2" s="369">
        <f>CostByType_Details!AF25</f>
        <v>254.19343314487418</v>
      </c>
      <c r="E2" s="369">
        <f>CostByType_Details!AG25</f>
        <v>257.63491010621863</v>
      </c>
      <c r="F2" s="369">
        <f>CostByType_Details!AH25</f>
        <v>261.68525570922293</v>
      </c>
      <c r="G2" s="369">
        <f>CostByType_Details!AI25</f>
        <v>207.97309449227973</v>
      </c>
      <c r="H2" s="340">
        <f>CostByType_Details!AJ25</f>
        <v>31.836480395361086</v>
      </c>
      <c r="I2" s="340">
        <f>CostByType_Details!AK25</f>
        <v>31.423066409954323</v>
      </c>
      <c r="J2" s="340">
        <f>CostByType_Details!AL25</f>
        <v>30.527536007542636</v>
      </c>
      <c r="K2" s="340">
        <f>CostByType_Details!AM25</f>
        <v>32.413976276983469</v>
      </c>
      <c r="L2" s="340">
        <f>CostByType_Details!AN25</f>
        <v>31.948440599153201</v>
      </c>
      <c r="M2" s="340">
        <f>CostByType_Details!AO25</f>
        <v>32.667108247169018</v>
      </c>
      <c r="N2" s="340">
        <f>CostByType_Details!AP25</f>
        <v>33.401942042220767</v>
      </c>
      <c r="O2" s="480" t="s">
        <v>477</v>
      </c>
    </row>
    <row r="3" spans="1:15">
      <c r="A3" s="70" t="s">
        <v>444</v>
      </c>
      <c r="B3" s="369">
        <f>CostByType_Details!AD26</f>
        <v>57.841517795277724</v>
      </c>
      <c r="C3" s="369">
        <f>CostByType_Details!AE26</f>
        <v>223.94543756473064</v>
      </c>
      <c r="D3" s="369">
        <f>CostByType_Details!AF26</f>
        <v>211.60347499569477</v>
      </c>
      <c r="E3" s="369">
        <f>CostByType_Details!AG26</f>
        <v>198.36889325736647</v>
      </c>
      <c r="F3" s="369">
        <f>CostByType_Details!AH26</f>
        <v>184.46987449080615</v>
      </c>
      <c r="G3" s="369">
        <f>CostByType_Details!AI26</f>
        <v>168.46385171896475</v>
      </c>
      <c r="H3" s="340">
        <f>CostByType_Details!AJ26</f>
        <v>27.306598253065982</v>
      </c>
      <c r="I3" s="340">
        <f>CostByType_Details!AK26</f>
        <v>26.917791906455367</v>
      </c>
      <c r="J3" s="340">
        <f>CostByType_Details!AL26</f>
        <v>26.276463565448484</v>
      </c>
      <c r="K3" s="340">
        <f>CostByType_Details!AM26</f>
        <v>25.960262023548939</v>
      </c>
      <c r="L3" s="340">
        <f>CostByType_Details!AN26</f>
        <v>25.63148821918298</v>
      </c>
      <c r="M3" s="340">
        <f>CostByType_Details!AO26</f>
        <v>26.202219681279907</v>
      </c>
      <c r="N3" s="340">
        <f>CostByType_Details!AP26</f>
        <v>26.785660031950194</v>
      </c>
      <c r="O3" s="481"/>
    </row>
    <row r="4" spans="1:15">
      <c r="A4" s="70" t="s">
        <v>445</v>
      </c>
      <c r="B4" s="369">
        <f>CostByType_Details!AD27</f>
        <v>16.120239344277898</v>
      </c>
      <c r="C4" s="369">
        <f>CostByType_Details!AE27</f>
        <v>65.433417927009287</v>
      </c>
      <c r="D4" s="369">
        <f>CostByType_Details!AF27</f>
        <v>67.023544936424187</v>
      </c>
      <c r="E4" s="369">
        <f>CostByType_Details!AG27</f>
        <v>68.542329311216989</v>
      </c>
      <c r="F4" s="369">
        <f>CostByType_Details!AH27</f>
        <v>70.151841760452768</v>
      </c>
      <c r="G4" s="369">
        <f>CostByType_Details!AI27</f>
        <v>55.103601616784474</v>
      </c>
      <c r="H4" s="340">
        <f>CostByType_Details!AJ27</f>
        <v>8.6479979800857052</v>
      </c>
      <c r="I4" s="340">
        <f>CostByType_Details!AK27</f>
        <v>8.5309042944337659</v>
      </c>
      <c r="J4" s="340">
        <f>CostByType_Details!AL27</f>
        <v>8.3054105050803564</v>
      </c>
      <c r="K4" s="340">
        <f>CostByType_Details!AM27</f>
        <v>8.5467880793818871</v>
      </c>
      <c r="L4" s="340">
        <f>CostByType_Details!AN27</f>
        <v>8.4302135339957793</v>
      </c>
      <c r="M4" s="340">
        <f>CostByType_Details!AO27</f>
        <v>8.6190296653968819</v>
      </c>
      <c r="N4" s="340">
        <f>CostByType_Details!AP27</f>
        <v>8.8120749954231528</v>
      </c>
      <c r="O4" s="481"/>
    </row>
    <row r="5" spans="1:15" ht="15.75" thickBot="1">
      <c r="A5" s="70" t="s">
        <v>532</v>
      </c>
      <c r="B5" s="369">
        <f>CostByType_Details!AD28</f>
        <v>35.244097079913558</v>
      </c>
      <c r="C5" s="369">
        <f>CostByType_Details!AE28</f>
        <v>160.26317009773848</v>
      </c>
      <c r="D5" s="369">
        <f>CostByType_Details!AF28</f>
        <v>191.96739041539018</v>
      </c>
      <c r="E5" s="369">
        <f>CostByType_Details!AG28</f>
        <v>224.79805402323322</v>
      </c>
      <c r="F5" s="369">
        <f>CostByType_Details!AH28</f>
        <v>258.75831201584828</v>
      </c>
      <c r="G5" s="369">
        <f>CostByType_Details!AI28</f>
        <v>167.72571798580105</v>
      </c>
      <c r="H5" s="340">
        <f>CostByType_Details!AJ28</f>
        <v>27.769952884162649</v>
      </c>
      <c r="I5" s="340">
        <f>CostByType_Details!AK28</f>
        <v>27.362140468987391</v>
      </c>
      <c r="J5" s="340">
        <f>CostByType_Details!AL28</f>
        <v>26.755908111900155</v>
      </c>
      <c r="K5" s="340">
        <f>CostByType_Details!AM28</f>
        <v>25.732871959781143</v>
      </c>
      <c r="L5" s="340">
        <f>CostByType_Details!AN28</f>
        <v>25.424095165356945</v>
      </c>
      <c r="M5" s="340">
        <f>CostByType_Details!AO28</f>
        <v>25.987944813584214</v>
      </c>
      <c r="N5" s="340">
        <f>CostByType_Details!AP28</f>
        <v>26.564299387698462</v>
      </c>
      <c r="O5" s="482"/>
    </row>
    <row r="6" spans="1:15">
      <c r="B6" s="70" t="s">
        <v>479</v>
      </c>
      <c r="H6" s="70" t="s">
        <v>478</v>
      </c>
    </row>
    <row r="7" spans="1:15" s="70" customFormat="1" ht="30.75" thickBot="1">
      <c r="B7" s="335" t="s">
        <v>418</v>
      </c>
      <c r="C7" s="335" t="s">
        <v>431</v>
      </c>
      <c r="D7" s="335" t="s">
        <v>419</v>
      </c>
      <c r="E7" s="335" t="s">
        <v>432</v>
      </c>
      <c r="F7" s="335" t="s">
        <v>420</v>
      </c>
      <c r="G7" s="335" t="s">
        <v>433</v>
      </c>
      <c r="H7" s="335" t="s">
        <v>421</v>
      </c>
      <c r="I7" s="335" t="s">
        <v>422</v>
      </c>
      <c r="J7" s="335" t="s">
        <v>423</v>
      </c>
      <c r="K7" s="335" t="s">
        <v>424</v>
      </c>
      <c r="L7" s="335" t="s">
        <v>425</v>
      </c>
      <c r="M7" s="335" t="s">
        <v>426</v>
      </c>
      <c r="N7" s="335" t="s">
        <v>427</v>
      </c>
    </row>
    <row r="8" spans="1:15" s="70" customFormat="1" ht="15" customHeight="1">
      <c r="A8" s="70" t="s">
        <v>443</v>
      </c>
      <c r="B8" s="339">
        <f>B2</f>
        <v>62.137554128247857</v>
      </c>
      <c r="C8" s="339">
        <f>MIN(B8+C2,$B18)</f>
        <v>312.58329977980668</v>
      </c>
      <c r="D8" s="339">
        <f t="shared" ref="D8:N8" si="0">MIN(C8+D2,$B18)</f>
        <v>566.7767329246808</v>
      </c>
      <c r="E8" s="339">
        <f t="shared" si="0"/>
        <v>824.41164303089943</v>
      </c>
      <c r="F8" s="339">
        <f t="shared" si="0"/>
        <v>1086.0968987401225</v>
      </c>
      <c r="G8" s="339">
        <f t="shared" si="0"/>
        <v>1294.0699932324021</v>
      </c>
      <c r="H8" s="339">
        <f t="shared" si="0"/>
        <v>1325.9064736277633</v>
      </c>
      <c r="I8" s="339">
        <f t="shared" si="0"/>
        <v>1357.3295400377176</v>
      </c>
      <c r="J8" s="339">
        <f t="shared" si="0"/>
        <v>1387.8570760452603</v>
      </c>
      <c r="K8" s="339">
        <f t="shared" si="0"/>
        <v>1420.2710523222438</v>
      </c>
      <c r="L8" s="339">
        <f t="shared" si="0"/>
        <v>1452.219492921397</v>
      </c>
      <c r="M8" s="339">
        <f t="shared" si="0"/>
        <v>1484.8866011685659</v>
      </c>
      <c r="N8" s="339">
        <f t="shared" si="0"/>
        <v>1518.2885432107867</v>
      </c>
      <c r="O8" s="480" t="s">
        <v>480</v>
      </c>
    </row>
    <row r="9" spans="1:15" s="70" customFormat="1">
      <c r="A9" s="70" t="s">
        <v>444</v>
      </c>
      <c r="B9" s="339">
        <f t="shared" ref="B9:B11" si="1">B3</f>
        <v>57.841517795277724</v>
      </c>
      <c r="C9" s="339">
        <f t="shared" ref="C9:N10" si="2">MIN(B9+C3,$B19)</f>
        <v>281.78695536000839</v>
      </c>
      <c r="D9" s="339">
        <f t="shared" si="2"/>
        <v>493.39043035570319</v>
      </c>
      <c r="E9" s="339">
        <f t="shared" si="2"/>
        <v>691.75932361306968</v>
      </c>
      <c r="F9" s="339">
        <f t="shared" si="2"/>
        <v>876.22919810387589</v>
      </c>
      <c r="G9" s="339">
        <f t="shared" si="2"/>
        <v>1044.6930498228407</v>
      </c>
      <c r="H9" s="339">
        <f t="shared" si="2"/>
        <v>1071.9996480759066</v>
      </c>
      <c r="I9" s="339">
        <f t="shared" si="2"/>
        <v>1098.9174399823621</v>
      </c>
      <c r="J9" s="339">
        <f t="shared" si="2"/>
        <v>1125.1939035478106</v>
      </c>
      <c r="K9" s="339">
        <f t="shared" si="2"/>
        <v>1151.1541655713595</v>
      </c>
      <c r="L9" s="339">
        <f t="shared" si="2"/>
        <v>1176.7856537905425</v>
      </c>
      <c r="M9" s="339">
        <f t="shared" si="2"/>
        <v>1202.9878734718225</v>
      </c>
      <c r="N9" s="339">
        <f t="shared" si="2"/>
        <v>1229.7735335037726</v>
      </c>
      <c r="O9" s="481"/>
    </row>
    <row r="10" spans="1:15" s="70" customFormat="1">
      <c r="A10" s="70" t="s">
        <v>445</v>
      </c>
      <c r="B10" s="339">
        <f t="shared" si="1"/>
        <v>16.120239344277898</v>
      </c>
      <c r="C10" s="339">
        <f t="shared" si="2"/>
        <v>81.553657271287193</v>
      </c>
      <c r="D10" s="339">
        <f t="shared" si="2"/>
        <v>148.57720220771137</v>
      </c>
      <c r="E10" s="339">
        <f t="shared" si="2"/>
        <v>217.11953151892834</v>
      </c>
      <c r="F10" s="339">
        <f t="shared" si="2"/>
        <v>287.27137327938112</v>
      </c>
      <c r="G10" s="339">
        <f t="shared" si="2"/>
        <v>342.37497489616561</v>
      </c>
      <c r="H10" s="339">
        <f t="shared" si="2"/>
        <v>351.02297287625129</v>
      </c>
      <c r="I10" s="339">
        <f t="shared" si="2"/>
        <v>359.55387717068504</v>
      </c>
      <c r="J10" s="339">
        <f t="shared" si="2"/>
        <v>367.85928767576542</v>
      </c>
      <c r="K10" s="339">
        <f t="shared" si="2"/>
        <v>376.4060757551473</v>
      </c>
      <c r="L10" s="339">
        <f t="shared" si="2"/>
        <v>384.83628928914305</v>
      </c>
      <c r="M10" s="339">
        <f t="shared" si="2"/>
        <v>393.45531895453996</v>
      </c>
      <c r="N10" s="339">
        <f t="shared" si="2"/>
        <v>402.26739394996309</v>
      </c>
      <c r="O10" s="481"/>
    </row>
    <row r="11" spans="1:15" s="70" customFormat="1" ht="15.75" thickBot="1">
      <c r="A11" s="70" t="s">
        <v>532</v>
      </c>
      <c r="B11" s="339">
        <f t="shared" si="1"/>
        <v>35.244097079913558</v>
      </c>
      <c r="C11" s="339">
        <f t="shared" ref="C11" si="3">MIN(B11+C5,$B22)</f>
        <v>195.50726717765204</v>
      </c>
      <c r="D11" s="339">
        <f t="shared" ref="D11" si="4">MIN(C11+D5,$B22)</f>
        <v>387.47465759304225</v>
      </c>
      <c r="E11" s="339">
        <f t="shared" ref="E11" si="5">MIN(D11+E5,$B22)</f>
        <v>612.2727116162755</v>
      </c>
      <c r="F11" s="339">
        <f t="shared" ref="F11" si="6">MIN(E11+F5,$B22)</f>
        <v>871.03102363212383</v>
      </c>
      <c r="G11" s="339">
        <f t="shared" ref="G11" si="7">MIN(F11+G5,$B22)</f>
        <v>1038.7567416179249</v>
      </c>
      <c r="H11" s="339">
        <f t="shared" ref="H11" si="8">MIN(G11+H5,$B22)</f>
        <v>1066.5266945020876</v>
      </c>
      <c r="I11" s="339">
        <f t="shared" ref="I11" si="9">MIN(H11+I5,$B22)</f>
        <v>1093.8888349710751</v>
      </c>
      <c r="J11" s="339">
        <f t="shared" ref="J11" si="10">MIN(I11+J5,$B22)</f>
        <v>1120.6447430829753</v>
      </c>
      <c r="K11" s="339">
        <f t="shared" ref="K11" si="11">MIN(J11+K5,$B22)</f>
        <v>1146.3776150427564</v>
      </c>
      <c r="L11" s="339">
        <f t="shared" ref="L11" si="12">MIN(K11+L5,$B22)</f>
        <v>1171.8017102081133</v>
      </c>
      <c r="M11" s="339">
        <f t="shared" ref="M11" si="13">MIN(L11+M5,$B22)</f>
        <v>1197.7896550216974</v>
      </c>
      <c r="N11" s="339">
        <f t="shared" ref="N11" si="14">MIN(M11+N5,$B22)</f>
        <v>1224.3539544093958</v>
      </c>
      <c r="O11" s="482"/>
    </row>
    <row r="12" spans="1:15" s="70" customFormat="1" ht="30.75" thickBot="1">
      <c r="B12" s="335" t="s">
        <v>418</v>
      </c>
      <c r="C12" s="335" t="s">
        <v>431</v>
      </c>
      <c r="D12" s="335" t="s">
        <v>419</v>
      </c>
      <c r="E12" s="335" t="s">
        <v>432</v>
      </c>
      <c r="F12" s="335" t="s">
        <v>420</v>
      </c>
      <c r="G12" s="335" t="s">
        <v>433</v>
      </c>
      <c r="H12" s="335" t="s">
        <v>421</v>
      </c>
      <c r="I12" s="335" t="s">
        <v>422</v>
      </c>
      <c r="J12" s="335" t="s">
        <v>423</v>
      </c>
      <c r="K12" s="335" t="s">
        <v>424</v>
      </c>
      <c r="L12" s="335" t="s">
        <v>425</v>
      </c>
      <c r="M12" s="335" t="s">
        <v>426</v>
      </c>
      <c r="N12" s="335" t="s">
        <v>427</v>
      </c>
    </row>
    <row r="13" spans="1:15" s="70" customFormat="1" ht="15" customHeight="1">
      <c r="A13" s="70" t="s">
        <v>443</v>
      </c>
      <c r="B13" s="339">
        <f>B24</f>
        <v>217.21937974802449</v>
      </c>
      <c r="C13" s="339">
        <f>MIN(B13+$B24,$B18)</f>
        <v>434.43875949604899</v>
      </c>
      <c r="D13" s="339">
        <f t="shared" ref="D13:N13" si="15">MIN(C13+$B24,$B18)</f>
        <v>651.65813924407348</v>
      </c>
      <c r="E13" s="339">
        <f t="shared" si="15"/>
        <v>868.87751899209798</v>
      </c>
      <c r="F13" s="339">
        <f t="shared" si="15"/>
        <v>1086.0968987401225</v>
      </c>
      <c r="G13" s="339">
        <f t="shared" si="15"/>
        <v>1303.316278488147</v>
      </c>
      <c r="H13" s="339">
        <f t="shared" si="15"/>
        <v>1518.2885432107867</v>
      </c>
      <c r="I13" s="339">
        <f t="shared" si="15"/>
        <v>1518.2885432107867</v>
      </c>
      <c r="J13" s="339">
        <f t="shared" si="15"/>
        <v>1518.2885432107867</v>
      </c>
      <c r="K13" s="339">
        <f t="shared" si="15"/>
        <v>1518.2885432107867</v>
      </c>
      <c r="L13" s="339">
        <f t="shared" si="15"/>
        <v>1518.2885432107867</v>
      </c>
      <c r="M13" s="339">
        <f t="shared" si="15"/>
        <v>1518.2885432107867</v>
      </c>
      <c r="N13" s="339">
        <f t="shared" si="15"/>
        <v>1518.2885432107867</v>
      </c>
      <c r="O13" s="480" t="s">
        <v>481</v>
      </c>
    </row>
    <row r="14" spans="1:15" s="70" customFormat="1">
      <c r="A14" s="70" t="s">
        <v>444</v>
      </c>
      <c r="B14" s="339">
        <f t="shared" ref="B14:B16" si="16">B25</f>
        <v>175.24583962077517</v>
      </c>
      <c r="C14" s="339">
        <f>MIN(B14+$B25,$B19)</f>
        <v>350.49167924155034</v>
      </c>
      <c r="D14" s="339">
        <f t="shared" ref="D14:N14" si="17">MIN(C14+$B25,$B19)</f>
        <v>525.73751886232549</v>
      </c>
      <c r="E14" s="339">
        <f t="shared" si="17"/>
        <v>700.98335848310069</v>
      </c>
      <c r="F14" s="339">
        <f t="shared" si="17"/>
        <v>876.22919810387589</v>
      </c>
      <c r="G14" s="339">
        <f t="shared" si="17"/>
        <v>1051.475037724651</v>
      </c>
      <c r="H14" s="339">
        <f t="shared" si="17"/>
        <v>1226.7208773454261</v>
      </c>
      <c r="I14" s="339">
        <f t="shared" si="17"/>
        <v>1229.7735335037726</v>
      </c>
      <c r="J14" s="339">
        <f t="shared" si="17"/>
        <v>1229.7735335037726</v>
      </c>
      <c r="K14" s="339">
        <f t="shared" si="17"/>
        <v>1229.7735335037726</v>
      </c>
      <c r="L14" s="339">
        <f t="shared" si="17"/>
        <v>1229.7735335037726</v>
      </c>
      <c r="M14" s="339">
        <f t="shared" si="17"/>
        <v>1229.7735335037726</v>
      </c>
      <c r="N14" s="339">
        <f t="shared" si="17"/>
        <v>1229.7735335037726</v>
      </c>
      <c r="O14" s="481"/>
    </row>
    <row r="15" spans="1:15" s="70" customFormat="1">
      <c r="A15" s="70" t="s">
        <v>445</v>
      </c>
      <c r="B15" s="339">
        <f t="shared" si="16"/>
        <v>57.454274655876226</v>
      </c>
      <c r="C15" s="339">
        <f>MIN(B15+$B26,$B20)</f>
        <v>114.90854931175245</v>
      </c>
      <c r="D15" s="339">
        <f t="shared" ref="D15:N15" si="18">MIN(C15+$B26,$B20)</f>
        <v>172.36282396762869</v>
      </c>
      <c r="E15" s="339">
        <f t="shared" si="18"/>
        <v>229.8170986235049</v>
      </c>
      <c r="F15" s="339">
        <f t="shared" si="18"/>
        <v>287.27137327938112</v>
      </c>
      <c r="G15" s="339">
        <f t="shared" si="18"/>
        <v>344.72564793525737</v>
      </c>
      <c r="H15" s="339">
        <f t="shared" si="18"/>
        <v>402.17992259113362</v>
      </c>
      <c r="I15" s="339">
        <f t="shared" si="18"/>
        <v>402.26739394996309</v>
      </c>
      <c r="J15" s="339">
        <f t="shared" si="18"/>
        <v>402.26739394996309</v>
      </c>
      <c r="K15" s="339">
        <f t="shared" si="18"/>
        <v>402.26739394996309</v>
      </c>
      <c r="L15" s="339">
        <f t="shared" si="18"/>
        <v>402.26739394996309</v>
      </c>
      <c r="M15" s="339">
        <f t="shared" si="18"/>
        <v>402.26739394996309</v>
      </c>
      <c r="N15" s="339">
        <f t="shared" si="18"/>
        <v>402.26739394996309</v>
      </c>
      <c r="O15" s="481"/>
    </row>
    <row r="16" spans="1:15" s="70" customFormat="1" ht="15.75" thickBot="1">
      <c r="A16" s="70" t="s">
        <v>532</v>
      </c>
      <c r="B16" s="339">
        <f t="shared" si="16"/>
        <v>174.20620472642477</v>
      </c>
      <c r="C16" s="339">
        <f>MIN(B16+$B27,$B21)</f>
        <v>348.41240945284954</v>
      </c>
      <c r="D16" s="339">
        <f t="shared" ref="D16:N16" si="19">MIN(C16+$B27,$B21)</f>
        <v>522.61861417927435</v>
      </c>
      <c r="E16" s="339">
        <f t="shared" si="19"/>
        <v>696.82481890569909</v>
      </c>
      <c r="F16" s="339">
        <f t="shared" si="19"/>
        <v>871.03102363212383</v>
      </c>
      <c r="G16" s="339">
        <f t="shared" si="19"/>
        <v>1045.2372283585487</v>
      </c>
      <c r="H16" s="339">
        <f t="shared" si="19"/>
        <v>1219.4434330849735</v>
      </c>
      <c r="I16" s="339">
        <f t="shared" si="19"/>
        <v>1224.3539544093958</v>
      </c>
      <c r="J16" s="339">
        <f t="shared" si="19"/>
        <v>1224.3539544093958</v>
      </c>
      <c r="K16" s="339">
        <f t="shared" si="19"/>
        <v>1224.3539544093958</v>
      </c>
      <c r="L16" s="339">
        <f t="shared" si="19"/>
        <v>1224.3539544093958</v>
      </c>
      <c r="M16" s="339">
        <f t="shared" si="19"/>
        <v>1224.3539544093958</v>
      </c>
      <c r="N16" s="339">
        <f t="shared" si="19"/>
        <v>1224.3539544093958</v>
      </c>
      <c r="O16" s="482"/>
    </row>
    <row r="17" spans="1:5" ht="60">
      <c r="B17" s="335" t="s">
        <v>460</v>
      </c>
      <c r="D17" s="3" t="s">
        <v>559</v>
      </c>
      <c r="E17" s="70"/>
    </row>
    <row r="18" spans="1:5">
      <c r="A18" s="3" t="s">
        <v>443</v>
      </c>
      <c r="B18" s="365">
        <f>SUM(B2:N2)</f>
        <v>1518.2885432107867</v>
      </c>
      <c r="D18" s="420">
        <f>ROUND(B18/A37,0)</f>
        <v>152</v>
      </c>
      <c r="E18" s="421"/>
    </row>
    <row r="19" spans="1:5">
      <c r="A19" s="3" t="s">
        <v>444</v>
      </c>
      <c r="B19" s="365">
        <f>SUM(B3:N3)</f>
        <v>1229.7735335037726</v>
      </c>
      <c r="D19" s="420">
        <f t="shared" ref="D19:D21" si="20">ROUND(B19/A38,0)</f>
        <v>123</v>
      </c>
      <c r="E19" s="421"/>
    </row>
    <row r="20" spans="1:5">
      <c r="A20" s="3" t="s">
        <v>445</v>
      </c>
      <c r="B20" s="365">
        <f>SUM(B4:N4)</f>
        <v>402.26739394996309</v>
      </c>
      <c r="D20" s="420">
        <f t="shared" si="20"/>
        <v>40</v>
      </c>
      <c r="E20" s="421"/>
    </row>
    <row r="21" spans="1:5" s="70" customFormat="1">
      <c r="A21" s="3" t="s">
        <v>532</v>
      </c>
      <c r="B21" s="365">
        <f>SUM(B5:N5)</f>
        <v>1224.3539544093958</v>
      </c>
      <c r="D21" s="420">
        <f t="shared" si="20"/>
        <v>122</v>
      </c>
      <c r="E21" s="421"/>
    </row>
    <row r="22" spans="1:5">
      <c r="A22" s="364"/>
    </row>
    <row r="23" spans="1:5" ht="105">
      <c r="A23" s="3"/>
      <c r="B23" s="366" t="s">
        <v>475</v>
      </c>
      <c r="C23" s="364" t="s">
        <v>476</v>
      </c>
      <c r="D23" s="3" t="s">
        <v>559</v>
      </c>
    </row>
    <row r="24" spans="1:5">
      <c r="A24" s="3" t="s">
        <v>443</v>
      </c>
      <c r="B24" s="363">
        <f>C24/5</f>
        <v>217.21937974802449</v>
      </c>
      <c r="C24" s="339">
        <f>SUM(B2:F2)</f>
        <v>1086.0968987401225</v>
      </c>
      <c r="D24" s="420">
        <f>ROUND(B24/A37,0)</f>
        <v>22</v>
      </c>
    </row>
    <row r="25" spans="1:5">
      <c r="A25" s="3" t="s">
        <v>444</v>
      </c>
      <c r="B25" s="363">
        <f t="shared" ref="B25:B26" si="21">C25/5</f>
        <v>175.24583962077517</v>
      </c>
      <c r="C25" s="339">
        <f>SUM(B3:F3)</f>
        <v>876.22919810387589</v>
      </c>
      <c r="D25" s="420">
        <f t="shared" ref="D25:D27" si="22">ROUND(B25/A38,0)</f>
        <v>18</v>
      </c>
    </row>
    <row r="26" spans="1:5">
      <c r="A26" s="3" t="s">
        <v>445</v>
      </c>
      <c r="B26" s="363">
        <f t="shared" si="21"/>
        <v>57.454274655876226</v>
      </c>
      <c r="C26" s="339">
        <f>SUM(B4:F4)</f>
        <v>287.27137327938112</v>
      </c>
      <c r="D26" s="420">
        <f t="shared" si="22"/>
        <v>6</v>
      </c>
    </row>
    <row r="27" spans="1:5">
      <c r="A27" s="3" t="s">
        <v>532</v>
      </c>
      <c r="B27" s="363">
        <f t="shared" ref="B27" si="23">C27/5</f>
        <v>174.20620472642477</v>
      </c>
      <c r="C27" s="339">
        <f>SUM(B5:F5)</f>
        <v>871.03102363212383</v>
      </c>
      <c r="D27" s="420">
        <f t="shared" si="22"/>
        <v>17</v>
      </c>
    </row>
    <row r="29" spans="1:5">
      <c r="A29" s="71" t="s">
        <v>447</v>
      </c>
    </row>
    <row r="30" spans="1:5">
      <c r="B30">
        <v>1</v>
      </c>
      <c r="C30">
        <v>2</v>
      </c>
      <c r="D30">
        <v>3</v>
      </c>
      <c r="E30">
        <v>4</v>
      </c>
    </row>
    <row r="31" spans="1:5">
      <c r="A31" s="70" t="s">
        <v>443</v>
      </c>
      <c r="B31" s="345">
        <f>CostByType_Details!AQ25</f>
        <v>0.96320529448210823</v>
      </c>
      <c r="C31" s="345">
        <f>CostByType_Details!AR25</f>
        <v>0</v>
      </c>
      <c r="D31" s="345">
        <f>CostByType_Details!AS25</f>
        <v>0.99999999999999989</v>
      </c>
      <c r="E31" s="345">
        <f>CostByType_Details!AT25</f>
        <v>0.96320529448210823</v>
      </c>
    </row>
    <row r="32" spans="1:5">
      <c r="A32" s="70" t="s">
        <v>444</v>
      </c>
      <c r="B32" s="345">
        <f>CostByType_Details!AQ26</f>
        <v>0.97240031580023789</v>
      </c>
      <c r="C32" s="345">
        <f>CostByType_Details!AR26</f>
        <v>0</v>
      </c>
      <c r="D32" s="345">
        <f>CostByType_Details!AS26</f>
        <v>0.73141958113334105</v>
      </c>
      <c r="E32" s="345">
        <f>CostByType_Details!AT26</f>
        <v>0.97240031580023789</v>
      </c>
    </row>
    <row r="33" spans="1:6">
      <c r="A33" s="70" t="s">
        <v>445</v>
      </c>
      <c r="B33" s="345">
        <f>CostByType_Details!AQ27</f>
        <v>0.13690345338768203</v>
      </c>
      <c r="C33" s="345">
        <f>CostByType_Details!AR27</f>
        <v>0</v>
      </c>
      <c r="D33" s="345">
        <f>CostByType_Details!AS27</f>
        <v>1.0000000000000002</v>
      </c>
      <c r="E33" s="345">
        <f>CostByType_Details!AT27</f>
        <v>0.13690345338768203</v>
      </c>
    </row>
    <row r="34" spans="1:6">
      <c r="A34" s="70" t="s">
        <v>532</v>
      </c>
      <c r="B34" s="345">
        <f>CostByType_Details!AQ28</f>
        <v>0.67129677349307004</v>
      </c>
      <c r="C34" s="345">
        <f>CostByType_Details!AR28</f>
        <v>0</v>
      </c>
      <c r="D34" s="345">
        <f>CostByType_Details!AS28</f>
        <v>0.38015963001550351</v>
      </c>
      <c r="E34" s="345">
        <f>CostByType_Details!AT28</f>
        <v>0.67129677349307004</v>
      </c>
    </row>
    <row r="35" spans="1:6" s="70" customFormat="1">
      <c r="B35" s="345"/>
      <c r="C35" s="345"/>
      <c r="D35" s="345"/>
      <c r="E35" s="345"/>
    </row>
    <row r="36" spans="1:6" s="70" customFormat="1">
      <c r="A36" s="71" t="s">
        <v>536</v>
      </c>
      <c r="B36" s="70">
        <v>1</v>
      </c>
      <c r="C36" s="70">
        <v>2</v>
      </c>
      <c r="D36" s="70">
        <v>3</v>
      </c>
      <c r="E36" s="70">
        <v>4</v>
      </c>
    </row>
    <row r="37" spans="1:6" s="70" customFormat="1">
      <c r="A37" s="339">
        <v>10</v>
      </c>
      <c r="B37" s="381">
        <f>$A37*B31</f>
        <v>9.6320529448210817</v>
      </c>
      <c r="C37" s="381">
        <f>$A37*C31</f>
        <v>0</v>
      </c>
      <c r="D37" s="381">
        <f t="shared" ref="C37:E38" si="24">$A37*D31</f>
        <v>9.9999999999999982</v>
      </c>
      <c r="E37" s="381">
        <f t="shared" si="24"/>
        <v>9.6320529448210817</v>
      </c>
      <c r="F37" s="70" t="s">
        <v>443</v>
      </c>
    </row>
    <row r="38" spans="1:6" s="70" customFormat="1">
      <c r="A38" s="70">
        <v>10</v>
      </c>
      <c r="B38" s="381">
        <f>$A38*B32</f>
        <v>9.7240031580023789</v>
      </c>
      <c r="C38" s="381">
        <f t="shared" si="24"/>
        <v>0</v>
      </c>
      <c r="D38" s="381">
        <f t="shared" si="24"/>
        <v>7.3141958113334109</v>
      </c>
      <c r="E38" s="381">
        <f t="shared" si="24"/>
        <v>9.7240031580023789</v>
      </c>
      <c r="F38" s="70" t="s">
        <v>444</v>
      </c>
    </row>
    <row r="39" spans="1:6" s="70" customFormat="1">
      <c r="A39" s="70">
        <v>10</v>
      </c>
      <c r="B39" s="381">
        <f>$A39*B33</f>
        <v>1.3690345338768204</v>
      </c>
      <c r="C39" s="381">
        <f t="shared" ref="C39:E40" si="25">$A39*C33</f>
        <v>0</v>
      </c>
      <c r="D39" s="381">
        <f t="shared" si="25"/>
        <v>10.000000000000002</v>
      </c>
      <c r="E39" s="381">
        <f t="shared" si="25"/>
        <v>1.3690345338768204</v>
      </c>
      <c r="F39" s="70" t="s">
        <v>445</v>
      </c>
    </row>
    <row r="40" spans="1:6" s="70" customFormat="1">
      <c r="A40" s="70">
        <v>10</v>
      </c>
      <c r="B40" s="381">
        <f>$A40*B34</f>
        <v>6.7129677349307002</v>
      </c>
      <c r="C40" s="381">
        <f t="shared" si="25"/>
        <v>0</v>
      </c>
      <c r="D40" s="381">
        <f t="shared" si="25"/>
        <v>3.801596300155035</v>
      </c>
      <c r="E40" s="381">
        <f t="shared" si="25"/>
        <v>6.7129677349307002</v>
      </c>
      <c r="F40" s="70" t="s">
        <v>532</v>
      </c>
    </row>
    <row r="41" spans="1:6">
      <c r="A41" s="71" t="s">
        <v>446</v>
      </c>
      <c r="B41" s="70"/>
      <c r="C41" s="70"/>
      <c r="D41" s="70"/>
      <c r="E41" s="70"/>
    </row>
    <row r="42" spans="1:6">
      <c r="A42" s="70"/>
      <c r="B42" s="70">
        <v>1</v>
      </c>
      <c r="C42" s="70">
        <v>2</v>
      </c>
      <c r="D42" s="70">
        <v>3</v>
      </c>
      <c r="E42" s="70">
        <v>4</v>
      </c>
    </row>
    <row r="43" spans="1:6">
      <c r="A43" s="70" t="s">
        <v>443</v>
      </c>
      <c r="B43" s="380">
        <f>CostByType_Details!AV25</f>
        <v>6.6196737836987408E-3</v>
      </c>
      <c r="C43" s="380">
        <f>CostByType_Details!AW25</f>
        <v>0</v>
      </c>
      <c r="D43" s="380">
        <f>CostByType_Details!AX25</f>
        <v>1.3816814701080364E-2</v>
      </c>
      <c r="E43" s="380">
        <f>CostByType_Details!AY25</f>
        <v>6.4937560758566472E-3</v>
      </c>
    </row>
    <row r="44" spans="1:6">
      <c r="A44" s="70" t="s">
        <v>444</v>
      </c>
      <c r="B44" s="380">
        <f>CostByType_Details!AV26</f>
        <v>4.2105590522282651E-3</v>
      </c>
      <c r="C44" s="380">
        <f>CostByType_Details!AW26</f>
        <v>0</v>
      </c>
      <c r="D44" s="380">
        <f>CostByType_Details!AX26</f>
        <v>2.5594943139907937E-3</v>
      </c>
      <c r="E44" s="380">
        <f>CostByType_Details!AY26</f>
        <v>4.1304668963434875E-3</v>
      </c>
    </row>
    <row r="45" spans="1:6">
      <c r="A45" s="70" t="s">
        <v>445</v>
      </c>
      <c r="B45" s="419">
        <f>CostByType_Details!AV27</f>
        <v>0</v>
      </c>
      <c r="C45" s="380">
        <f>CostByType_Details!AW27</f>
        <v>0</v>
      </c>
      <c r="D45" s="380">
        <f>CostByType_Details!AX27</f>
        <v>2.2644927536231881E-2</v>
      </c>
      <c r="E45" s="380">
        <f>CostByType_Details!AY27</f>
        <v>0</v>
      </c>
    </row>
    <row r="46" spans="1:6">
      <c r="A46" s="70" t="s">
        <v>532</v>
      </c>
      <c r="B46" s="380">
        <f>CostByType_Details!AV28</f>
        <v>7.1542055630712887E-3</v>
      </c>
      <c r="C46" s="380">
        <f>CostByType_Details!AW28</f>
        <v>0</v>
      </c>
      <c r="D46" s="380">
        <f>CostByType_Details!AX28</f>
        <v>7.443460745175043E-3</v>
      </c>
      <c r="E46" s="380">
        <f>CostByType_Details!AY28</f>
        <v>7.0181201311650399E-3</v>
      </c>
    </row>
    <row r="47" spans="1:6" s="367" customFormat="1">
      <c r="B47" s="397"/>
      <c r="C47" s="397"/>
      <c r="D47" s="397"/>
      <c r="E47" s="397"/>
    </row>
    <row r="48" spans="1:6">
      <c r="A48" s="71" t="s">
        <v>537</v>
      </c>
      <c r="B48" s="70">
        <v>1</v>
      </c>
      <c r="C48" s="70">
        <v>2</v>
      </c>
      <c r="D48" s="70">
        <v>3</v>
      </c>
      <c r="E48" s="70">
        <v>4</v>
      </c>
    </row>
    <row r="49" spans="1:8">
      <c r="A49" s="339">
        <v>10</v>
      </c>
      <c r="B49" s="402">
        <f>$A49*B43</f>
        <v>6.6196737836987402E-2</v>
      </c>
      <c r="C49" s="402">
        <f>$A49*C43</f>
        <v>0</v>
      </c>
      <c r="D49" s="402">
        <f t="shared" ref="C49:E50" si="26">$A49*D43</f>
        <v>0.13816814701080365</v>
      </c>
      <c r="E49" s="402">
        <f t="shared" si="26"/>
        <v>6.4937560758566465E-2</v>
      </c>
      <c r="F49" s="70" t="s">
        <v>443</v>
      </c>
    </row>
    <row r="50" spans="1:8">
      <c r="A50">
        <v>10</v>
      </c>
      <c r="B50" s="402">
        <f>$A50*B44</f>
        <v>4.2105590522282653E-2</v>
      </c>
      <c r="C50" s="402">
        <f t="shared" si="26"/>
        <v>0</v>
      </c>
      <c r="D50" s="402">
        <f t="shared" si="26"/>
        <v>2.5594943139907938E-2</v>
      </c>
      <c r="E50" s="402">
        <f t="shared" si="26"/>
        <v>4.1304668963434876E-2</v>
      </c>
      <c r="F50" s="70" t="s">
        <v>444</v>
      </c>
    </row>
    <row r="51" spans="1:8">
      <c r="A51">
        <v>10</v>
      </c>
      <c r="B51" s="402">
        <f>$A51*B45</f>
        <v>0</v>
      </c>
      <c r="C51" s="402">
        <f t="shared" ref="C51:E52" si="27">$A51*C45</f>
        <v>0</v>
      </c>
      <c r="D51" s="402">
        <f t="shared" si="27"/>
        <v>0.22644927536231879</v>
      </c>
      <c r="E51" s="402">
        <f t="shared" si="27"/>
        <v>0</v>
      </c>
      <c r="F51" s="70" t="s">
        <v>445</v>
      </c>
    </row>
    <row r="52" spans="1:8">
      <c r="A52">
        <v>10</v>
      </c>
      <c r="B52" s="402">
        <f>$A52*B46</f>
        <v>7.1542055630712892E-2</v>
      </c>
      <c r="C52" s="402">
        <f t="shared" si="27"/>
        <v>0</v>
      </c>
      <c r="D52" s="402">
        <f t="shared" si="27"/>
        <v>7.4434607451750429E-2</v>
      </c>
      <c r="E52" s="402">
        <f t="shared" si="27"/>
        <v>7.0181201311650399E-2</v>
      </c>
      <c r="F52" s="70" t="s">
        <v>532</v>
      </c>
    </row>
    <row r="56" spans="1:8">
      <c r="A56" s="2"/>
      <c r="B56" s="2"/>
      <c r="C56" s="2" t="s">
        <v>565</v>
      </c>
      <c r="D56" s="2" t="s">
        <v>566</v>
      </c>
      <c r="E56" s="2" t="s">
        <v>567</v>
      </c>
      <c r="F56" s="2" t="s">
        <v>569</v>
      </c>
      <c r="G56" s="2" t="s">
        <v>570</v>
      </c>
      <c r="H56" s="2" t="s">
        <v>568</v>
      </c>
    </row>
    <row r="57" spans="1:8">
      <c r="A57" s="2" t="s">
        <v>443</v>
      </c>
      <c r="B57" s="423">
        <f>CostByType_Summary!D25</f>
        <v>24.607453662383513</v>
      </c>
      <c r="C57" s="424">
        <f>G8*B31</f>
        <v>1246.4550689118757</v>
      </c>
      <c r="D57" s="424">
        <f>J8*B31</f>
        <v>1336.7912836312526</v>
      </c>
      <c r="E57" s="424">
        <f>N8*B31</f>
        <v>1462.4235633721569</v>
      </c>
      <c r="F57" s="425">
        <f>G8*D31</f>
        <v>1294.0699932324019</v>
      </c>
      <c r="G57" s="425">
        <f>J8*D31</f>
        <v>1387.8570760452601</v>
      </c>
      <c r="H57" s="425">
        <f>N8*D31</f>
        <v>1518.2885432107864</v>
      </c>
    </row>
    <row r="58" spans="1:8">
      <c r="A58" s="2" t="s">
        <v>444</v>
      </c>
      <c r="B58" s="423">
        <f>CostByType_Summary!D26</f>
        <v>56.55462571732847</v>
      </c>
      <c r="C58" s="424">
        <f>G9*B32</f>
        <v>1015.859851562044</v>
      </c>
      <c r="D58" s="424">
        <f>J9*B32</f>
        <v>1094.1389071463934</v>
      </c>
      <c r="E58" s="424">
        <f>N9*B32</f>
        <v>1195.8321723418428</v>
      </c>
      <c r="F58" s="425">
        <f t="shared" ref="F58:F60" si="28">G9*D32</f>
        <v>764.10895291433474</v>
      </c>
      <c r="G58" s="425">
        <f>J9*D32</f>
        <v>822.98885362672854</v>
      </c>
      <c r="H58" s="425">
        <f>N9*D32</f>
        <v>899.48044276419807</v>
      </c>
    </row>
    <row r="59" spans="1:8">
      <c r="A59" s="2" t="s">
        <v>445</v>
      </c>
      <c r="B59" s="423">
        <f>CostByType_Summary!D27</f>
        <v>77.202178734199606</v>
      </c>
      <c r="C59" s="424">
        <f>G10*B33</f>
        <v>46.872316416806015</v>
      </c>
      <c r="D59" s="424">
        <f>J10*B33</f>
        <v>50.361206843545069</v>
      </c>
      <c r="E59" s="424">
        <f>N10*B33</f>
        <v>55.071795417013099</v>
      </c>
      <c r="F59" s="425">
        <f t="shared" si="28"/>
        <v>342.37497489616567</v>
      </c>
      <c r="G59" s="425">
        <f>J10*D33</f>
        <v>367.85928767576547</v>
      </c>
      <c r="H59" s="425">
        <f>N10*D33</f>
        <v>402.26739394996321</v>
      </c>
    </row>
    <row r="60" spans="1:8">
      <c r="A60" s="2" t="s">
        <v>532</v>
      </c>
      <c r="B60" s="423">
        <f>CostByType_Summary!D28</f>
        <v>144.22396574738113</v>
      </c>
      <c r="C60" s="424">
        <f>G11*B34</f>
        <v>697.31404909228763</v>
      </c>
      <c r="D60" s="424">
        <f>J11*B34</f>
        <v>752.28520026357171</v>
      </c>
      <c r="E60" s="424">
        <f>N11*B34</f>
        <v>821.90485920850881</v>
      </c>
      <c r="F60" s="425">
        <f t="shared" si="28"/>
        <v>394.89337856958031</v>
      </c>
      <c r="G60" s="425">
        <f>J11*D34</f>
        <v>426.02389090924288</v>
      </c>
      <c r="H60" s="425">
        <f>N11*D34</f>
        <v>465.44994631629459</v>
      </c>
    </row>
  </sheetData>
  <mergeCells count="3">
    <mergeCell ref="O2:O5"/>
    <mergeCell ref="O8:O11"/>
    <mergeCell ref="O13:O16"/>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sheetPr>
    <tabColor theme="0" tint="-0.34998626667073579"/>
  </sheetPr>
  <dimension ref="A1:AO23"/>
  <sheetViews>
    <sheetView workbookViewId="0">
      <selection activeCell="J14" sqref="J14"/>
    </sheetView>
  </sheetViews>
  <sheetFormatPr defaultRowHeight="15"/>
  <cols>
    <col min="1" max="1" width="52.7109375" bestFit="1" customWidth="1"/>
  </cols>
  <sheetData>
    <row r="1" spans="1:41" s="70" customFormat="1" ht="15.75" thickBot="1">
      <c r="A1" s="259" t="s">
        <v>345</v>
      </c>
    </row>
    <row r="2" spans="1:41">
      <c r="A2" s="71" t="s">
        <v>207</v>
      </c>
      <c r="B2" s="54">
        <v>2011</v>
      </c>
      <c r="C2" s="54">
        <f>B2+1</f>
        <v>2012</v>
      </c>
      <c r="D2" s="54">
        <f t="shared" ref="D2:X2" si="0">C2+1</f>
        <v>2013</v>
      </c>
      <c r="E2" s="54">
        <f t="shared" si="0"/>
        <v>2014</v>
      </c>
      <c r="F2" s="54">
        <f t="shared" si="0"/>
        <v>2015</v>
      </c>
      <c r="G2" s="54">
        <f t="shared" si="0"/>
        <v>2016</v>
      </c>
      <c r="H2" s="54">
        <f t="shared" si="0"/>
        <v>2017</v>
      </c>
      <c r="I2" s="54">
        <f t="shared" si="0"/>
        <v>2018</v>
      </c>
      <c r="J2" s="54">
        <f t="shared" si="0"/>
        <v>2019</v>
      </c>
      <c r="K2" s="54">
        <f t="shared" si="0"/>
        <v>2020</v>
      </c>
      <c r="L2" s="54">
        <f t="shared" si="0"/>
        <v>2021</v>
      </c>
      <c r="M2" s="54">
        <f t="shared" si="0"/>
        <v>2022</v>
      </c>
      <c r="N2" s="54">
        <f t="shared" si="0"/>
        <v>2023</v>
      </c>
      <c r="O2" s="54">
        <f t="shared" si="0"/>
        <v>2024</v>
      </c>
      <c r="P2" s="54">
        <f t="shared" si="0"/>
        <v>2025</v>
      </c>
      <c r="Q2" s="54">
        <f t="shared" si="0"/>
        <v>2026</v>
      </c>
      <c r="R2" s="54">
        <f t="shared" si="0"/>
        <v>2027</v>
      </c>
      <c r="S2" s="54">
        <f t="shared" si="0"/>
        <v>2028</v>
      </c>
      <c r="T2" s="54">
        <f t="shared" si="0"/>
        <v>2029</v>
      </c>
      <c r="U2" s="54">
        <f>T2+1</f>
        <v>2030</v>
      </c>
      <c r="V2" s="54">
        <f t="shared" si="0"/>
        <v>2031</v>
      </c>
      <c r="W2" s="54">
        <f t="shared" si="0"/>
        <v>2032</v>
      </c>
      <c r="X2" s="54">
        <f t="shared" si="0"/>
        <v>2033</v>
      </c>
      <c r="Y2" s="54">
        <f>X2+1</f>
        <v>2034</v>
      </c>
      <c r="Z2" s="54">
        <f t="shared" ref="Z2:AO2" si="1">Y2+1</f>
        <v>2035</v>
      </c>
      <c r="AA2" s="54">
        <f t="shared" si="1"/>
        <v>2036</v>
      </c>
      <c r="AB2" s="54">
        <f t="shared" si="1"/>
        <v>2037</v>
      </c>
      <c r="AC2" s="54">
        <f t="shared" si="1"/>
        <v>2038</v>
      </c>
      <c r="AD2" s="54">
        <f t="shared" si="1"/>
        <v>2039</v>
      </c>
      <c r="AE2" s="54">
        <f t="shared" si="1"/>
        <v>2040</v>
      </c>
      <c r="AF2" s="54">
        <f t="shared" si="1"/>
        <v>2041</v>
      </c>
      <c r="AG2" s="54">
        <f t="shared" si="1"/>
        <v>2042</v>
      </c>
      <c r="AH2" s="54">
        <f t="shared" si="1"/>
        <v>2043</v>
      </c>
      <c r="AI2" s="54">
        <f t="shared" si="1"/>
        <v>2044</v>
      </c>
      <c r="AJ2" s="54">
        <f t="shared" si="1"/>
        <v>2045</v>
      </c>
      <c r="AK2" s="54">
        <f t="shared" si="1"/>
        <v>2046</v>
      </c>
      <c r="AL2" s="54">
        <f t="shared" si="1"/>
        <v>2047</v>
      </c>
      <c r="AM2" s="54">
        <f t="shared" si="1"/>
        <v>2048</v>
      </c>
      <c r="AN2" s="54">
        <f t="shared" si="1"/>
        <v>2049</v>
      </c>
      <c r="AO2" s="54">
        <f t="shared" si="1"/>
        <v>2050</v>
      </c>
    </row>
    <row r="3" spans="1:41">
      <c r="A3" t="s">
        <v>182</v>
      </c>
      <c r="B3">
        <v>1.4132860000000001E-2</v>
      </c>
      <c r="C3">
        <v>1.4254139000000001E-2</v>
      </c>
      <c r="D3">
        <v>1.4375417999999999E-2</v>
      </c>
      <c r="E3">
        <v>1.4496696999999999E-2</v>
      </c>
      <c r="F3">
        <v>1.4617976E-2</v>
      </c>
      <c r="G3">
        <v>1.4739255E-2</v>
      </c>
      <c r="H3">
        <v>1.4860534E-2</v>
      </c>
      <c r="I3">
        <v>1.4981813E-2</v>
      </c>
      <c r="J3">
        <v>1.5103092E-2</v>
      </c>
      <c r="K3">
        <v>1.5224371E-2</v>
      </c>
      <c r="L3">
        <v>1.5345648999999999E-2</v>
      </c>
      <c r="M3">
        <v>1.5466928E-2</v>
      </c>
      <c r="N3">
        <v>1.5588207E-2</v>
      </c>
      <c r="O3">
        <v>1.5709486000000002E-2</v>
      </c>
      <c r="P3">
        <v>1.5830765E-2</v>
      </c>
      <c r="Q3">
        <v>1.5952043999999999E-2</v>
      </c>
      <c r="R3">
        <v>1.6073323E-2</v>
      </c>
      <c r="S3">
        <v>1.6194601999999999E-2</v>
      </c>
      <c r="T3">
        <v>1.6315881000000001E-2</v>
      </c>
      <c r="U3">
        <v>1.6437159999999999E-2</v>
      </c>
      <c r="V3">
        <v>1.6558439000000001E-2</v>
      </c>
      <c r="W3">
        <v>1.6679718E-2</v>
      </c>
      <c r="X3">
        <v>1.6800997000000002E-2</v>
      </c>
      <c r="Y3">
        <v>1.6922275000000001E-2</v>
      </c>
      <c r="Z3">
        <v>1.7043553999999999E-2</v>
      </c>
      <c r="AA3">
        <v>1.7164833000000001E-2</v>
      </c>
      <c r="AB3">
        <v>1.7286111999999999E-2</v>
      </c>
      <c r="AC3">
        <v>1.7407391000000001E-2</v>
      </c>
      <c r="AD3">
        <v>1.752867E-2</v>
      </c>
      <c r="AE3">
        <v>1.7649949000000002E-2</v>
      </c>
      <c r="AF3">
        <v>1.7771228E-2</v>
      </c>
      <c r="AG3">
        <v>1.7892506999999998E-2</v>
      </c>
      <c r="AH3">
        <v>1.8013786E-2</v>
      </c>
      <c r="AI3">
        <v>1.8135064999999999E-2</v>
      </c>
      <c r="AJ3">
        <v>1.8256344000000001E-2</v>
      </c>
      <c r="AK3">
        <v>1.8377622999999999E-2</v>
      </c>
      <c r="AL3">
        <v>1.8498902000000001E-2</v>
      </c>
      <c r="AM3">
        <v>1.862018E-2</v>
      </c>
      <c r="AN3">
        <v>1.8741458999999999E-2</v>
      </c>
      <c r="AO3">
        <v>1.8862738E-2</v>
      </c>
    </row>
    <row r="4" spans="1:41">
      <c r="A4" t="s">
        <v>183</v>
      </c>
      <c r="B4">
        <v>0.29833430500000002</v>
      </c>
      <c r="C4">
        <v>0.297697832</v>
      </c>
      <c r="D4">
        <v>0.29706136</v>
      </c>
      <c r="E4">
        <v>0.29642488700000003</v>
      </c>
      <c r="F4">
        <v>0.29578841500000003</v>
      </c>
      <c r="G4">
        <v>0.295151942</v>
      </c>
      <c r="H4">
        <v>0.29451547</v>
      </c>
      <c r="I4">
        <v>0.29387899699999998</v>
      </c>
      <c r="J4">
        <v>0.29324252499999998</v>
      </c>
      <c r="K4">
        <v>0.29260605200000001</v>
      </c>
      <c r="L4">
        <v>0.292735309</v>
      </c>
      <c r="M4">
        <v>0.29286456599999999</v>
      </c>
      <c r="N4">
        <v>0.29299382299999999</v>
      </c>
      <c r="O4">
        <v>0.29312307999999998</v>
      </c>
      <c r="P4">
        <v>0.29325233699999997</v>
      </c>
      <c r="Q4">
        <v>0.29338159400000002</v>
      </c>
      <c r="R4">
        <v>0.29351085100000002</v>
      </c>
      <c r="S4">
        <v>0.29364010800000001</v>
      </c>
      <c r="T4">
        <v>0.293769365</v>
      </c>
      <c r="U4">
        <v>0.293898622</v>
      </c>
      <c r="V4">
        <v>0.29182184900000002</v>
      </c>
      <c r="W4">
        <v>0.29176792099999999</v>
      </c>
      <c r="X4">
        <v>0.29173613999999998</v>
      </c>
      <c r="Y4">
        <v>0.29172240199999999</v>
      </c>
      <c r="Z4">
        <v>0.29172150600000002</v>
      </c>
      <c r="AA4">
        <v>0.29172700000000001</v>
      </c>
      <c r="AB4">
        <v>0.29173102299999998</v>
      </c>
      <c r="AC4">
        <v>0.291724125</v>
      </c>
      <c r="AD4">
        <v>0.29169507300000003</v>
      </c>
      <c r="AE4">
        <v>0.29163065500000002</v>
      </c>
      <c r="AF4">
        <v>0.29046062299999997</v>
      </c>
      <c r="AG4">
        <v>0.29025933199999998</v>
      </c>
      <c r="AH4">
        <v>0.29005804000000002</v>
      </c>
      <c r="AI4">
        <v>0.289856748</v>
      </c>
      <c r="AJ4">
        <v>0.28965545700000001</v>
      </c>
      <c r="AK4">
        <v>0.28945416499999999</v>
      </c>
      <c r="AL4">
        <v>0.28925287399999999</v>
      </c>
      <c r="AM4">
        <v>0.28905158199999997</v>
      </c>
      <c r="AN4">
        <v>0.28885029099999998</v>
      </c>
      <c r="AO4">
        <v>0.28864899900000002</v>
      </c>
    </row>
    <row r="5" spans="1:41">
      <c r="A5" t="s">
        <v>184</v>
      </c>
      <c r="B5">
        <v>4.0637231000000003E-2</v>
      </c>
      <c r="C5">
        <v>4.0637231000000003E-2</v>
      </c>
      <c r="D5">
        <v>4.0637231000000003E-2</v>
      </c>
      <c r="E5">
        <v>4.0637231000000003E-2</v>
      </c>
      <c r="F5">
        <v>4.0637231000000003E-2</v>
      </c>
      <c r="G5">
        <v>4.0637231000000003E-2</v>
      </c>
      <c r="H5">
        <v>4.0637231000000003E-2</v>
      </c>
      <c r="I5">
        <v>4.0637231000000003E-2</v>
      </c>
      <c r="J5">
        <v>4.0637231000000003E-2</v>
      </c>
      <c r="K5">
        <v>4.0637231000000003E-2</v>
      </c>
      <c r="L5">
        <v>4.0637231000000003E-2</v>
      </c>
      <c r="M5">
        <v>4.0637231000000003E-2</v>
      </c>
      <c r="N5">
        <v>4.0637231000000003E-2</v>
      </c>
      <c r="O5">
        <v>4.0637231000000003E-2</v>
      </c>
      <c r="P5">
        <v>4.0637231000000003E-2</v>
      </c>
      <c r="Q5">
        <v>4.0637231000000003E-2</v>
      </c>
      <c r="R5">
        <v>4.0637231000000003E-2</v>
      </c>
      <c r="S5">
        <v>4.0637231000000003E-2</v>
      </c>
      <c r="T5">
        <v>4.0637231000000003E-2</v>
      </c>
      <c r="U5">
        <v>4.0637231000000003E-2</v>
      </c>
      <c r="V5">
        <v>4.0637231000000003E-2</v>
      </c>
      <c r="W5">
        <v>4.0637231000000003E-2</v>
      </c>
      <c r="X5">
        <v>4.0637231000000003E-2</v>
      </c>
      <c r="Y5">
        <v>4.0637231000000003E-2</v>
      </c>
      <c r="Z5">
        <v>4.0637231000000003E-2</v>
      </c>
      <c r="AA5">
        <v>4.0637231000000003E-2</v>
      </c>
      <c r="AB5">
        <v>4.0637231000000003E-2</v>
      </c>
      <c r="AC5">
        <v>4.0637231000000003E-2</v>
      </c>
      <c r="AD5">
        <v>4.0637231000000003E-2</v>
      </c>
      <c r="AE5">
        <v>4.0637231000000003E-2</v>
      </c>
      <c r="AF5">
        <v>4.0637231000000003E-2</v>
      </c>
      <c r="AG5">
        <v>4.0637231000000003E-2</v>
      </c>
      <c r="AH5">
        <v>4.0637231000000003E-2</v>
      </c>
      <c r="AI5">
        <v>4.0637231000000003E-2</v>
      </c>
      <c r="AJ5">
        <v>4.0637231000000003E-2</v>
      </c>
      <c r="AK5">
        <v>4.0637231000000003E-2</v>
      </c>
      <c r="AL5">
        <v>4.0637231000000003E-2</v>
      </c>
      <c r="AM5">
        <v>4.0637231000000003E-2</v>
      </c>
      <c r="AN5">
        <v>4.0637231000000003E-2</v>
      </c>
      <c r="AO5">
        <v>4.0637231000000003E-2</v>
      </c>
    </row>
    <row r="6" spans="1:41">
      <c r="A6" t="s">
        <v>185</v>
      </c>
      <c r="B6">
        <v>0.23562187000000001</v>
      </c>
      <c r="C6">
        <v>0.24146292599999999</v>
      </c>
      <c r="D6">
        <v>0.24730398200000001</v>
      </c>
      <c r="E6">
        <v>0.25314503799999999</v>
      </c>
      <c r="F6">
        <v>0.258986094</v>
      </c>
      <c r="G6">
        <v>0.26482715000000001</v>
      </c>
      <c r="H6">
        <v>0.27066820600000002</v>
      </c>
      <c r="I6">
        <v>0.27650926199999998</v>
      </c>
      <c r="J6">
        <v>0.28235031900000002</v>
      </c>
      <c r="K6">
        <v>0.28819137500000003</v>
      </c>
      <c r="L6">
        <v>0.29403243099999998</v>
      </c>
      <c r="M6">
        <v>0.29987348699999999</v>
      </c>
      <c r="N6">
        <v>0.30571454300000001</v>
      </c>
      <c r="O6">
        <v>0.31155559900000002</v>
      </c>
      <c r="P6">
        <v>0.31739665500000003</v>
      </c>
      <c r="Q6">
        <v>0.32323771099999998</v>
      </c>
      <c r="R6">
        <v>0.32907876699999999</v>
      </c>
      <c r="S6">
        <v>0.33491982300000001</v>
      </c>
      <c r="T6">
        <v>0.34076087900000002</v>
      </c>
      <c r="U6">
        <v>0.34660193500000003</v>
      </c>
      <c r="V6">
        <v>0.35244299099999998</v>
      </c>
      <c r="W6">
        <v>0.35828404699999999</v>
      </c>
      <c r="X6">
        <v>0.36412510300000001</v>
      </c>
      <c r="Y6">
        <v>0.36996615900000002</v>
      </c>
      <c r="Z6">
        <v>0.37580721499999997</v>
      </c>
      <c r="AA6">
        <v>0.38164827099999998</v>
      </c>
      <c r="AB6">
        <v>0.38748932699999999</v>
      </c>
      <c r="AC6">
        <v>0.39333038300000001</v>
      </c>
      <c r="AD6">
        <v>0.39917143900000002</v>
      </c>
      <c r="AE6">
        <v>0.40501249499999997</v>
      </c>
      <c r="AF6">
        <v>0.41085355099999998</v>
      </c>
      <c r="AG6">
        <v>0.41669460699999999</v>
      </c>
      <c r="AH6">
        <v>0.42253566300000001</v>
      </c>
      <c r="AI6">
        <v>0.42837671900000002</v>
      </c>
      <c r="AJ6">
        <v>0.43421777499999997</v>
      </c>
      <c r="AK6">
        <v>0.44005883099999998</v>
      </c>
      <c r="AL6">
        <v>0.44589988699999999</v>
      </c>
      <c r="AM6">
        <v>0.45174094300000001</v>
      </c>
      <c r="AN6">
        <v>0.45758199900000002</v>
      </c>
      <c r="AO6">
        <v>0.46342305499999997</v>
      </c>
    </row>
    <row r="7" spans="1:41">
      <c r="A7" t="s">
        <v>186</v>
      </c>
      <c r="B7">
        <v>0.125309438</v>
      </c>
      <c r="C7">
        <v>0.12604669199999999</v>
      </c>
      <c r="D7">
        <v>0.12678394700000001</v>
      </c>
      <c r="E7">
        <v>0.127521201</v>
      </c>
      <c r="F7">
        <v>0.12825845599999999</v>
      </c>
      <c r="G7">
        <v>0.12899571100000001</v>
      </c>
      <c r="H7">
        <v>0.12973296500000001</v>
      </c>
      <c r="I7">
        <v>0.13047022</v>
      </c>
      <c r="J7">
        <v>0.13120747499999999</v>
      </c>
      <c r="K7">
        <v>0.13194472900000001</v>
      </c>
      <c r="L7">
        <v>0.13215938999999999</v>
      </c>
      <c r="M7">
        <v>0.13237404999999999</v>
      </c>
      <c r="N7">
        <v>0.132588711</v>
      </c>
      <c r="O7">
        <v>0.132803371</v>
      </c>
      <c r="P7">
        <v>0.13301803200000001</v>
      </c>
      <c r="Q7">
        <v>0.13323269200000001</v>
      </c>
      <c r="R7">
        <v>0.13344735199999999</v>
      </c>
      <c r="S7">
        <v>0.133662013</v>
      </c>
      <c r="T7">
        <v>0.133876673</v>
      </c>
      <c r="U7">
        <v>0.13409133400000001</v>
      </c>
      <c r="V7">
        <v>0.135811563</v>
      </c>
      <c r="W7">
        <v>0.13615124300000001</v>
      </c>
      <c r="X7">
        <v>0.136475809</v>
      </c>
      <c r="Y7">
        <v>0.13678805999999999</v>
      </c>
      <c r="Z7">
        <v>0.13709154800000001</v>
      </c>
      <c r="AA7">
        <v>0.13739067299999999</v>
      </c>
      <c r="AB7">
        <v>0.137690803</v>
      </c>
      <c r="AC7">
        <v>0.137998387</v>
      </c>
      <c r="AD7">
        <v>0.13832109000000001</v>
      </c>
      <c r="AE7">
        <v>0.138667929</v>
      </c>
      <c r="AF7">
        <v>0.139769327</v>
      </c>
      <c r="AG7">
        <v>0.14020958</v>
      </c>
      <c r="AH7">
        <v>0.140649833</v>
      </c>
      <c r="AI7">
        <v>0.141090085</v>
      </c>
      <c r="AJ7">
        <v>0.14153033800000001</v>
      </c>
      <c r="AK7">
        <v>0.14197059100000001</v>
      </c>
      <c r="AL7">
        <v>0.14241084400000001</v>
      </c>
      <c r="AM7">
        <v>0.14285109700000001</v>
      </c>
      <c r="AN7">
        <v>0.14329135000000001</v>
      </c>
      <c r="AO7">
        <v>0.14373160200000001</v>
      </c>
    </row>
    <row r="8" spans="1:41">
      <c r="A8" t="s">
        <v>187</v>
      </c>
      <c r="B8">
        <v>0</v>
      </c>
      <c r="C8">
        <v>0</v>
      </c>
      <c r="D8">
        <v>0</v>
      </c>
      <c r="E8">
        <v>0</v>
      </c>
      <c r="F8">
        <v>0</v>
      </c>
      <c r="G8">
        <v>0</v>
      </c>
      <c r="H8">
        <v>0</v>
      </c>
      <c r="I8">
        <v>0</v>
      </c>
      <c r="J8">
        <v>0</v>
      </c>
      <c r="K8">
        <v>0</v>
      </c>
      <c r="L8">
        <v>0</v>
      </c>
      <c r="M8">
        <v>0</v>
      </c>
      <c r="N8">
        <v>0</v>
      </c>
      <c r="O8">
        <v>0</v>
      </c>
      <c r="P8">
        <v>0</v>
      </c>
      <c r="Q8">
        <v>0</v>
      </c>
      <c r="R8">
        <v>0</v>
      </c>
      <c r="S8">
        <v>0</v>
      </c>
      <c r="T8">
        <v>0</v>
      </c>
      <c r="U8">
        <v>0</v>
      </c>
      <c r="V8">
        <v>0</v>
      </c>
      <c r="W8">
        <v>0</v>
      </c>
      <c r="X8">
        <v>0</v>
      </c>
      <c r="Y8">
        <v>0</v>
      </c>
      <c r="Z8">
        <v>0</v>
      </c>
      <c r="AA8">
        <v>0</v>
      </c>
      <c r="AB8">
        <v>0</v>
      </c>
      <c r="AC8">
        <v>0</v>
      </c>
      <c r="AD8">
        <v>0</v>
      </c>
      <c r="AE8">
        <v>0</v>
      </c>
      <c r="AF8">
        <v>0</v>
      </c>
      <c r="AG8">
        <v>0</v>
      </c>
      <c r="AH8">
        <v>0</v>
      </c>
      <c r="AI8">
        <v>0</v>
      </c>
      <c r="AJ8">
        <v>0</v>
      </c>
      <c r="AK8">
        <v>0</v>
      </c>
      <c r="AL8">
        <v>0</v>
      </c>
      <c r="AM8">
        <v>0</v>
      </c>
      <c r="AN8">
        <v>0</v>
      </c>
      <c r="AO8">
        <v>0</v>
      </c>
    </row>
    <row r="9" spans="1:41">
      <c r="A9" t="s">
        <v>188</v>
      </c>
      <c r="B9">
        <v>0.13558973199999999</v>
      </c>
      <c r="C9">
        <v>0.13383613799999999</v>
      </c>
      <c r="D9">
        <v>0.132082544</v>
      </c>
      <c r="E9">
        <v>0.130328951</v>
      </c>
      <c r="F9">
        <v>0.128575357</v>
      </c>
      <c r="G9">
        <v>0.126821764</v>
      </c>
      <c r="H9">
        <v>0.12506817000000001</v>
      </c>
      <c r="I9">
        <v>0.12331457699999999</v>
      </c>
      <c r="J9">
        <v>0.121560983</v>
      </c>
      <c r="K9">
        <v>0.11980739</v>
      </c>
      <c r="L9">
        <v>0.118053796</v>
      </c>
      <c r="M9">
        <v>0.11630020200000001</v>
      </c>
      <c r="N9">
        <v>0.11454660899999999</v>
      </c>
      <c r="O9">
        <v>0.112793015</v>
      </c>
      <c r="P9">
        <v>0.111039422</v>
      </c>
      <c r="Q9">
        <v>0.109285828</v>
      </c>
      <c r="R9">
        <v>0.107532235</v>
      </c>
      <c r="S9">
        <v>0.10577864100000001</v>
      </c>
      <c r="T9">
        <v>0.10402504799999999</v>
      </c>
      <c r="U9">
        <v>0.102271454</v>
      </c>
      <c r="V9">
        <v>0.100517861</v>
      </c>
      <c r="W9">
        <v>9.8764267000000003E-2</v>
      </c>
      <c r="X9">
        <v>9.7010673000000006E-2</v>
      </c>
      <c r="Y9">
        <v>9.5257079999999994E-2</v>
      </c>
      <c r="Z9">
        <v>9.3503485999999997E-2</v>
      </c>
      <c r="AA9">
        <v>9.1749892999999999E-2</v>
      </c>
      <c r="AB9">
        <v>8.9996299000000002E-2</v>
      </c>
      <c r="AC9">
        <v>8.8242706000000004E-2</v>
      </c>
      <c r="AD9">
        <v>8.6489112000000007E-2</v>
      </c>
      <c r="AE9">
        <v>8.4735518999999995E-2</v>
      </c>
      <c r="AF9">
        <v>8.2981924999999998E-2</v>
      </c>
      <c r="AG9">
        <v>8.1228331000000001E-2</v>
      </c>
      <c r="AH9">
        <v>7.9474738000000003E-2</v>
      </c>
      <c r="AI9">
        <v>7.7721144000000006E-2</v>
      </c>
      <c r="AJ9">
        <v>7.5967550999999994E-2</v>
      </c>
      <c r="AK9">
        <v>7.4213956999999997E-2</v>
      </c>
      <c r="AL9">
        <v>7.2460363999999999E-2</v>
      </c>
      <c r="AM9">
        <v>7.0706770000000002E-2</v>
      </c>
      <c r="AN9">
        <v>6.8953177000000004E-2</v>
      </c>
      <c r="AO9">
        <v>6.7199582999999993E-2</v>
      </c>
    </row>
    <row r="10" spans="1:41">
      <c r="A10" t="s">
        <v>189</v>
      </c>
      <c r="B10">
        <v>0.21593546699999999</v>
      </c>
      <c r="C10">
        <v>0.218389536</v>
      </c>
      <c r="D10">
        <v>0.220843606</v>
      </c>
      <c r="E10">
        <v>0.223297675</v>
      </c>
      <c r="F10">
        <v>0.225751745</v>
      </c>
      <c r="G10">
        <v>0.22820581500000001</v>
      </c>
      <c r="H10">
        <v>0.23065988400000001</v>
      </c>
      <c r="I10">
        <v>0.23311395400000001</v>
      </c>
      <c r="J10">
        <v>0.23556802299999999</v>
      </c>
      <c r="K10">
        <v>0.23802209299999999</v>
      </c>
      <c r="L10">
        <v>0.23859646100000001</v>
      </c>
      <c r="M10">
        <v>0.239170828</v>
      </c>
      <c r="N10">
        <v>0.23974519599999999</v>
      </c>
      <c r="O10">
        <v>0.24031956400000001</v>
      </c>
      <c r="P10">
        <v>0.24089393200000001</v>
      </c>
      <c r="Q10">
        <v>0.2414683</v>
      </c>
      <c r="R10">
        <v>0.24204266799999999</v>
      </c>
      <c r="S10">
        <v>0.24261703500000001</v>
      </c>
      <c r="T10">
        <v>0.243191403</v>
      </c>
      <c r="U10">
        <v>0.24376577099999999</v>
      </c>
      <c r="V10">
        <v>0.24975547000000001</v>
      </c>
      <c r="W10">
        <v>0.25077951700000001</v>
      </c>
      <c r="X10">
        <v>0.25174919899999998</v>
      </c>
      <c r="Y10">
        <v>0.252674589</v>
      </c>
      <c r="Z10">
        <v>0.25356845500000003</v>
      </c>
      <c r="AA10">
        <v>0.254446634</v>
      </c>
      <c r="AB10">
        <v>0.25532842300000003</v>
      </c>
      <c r="AC10">
        <v>0.25623702399999998</v>
      </c>
      <c r="AD10">
        <v>0.25720000599999998</v>
      </c>
      <c r="AE10">
        <v>0.25824980400000003</v>
      </c>
      <c r="AF10">
        <v>0.26201364799999999</v>
      </c>
      <c r="AG10">
        <v>0.26339944100000001</v>
      </c>
      <c r="AH10">
        <v>0.26478523500000001</v>
      </c>
      <c r="AI10">
        <v>0.26617102799999998</v>
      </c>
      <c r="AJ10">
        <v>0.26755682200000003</v>
      </c>
      <c r="AK10">
        <v>0.268942615</v>
      </c>
      <c r="AL10">
        <v>0.27032840899999999</v>
      </c>
      <c r="AM10">
        <v>0.27171420200000002</v>
      </c>
      <c r="AN10">
        <v>0.27309999600000001</v>
      </c>
      <c r="AO10">
        <v>0.27448578899999998</v>
      </c>
    </row>
    <row r="11" spans="1:41">
      <c r="A11" t="s">
        <v>190</v>
      </c>
      <c r="B11">
        <v>5.6947609000000003E-2</v>
      </c>
      <c r="C11">
        <v>5.6947609000000003E-2</v>
      </c>
      <c r="D11">
        <v>5.6947609000000003E-2</v>
      </c>
      <c r="E11">
        <v>5.6947609000000003E-2</v>
      </c>
      <c r="F11">
        <v>5.6947609000000003E-2</v>
      </c>
      <c r="G11">
        <v>5.6947609000000003E-2</v>
      </c>
      <c r="H11">
        <v>5.6947609000000003E-2</v>
      </c>
      <c r="I11">
        <v>5.6947609000000003E-2</v>
      </c>
      <c r="J11">
        <v>5.6947609000000003E-2</v>
      </c>
      <c r="K11">
        <v>5.6947609000000003E-2</v>
      </c>
      <c r="L11">
        <v>5.6947609000000003E-2</v>
      </c>
      <c r="M11">
        <v>5.6947609000000003E-2</v>
      </c>
      <c r="N11">
        <v>5.6947609000000003E-2</v>
      </c>
      <c r="O11">
        <v>5.6947609000000003E-2</v>
      </c>
      <c r="P11">
        <v>5.6947609000000003E-2</v>
      </c>
      <c r="Q11">
        <v>5.6947609000000003E-2</v>
      </c>
      <c r="R11">
        <v>5.6947609000000003E-2</v>
      </c>
      <c r="S11">
        <v>5.6947609000000003E-2</v>
      </c>
      <c r="T11">
        <v>5.6947609000000003E-2</v>
      </c>
      <c r="U11">
        <v>5.6947609000000003E-2</v>
      </c>
      <c r="V11">
        <v>5.6947609000000003E-2</v>
      </c>
      <c r="W11">
        <v>5.6947609000000003E-2</v>
      </c>
      <c r="X11">
        <v>5.6947609000000003E-2</v>
      </c>
      <c r="Y11">
        <v>5.6947609000000003E-2</v>
      </c>
      <c r="Z11">
        <v>5.6947609000000003E-2</v>
      </c>
      <c r="AA11">
        <v>5.6947609000000003E-2</v>
      </c>
      <c r="AB11">
        <v>5.6947609000000003E-2</v>
      </c>
      <c r="AC11">
        <v>5.6947609000000003E-2</v>
      </c>
      <c r="AD11">
        <v>5.6947609000000003E-2</v>
      </c>
      <c r="AE11">
        <v>5.6947609000000003E-2</v>
      </c>
      <c r="AF11">
        <v>5.6947609000000003E-2</v>
      </c>
      <c r="AG11">
        <v>5.6947609000000003E-2</v>
      </c>
      <c r="AH11">
        <v>5.6947609000000003E-2</v>
      </c>
      <c r="AI11">
        <v>5.6947609000000003E-2</v>
      </c>
      <c r="AJ11">
        <v>5.6947609000000003E-2</v>
      </c>
      <c r="AK11">
        <v>5.6947609000000003E-2</v>
      </c>
      <c r="AL11">
        <v>5.6947609000000003E-2</v>
      </c>
      <c r="AM11">
        <v>5.6947609000000003E-2</v>
      </c>
      <c r="AN11">
        <v>5.6947609000000003E-2</v>
      </c>
      <c r="AO11">
        <v>5.6947609000000003E-2</v>
      </c>
    </row>
    <row r="12" spans="1:41">
      <c r="A12" t="s">
        <v>191</v>
      </c>
      <c r="B12">
        <v>3.4552284000000003E-2</v>
      </c>
      <c r="C12">
        <v>3.4061632000000001E-2</v>
      </c>
      <c r="D12">
        <v>3.357098E-2</v>
      </c>
      <c r="E12">
        <v>3.3080327999999999E-2</v>
      </c>
      <c r="F12">
        <v>3.2589675999999998E-2</v>
      </c>
      <c r="G12">
        <v>3.2099022999999997E-2</v>
      </c>
      <c r="H12">
        <v>3.1608371000000003E-2</v>
      </c>
      <c r="I12">
        <v>3.1117718999999999E-2</v>
      </c>
      <c r="J12">
        <v>3.0627067000000001E-2</v>
      </c>
      <c r="K12">
        <v>3.0136415E-2</v>
      </c>
      <c r="L12">
        <v>2.9645762999999999E-2</v>
      </c>
      <c r="M12">
        <v>2.9155111000000001E-2</v>
      </c>
      <c r="N12">
        <v>2.8664459E-2</v>
      </c>
      <c r="O12">
        <v>2.8173806999999999E-2</v>
      </c>
      <c r="P12">
        <v>2.7683154000000001E-2</v>
      </c>
      <c r="Q12">
        <v>2.7192502E-2</v>
      </c>
      <c r="R12">
        <v>2.6701849999999999E-2</v>
      </c>
      <c r="S12">
        <v>2.6211198000000002E-2</v>
      </c>
      <c r="T12">
        <v>2.5720546E-2</v>
      </c>
      <c r="U12">
        <v>2.5229893999999999E-2</v>
      </c>
      <c r="V12">
        <v>2.4739242000000002E-2</v>
      </c>
      <c r="W12">
        <v>2.424859E-2</v>
      </c>
      <c r="X12">
        <v>2.3757937999999999E-2</v>
      </c>
      <c r="Y12">
        <v>2.3267284999999999E-2</v>
      </c>
      <c r="Z12">
        <v>2.2776633000000001E-2</v>
      </c>
      <c r="AA12">
        <v>2.2285981E-2</v>
      </c>
      <c r="AB12">
        <v>2.1795328999999999E-2</v>
      </c>
      <c r="AC12">
        <v>2.1304677000000001E-2</v>
      </c>
      <c r="AD12">
        <v>2.0814025E-2</v>
      </c>
      <c r="AE12">
        <v>2.0323372999999999E-2</v>
      </c>
      <c r="AF12">
        <v>1.9832721000000001E-2</v>
      </c>
      <c r="AG12">
        <v>1.9342069E-2</v>
      </c>
      <c r="AH12">
        <v>1.8851415999999999E-2</v>
      </c>
      <c r="AI12">
        <v>1.8360764000000002E-2</v>
      </c>
      <c r="AJ12">
        <v>1.7870112E-2</v>
      </c>
      <c r="AK12">
        <v>1.7379459999999999E-2</v>
      </c>
      <c r="AL12">
        <v>1.6888808000000002E-2</v>
      </c>
      <c r="AM12">
        <v>1.6398156000000001E-2</v>
      </c>
      <c r="AN12">
        <v>1.5907503999999999E-2</v>
      </c>
      <c r="AO12">
        <v>1.5416852E-2</v>
      </c>
    </row>
    <row r="13" spans="1:41">
      <c r="A13" t="s">
        <v>192</v>
      </c>
      <c r="B13">
        <v>0.13001270700000001</v>
      </c>
      <c r="C13">
        <v>0.127653509</v>
      </c>
      <c r="D13">
        <v>0.12529431099999999</v>
      </c>
      <c r="E13">
        <v>0.122935113</v>
      </c>
      <c r="F13">
        <v>0.12057591500000001</v>
      </c>
      <c r="G13">
        <v>0.118216716</v>
      </c>
      <c r="H13">
        <v>0.11585751800000001</v>
      </c>
      <c r="I13">
        <v>0.11349832</v>
      </c>
      <c r="J13">
        <v>0.11113912200000001</v>
      </c>
      <c r="K13">
        <v>0.108779924</v>
      </c>
      <c r="L13">
        <v>0.10801839000000001</v>
      </c>
      <c r="M13">
        <v>0.107256856</v>
      </c>
      <c r="N13">
        <v>0.106495321</v>
      </c>
      <c r="O13">
        <v>0.105733787</v>
      </c>
      <c r="P13">
        <v>0.104972253</v>
      </c>
      <c r="Q13">
        <v>0.10421071899999999</v>
      </c>
      <c r="R13">
        <v>0.103449185</v>
      </c>
      <c r="S13">
        <v>0.10268765000000001</v>
      </c>
      <c r="T13">
        <v>0.101926116</v>
      </c>
      <c r="U13">
        <v>0.101164582</v>
      </c>
      <c r="V13">
        <v>9.5800254000000001E-2</v>
      </c>
      <c r="W13">
        <v>9.4656511999999998E-2</v>
      </c>
      <c r="X13">
        <v>9.3558979E-2</v>
      </c>
      <c r="Y13">
        <v>9.2499091000000006E-2</v>
      </c>
      <c r="Z13">
        <v>9.1465996999999993E-2</v>
      </c>
      <c r="AA13">
        <v>9.0446236999999999E-2</v>
      </c>
      <c r="AB13">
        <v>8.9423407999999996E-2</v>
      </c>
      <c r="AC13">
        <v>8.8377789999999998E-2</v>
      </c>
      <c r="AD13">
        <v>8.7285952E-2</v>
      </c>
      <c r="AE13">
        <v>8.6120322999999999E-2</v>
      </c>
      <c r="AF13">
        <v>8.2647873999999996E-2</v>
      </c>
      <c r="AG13">
        <v>8.1196664000000002E-2</v>
      </c>
      <c r="AH13">
        <v>7.9745452999999994E-2</v>
      </c>
      <c r="AI13">
        <v>7.8294242999999999E-2</v>
      </c>
      <c r="AJ13">
        <v>7.6843032000000006E-2</v>
      </c>
      <c r="AK13">
        <v>7.5391821999999997E-2</v>
      </c>
      <c r="AL13">
        <v>7.3940611000000003E-2</v>
      </c>
      <c r="AM13">
        <v>7.2489400999999995E-2</v>
      </c>
      <c r="AN13">
        <v>7.1038191000000001E-2</v>
      </c>
      <c r="AO13">
        <v>6.9586980000000007E-2</v>
      </c>
    </row>
    <row r="14" spans="1:41">
      <c r="A14" t="s">
        <v>193</v>
      </c>
      <c r="B14">
        <v>0.487958954</v>
      </c>
      <c r="C14">
        <v>0.487958954</v>
      </c>
      <c r="D14">
        <v>0.487958954</v>
      </c>
      <c r="E14">
        <v>0.487958954</v>
      </c>
      <c r="F14">
        <v>0.487958954</v>
      </c>
      <c r="G14">
        <v>0.487958954</v>
      </c>
      <c r="H14">
        <v>0.487958954</v>
      </c>
      <c r="I14">
        <v>0.487958954</v>
      </c>
      <c r="J14">
        <v>0.487958954</v>
      </c>
      <c r="K14">
        <v>0.487958954</v>
      </c>
      <c r="L14">
        <v>0.487958954</v>
      </c>
      <c r="M14">
        <v>0.487958954</v>
      </c>
      <c r="N14">
        <v>0.487958954</v>
      </c>
      <c r="O14">
        <v>0.487958954</v>
      </c>
      <c r="P14">
        <v>0.487958954</v>
      </c>
      <c r="Q14">
        <v>0.487958954</v>
      </c>
      <c r="R14">
        <v>0.487958954</v>
      </c>
      <c r="S14">
        <v>0.487958954</v>
      </c>
      <c r="T14">
        <v>0.487958954</v>
      </c>
      <c r="U14">
        <v>0.487958954</v>
      </c>
      <c r="V14">
        <v>0.487958954</v>
      </c>
      <c r="W14">
        <v>0.487958954</v>
      </c>
      <c r="X14">
        <v>0.487958954</v>
      </c>
      <c r="Y14">
        <v>0.487958954</v>
      </c>
      <c r="Z14">
        <v>0.487958954</v>
      </c>
      <c r="AA14">
        <v>0.487958954</v>
      </c>
      <c r="AB14">
        <v>0.487958954</v>
      </c>
      <c r="AC14">
        <v>0.487958954</v>
      </c>
      <c r="AD14">
        <v>0.487958954</v>
      </c>
      <c r="AE14">
        <v>0.487958954</v>
      </c>
      <c r="AF14">
        <v>0.487958954</v>
      </c>
      <c r="AG14">
        <v>0.487958954</v>
      </c>
      <c r="AH14">
        <v>0.487958954</v>
      </c>
      <c r="AI14">
        <v>0.487958954</v>
      </c>
      <c r="AJ14">
        <v>0.487958954</v>
      </c>
      <c r="AK14">
        <v>0.487958954</v>
      </c>
      <c r="AL14">
        <v>0.487958954</v>
      </c>
      <c r="AM14">
        <v>0.487958954</v>
      </c>
      <c r="AN14">
        <v>0.487958954</v>
      </c>
      <c r="AO14">
        <v>0.487958954</v>
      </c>
    </row>
    <row r="15" spans="1:41">
      <c r="A15" t="s">
        <v>194</v>
      </c>
      <c r="B15">
        <v>0.31395943399999998</v>
      </c>
      <c r="C15">
        <v>0.31116685399999999</v>
      </c>
      <c r="D15">
        <v>0.308374274</v>
      </c>
      <c r="E15">
        <v>0.30558169400000001</v>
      </c>
      <c r="F15">
        <v>0.30278911400000003</v>
      </c>
      <c r="G15">
        <v>0.29999653300000001</v>
      </c>
      <c r="H15">
        <v>0.29720395300000002</v>
      </c>
      <c r="I15">
        <v>0.29441137299999998</v>
      </c>
      <c r="J15">
        <v>0.29161879299999999</v>
      </c>
      <c r="K15">
        <v>0.28882621200000003</v>
      </c>
      <c r="L15">
        <v>0.28603363199999998</v>
      </c>
      <c r="M15">
        <v>0.28324105199999999</v>
      </c>
      <c r="N15">
        <v>0.280448472</v>
      </c>
      <c r="O15">
        <v>0.27765589099999999</v>
      </c>
      <c r="P15">
        <v>0.274863311</v>
      </c>
      <c r="Q15">
        <v>0.27207073100000001</v>
      </c>
      <c r="R15">
        <v>0.26927815100000002</v>
      </c>
      <c r="S15">
        <v>0.26648557</v>
      </c>
      <c r="T15">
        <v>0.26369299000000002</v>
      </c>
      <c r="U15">
        <v>0.26090041000000003</v>
      </c>
      <c r="V15">
        <v>0.25810782999999998</v>
      </c>
      <c r="W15">
        <v>0.25531524999999999</v>
      </c>
      <c r="X15">
        <v>0.25252266899999998</v>
      </c>
      <c r="Y15">
        <v>0.24973008899999999</v>
      </c>
      <c r="Z15">
        <v>0.246937509</v>
      </c>
      <c r="AA15">
        <v>0.24414492900000001</v>
      </c>
      <c r="AB15">
        <v>0.24135234799999999</v>
      </c>
      <c r="AC15">
        <v>0.23855976800000001</v>
      </c>
      <c r="AD15">
        <v>0.23576718799999999</v>
      </c>
      <c r="AE15">
        <v>0.232974608</v>
      </c>
      <c r="AF15">
        <v>0.23018202700000001</v>
      </c>
      <c r="AG15">
        <v>0.22738944699999999</v>
      </c>
      <c r="AH15">
        <v>0.22459686700000001</v>
      </c>
      <c r="AI15">
        <v>0.22180428699999999</v>
      </c>
      <c r="AJ15">
        <v>0.219011706</v>
      </c>
      <c r="AK15">
        <v>0.21621912600000001</v>
      </c>
      <c r="AL15">
        <v>0.21342654599999999</v>
      </c>
      <c r="AM15">
        <v>0.21063396600000001</v>
      </c>
      <c r="AN15">
        <v>0.20784138599999999</v>
      </c>
      <c r="AO15">
        <v>0.205048805</v>
      </c>
    </row>
    <row r="16" spans="1:41">
      <c r="A16" t="s">
        <v>195</v>
      </c>
      <c r="B16">
        <v>6.5357450999999997E-2</v>
      </c>
      <c r="C16">
        <v>6.4588814999999994E-2</v>
      </c>
      <c r="D16">
        <v>6.3820178000000005E-2</v>
      </c>
      <c r="E16">
        <v>6.3051541000000003E-2</v>
      </c>
      <c r="F16">
        <v>6.2282904E-2</v>
      </c>
      <c r="G16">
        <v>6.1514266999999997E-2</v>
      </c>
      <c r="H16">
        <v>6.0745631000000001E-2</v>
      </c>
      <c r="I16">
        <v>5.9976993999999999E-2</v>
      </c>
      <c r="J16">
        <v>5.9208357000000003E-2</v>
      </c>
      <c r="K16">
        <v>5.8439720000000001E-2</v>
      </c>
      <c r="L16">
        <v>5.8215678999999999E-2</v>
      </c>
      <c r="M16">
        <v>5.7991636999999999E-2</v>
      </c>
      <c r="N16">
        <v>5.7767595999999997E-2</v>
      </c>
      <c r="O16">
        <v>5.7543553999999997E-2</v>
      </c>
      <c r="P16">
        <v>5.7319513000000002E-2</v>
      </c>
      <c r="Q16">
        <v>5.7095471000000002E-2</v>
      </c>
      <c r="R16">
        <v>5.6871430000000001E-2</v>
      </c>
      <c r="S16">
        <v>5.6647388E-2</v>
      </c>
      <c r="T16">
        <v>5.6423346999999999E-2</v>
      </c>
      <c r="U16">
        <v>5.6199304999999998E-2</v>
      </c>
      <c r="V16">
        <v>5.4406310999999999E-2</v>
      </c>
      <c r="W16">
        <v>5.4051986000000003E-2</v>
      </c>
      <c r="X16">
        <v>5.3713413000000002E-2</v>
      </c>
      <c r="Y16">
        <v>5.3387671999999997E-2</v>
      </c>
      <c r="Z16">
        <v>5.3071063000000002E-2</v>
      </c>
      <c r="AA16">
        <v>5.2759001E-2</v>
      </c>
      <c r="AB16">
        <v>5.2445892000000001E-2</v>
      </c>
      <c r="AC16">
        <v>5.2125014999999997E-2</v>
      </c>
      <c r="AD16">
        <v>5.1788382000000001E-2</v>
      </c>
      <c r="AE16">
        <v>5.1426596999999998E-2</v>
      </c>
      <c r="AF16">
        <v>5.0278486999999997E-2</v>
      </c>
      <c r="AG16">
        <v>4.9819356000000002E-2</v>
      </c>
      <c r="AH16">
        <v>4.9360224000000001E-2</v>
      </c>
      <c r="AI16">
        <v>4.8901093E-2</v>
      </c>
      <c r="AJ16">
        <v>4.8441961999999998E-2</v>
      </c>
      <c r="AK16">
        <v>4.7982830999999997E-2</v>
      </c>
      <c r="AL16">
        <v>4.7523699000000003E-2</v>
      </c>
      <c r="AM16">
        <v>4.7064568000000001E-2</v>
      </c>
      <c r="AN16">
        <v>4.6605437E-2</v>
      </c>
      <c r="AO16">
        <v>4.6146305999999998E-2</v>
      </c>
    </row>
    <row r="17" spans="1:41">
      <c r="A17" t="s">
        <v>196</v>
      </c>
      <c r="B17">
        <v>1.3545744E-2</v>
      </c>
      <c r="C17">
        <v>1.3545744E-2</v>
      </c>
      <c r="D17">
        <v>1.3545744E-2</v>
      </c>
      <c r="E17">
        <v>1.3545744E-2</v>
      </c>
      <c r="F17">
        <v>1.3545744E-2</v>
      </c>
      <c r="G17">
        <v>1.3545744E-2</v>
      </c>
      <c r="H17">
        <v>1.3545744E-2</v>
      </c>
      <c r="I17">
        <v>1.3545744E-2</v>
      </c>
      <c r="J17">
        <v>1.3545744E-2</v>
      </c>
      <c r="K17">
        <v>1.3545744E-2</v>
      </c>
      <c r="L17">
        <v>1.3545744E-2</v>
      </c>
      <c r="M17">
        <v>1.3545744E-2</v>
      </c>
      <c r="N17">
        <v>1.3545744E-2</v>
      </c>
      <c r="O17">
        <v>1.3545744E-2</v>
      </c>
      <c r="P17">
        <v>1.3545744E-2</v>
      </c>
      <c r="Q17">
        <v>1.3545744E-2</v>
      </c>
      <c r="R17">
        <v>1.3545744E-2</v>
      </c>
      <c r="S17">
        <v>1.3545744E-2</v>
      </c>
      <c r="T17">
        <v>1.3545744E-2</v>
      </c>
      <c r="U17">
        <v>1.3545744E-2</v>
      </c>
      <c r="V17">
        <v>1.3545744E-2</v>
      </c>
      <c r="W17">
        <v>1.3545744E-2</v>
      </c>
      <c r="X17">
        <v>1.3545744E-2</v>
      </c>
      <c r="Y17">
        <v>1.3545744E-2</v>
      </c>
      <c r="Z17">
        <v>1.3545744E-2</v>
      </c>
      <c r="AA17">
        <v>1.3545744E-2</v>
      </c>
      <c r="AB17">
        <v>1.3545744E-2</v>
      </c>
      <c r="AC17">
        <v>1.3545744E-2</v>
      </c>
      <c r="AD17">
        <v>1.3545744E-2</v>
      </c>
      <c r="AE17">
        <v>1.3545744E-2</v>
      </c>
      <c r="AF17">
        <v>1.3545744E-2</v>
      </c>
      <c r="AG17">
        <v>1.3545744E-2</v>
      </c>
      <c r="AH17">
        <v>1.3545744E-2</v>
      </c>
      <c r="AI17">
        <v>1.3545744E-2</v>
      </c>
      <c r="AJ17">
        <v>1.3545744E-2</v>
      </c>
      <c r="AK17">
        <v>1.3545744E-2</v>
      </c>
      <c r="AL17">
        <v>1.3545744E-2</v>
      </c>
      <c r="AM17">
        <v>1.3545744E-2</v>
      </c>
      <c r="AN17">
        <v>1.3545744E-2</v>
      </c>
      <c r="AO17">
        <v>1.3545744E-2</v>
      </c>
    </row>
    <row r="18" spans="1:41">
      <c r="A18" t="s">
        <v>197</v>
      </c>
      <c r="B18">
        <v>0.25794168299999998</v>
      </c>
      <c r="C18">
        <v>0.25709628600000001</v>
      </c>
      <c r="D18">
        <v>0.25625088899999998</v>
      </c>
      <c r="E18">
        <v>0.25540549200000001</v>
      </c>
      <c r="F18">
        <v>0.25456009499999999</v>
      </c>
      <c r="G18">
        <v>0.25371469800000002</v>
      </c>
      <c r="H18">
        <v>0.25286930099999999</v>
      </c>
      <c r="I18">
        <v>0.25202390400000002</v>
      </c>
      <c r="J18">
        <v>0.251178507</v>
      </c>
      <c r="K18">
        <v>0.250333109</v>
      </c>
      <c r="L18">
        <v>0.249487712</v>
      </c>
      <c r="M18">
        <v>0.248642315</v>
      </c>
      <c r="N18">
        <v>0.247796918</v>
      </c>
      <c r="O18">
        <v>0.24695152100000001</v>
      </c>
      <c r="P18">
        <v>0.24610612400000001</v>
      </c>
      <c r="Q18">
        <v>0.24526072700000001</v>
      </c>
      <c r="R18">
        <v>0.24441532999999999</v>
      </c>
      <c r="S18">
        <v>0.24356993299999999</v>
      </c>
      <c r="T18">
        <v>0.24272453599999999</v>
      </c>
      <c r="U18">
        <v>0.24187913799999999</v>
      </c>
      <c r="V18">
        <v>0.241033741</v>
      </c>
      <c r="W18">
        <v>0.240188344</v>
      </c>
      <c r="X18">
        <v>0.239342947</v>
      </c>
      <c r="Y18">
        <v>0.23849755</v>
      </c>
      <c r="Z18">
        <v>0.237652153</v>
      </c>
      <c r="AA18">
        <v>0.23680675600000001</v>
      </c>
      <c r="AB18">
        <v>0.23596135900000001</v>
      </c>
      <c r="AC18">
        <v>0.23511596200000001</v>
      </c>
      <c r="AD18">
        <v>0.23427056499999999</v>
      </c>
      <c r="AE18">
        <v>0.23342516699999999</v>
      </c>
      <c r="AF18">
        <v>0.23257976999999999</v>
      </c>
      <c r="AG18">
        <v>0.23173437299999999</v>
      </c>
      <c r="AH18">
        <v>0.230888976</v>
      </c>
      <c r="AI18">
        <v>0.230043579</v>
      </c>
      <c r="AJ18">
        <v>0.229198182</v>
      </c>
      <c r="AK18">
        <v>0.228352785</v>
      </c>
      <c r="AL18">
        <v>0.227507388</v>
      </c>
      <c r="AM18">
        <v>0.22666199100000001</v>
      </c>
      <c r="AN18">
        <v>0.22581659400000001</v>
      </c>
      <c r="AO18">
        <v>0.22497119700000001</v>
      </c>
    </row>
    <row r="19" spans="1:41">
      <c r="A19" t="s">
        <v>198</v>
      </c>
      <c r="B19">
        <v>2.2872052E-2</v>
      </c>
      <c r="C19">
        <v>2.2855215000000002E-2</v>
      </c>
      <c r="D19">
        <v>2.2838377E-2</v>
      </c>
      <c r="E19">
        <v>2.2821540000000001E-2</v>
      </c>
      <c r="F19">
        <v>2.2804702E-2</v>
      </c>
      <c r="G19">
        <v>2.2787865000000001E-2</v>
      </c>
      <c r="H19">
        <v>2.2771027999999999E-2</v>
      </c>
      <c r="I19">
        <v>2.2754190000000001E-2</v>
      </c>
      <c r="J19">
        <v>2.2737352999999998E-2</v>
      </c>
      <c r="K19">
        <v>2.2720516E-2</v>
      </c>
      <c r="L19">
        <v>2.2686978999999999E-2</v>
      </c>
      <c r="M19">
        <v>2.2653441999999999E-2</v>
      </c>
      <c r="N19">
        <v>2.2619904999999999E-2</v>
      </c>
      <c r="O19">
        <v>2.2586368999999999E-2</v>
      </c>
      <c r="P19">
        <v>2.2552831999999998E-2</v>
      </c>
      <c r="Q19">
        <v>2.2519295000000002E-2</v>
      </c>
      <c r="R19">
        <v>2.2485758000000002E-2</v>
      </c>
      <c r="S19">
        <v>2.2452222000000001E-2</v>
      </c>
      <c r="T19">
        <v>2.2418685000000001E-2</v>
      </c>
      <c r="U19">
        <v>2.2385148000000001E-2</v>
      </c>
      <c r="V19">
        <v>2.2399721000000001E-2</v>
      </c>
      <c r="W19">
        <v>2.237018E-2</v>
      </c>
      <c r="X19">
        <v>2.2340155E-2</v>
      </c>
      <c r="Y19">
        <v>2.2309737E-2</v>
      </c>
      <c r="Z19">
        <v>2.2279038000000001E-2</v>
      </c>
      <c r="AA19">
        <v>2.2248200999999999E-2</v>
      </c>
      <c r="AB19">
        <v>2.2217395000000001E-2</v>
      </c>
      <c r="AC19">
        <v>2.2186827999999999E-2</v>
      </c>
      <c r="AD19">
        <v>2.2156743E-2</v>
      </c>
      <c r="AE19">
        <v>2.212743E-2</v>
      </c>
      <c r="AF19">
        <v>2.2122229E-2</v>
      </c>
      <c r="AG19">
        <v>2.2095901000000001E-2</v>
      </c>
      <c r="AH19">
        <v>2.2069572999999999E-2</v>
      </c>
      <c r="AI19">
        <v>2.2043245E-2</v>
      </c>
      <c r="AJ19">
        <v>2.2016917E-2</v>
      </c>
      <c r="AK19">
        <v>2.1990589000000001E-2</v>
      </c>
      <c r="AL19">
        <v>2.1964260999999999E-2</v>
      </c>
      <c r="AM19">
        <v>2.1937933E-2</v>
      </c>
      <c r="AN19">
        <v>2.1911605000000001E-2</v>
      </c>
      <c r="AO19">
        <v>2.1885277000000002E-2</v>
      </c>
    </row>
    <row r="20" spans="1:41">
      <c r="A20" t="s">
        <v>199</v>
      </c>
      <c r="B20">
        <v>0</v>
      </c>
      <c r="C20">
        <v>0</v>
      </c>
      <c r="D20">
        <v>0</v>
      </c>
      <c r="E20">
        <v>0</v>
      </c>
      <c r="F20">
        <v>0</v>
      </c>
      <c r="G20">
        <v>0</v>
      </c>
      <c r="H20">
        <v>0</v>
      </c>
      <c r="I20">
        <v>0</v>
      </c>
      <c r="J20">
        <v>0</v>
      </c>
      <c r="K20">
        <v>0</v>
      </c>
      <c r="L20">
        <v>0</v>
      </c>
      <c r="M20">
        <v>0</v>
      </c>
      <c r="N20">
        <v>0</v>
      </c>
      <c r="O20">
        <v>0</v>
      </c>
      <c r="P20">
        <v>0</v>
      </c>
      <c r="Q20">
        <v>0</v>
      </c>
      <c r="R20">
        <v>0</v>
      </c>
      <c r="S20">
        <v>0</v>
      </c>
      <c r="T20">
        <v>0</v>
      </c>
      <c r="U20">
        <v>0</v>
      </c>
      <c r="V20">
        <v>0</v>
      </c>
      <c r="W20">
        <v>0</v>
      </c>
      <c r="X20">
        <v>0</v>
      </c>
      <c r="Y20">
        <v>0</v>
      </c>
      <c r="Z20">
        <v>0</v>
      </c>
      <c r="AA20">
        <v>0</v>
      </c>
      <c r="AB20">
        <v>0</v>
      </c>
      <c r="AC20">
        <v>0</v>
      </c>
      <c r="AD20">
        <v>0</v>
      </c>
      <c r="AE20">
        <v>0</v>
      </c>
      <c r="AF20">
        <v>0</v>
      </c>
      <c r="AG20">
        <v>0</v>
      </c>
      <c r="AH20">
        <v>0</v>
      </c>
      <c r="AI20">
        <v>0</v>
      </c>
      <c r="AJ20">
        <v>0</v>
      </c>
      <c r="AK20">
        <v>0</v>
      </c>
      <c r="AL20">
        <v>0</v>
      </c>
      <c r="AM20">
        <v>0</v>
      </c>
      <c r="AN20">
        <v>0</v>
      </c>
      <c r="AO20">
        <v>0</v>
      </c>
    </row>
    <row r="21" spans="1:41">
      <c r="A21" t="s">
        <v>200</v>
      </c>
      <c r="B21">
        <v>0</v>
      </c>
      <c r="C21">
        <v>0</v>
      </c>
      <c r="D21">
        <v>0</v>
      </c>
      <c r="E21">
        <v>0</v>
      </c>
      <c r="F21">
        <v>0</v>
      </c>
      <c r="G21">
        <v>0</v>
      </c>
      <c r="H21">
        <v>0</v>
      </c>
      <c r="I21">
        <v>0</v>
      </c>
      <c r="J21">
        <v>0</v>
      </c>
      <c r="K21">
        <v>0</v>
      </c>
      <c r="L21">
        <v>0</v>
      </c>
      <c r="M21">
        <v>0</v>
      </c>
      <c r="N21">
        <v>0</v>
      </c>
      <c r="O21">
        <v>0</v>
      </c>
      <c r="P21">
        <v>0</v>
      </c>
      <c r="Q21">
        <v>0</v>
      </c>
      <c r="R21">
        <v>0</v>
      </c>
      <c r="S21">
        <v>0</v>
      </c>
      <c r="T21">
        <v>0</v>
      </c>
      <c r="U21">
        <v>0</v>
      </c>
      <c r="V21">
        <v>0</v>
      </c>
      <c r="W21">
        <v>0</v>
      </c>
      <c r="X21">
        <v>0</v>
      </c>
      <c r="Y21">
        <v>0</v>
      </c>
      <c r="Z21">
        <v>0</v>
      </c>
      <c r="AA21">
        <v>0</v>
      </c>
      <c r="AB21">
        <v>0</v>
      </c>
      <c r="AC21">
        <v>0</v>
      </c>
      <c r="AD21">
        <v>0</v>
      </c>
      <c r="AE21">
        <v>0</v>
      </c>
      <c r="AF21">
        <v>0</v>
      </c>
      <c r="AG21">
        <v>0</v>
      </c>
      <c r="AH21">
        <v>0</v>
      </c>
      <c r="AI21">
        <v>0</v>
      </c>
      <c r="AJ21">
        <v>0</v>
      </c>
      <c r="AK21">
        <v>0</v>
      </c>
      <c r="AL21">
        <v>0</v>
      </c>
      <c r="AM21">
        <v>0</v>
      </c>
      <c r="AN21">
        <v>0</v>
      </c>
      <c r="AO21">
        <v>0</v>
      </c>
    </row>
    <row r="22" spans="1:41">
      <c r="A22" t="s">
        <v>201</v>
      </c>
      <c r="B22">
        <v>0</v>
      </c>
      <c r="C22">
        <v>0</v>
      </c>
      <c r="D22">
        <v>0</v>
      </c>
      <c r="E22">
        <v>0</v>
      </c>
      <c r="F22">
        <v>0</v>
      </c>
      <c r="G22">
        <v>0</v>
      </c>
      <c r="H22">
        <v>0</v>
      </c>
      <c r="I22">
        <v>0</v>
      </c>
      <c r="J22">
        <v>0</v>
      </c>
      <c r="K22">
        <v>0</v>
      </c>
      <c r="L22">
        <v>0</v>
      </c>
      <c r="M22">
        <v>0</v>
      </c>
      <c r="N22">
        <v>0</v>
      </c>
      <c r="O22">
        <v>0</v>
      </c>
      <c r="P22">
        <v>0</v>
      </c>
      <c r="Q22">
        <v>0</v>
      </c>
      <c r="R22">
        <v>0</v>
      </c>
      <c r="S22">
        <v>0</v>
      </c>
      <c r="T22">
        <v>0</v>
      </c>
      <c r="U22">
        <v>0</v>
      </c>
      <c r="V22">
        <v>0</v>
      </c>
      <c r="W22">
        <v>0</v>
      </c>
      <c r="X22">
        <v>0</v>
      </c>
      <c r="Y22">
        <v>0</v>
      </c>
      <c r="Z22">
        <v>0</v>
      </c>
      <c r="AA22">
        <v>0</v>
      </c>
      <c r="AB22">
        <v>0</v>
      </c>
      <c r="AC22">
        <v>0</v>
      </c>
      <c r="AD22">
        <v>0</v>
      </c>
      <c r="AE22">
        <v>0</v>
      </c>
      <c r="AF22">
        <v>0</v>
      </c>
      <c r="AG22">
        <v>0</v>
      </c>
      <c r="AH22">
        <v>0</v>
      </c>
      <c r="AI22">
        <v>0</v>
      </c>
      <c r="AJ22">
        <v>0</v>
      </c>
      <c r="AK22">
        <v>0</v>
      </c>
      <c r="AL22">
        <v>0</v>
      </c>
      <c r="AM22">
        <v>0</v>
      </c>
      <c r="AN22">
        <v>0</v>
      </c>
      <c r="AO22">
        <v>0</v>
      </c>
    </row>
    <row r="23" spans="1:41">
      <c r="A23" t="s">
        <v>306</v>
      </c>
      <c r="B23">
        <v>0.15178092000000001</v>
      </c>
      <c r="C23">
        <v>0.15178092000000001</v>
      </c>
      <c r="D23">
        <v>0.15178092000000001</v>
      </c>
      <c r="E23">
        <v>0.15178092000000001</v>
      </c>
      <c r="F23">
        <v>0.15178092000000001</v>
      </c>
      <c r="G23">
        <v>0.15178092000000001</v>
      </c>
      <c r="H23">
        <v>0.15178092000000001</v>
      </c>
      <c r="I23">
        <v>0.15178092000000001</v>
      </c>
      <c r="J23">
        <v>0.15178092000000001</v>
      </c>
      <c r="K23">
        <v>0.15178092000000001</v>
      </c>
      <c r="L23">
        <v>0.15178092000000001</v>
      </c>
      <c r="M23">
        <v>0.15178092000000001</v>
      </c>
      <c r="N23">
        <v>0.15178092000000001</v>
      </c>
      <c r="O23">
        <v>0.15178092000000001</v>
      </c>
      <c r="P23">
        <v>0.15178092000000001</v>
      </c>
      <c r="Q23">
        <v>0.15178092000000001</v>
      </c>
      <c r="R23">
        <v>0.15178092000000001</v>
      </c>
      <c r="S23">
        <v>0.15178092000000001</v>
      </c>
      <c r="T23">
        <v>0.15178092000000001</v>
      </c>
      <c r="U23">
        <v>0.15178092000000001</v>
      </c>
      <c r="V23">
        <v>0.15178092000000001</v>
      </c>
      <c r="W23">
        <v>0.15178092000000001</v>
      </c>
      <c r="X23">
        <v>0.15178092000000001</v>
      </c>
      <c r="Y23">
        <v>0.15178092000000001</v>
      </c>
      <c r="Z23">
        <v>0.15178092000000001</v>
      </c>
      <c r="AA23">
        <v>0.15178092000000001</v>
      </c>
      <c r="AB23">
        <v>0.15178092000000001</v>
      </c>
      <c r="AC23">
        <v>0.15178092000000001</v>
      </c>
      <c r="AD23">
        <v>0.15178092000000001</v>
      </c>
      <c r="AE23">
        <v>0.15178092000000001</v>
      </c>
      <c r="AF23">
        <v>0.15178092000000001</v>
      </c>
      <c r="AG23">
        <v>0.15178092000000001</v>
      </c>
      <c r="AH23">
        <v>0.15178092000000001</v>
      </c>
      <c r="AI23">
        <v>0.15178092000000001</v>
      </c>
      <c r="AJ23">
        <v>0.15178092000000001</v>
      </c>
      <c r="AK23">
        <v>0.15178092000000001</v>
      </c>
      <c r="AL23">
        <v>0.15178092000000001</v>
      </c>
      <c r="AM23">
        <v>0.15178092000000001</v>
      </c>
      <c r="AN23">
        <v>0.15178092000000001</v>
      </c>
      <c r="AO23">
        <v>0.15178092000000001</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sheetPr>
    <tabColor theme="0" tint="-0.34998626667073579"/>
  </sheetPr>
  <dimension ref="A1:J257"/>
  <sheetViews>
    <sheetView workbookViewId="0"/>
  </sheetViews>
  <sheetFormatPr defaultRowHeight="15"/>
  <cols>
    <col min="2" max="3" width="12.5703125" bestFit="1" customWidth="1"/>
    <col min="4" max="4" width="16.28515625" customWidth="1"/>
    <col min="5" max="5" width="12.5703125" bestFit="1" customWidth="1"/>
    <col min="6" max="6" width="11.5703125" bestFit="1" customWidth="1"/>
    <col min="7" max="7" width="15.5703125" bestFit="1" customWidth="1"/>
    <col min="8" max="8" width="12.5703125" bestFit="1" customWidth="1"/>
    <col min="9" max="9" width="11.5703125" bestFit="1" customWidth="1"/>
    <col min="10" max="10" width="15.5703125" bestFit="1" customWidth="1"/>
  </cols>
  <sheetData>
    <row r="1" spans="1:10" s="70" customFormat="1" ht="15.75" thickBot="1">
      <c r="A1" s="259" t="s">
        <v>345</v>
      </c>
      <c r="B1" s="260"/>
      <c r="C1" s="260"/>
      <c r="D1" s="261"/>
    </row>
    <row r="2" spans="1:10">
      <c r="A2" s="61"/>
      <c r="B2" s="483" t="s">
        <v>176</v>
      </c>
      <c r="C2" s="483"/>
      <c r="D2" s="483"/>
      <c r="E2" s="484" t="s">
        <v>177</v>
      </c>
      <c r="F2" s="484"/>
      <c r="G2" s="484"/>
      <c r="H2" s="484" t="s">
        <v>180</v>
      </c>
      <c r="I2" s="484"/>
      <c r="J2" s="484"/>
    </row>
    <row r="3" spans="1:10">
      <c r="A3" s="57" t="s">
        <v>178</v>
      </c>
      <c r="B3" s="59" t="s">
        <v>3</v>
      </c>
      <c r="C3" s="59" t="s">
        <v>4</v>
      </c>
      <c r="D3" s="59" t="s">
        <v>179</v>
      </c>
      <c r="E3" s="59" t="s">
        <v>3</v>
      </c>
      <c r="F3" s="59" t="s">
        <v>4</v>
      </c>
      <c r="G3" s="59" t="s">
        <v>179</v>
      </c>
      <c r="H3" s="64" t="s">
        <v>3</v>
      </c>
      <c r="I3" s="64" t="s">
        <v>4</v>
      </c>
      <c r="J3" s="64" t="s">
        <v>179</v>
      </c>
    </row>
    <row r="4" spans="1:10">
      <c r="A4" s="58">
        <v>2011</v>
      </c>
      <c r="B4" s="60">
        <v>67589620.938434899</v>
      </c>
      <c r="C4" s="60">
        <v>61025192.007822327</v>
      </c>
      <c r="D4" s="60">
        <v>45576604.453742757</v>
      </c>
      <c r="E4" s="60">
        <v>66361337.366384834</v>
      </c>
      <c r="F4" s="60">
        <v>59916201.606874757</v>
      </c>
      <c r="G4" s="60">
        <v>44748356.066740446</v>
      </c>
      <c r="H4" s="65">
        <v>64618903.518131681</v>
      </c>
      <c r="I4" s="65">
        <v>58342996.154998772</v>
      </c>
      <c r="J4" s="65">
        <v>43573409.126869567</v>
      </c>
    </row>
    <row r="5" spans="1:10">
      <c r="A5" s="58">
        <v>2012</v>
      </c>
      <c r="B5" s="60">
        <v>68481491.489715561</v>
      </c>
      <c r="C5" s="60">
        <v>62436143.392574497</v>
      </c>
      <c r="D5" s="60">
        <v>45886653.778709903</v>
      </c>
      <c r="E5" s="60">
        <v>67038270.202467538</v>
      </c>
      <c r="F5" s="60">
        <v>61120325.508389451</v>
      </c>
      <c r="G5" s="60">
        <v>44919610.069623053</v>
      </c>
      <c r="H5" s="65">
        <v>65020046.233294405</v>
      </c>
      <c r="I5" s="65">
        <v>59280264.516777605</v>
      </c>
      <c r="J5" s="65">
        <v>43567280.520327985</v>
      </c>
    </row>
    <row r="6" spans="1:10">
      <c r="A6" s="58">
        <v>2013</v>
      </c>
      <c r="B6" s="60">
        <v>69385130.609442055</v>
      </c>
      <c r="C6" s="60">
        <v>63879717.105002075</v>
      </c>
      <c r="D6" s="60">
        <v>46191505.27647081</v>
      </c>
      <c r="E6" s="60">
        <v>67722108.234900281</v>
      </c>
      <c r="F6" s="60">
        <v>62348648.446747497</v>
      </c>
      <c r="G6" s="60">
        <v>45084387.568198003</v>
      </c>
      <c r="H6" s="65">
        <v>65423679.171428554</v>
      </c>
      <c r="I6" s="65">
        <v>60232589.90407598</v>
      </c>
      <c r="J6" s="65">
        <v>43554262.92505867</v>
      </c>
    </row>
    <row r="7" spans="1:10">
      <c r="A7" s="58">
        <v>2014</v>
      </c>
      <c r="B7" s="60">
        <v>70300693.588315561</v>
      </c>
      <c r="C7" s="60">
        <v>65356667.399485804</v>
      </c>
      <c r="D7" s="60">
        <v>46490837.297977269</v>
      </c>
      <c r="E7" s="60">
        <v>68412921.90159671</v>
      </c>
      <c r="F7" s="60">
        <v>63601656.745144881</v>
      </c>
      <c r="G7" s="60">
        <v>45242427.334102303</v>
      </c>
      <c r="H7" s="65">
        <v>65829817.791397542</v>
      </c>
      <c r="I7" s="65">
        <v>61200214.204945095</v>
      </c>
      <c r="J7" s="65">
        <v>43534184.260225065</v>
      </c>
    </row>
    <row r="8" spans="1:10">
      <c r="A8" s="58">
        <v>2015</v>
      </c>
      <c r="B8" s="60">
        <v>71228337.766156629</v>
      </c>
      <c r="C8" s="60">
        <v>66867765.969372675</v>
      </c>
      <c r="D8" s="60">
        <v>46784317.524535999</v>
      </c>
      <c r="E8" s="60">
        <v>69110782.358987242</v>
      </c>
      <c r="F8" s="60">
        <v>64879846.500317484</v>
      </c>
      <c r="G8" s="60">
        <v>45393461.193309322</v>
      </c>
      <c r="H8" s="65">
        <v>66238477.648030676</v>
      </c>
      <c r="I8" s="65">
        <v>62183383.193318509</v>
      </c>
      <c r="J8" s="65">
        <v>43506869.145271085</v>
      </c>
    </row>
    <row r="9" spans="1:10">
      <c r="A9" s="58">
        <v>2016</v>
      </c>
      <c r="B9" s="60">
        <v>72168222.558944151</v>
      </c>
      <c r="C9" s="60">
        <v>68413802.350178778</v>
      </c>
      <c r="D9" s="60">
        <v>47071602.669843368</v>
      </c>
      <c r="E9" s="60">
        <v>69815761.489348501</v>
      </c>
      <c r="F9" s="60">
        <v>66183723.778957807</v>
      </c>
      <c r="G9" s="60">
        <v>45537213.864939131</v>
      </c>
      <c r="H9" s="65">
        <v>66649674.392718881</v>
      </c>
      <c r="I9" s="65">
        <v>63182346.591437958</v>
      </c>
      <c r="J9" s="65">
        <v>43472138.842356391</v>
      </c>
    </row>
    <row r="10" spans="1:10">
      <c r="A10" s="58">
        <v>2017</v>
      </c>
      <c r="B10" s="60">
        <v>73120509.486210972</v>
      </c>
      <c r="C10" s="60">
        <v>69995584.332114577</v>
      </c>
      <c r="D10" s="60">
        <v>47352338.17432522</v>
      </c>
      <c r="E10" s="60">
        <v>70527931.908207446</v>
      </c>
      <c r="F10" s="60">
        <v>67513804.818079367</v>
      </c>
      <c r="G10" s="60">
        <v>45673402.796557553</v>
      </c>
      <c r="H10" s="65">
        <v>67063423.774014175</v>
      </c>
      <c r="I10" s="65">
        <v>64197358.133282237</v>
      </c>
      <c r="J10" s="65">
        <v>43429811.197828919</v>
      </c>
    </row>
    <row r="11" spans="1:10">
      <c r="A11" s="58">
        <v>2018</v>
      </c>
      <c r="B11" s="60">
        <v>74085362.19880113</v>
      </c>
      <c r="C11" s="60">
        <v>71613938.382148117</v>
      </c>
      <c r="D11" s="60">
        <v>47626157.891591243</v>
      </c>
      <c r="E11" s="60">
        <v>71247366.971821085</v>
      </c>
      <c r="F11" s="60">
        <v>68870616.229407549</v>
      </c>
      <c r="G11" s="60">
        <v>45801737.99588988</v>
      </c>
      <c r="H11" s="65">
        <v>67479741.638232797</v>
      </c>
      <c r="I11" s="65">
        <v>65228675.629014857</v>
      </c>
      <c r="J11" s="65">
        <v>43379700.582718693</v>
      </c>
    </row>
    <row r="12" spans="1:10">
      <c r="A12" s="58">
        <v>2019</v>
      </c>
      <c r="B12" s="60">
        <v>75062946.506993338</v>
      </c>
      <c r="C12" s="60">
        <v>73269710.075826645</v>
      </c>
      <c r="D12" s="60">
        <v>47892683.766808614</v>
      </c>
      <c r="E12" s="60">
        <v>71974140.784732372</v>
      </c>
      <c r="F12" s="60">
        <v>70254695.207878053</v>
      </c>
      <c r="G12" s="60">
        <v>45921921.858873509</v>
      </c>
      <c r="H12" s="65">
        <v>67898643.93006207</v>
      </c>
      <c r="I12" s="65">
        <v>66276561.030467153</v>
      </c>
      <c r="J12" s="65">
        <v>43321617.832236834</v>
      </c>
    </row>
    <row r="13" spans="1:10">
      <c r="A13" s="58">
        <v>2020</v>
      </c>
      <c r="B13" s="60">
        <v>75795311.851512372</v>
      </c>
      <c r="C13" s="60">
        <v>74694983.989000916</v>
      </c>
      <c r="D13" s="60">
        <v>47932464.159486711</v>
      </c>
      <c r="E13" s="60">
        <v>73014600</v>
      </c>
      <c r="F13" s="60">
        <v>71954640</v>
      </c>
      <c r="G13" s="60">
        <v>46173960</v>
      </c>
      <c r="H13" s="65">
        <v>68473774.509624198</v>
      </c>
      <c r="I13" s="65">
        <v>67479734.111824021</v>
      </c>
      <c r="J13" s="65">
        <v>43302371.378551789</v>
      </c>
    </row>
    <row r="14" spans="1:10">
      <c r="A14" s="58">
        <v>2021</v>
      </c>
      <c r="B14" s="60">
        <v>77646291.923808932</v>
      </c>
      <c r="C14" s="60">
        <v>75985518.699069455</v>
      </c>
      <c r="D14" s="60">
        <v>48957827.337121598</v>
      </c>
      <c r="E14" s="60">
        <v>74358117.56582579</v>
      </c>
      <c r="F14" s="60">
        <v>72767674.962120622</v>
      </c>
      <c r="G14" s="60">
        <v>46884555.472053602</v>
      </c>
      <c r="H14" s="65">
        <v>69184112.323747784</v>
      </c>
      <c r="I14" s="65">
        <v>67704336.297387198</v>
      </c>
      <c r="J14" s="65">
        <v>43622222.538865015</v>
      </c>
    </row>
    <row r="15" spans="1:10">
      <c r="A15" s="58">
        <v>2022</v>
      </c>
      <c r="B15" s="60">
        <v>79542474.359475285</v>
      </c>
      <c r="C15" s="60">
        <v>77298350.486517876</v>
      </c>
      <c r="D15" s="60">
        <v>50003195.511166818</v>
      </c>
      <c r="E15" s="60">
        <v>75726356.755130723</v>
      </c>
      <c r="F15" s="60">
        <v>73589896.626441821</v>
      </c>
      <c r="G15" s="60">
        <v>47604249.838427432</v>
      </c>
      <c r="H15" s="65">
        <v>69901819.08771804</v>
      </c>
      <c r="I15" s="65">
        <v>67929686.05764702</v>
      </c>
      <c r="J15" s="65">
        <v>43942740.712754905</v>
      </c>
    </row>
    <row r="16" spans="1:10">
      <c r="A16" s="58">
        <v>2023</v>
      </c>
      <c r="B16" s="60">
        <v>81484963.035146728</v>
      </c>
      <c r="C16" s="60">
        <v>78633864.586749628</v>
      </c>
      <c r="D16" s="60">
        <v>51068917.162763946</v>
      </c>
      <c r="E16" s="60">
        <v>77119772.462352395</v>
      </c>
      <c r="F16" s="60">
        <v>74421408.795999482</v>
      </c>
      <c r="G16" s="60">
        <v>48333129.509948082</v>
      </c>
      <c r="H16" s="65">
        <v>70626971.246038929</v>
      </c>
      <c r="I16" s="65">
        <v>68155785.880860403</v>
      </c>
      <c r="J16" s="65">
        <v>44263908.452227458</v>
      </c>
    </row>
    <row r="17" spans="1:10">
      <c r="A17" s="58">
        <v>2024</v>
      </c>
      <c r="B17" s="60">
        <v>83474888.784978822</v>
      </c>
      <c r="C17" s="60">
        <v>79992452.891032204</v>
      </c>
      <c r="D17" s="60">
        <v>52155345.749127135</v>
      </c>
      <c r="E17" s="60">
        <v>78538827.952290803</v>
      </c>
      <c r="F17" s="60">
        <v>75262316.446728036</v>
      </c>
      <c r="G17" s="60">
        <v>49071281.030805588</v>
      </c>
      <c r="H17" s="65">
        <v>71359646.036239505</v>
      </c>
      <c r="I17" s="65">
        <v>68382638.263566151</v>
      </c>
      <c r="J17" s="65">
        <v>44585707.938375004</v>
      </c>
    </row>
    <row r="18" spans="1:10">
      <c r="A18" s="58">
        <v>2025</v>
      </c>
      <c r="B18" s="60">
        <v>85513410.058970824</v>
      </c>
      <c r="C18" s="60">
        <v>81374514.061493143</v>
      </c>
      <c r="D18" s="60">
        <v>53262839.740602069</v>
      </c>
      <c r="E18" s="60">
        <v>79983995.014128715</v>
      </c>
      <c r="F18" s="60">
        <v>76112725.740713477</v>
      </c>
      <c r="G18" s="60">
        <v>49818791.056429595</v>
      </c>
      <c r="H18" s="65">
        <v>72099921.497100651</v>
      </c>
      <c r="I18" s="65">
        <v>68610245.710612714</v>
      </c>
      <c r="J18" s="65">
        <v>44908120.976134539</v>
      </c>
    </row>
    <row r="19" spans="1:10">
      <c r="A19" s="58">
        <v>2026</v>
      </c>
      <c r="B19" s="60">
        <v>87601713.59736602</v>
      </c>
      <c r="C19" s="60">
        <v>82780453.648102909</v>
      </c>
      <c r="D19" s="60">
        <v>54391762.656679481</v>
      </c>
      <c r="E19" s="60">
        <v>81455754.118286029</v>
      </c>
      <c r="F19" s="60">
        <v>76972744.039595917</v>
      </c>
      <c r="G19" s="60">
        <v>50575746.330558889</v>
      </c>
      <c r="H19" s="65">
        <v>72847876.476967216</v>
      </c>
      <c r="I19" s="65">
        <v>68838610.735185787</v>
      </c>
      <c r="J19" s="65">
        <v>45231128.988981813</v>
      </c>
    </row>
    <row r="20" spans="1:10">
      <c r="A20" s="58">
        <v>2027</v>
      </c>
      <c r="B20" s="60">
        <v>89741015.121521175</v>
      </c>
      <c r="C20" s="60">
        <v>84210684.207678765</v>
      </c>
      <c r="D20" s="60">
        <v>55542483.100893587</v>
      </c>
      <c r="E20" s="60">
        <v>82954594.576160237</v>
      </c>
      <c r="F20" s="60">
        <v>77842479.918123752</v>
      </c>
      <c r="G20" s="60">
        <v>51342233.661483444</v>
      </c>
      <c r="H20" s="65">
        <v>73603590.6421462</v>
      </c>
      <c r="I20" s="65">
        <v>69067735.858836025</v>
      </c>
      <c r="J20" s="65">
        <v>45554713.013560548</v>
      </c>
    </row>
    <row r="21" spans="1:10">
      <c r="A21" s="58">
        <v>2028</v>
      </c>
      <c r="B21" s="60">
        <v>91932560.041647866</v>
      </c>
      <c r="C21" s="60">
        <v>85665625.424944907</v>
      </c>
      <c r="D21" s="60">
        <v>56715374.794532716</v>
      </c>
      <c r="E21" s="60">
        <v>84481014.702806532</v>
      </c>
      <c r="F21" s="60">
        <v>78722043.177860841</v>
      </c>
      <c r="G21" s="60">
        <v>52118339.897436589</v>
      </c>
      <c r="H21" s="65">
        <v>74367144.485392287</v>
      </c>
      <c r="I21" s="65">
        <v>69297623.611506894</v>
      </c>
      <c r="J21" s="65">
        <v>45878853.694245368</v>
      </c>
    </row>
    <row r="22" spans="1:10">
      <c r="A22" s="58">
        <v>2029</v>
      </c>
      <c r="B22" s="60">
        <v>94177624.181837186</v>
      </c>
      <c r="C22" s="60">
        <v>87145704.235684067</v>
      </c>
      <c r="D22" s="60">
        <v>57910816.609087832</v>
      </c>
      <c r="E22" s="60">
        <v>86035521.982610926</v>
      </c>
      <c r="F22" s="60">
        <v>79611544.861048609</v>
      </c>
      <c r="G22" s="60">
        <v>52904151.901115961</v>
      </c>
      <c r="H22" s="65">
        <v>75138619.334481284</v>
      </c>
      <c r="I22" s="65">
        <v>69528276.531562671</v>
      </c>
      <c r="J22" s="65">
        <v>46203531.277638592</v>
      </c>
    </row>
    <row r="23" spans="1:10">
      <c r="A23" s="58">
        <v>2030</v>
      </c>
      <c r="B23" s="60">
        <v>96091085.156083077</v>
      </c>
      <c r="C23" s="60">
        <v>88230224.379821956</v>
      </c>
      <c r="D23" s="60">
        <v>58865050.464094967</v>
      </c>
      <c r="E23" s="60">
        <v>87486120</v>
      </c>
      <c r="F23" s="60">
        <v>80329200</v>
      </c>
      <c r="G23" s="60">
        <v>53593680.000000007</v>
      </c>
      <c r="H23" s="65">
        <v>76184747.821958452</v>
      </c>
      <c r="I23" s="65">
        <v>69952351.810089022</v>
      </c>
      <c r="J23" s="65">
        <v>46670500.367952533</v>
      </c>
    </row>
    <row r="24" spans="1:10">
      <c r="A24" s="58">
        <v>2031</v>
      </c>
      <c r="B24" s="62">
        <v>98043423.017825022</v>
      </c>
      <c r="C24" s="62">
        <v>89328241.275788948</v>
      </c>
      <c r="D24" s="62">
        <v>59835007.845437221</v>
      </c>
      <c r="E24" s="62">
        <v>88961175.759488657</v>
      </c>
      <c r="F24" s="62">
        <v>81053324.412966385</v>
      </c>
      <c r="G24" s="62">
        <v>54292195.087278448</v>
      </c>
      <c r="H24" s="66">
        <v>77245441.187284127</v>
      </c>
      <c r="I24" s="66">
        <v>70379013.659875706</v>
      </c>
      <c r="J24" s="66">
        <v>47142189.013791323</v>
      </c>
    </row>
    <row r="25" spans="1:10">
      <c r="A25" s="58">
        <v>2032</v>
      </c>
      <c r="B25" s="62">
        <v>100035427.65115352</v>
      </c>
      <c r="C25" s="62">
        <v>90439922.889400065</v>
      </c>
      <c r="D25" s="62">
        <v>60820947.839793533</v>
      </c>
      <c r="E25" s="62">
        <v>90461101.6297286</v>
      </c>
      <c r="F25" s="62">
        <v>81783976.416963845</v>
      </c>
      <c r="G25" s="62">
        <v>54999814.295176245</v>
      </c>
      <c r="H25" s="66">
        <v>78320902.212113976</v>
      </c>
      <c r="I25" s="66">
        <v>70808277.857251182</v>
      </c>
      <c r="J25" s="66">
        <v>47618644.914681137</v>
      </c>
    </row>
    <row r="26" spans="1:10">
      <c r="A26" s="58">
        <v>2033</v>
      </c>
      <c r="B26" s="62">
        <v>102067904.98868862</v>
      </c>
      <c r="C26" s="62">
        <v>91565439.276789233</v>
      </c>
      <c r="D26" s="62">
        <v>61823133.802981034</v>
      </c>
      <c r="E26" s="62">
        <v>91986316.932094485</v>
      </c>
      <c r="F26" s="62">
        <v>82521214.854704916</v>
      </c>
      <c r="G26" s="62">
        <v>55716656.282565296</v>
      </c>
      <c r="H26" s="66">
        <v>79411336.501361117</v>
      </c>
      <c r="I26" s="66">
        <v>71240160.274768814</v>
      </c>
      <c r="J26" s="66">
        <v>48099916.25223697</v>
      </c>
    </row>
    <row r="27" spans="1:10">
      <c r="A27" s="58">
        <v>2034</v>
      </c>
      <c r="B27" s="62">
        <v>104141677.33764705</v>
      </c>
      <c r="C27" s="62">
        <v>92704962.610423043</v>
      </c>
      <c r="D27" s="62">
        <v>62841833.430300437</v>
      </c>
      <c r="E27" s="62">
        <v>93537248.05791004</v>
      </c>
      <c r="F27" s="62">
        <v>83265099.099337459</v>
      </c>
      <c r="G27" s="62">
        <v>56442841.25486201</v>
      </c>
      <c r="H27" s="66">
        <v>80516952.522503346</v>
      </c>
      <c r="I27" s="66">
        <v>71674676.881793723</v>
      </c>
      <c r="J27" s="66">
        <v>48586051.695034914</v>
      </c>
    </row>
    <row r="28" spans="1:10">
      <c r="A28" s="58">
        <v>2035</v>
      </c>
      <c r="B28" s="62">
        <v>106257583.7125344</v>
      </c>
      <c r="C28" s="62">
        <v>93858667.205438361</v>
      </c>
      <c r="D28" s="62">
        <v>63877318.828040473</v>
      </c>
      <c r="E28" s="62">
        <v>95114328.587650523</v>
      </c>
      <c r="F28" s="62">
        <v>84015689.059226215</v>
      </c>
      <c r="G28" s="62">
        <v>57178490.984184258</v>
      </c>
      <c r="H28" s="66">
        <v>81637961.645437613</v>
      </c>
      <c r="I28" s="66">
        <v>72111843.745093361</v>
      </c>
      <c r="J28" s="66">
        <v>49077100.403533906</v>
      </c>
    </row>
    <row r="29" spans="1:10">
      <c r="A29" s="58">
        <v>2036</v>
      </c>
      <c r="B29" s="62">
        <v>108416480.1745967</v>
      </c>
      <c r="C29" s="62">
        <v>95026729.546307608</v>
      </c>
      <c r="D29" s="62">
        <v>64929866.586160578</v>
      </c>
      <c r="E29" s="62">
        <v>96717999.412155136</v>
      </c>
      <c r="F29" s="62">
        <v>84773045.182777524</v>
      </c>
      <c r="G29" s="62">
        <v>57923728.829771027</v>
      </c>
      <c r="H29" s="66">
        <v>82774578.182889327</v>
      </c>
      <c r="I29" s="66">
        <v>72551677.029431522</v>
      </c>
      <c r="J29" s="66">
        <v>49573112.035046913</v>
      </c>
    </row>
    <row r="30" spans="1:10">
      <c r="A30" s="58">
        <v>2037</v>
      </c>
      <c r="B30" s="62">
        <v>110619240.1781688</v>
      </c>
      <c r="C30" s="62">
        <v>96209328.313835979</v>
      </c>
      <c r="D30" s="62">
        <v>65999757.852171287</v>
      </c>
      <c r="E30" s="62">
        <v>98348708.855883107</v>
      </c>
      <c r="F30" s="62">
        <v>85537228.463307545</v>
      </c>
      <c r="G30" s="62">
        <v>58678679.758668244</v>
      </c>
      <c r="H30" s="66">
        <v>83927019.431384429</v>
      </c>
      <c r="I30" s="66">
        <v>72994192.998166099</v>
      </c>
      <c r="J30" s="66">
        <v>50074136.748762704</v>
      </c>
    </row>
    <row r="31" spans="1:10">
      <c r="A31" s="58">
        <v>2038</v>
      </c>
      <c r="B31" s="62">
        <v>112866754.92405978</v>
      </c>
      <c r="C31" s="62">
        <v>97406644.412494659</v>
      </c>
      <c r="D31" s="62">
        <v>67087278.406231843</v>
      </c>
      <c r="E31" s="62">
        <v>100006912.8022479</v>
      </c>
      <c r="F31" s="62">
        <v>86308300.443954229</v>
      </c>
      <c r="G31" s="62">
        <v>59443470.366684146</v>
      </c>
      <c r="H31" s="66">
        <v>85095505.712791666</v>
      </c>
      <c r="I31" s="66">
        <v>73439408.013850406</v>
      </c>
      <c r="J31" s="66">
        <v>50580225.210818037</v>
      </c>
    </row>
    <row r="32" spans="1:10">
      <c r="A32" s="58">
        <v>2039</v>
      </c>
      <c r="B32" s="62">
        <v>115159933.72011836</v>
      </c>
      <c r="C32" s="62">
        <v>98618860.998093978</v>
      </c>
      <c r="D32" s="62">
        <v>68192718.737485424</v>
      </c>
      <c r="E32" s="62">
        <v>101693074.82106453</v>
      </c>
      <c r="F32" s="62">
        <v>87086323.222633764</v>
      </c>
      <c r="G32" s="62">
        <v>60218228.899617828</v>
      </c>
      <c r="H32" s="66">
        <v>86280260.416443467</v>
      </c>
      <c r="I32" s="66">
        <v>73887338.538838282</v>
      </c>
      <c r="J32" s="66">
        <v>51091428.599421397</v>
      </c>
    </row>
    <row r="33" spans="1:10">
      <c r="A33" s="58">
        <v>2040</v>
      </c>
      <c r="B33" s="62">
        <v>117499704.34912395</v>
      </c>
      <c r="C33" s="62">
        <v>99846163.505801186</v>
      </c>
      <c r="D33" s="62">
        <v>69316374.121652037</v>
      </c>
      <c r="E33" s="62">
        <v>103407666.29814595</v>
      </c>
      <c r="F33" s="62">
        <v>87871359.457041562</v>
      </c>
      <c r="G33" s="62">
        <v>61003085.274764486</v>
      </c>
      <c r="H33" s="66">
        <v>87481510.041843101</v>
      </c>
      <c r="I33" s="66">
        <v>74338001.13589263</v>
      </c>
      <c r="J33" s="66">
        <v>51607798.610028327</v>
      </c>
    </row>
    <row r="34" spans="1:10">
      <c r="A34" s="58">
        <v>2041</v>
      </c>
      <c r="B34" s="62">
        <v>119887013.4441525</v>
      </c>
      <c r="C34" s="62">
        <v>101088739.67850697</v>
      </c>
      <c r="D34" s="62">
        <v>70458544.69990012</v>
      </c>
      <c r="E34" s="62">
        <v>105151166.56708416</v>
      </c>
      <c r="F34" s="62">
        <v>88663472.369698331</v>
      </c>
      <c r="G34" s="62">
        <v>61798171.10270083</v>
      </c>
      <c r="H34" s="66">
        <v>88699484.241966516</v>
      </c>
      <c r="I34" s="66">
        <v>74791412.468798116</v>
      </c>
      <c r="J34" s="66">
        <v>52129387.460569143</v>
      </c>
    </row>
    <row r="35" spans="1:10">
      <c r="A35" s="58">
        <v>2042</v>
      </c>
      <c r="B35" s="62">
        <v>122322826.87156874</v>
      </c>
      <c r="C35" s="62">
        <v>102346779.5955447</v>
      </c>
      <c r="D35" s="62">
        <v>71619535.559017554</v>
      </c>
      <c r="E35" s="62">
        <v>106924063.04325351</v>
      </c>
      <c r="F35" s="62">
        <v>89462725.753041729</v>
      </c>
      <c r="G35" s="62">
        <v>62603619.709354669</v>
      </c>
      <c r="H35" s="66">
        <v>89934415.867167026</v>
      </c>
      <c r="I35" s="66">
        <v>75247589.302977026</v>
      </c>
      <c r="J35" s="66">
        <v>52656247.896729484</v>
      </c>
    </row>
    <row r="36" spans="1:10">
      <c r="A36" s="58">
        <v>2043</v>
      </c>
      <c r="B36" s="62">
        <v>124808130.12180005</v>
      </c>
      <c r="C36" s="62">
        <v>103620475.70176719</v>
      </c>
      <c r="D36" s="62">
        <v>72799656.812903956</v>
      </c>
      <c r="E36" s="62">
        <v>108726851.36007312</v>
      </c>
      <c r="F36" s="62">
        <v>90269183.974563837</v>
      </c>
      <c r="G36" s="62">
        <v>63419566.158361822</v>
      </c>
      <c r="H36" s="66">
        <v>91186541.009691283</v>
      </c>
      <c r="I36" s="66">
        <v>75706548.506109461</v>
      </c>
      <c r="J36" s="66">
        <v>53188433.197284251</v>
      </c>
    </row>
    <row r="37" spans="1:10">
      <c r="A37" s="58">
        <v>2044</v>
      </c>
      <c r="B37" s="62">
        <v>127343928.70804986</v>
      </c>
      <c r="C37" s="62">
        <v>104910022.83698562</v>
      </c>
      <c r="D37" s="62">
        <v>73999223.685405463</v>
      </c>
      <c r="E37" s="62">
        <v>110560035.50756694</v>
      </c>
      <c r="F37" s="62">
        <v>91082911.981994957</v>
      </c>
      <c r="G37" s="62">
        <v>64246147.273714773</v>
      </c>
      <c r="H37" s="66">
        <v>92456099.048814952</v>
      </c>
      <c r="I37" s="66">
        <v>76168307.048756808</v>
      </c>
      <c r="J37" s="66">
        <v>53725997.179485328</v>
      </c>
    </row>
    <row r="38" spans="1:10">
      <c r="A38" s="58">
        <v>2045</v>
      </c>
      <c r="B38" s="62">
        <v>129931248.5731118</v>
      </c>
      <c r="C38" s="62">
        <v>106215618.26577424</v>
      </c>
      <c r="D38" s="62">
        <v>75218556.594514877</v>
      </c>
      <c r="E38" s="62">
        <v>112424127.97325985</v>
      </c>
      <c r="F38" s="62">
        <v>91903975.308534145</v>
      </c>
      <c r="G38" s="62">
        <v>65083501.662706196</v>
      </c>
      <c r="H38" s="66">
        <v>93743332.696606934</v>
      </c>
      <c r="I38" s="66">
        <v>76632882.00498946</v>
      </c>
      <c r="J38" s="66">
        <v>54268994.204503983</v>
      </c>
    </row>
    <row r="39" spans="1:10">
      <c r="A39" s="58">
        <v>2046</v>
      </c>
      <c r="B39" s="62">
        <v>132571136.50444952</v>
      </c>
      <c r="C39" s="62">
        <v>107537461.70764668</v>
      </c>
      <c r="D39" s="62">
        <v>76457981.237958625</v>
      </c>
      <c r="E39" s="62">
        <v>114319649.88544942</v>
      </c>
      <c r="F39" s="62">
        <v>92732440.078126878</v>
      </c>
      <c r="G39" s="62">
        <v>65931769.739171773</v>
      </c>
      <c r="H39" s="66">
        <v>95048488.044330612</v>
      </c>
      <c r="I39" s="66">
        <v>77100290.553017974</v>
      </c>
      <c r="J39" s="66">
        <v>54817479.182928011</v>
      </c>
    </row>
    <row r="40" spans="1:10">
      <c r="A40" s="58">
        <v>2047</v>
      </c>
      <c r="B40" s="62">
        <v>135264660.55770984</v>
      </c>
      <c r="C40" s="62">
        <v>108875755.36760709</v>
      </c>
      <c r="D40" s="62">
        <v>77717828.680194676</v>
      </c>
      <c r="E40" s="62">
        <v>116247131.15889324</v>
      </c>
      <c r="F40" s="62">
        <v>93568373.010790408</v>
      </c>
      <c r="G40" s="62">
        <v>66791093.747035749</v>
      </c>
      <c r="H40" s="66">
        <v>96371814.609491199</v>
      </c>
      <c r="I40" s="66">
        <v>77570549.975828364</v>
      </c>
      <c r="J40" s="66">
        <v>55371507.580314696</v>
      </c>
    </row>
    <row r="41" spans="1:10">
      <c r="A41" s="58">
        <v>2048</v>
      </c>
      <c r="B41" s="62">
        <v>138012910.48884061</v>
      </c>
      <c r="C41" s="62">
        <v>110230703.96708204</v>
      </c>
      <c r="D41" s="62">
        <v>78998435.440843388</v>
      </c>
      <c r="E41" s="62">
        <v>118207110.64295264</v>
      </c>
      <c r="F41" s="62">
        <v>94411841.42798686</v>
      </c>
      <c r="G41" s="62">
        <v>67661617.784163505</v>
      </c>
      <c r="H41" s="66">
        <v>97713565.383538127</v>
      </c>
      <c r="I41" s="66">
        <v>78043677.661821097</v>
      </c>
      <c r="J41" s="66">
        <v>55931135.422799662</v>
      </c>
    </row>
    <row r="42" spans="1:10">
      <c r="A42" s="58">
        <v>2049</v>
      </c>
      <c r="B42" s="62">
        <v>140816998.19498837</v>
      </c>
      <c r="C42" s="62">
        <v>111602514.77523714</v>
      </c>
      <c r="D42" s="62">
        <v>80300143.584575862</v>
      </c>
      <c r="E42" s="62">
        <v>120200136.27223416</v>
      </c>
      <c r="F42" s="62">
        <v>95262913.258045122</v>
      </c>
      <c r="G42" s="62">
        <v>68543487.826524943</v>
      </c>
      <c r="H42" s="66">
        <v>99073996.880231515</v>
      </c>
      <c r="I42" s="66">
        <v>78519691.105454117</v>
      </c>
      <c r="J42" s="66">
        <v>56496419.302762561</v>
      </c>
    </row>
    <row r="43" spans="1:10">
      <c r="A43" s="58">
        <v>2050</v>
      </c>
      <c r="B43" s="62">
        <v>143678058.16435343</v>
      </c>
      <c r="C43" s="62">
        <v>112991397.64068346</v>
      </c>
      <c r="D43" s="62">
        <v>81623300.812483281</v>
      </c>
      <c r="E43" s="62">
        <v>122226765.21977098</v>
      </c>
      <c r="F43" s="62">
        <v>96121657.041631281</v>
      </c>
      <c r="G43" s="62">
        <v>69436851.752672836</v>
      </c>
      <c r="H43" s="66">
        <v>100453369.18468206</v>
      </c>
      <c r="I43" s="66">
        <v>78998607.907889634</v>
      </c>
      <c r="J43" s="66">
        <v>57067416.38454999</v>
      </c>
    </row>
    <row r="44" spans="1:10">
      <c r="A44" s="56"/>
      <c r="B44" s="56"/>
      <c r="C44" s="56"/>
      <c r="D44" s="56"/>
      <c r="E44" s="56"/>
      <c r="F44" s="56"/>
      <c r="G44" s="56"/>
      <c r="H44" s="63"/>
      <c r="I44" s="63"/>
      <c r="J44" s="63"/>
    </row>
    <row r="45" spans="1:10">
      <c r="A45" s="56"/>
      <c r="B45" s="56"/>
      <c r="C45" s="56"/>
      <c r="D45" s="56"/>
      <c r="E45" s="56"/>
      <c r="F45" s="56"/>
      <c r="G45" s="56"/>
      <c r="H45" s="63"/>
      <c r="I45" s="63"/>
      <c r="J45" s="63"/>
    </row>
    <row r="46" spans="1:10">
      <c r="A46" s="56"/>
      <c r="B46" s="56"/>
      <c r="C46" s="56"/>
      <c r="D46" s="56"/>
      <c r="E46" s="56"/>
      <c r="F46" s="56"/>
      <c r="G46" s="56"/>
      <c r="H46" s="63"/>
      <c r="I46" s="63"/>
      <c r="J46" s="63"/>
    </row>
    <row r="47" spans="1:10">
      <c r="A47" s="56"/>
      <c r="B47" s="56"/>
      <c r="C47" s="56"/>
      <c r="D47" s="56"/>
      <c r="E47" s="56"/>
      <c r="F47" s="56"/>
      <c r="G47" s="56"/>
      <c r="H47" s="63"/>
      <c r="I47" s="63"/>
      <c r="J47" s="63"/>
    </row>
    <row r="48" spans="1:10">
      <c r="A48" s="56"/>
      <c r="B48" s="56"/>
      <c r="C48" s="56"/>
      <c r="D48" s="56"/>
      <c r="E48" s="56"/>
      <c r="F48" s="56"/>
      <c r="G48" s="56"/>
      <c r="H48" s="63"/>
      <c r="I48" s="63"/>
      <c r="J48" s="63"/>
    </row>
    <row r="49" spans="1:10">
      <c r="A49" s="56"/>
      <c r="B49" s="56"/>
      <c r="C49" s="56"/>
      <c r="D49" s="56"/>
      <c r="E49" s="56"/>
      <c r="F49" s="56"/>
      <c r="G49" s="56"/>
      <c r="H49" s="63"/>
      <c r="I49" s="63"/>
      <c r="J49" s="63"/>
    </row>
    <row r="50" spans="1:10">
      <c r="A50" s="55"/>
      <c r="B50" s="55"/>
      <c r="C50" s="55"/>
      <c r="D50" s="55"/>
      <c r="E50" s="55"/>
      <c r="F50" s="55"/>
      <c r="G50" s="55"/>
      <c r="H50" s="56"/>
      <c r="I50" s="56"/>
      <c r="J50" s="56"/>
    </row>
    <row r="51" spans="1:10">
      <c r="A51" s="55"/>
      <c r="B51" s="55"/>
      <c r="C51" s="55"/>
      <c r="D51" s="55"/>
      <c r="E51" s="55"/>
      <c r="F51" s="55"/>
      <c r="G51" s="55"/>
      <c r="H51" s="56"/>
      <c r="I51" s="56"/>
      <c r="J51" s="56"/>
    </row>
    <row r="52" spans="1:10">
      <c r="A52" s="55"/>
      <c r="B52" s="55"/>
      <c r="C52" s="55"/>
      <c r="D52" s="55"/>
      <c r="E52" s="55"/>
      <c r="F52" s="55"/>
      <c r="G52" s="55"/>
      <c r="H52" s="56"/>
      <c r="I52" s="56"/>
      <c r="J52" s="56"/>
    </row>
    <row r="53" spans="1:10">
      <c r="A53" s="55"/>
      <c r="B53" s="55"/>
      <c r="C53" s="55"/>
      <c r="D53" s="55"/>
      <c r="E53" s="55"/>
      <c r="F53" s="55"/>
      <c r="G53" s="55"/>
      <c r="H53" s="56"/>
      <c r="I53" s="56"/>
      <c r="J53" s="56"/>
    </row>
    <row r="54" spans="1:10">
      <c r="A54" s="55"/>
      <c r="B54" s="55"/>
      <c r="C54" s="55"/>
      <c r="D54" s="55"/>
      <c r="E54" s="55"/>
      <c r="F54" s="55"/>
      <c r="G54" s="55"/>
      <c r="H54" s="56"/>
      <c r="I54" s="56"/>
      <c r="J54" s="56"/>
    </row>
    <row r="55" spans="1:10">
      <c r="A55" s="55"/>
      <c r="B55" s="55"/>
      <c r="C55" s="55"/>
      <c r="D55" s="55"/>
      <c r="E55" s="55"/>
      <c r="F55" s="55"/>
      <c r="G55" s="55"/>
      <c r="H55" s="56"/>
      <c r="I55" s="56"/>
      <c r="J55" s="56"/>
    </row>
    <row r="56" spans="1:10">
      <c r="A56" s="55"/>
      <c r="B56" s="55"/>
      <c r="C56" s="55"/>
      <c r="D56" s="55"/>
      <c r="E56" s="55"/>
      <c r="F56" s="55"/>
      <c r="G56" s="55"/>
      <c r="H56" s="56"/>
      <c r="I56" s="56"/>
      <c r="J56" s="56"/>
    </row>
    <row r="57" spans="1:10">
      <c r="A57" s="55"/>
      <c r="B57" s="55"/>
      <c r="C57" s="55"/>
      <c r="D57" s="55"/>
      <c r="E57" s="55"/>
      <c r="F57" s="55"/>
      <c r="G57" s="55"/>
      <c r="H57" s="56"/>
      <c r="I57" s="56"/>
      <c r="J57" s="56"/>
    </row>
    <row r="58" spans="1:10">
      <c r="A58" s="55"/>
      <c r="B58" s="55"/>
      <c r="C58" s="55"/>
      <c r="D58" s="55"/>
      <c r="E58" s="55"/>
      <c r="F58" s="55"/>
      <c r="G58" s="55"/>
      <c r="H58" s="56"/>
      <c r="I58" s="56"/>
      <c r="J58" s="56"/>
    </row>
    <row r="59" spans="1:10">
      <c r="A59" s="55"/>
      <c r="B59" s="55"/>
      <c r="C59" s="55"/>
      <c r="D59" s="55"/>
      <c r="E59" s="55"/>
      <c r="F59" s="55"/>
      <c r="G59" s="55"/>
      <c r="H59" s="56"/>
      <c r="I59" s="56"/>
      <c r="J59" s="56"/>
    </row>
    <row r="60" spans="1:10">
      <c r="A60" s="55"/>
      <c r="B60" s="55"/>
      <c r="C60" s="55"/>
      <c r="D60" s="55"/>
      <c r="E60" s="55"/>
      <c r="F60" s="55"/>
      <c r="G60" s="55"/>
      <c r="H60" s="56"/>
      <c r="I60" s="56"/>
      <c r="J60" s="56"/>
    </row>
    <row r="61" spans="1:10">
      <c r="A61" s="55"/>
      <c r="B61" s="55"/>
      <c r="C61" s="55"/>
      <c r="D61" s="55"/>
      <c r="E61" s="55"/>
      <c r="F61" s="55"/>
      <c r="G61" s="55"/>
      <c r="H61" s="56"/>
      <c r="I61" s="56"/>
      <c r="J61" s="56"/>
    </row>
    <row r="62" spans="1:10">
      <c r="A62" s="55"/>
      <c r="B62" s="55"/>
      <c r="C62" s="55"/>
      <c r="D62" s="55"/>
      <c r="E62" s="55"/>
      <c r="F62" s="55"/>
      <c r="G62" s="55"/>
      <c r="H62" s="56"/>
      <c r="I62" s="56"/>
      <c r="J62" s="56"/>
    </row>
    <row r="63" spans="1:10">
      <c r="A63" s="55"/>
      <c r="B63" s="55"/>
      <c r="C63" s="55"/>
      <c r="D63" s="55"/>
      <c r="E63" s="55"/>
      <c r="F63" s="55"/>
      <c r="G63" s="55"/>
      <c r="H63" s="56"/>
      <c r="I63" s="56"/>
      <c r="J63" s="56"/>
    </row>
    <row r="64" spans="1:10">
      <c r="A64" s="55"/>
      <c r="B64" s="55"/>
      <c r="C64" s="55"/>
      <c r="D64" s="55"/>
      <c r="E64" s="55"/>
      <c r="F64" s="55"/>
      <c r="G64" s="55"/>
      <c r="H64" s="56"/>
      <c r="I64" s="56"/>
      <c r="J64" s="56"/>
    </row>
    <row r="65" spans="1:10">
      <c r="A65" s="55"/>
      <c r="B65" s="55"/>
      <c r="C65" s="55"/>
      <c r="D65" s="55"/>
      <c r="E65" s="55"/>
      <c r="F65" s="55"/>
      <c r="G65" s="55"/>
      <c r="H65" s="56"/>
      <c r="I65" s="56"/>
      <c r="J65" s="56"/>
    </row>
    <row r="66" spans="1:10">
      <c r="A66" s="55"/>
      <c r="B66" s="55"/>
      <c r="C66" s="55"/>
      <c r="D66" s="55"/>
      <c r="E66" s="55"/>
      <c r="F66" s="55"/>
      <c r="G66" s="55"/>
      <c r="H66" s="56"/>
      <c r="I66" s="56"/>
      <c r="J66" s="56"/>
    </row>
    <row r="67" spans="1:10">
      <c r="A67" s="55"/>
      <c r="B67" s="55"/>
      <c r="C67" s="55"/>
      <c r="D67" s="55"/>
      <c r="E67" s="55"/>
      <c r="F67" s="55"/>
      <c r="G67" s="55"/>
      <c r="H67" s="56"/>
      <c r="I67" s="56"/>
      <c r="J67" s="56"/>
    </row>
    <row r="68" spans="1:10">
      <c r="A68" s="55"/>
      <c r="B68" s="55"/>
      <c r="C68" s="55"/>
      <c r="D68" s="55"/>
      <c r="E68" s="55"/>
      <c r="F68" s="55"/>
      <c r="G68" s="55"/>
      <c r="H68" s="56"/>
      <c r="I68" s="56"/>
      <c r="J68" s="56"/>
    </row>
    <row r="69" spans="1:10">
      <c r="A69" s="55"/>
      <c r="B69" s="55"/>
      <c r="C69" s="55"/>
      <c r="D69" s="55"/>
      <c r="E69" s="55"/>
      <c r="F69" s="55"/>
      <c r="G69" s="55"/>
      <c r="H69" s="56"/>
      <c r="I69" s="56"/>
      <c r="J69" s="56"/>
    </row>
    <row r="70" spans="1:10">
      <c r="A70" s="55"/>
      <c r="B70" s="55"/>
      <c r="C70" s="55"/>
      <c r="D70" s="55"/>
      <c r="E70" s="55"/>
      <c r="F70" s="55"/>
      <c r="G70" s="55"/>
      <c r="H70" s="56"/>
      <c r="I70" s="56"/>
      <c r="J70" s="56"/>
    </row>
    <row r="71" spans="1:10">
      <c r="A71" s="55"/>
      <c r="B71" s="55"/>
      <c r="C71" s="55"/>
      <c r="D71" s="55"/>
      <c r="E71" s="55"/>
      <c r="F71" s="55"/>
      <c r="G71" s="55"/>
      <c r="H71" s="56"/>
      <c r="I71" s="56"/>
      <c r="J71" s="56"/>
    </row>
    <row r="72" spans="1:10">
      <c r="A72" s="55"/>
      <c r="B72" s="55"/>
      <c r="C72" s="55"/>
      <c r="D72" s="55"/>
      <c r="E72" s="55"/>
      <c r="F72" s="55"/>
      <c r="G72" s="55"/>
      <c r="H72" s="56"/>
      <c r="I72" s="56"/>
      <c r="J72" s="56"/>
    </row>
    <row r="73" spans="1:10">
      <c r="A73" s="55"/>
      <c r="B73" s="55"/>
      <c r="C73" s="55"/>
      <c r="D73" s="55"/>
      <c r="E73" s="55"/>
      <c r="F73" s="55"/>
      <c r="G73" s="55"/>
      <c r="H73" s="56"/>
      <c r="I73" s="56"/>
      <c r="J73" s="56"/>
    </row>
    <row r="74" spans="1:10">
      <c r="A74" s="55"/>
      <c r="B74" s="55"/>
      <c r="C74" s="55"/>
      <c r="D74" s="55"/>
      <c r="E74" s="55"/>
      <c r="F74" s="55"/>
      <c r="G74" s="55"/>
      <c r="H74" s="56"/>
      <c r="I74" s="56"/>
      <c r="J74" s="56"/>
    </row>
    <row r="75" spans="1:10">
      <c r="A75" s="55"/>
      <c r="B75" s="55"/>
      <c r="C75" s="55"/>
      <c r="D75" s="55"/>
      <c r="E75" s="55"/>
      <c r="F75" s="55"/>
      <c r="G75" s="55"/>
      <c r="H75" s="56"/>
      <c r="I75" s="56"/>
      <c r="J75" s="56"/>
    </row>
    <row r="76" spans="1:10">
      <c r="A76" s="55"/>
      <c r="B76" s="55"/>
      <c r="C76" s="55"/>
      <c r="D76" s="55"/>
      <c r="E76" s="55"/>
      <c r="F76" s="55"/>
      <c r="G76" s="55"/>
      <c r="H76" s="56"/>
      <c r="I76" s="56"/>
      <c r="J76" s="56"/>
    </row>
    <row r="77" spans="1:10">
      <c r="A77" s="55"/>
      <c r="B77" s="55"/>
      <c r="C77" s="55"/>
      <c r="D77" s="55"/>
      <c r="E77" s="55"/>
      <c r="F77" s="55"/>
      <c r="G77" s="55"/>
      <c r="H77" s="56"/>
      <c r="I77" s="56"/>
      <c r="J77" s="56"/>
    </row>
    <row r="78" spans="1:10">
      <c r="A78" s="55"/>
      <c r="B78" s="55"/>
      <c r="C78" s="55"/>
      <c r="D78" s="55"/>
      <c r="E78" s="55"/>
      <c r="F78" s="55"/>
      <c r="G78" s="55"/>
      <c r="H78" s="56"/>
      <c r="I78" s="56"/>
      <c r="J78" s="56"/>
    </row>
    <row r="79" spans="1:10">
      <c r="A79" s="55"/>
      <c r="B79" s="55"/>
      <c r="C79" s="55"/>
      <c r="D79" s="55"/>
      <c r="E79" s="55"/>
      <c r="F79" s="55"/>
      <c r="G79" s="55"/>
      <c r="H79" s="56"/>
      <c r="I79" s="56"/>
      <c r="J79" s="56"/>
    </row>
    <row r="80" spans="1:10">
      <c r="A80" s="55"/>
      <c r="B80" s="55"/>
      <c r="C80" s="55"/>
      <c r="D80" s="55"/>
      <c r="E80" s="55"/>
      <c r="F80" s="55"/>
      <c r="G80" s="55"/>
      <c r="H80" s="56"/>
      <c r="I80" s="56"/>
      <c r="J80" s="56"/>
    </row>
    <row r="81" spans="1:10">
      <c r="A81" s="55"/>
      <c r="B81" s="55"/>
      <c r="C81" s="55"/>
      <c r="D81" s="55"/>
      <c r="E81" s="55"/>
      <c r="F81" s="55"/>
      <c r="G81" s="55"/>
      <c r="H81" s="56"/>
      <c r="I81" s="56"/>
      <c r="J81" s="56"/>
    </row>
    <row r="82" spans="1:10">
      <c r="A82" s="55"/>
      <c r="B82" s="55"/>
      <c r="C82" s="55"/>
      <c r="D82" s="55"/>
      <c r="E82" s="55"/>
      <c r="F82" s="55"/>
      <c r="G82" s="55"/>
      <c r="H82" s="56"/>
      <c r="I82" s="56"/>
      <c r="J82" s="56"/>
    </row>
    <row r="83" spans="1:10">
      <c r="A83" s="55"/>
      <c r="B83" s="55"/>
      <c r="C83" s="55"/>
      <c r="D83" s="55"/>
      <c r="E83" s="55"/>
      <c r="F83" s="55"/>
      <c r="G83" s="55"/>
      <c r="H83" s="56"/>
      <c r="I83" s="56"/>
      <c r="J83" s="56"/>
    </row>
    <row r="84" spans="1:10">
      <c r="A84" s="55"/>
      <c r="B84" s="55"/>
      <c r="C84" s="55"/>
      <c r="D84" s="55"/>
      <c r="E84" s="55"/>
      <c r="F84" s="55"/>
      <c r="G84" s="55"/>
      <c r="H84" s="56"/>
      <c r="I84" s="56"/>
      <c r="J84" s="56"/>
    </row>
    <row r="85" spans="1:10">
      <c r="A85" s="55"/>
      <c r="B85" s="55"/>
      <c r="C85" s="55"/>
      <c r="D85" s="55"/>
      <c r="E85" s="55"/>
      <c r="F85" s="55"/>
      <c r="G85" s="55"/>
      <c r="H85" s="56"/>
      <c r="I85" s="56"/>
      <c r="J85" s="56"/>
    </row>
    <row r="86" spans="1:10">
      <c r="A86" s="55"/>
      <c r="B86" s="55"/>
      <c r="C86" s="55"/>
      <c r="D86" s="55"/>
      <c r="E86" s="55"/>
      <c r="F86" s="55"/>
      <c r="G86" s="55"/>
      <c r="H86" s="56"/>
      <c r="I86" s="56"/>
      <c r="J86" s="56"/>
    </row>
    <row r="87" spans="1:10">
      <c r="A87" s="55"/>
      <c r="B87" s="55"/>
      <c r="C87" s="55"/>
      <c r="D87" s="55"/>
      <c r="E87" s="55"/>
      <c r="F87" s="55"/>
      <c r="G87" s="55"/>
      <c r="H87" s="56"/>
      <c r="I87" s="56"/>
      <c r="J87" s="56"/>
    </row>
    <row r="88" spans="1:10">
      <c r="A88" s="55"/>
      <c r="B88" s="55"/>
      <c r="C88" s="55"/>
      <c r="D88" s="55"/>
      <c r="E88" s="55"/>
      <c r="F88" s="55"/>
      <c r="G88" s="55"/>
      <c r="H88" s="56"/>
      <c r="I88" s="56"/>
      <c r="J88" s="56"/>
    </row>
    <row r="89" spans="1:10">
      <c r="A89" s="55"/>
      <c r="B89" s="55"/>
      <c r="C89" s="55"/>
      <c r="D89" s="55"/>
      <c r="E89" s="55"/>
      <c r="F89" s="55"/>
      <c r="G89" s="55"/>
      <c r="H89" s="56"/>
      <c r="I89" s="56"/>
      <c r="J89" s="56"/>
    </row>
    <row r="90" spans="1:10">
      <c r="A90" s="55"/>
      <c r="B90" s="55"/>
      <c r="C90" s="55"/>
      <c r="D90" s="55"/>
      <c r="E90" s="55"/>
      <c r="F90" s="55"/>
      <c r="G90" s="55"/>
      <c r="H90" s="56"/>
      <c r="I90" s="56"/>
      <c r="J90" s="56"/>
    </row>
    <row r="91" spans="1:10">
      <c r="A91" s="55"/>
      <c r="B91" s="55"/>
      <c r="C91" s="55"/>
      <c r="D91" s="55"/>
      <c r="E91" s="55"/>
      <c r="F91" s="55"/>
      <c r="G91" s="55"/>
      <c r="H91" s="56"/>
      <c r="I91" s="56"/>
      <c r="J91" s="56"/>
    </row>
    <row r="92" spans="1:10">
      <c r="A92" s="55"/>
      <c r="B92" s="55"/>
      <c r="C92" s="55"/>
      <c r="D92" s="55"/>
      <c r="E92" s="55"/>
      <c r="F92" s="55"/>
      <c r="G92" s="55"/>
      <c r="H92" s="56"/>
      <c r="I92" s="56"/>
      <c r="J92" s="56"/>
    </row>
    <row r="93" spans="1:10">
      <c r="A93" s="55"/>
      <c r="B93" s="55"/>
      <c r="C93" s="55"/>
      <c r="D93" s="55"/>
      <c r="E93" s="55"/>
      <c r="F93" s="55"/>
      <c r="G93" s="55"/>
      <c r="H93" s="56"/>
      <c r="I93" s="56"/>
      <c r="J93" s="56"/>
    </row>
    <row r="94" spans="1:10">
      <c r="A94" s="55"/>
      <c r="B94" s="55"/>
      <c r="C94" s="55"/>
      <c r="D94" s="55"/>
      <c r="E94" s="55"/>
      <c r="F94" s="55"/>
      <c r="G94" s="55"/>
      <c r="H94" s="56"/>
      <c r="I94" s="56"/>
      <c r="J94" s="56"/>
    </row>
    <row r="95" spans="1:10">
      <c r="A95" s="55"/>
      <c r="B95" s="55"/>
      <c r="C95" s="55"/>
      <c r="D95" s="55"/>
      <c r="E95" s="55"/>
      <c r="F95" s="55"/>
      <c r="G95" s="55"/>
      <c r="H95" s="56"/>
      <c r="I95" s="56"/>
      <c r="J95" s="56"/>
    </row>
    <row r="96" spans="1:10">
      <c r="A96" s="55"/>
      <c r="B96" s="55"/>
      <c r="C96" s="55"/>
      <c r="D96" s="55"/>
      <c r="E96" s="55"/>
      <c r="F96" s="55"/>
      <c r="G96" s="55"/>
      <c r="H96" s="56"/>
      <c r="I96" s="56"/>
      <c r="J96" s="56"/>
    </row>
    <row r="97" spans="1:10">
      <c r="A97" s="55"/>
      <c r="B97" s="55"/>
      <c r="C97" s="55"/>
      <c r="D97" s="55"/>
      <c r="E97" s="55"/>
      <c r="F97" s="55"/>
      <c r="G97" s="55"/>
      <c r="H97" s="56"/>
      <c r="I97" s="56"/>
      <c r="J97" s="56"/>
    </row>
    <row r="98" spans="1:10">
      <c r="A98" s="55"/>
      <c r="B98" s="55"/>
      <c r="C98" s="55"/>
      <c r="D98" s="55"/>
      <c r="E98" s="55"/>
      <c r="F98" s="55"/>
      <c r="G98" s="55"/>
      <c r="H98" s="56"/>
      <c r="I98" s="56"/>
      <c r="J98" s="56"/>
    </row>
    <row r="99" spans="1:10">
      <c r="A99" s="55"/>
      <c r="B99" s="55"/>
      <c r="C99" s="55"/>
      <c r="D99" s="55"/>
      <c r="E99" s="55"/>
      <c r="F99" s="55"/>
      <c r="G99" s="55"/>
      <c r="H99" s="56"/>
      <c r="I99" s="56"/>
      <c r="J99" s="56"/>
    </row>
    <row r="100" spans="1:10">
      <c r="A100" s="55"/>
      <c r="B100" s="55"/>
      <c r="C100" s="55"/>
      <c r="D100" s="55"/>
      <c r="E100" s="55"/>
      <c r="F100" s="55"/>
      <c r="G100" s="55"/>
      <c r="H100" s="56"/>
      <c r="I100" s="56"/>
      <c r="J100" s="56"/>
    </row>
    <row r="101" spans="1:10">
      <c r="A101" s="55"/>
      <c r="B101" s="55"/>
      <c r="C101" s="55"/>
      <c r="D101" s="55"/>
      <c r="E101" s="55"/>
      <c r="F101" s="55"/>
      <c r="G101" s="55"/>
      <c r="H101" s="56"/>
      <c r="I101" s="56"/>
      <c r="J101" s="56"/>
    </row>
    <row r="102" spans="1:10">
      <c r="A102" s="55"/>
      <c r="B102" s="55"/>
      <c r="C102" s="55"/>
      <c r="D102" s="55"/>
      <c r="E102" s="55"/>
      <c r="F102" s="55"/>
      <c r="G102" s="55"/>
      <c r="H102" s="56"/>
      <c r="I102" s="56"/>
      <c r="J102" s="56"/>
    </row>
    <row r="103" spans="1:10">
      <c r="A103" s="55"/>
      <c r="B103" s="55"/>
      <c r="C103" s="55"/>
      <c r="D103" s="55"/>
      <c r="E103" s="55"/>
      <c r="F103" s="55"/>
      <c r="G103" s="55"/>
      <c r="H103" s="56"/>
      <c r="I103" s="56"/>
      <c r="J103" s="56"/>
    </row>
    <row r="104" spans="1:10">
      <c r="A104" s="55"/>
      <c r="B104" s="55"/>
      <c r="C104" s="55"/>
      <c r="D104" s="55"/>
      <c r="E104" s="55"/>
      <c r="F104" s="55"/>
      <c r="G104" s="55"/>
      <c r="H104" s="56"/>
      <c r="I104" s="56"/>
      <c r="J104" s="56"/>
    </row>
    <row r="105" spans="1:10">
      <c r="A105" s="55"/>
      <c r="B105" s="55"/>
      <c r="C105" s="55"/>
      <c r="D105" s="55"/>
      <c r="E105" s="55"/>
      <c r="F105" s="55"/>
      <c r="G105" s="55"/>
      <c r="H105" s="56"/>
      <c r="I105" s="56"/>
      <c r="J105" s="56"/>
    </row>
    <row r="106" spans="1:10">
      <c r="A106" s="55"/>
      <c r="B106" s="55"/>
      <c r="C106" s="55"/>
      <c r="D106" s="55"/>
      <c r="E106" s="55"/>
      <c r="F106" s="55"/>
      <c r="G106" s="55"/>
      <c r="H106" s="56"/>
      <c r="I106" s="56"/>
      <c r="J106" s="56"/>
    </row>
    <row r="107" spans="1:10">
      <c r="A107" s="55"/>
      <c r="B107" s="55"/>
      <c r="C107" s="55"/>
      <c r="D107" s="55"/>
      <c r="E107" s="55"/>
      <c r="F107" s="55"/>
      <c r="G107" s="55"/>
      <c r="H107" s="56"/>
      <c r="I107" s="56"/>
      <c r="J107" s="56"/>
    </row>
    <row r="108" spans="1:10">
      <c r="A108" s="55"/>
      <c r="B108" s="55"/>
      <c r="C108" s="55"/>
      <c r="D108" s="55"/>
      <c r="E108" s="55"/>
      <c r="F108" s="55"/>
      <c r="G108" s="55"/>
      <c r="H108" s="56"/>
      <c r="I108" s="56"/>
      <c r="J108" s="56"/>
    </row>
    <row r="109" spans="1:10">
      <c r="A109" s="55"/>
      <c r="B109" s="55"/>
      <c r="C109" s="55"/>
      <c r="D109" s="55"/>
      <c r="E109" s="55"/>
      <c r="F109" s="55"/>
      <c r="G109" s="55"/>
      <c r="H109" s="56"/>
      <c r="I109" s="56"/>
      <c r="J109" s="56"/>
    </row>
    <row r="110" spans="1:10">
      <c r="A110" s="55"/>
      <c r="B110" s="55"/>
      <c r="C110" s="55"/>
      <c r="D110" s="55"/>
      <c r="E110" s="55"/>
      <c r="F110" s="55"/>
      <c r="G110" s="55"/>
      <c r="H110" s="56"/>
      <c r="I110" s="56"/>
      <c r="J110" s="56"/>
    </row>
    <row r="111" spans="1:10">
      <c r="A111" s="55"/>
      <c r="B111" s="55"/>
      <c r="C111" s="55"/>
      <c r="D111" s="55"/>
      <c r="E111" s="55"/>
      <c r="F111" s="55"/>
      <c r="G111" s="55"/>
      <c r="H111" s="56"/>
      <c r="I111" s="56"/>
      <c r="J111" s="56"/>
    </row>
    <row r="112" spans="1:10">
      <c r="A112" s="55"/>
      <c r="B112" s="55"/>
      <c r="C112" s="55"/>
      <c r="D112" s="55"/>
      <c r="E112" s="55"/>
      <c r="F112" s="55"/>
      <c r="G112" s="55"/>
      <c r="H112" s="56"/>
      <c r="I112" s="56"/>
      <c r="J112" s="56"/>
    </row>
    <row r="113" spans="1:10">
      <c r="A113" s="55"/>
      <c r="B113" s="55"/>
      <c r="C113" s="55"/>
      <c r="D113" s="55"/>
      <c r="E113" s="55"/>
      <c r="F113" s="55"/>
      <c r="G113" s="55"/>
      <c r="H113" s="56"/>
      <c r="I113" s="56"/>
      <c r="J113" s="56"/>
    </row>
    <row r="114" spans="1:10">
      <c r="A114" s="55"/>
      <c r="B114" s="55"/>
      <c r="C114" s="55"/>
      <c r="D114" s="55"/>
      <c r="E114" s="55"/>
      <c r="F114" s="55"/>
      <c r="G114" s="55"/>
      <c r="H114" s="56"/>
      <c r="I114" s="56"/>
      <c r="J114" s="56"/>
    </row>
    <row r="115" spans="1:10">
      <c r="A115" s="55"/>
      <c r="B115" s="55"/>
      <c r="C115" s="55"/>
      <c r="D115" s="55"/>
      <c r="E115" s="55"/>
      <c r="F115" s="55"/>
      <c r="G115" s="55"/>
      <c r="H115" s="56"/>
      <c r="I115" s="56"/>
      <c r="J115" s="56"/>
    </row>
    <row r="116" spans="1:10">
      <c r="A116" s="55"/>
      <c r="B116" s="55"/>
      <c r="C116" s="55"/>
      <c r="D116" s="55"/>
      <c r="E116" s="55"/>
      <c r="F116" s="55"/>
      <c r="G116" s="55"/>
      <c r="H116" s="56"/>
      <c r="I116" s="56"/>
      <c r="J116" s="56"/>
    </row>
    <row r="117" spans="1:10">
      <c r="A117" s="55"/>
      <c r="B117" s="55"/>
      <c r="C117" s="55"/>
      <c r="D117" s="55"/>
      <c r="E117" s="55"/>
      <c r="F117" s="55"/>
      <c r="G117" s="55"/>
      <c r="H117" s="56"/>
      <c r="I117" s="56"/>
      <c r="J117" s="56"/>
    </row>
    <row r="118" spans="1:10">
      <c r="A118" s="55"/>
      <c r="B118" s="55"/>
      <c r="C118" s="55"/>
      <c r="D118" s="55"/>
      <c r="E118" s="55"/>
      <c r="F118" s="55"/>
      <c r="G118" s="55"/>
      <c r="H118" s="56"/>
      <c r="I118" s="56"/>
      <c r="J118" s="56"/>
    </row>
    <row r="119" spans="1:10">
      <c r="A119" s="55"/>
      <c r="B119" s="55"/>
      <c r="C119" s="55"/>
      <c r="D119" s="55"/>
      <c r="E119" s="55"/>
      <c r="F119" s="55"/>
      <c r="G119" s="55"/>
      <c r="H119" s="56"/>
      <c r="I119" s="56"/>
      <c r="J119" s="56"/>
    </row>
    <row r="120" spans="1:10">
      <c r="A120" s="55"/>
      <c r="B120" s="55"/>
      <c r="C120" s="55"/>
      <c r="D120" s="55"/>
      <c r="E120" s="55"/>
      <c r="F120" s="55"/>
      <c r="G120" s="55"/>
      <c r="H120" s="56"/>
      <c r="I120" s="56"/>
      <c r="J120" s="56"/>
    </row>
    <row r="121" spans="1:10">
      <c r="A121" s="55"/>
      <c r="B121" s="55"/>
      <c r="C121" s="55"/>
      <c r="D121" s="55"/>
      <c r="E121" s="55"/>
      <c r="F121" s="55"/>
      <c r="G121" s="55"/>
      <c r="H121" s="56"/>
      <c r="I121" s="56"/>
      <c r="J121" s="56"/>
    </row>
    <row r="122" spans="1:10">
      <c r="A122" s="55"/>
      <c r="B122" s="55"/>
      <c r="C122" s="55"/>
      <c r="D122" s="55"/>
      <c r="E122" s="55"/>
      <c r="F122" s="55"/>
      <c r="G122" s="55"/>
      <c r="H122" s="56"/>
      <c r="I122" s="56"/>
      <c r="J122" s="56"/>
    </row>
    <row r="123" spans="1:10">
      <c r="A123" s="55"/>
      <c r="B123" s="55"/>
      <c r="C123" s="55"/>
      <c r="D123" s="55"/>
      <c r="E123" s="55"/>
      <c r="F123" s="55"/>
      <c r="G123" s="55"/>
      <c r="H123" s="56"/>
      <c r="I123" s="56"/>
      <c r="J123" s="56"/>
    </row>
    <row r="124" spans="1:10">
      <c r="A124" s="55"/>
      <c r="B124" s="55"/>
      <c r="C124" s="55"/>
      <c r="D124" s="55"/>
      <c r="E124" s="55"/>
      <c r="F124" s="55"/>
      <c r="G124" s="55"/>
      <c r="H124" s="56"/>
      <c r="I124" s="56"/>
      <c r="J124" s="56"/>
    </row>
    <row r="125" spans="1:10">
      <c r="A125" s="55"/>
      <c r="B125" s="55"/>
      <c r="C125" s="55"/>
      <c r="D125" s="55"/>
      <c r="E125" s="55"/>
      <c r="F125" s="55"/>
      <c r="G125" s="55"/>
      <c r="H125" s="56"/>
      <c r="I125" s="56"/>
      <c r="J125" s="56"/>
    </row>
    <row r="126" spans="1:10">
      <c r="A126" s="55"/>
      <c r="B126" s="55"/>
      <c r="C126" s="55"/>
      <c r="D126" s="55"/>
      <c r="E126" s="55"/>
      <c r="F126" s="55"/>
      <c r="G126" s="55"/>
      <c r="H126" s="56"/>
      <c r="I126" s="56"/>
      <c r="J126" s="56"/>
    </row>
    <row r="127" spans="1:10">
      <c r="A127" s="55"/>
      <c r="B127" s="55"/>
      <c r="C127" s="55"/>
      <c r="D127" s="55"/>
      <c r="E127" s="55"/>
      <c r="F127" s="55"/>
      <c r="G127" s="55"/>
      <c r="H127" s="56"/>
      <c r="I127" s="56"/>
      <c r="J127" s="56"/>
    </row>
    <row r="128" spans="1:10">
      <c r="A128" s="55"/>
      <c r="B128" s="55"/>
      <c r="C128" s="55"/>
      <c r="D128" s="55"/>
      <c r="E128" s="55"/>
      <c r="F128" s="55"/>
      <c r="G128" s="55"/>
      <c r="H128" s="56"/>
      <c r="I128" s="56"/>
      <c r="J128" s="56"/>
    </row>
    <row r="129" spans="1:10">
      <c r="A129" s="55"/>
      <c r="B129" s="55"/>
      <c r="C129" s="55"/>
      <c r="D129" s="55"/>
      <c r="E129" s="55"/>
      <c r="F129" s="55"/>
      <c r="G129" s="55"/>
      <c r="H129" s="56"/>
      <c r="I129" s="56"/>
      <c r="J129" s="56"/>
    </row>
    <row r="130" spans="1:10">
      <c r="A130" s="55"/>
      <c r="B130" s="55"/>
      <c r="C130" s="55"/>
      <c r="D130" s="55"/>
      <c r="E130" s="55"/>
      <c r="F130" s="55"/>
      <c r="G130" s="55"/>
      <c r="H130" s="56"/>
      <c r="I130" s="56"/>
      <c r="J130" s="56"/>
    </row>
    <row r="131" spans="1:10">
      <c r="A131" s="55"/>
      <c r="B131" s="55"/>
      <c r="C131" s="55"/>
      <c r="D131" s="55"/>
      <c r="E131" s="55"/>
      <c r="F131" s="55"/>
      <c r="G131" s="55"/>
      <c r="H131" s="56"/>
      <c r="I131" s="56"/>
      <c r="J131" s="56"/>
    </row>
    <row r="132" spans="1:10">
      <c r="A132" s="55"/>
      <c r="B132" s="55"/>
      <c r="C132" s="55"/>
      <c r="D132" s="55"/>
      <c r="E132" s="55"/>
      <c r="F132" s="55"/>
      <c r="G132" s="55"/>
      <c r="H132" s="56"/>
      <c r="I132" s="56"/>
      <c r="J132" s="56"/>
    </row>
    <row r="133" spans="1:10">
      <c r="A133" s="55"/>
      <c r="B133" s="55"/>
      <c r="C133" s="55"/>
      <c r="D133" s="55"/>
      <c r="E133" s="55"/>
      <c r="F133" s="55"/>
      <c r="G133" s="55"/>
      <c r="H133" s="56"/>
      <c r="I133" s="56"/>
      <c r="J133" s="56"/>
    </row>
    <row r="134" spans="1:10">
      <c r="A134" s="55"/>
      <c r="B134" s="55"/>
      <c r="C134" s="55"/>
      <c r="D134" s="55"/>
      <c r="E134" s="55"/>
      <c r="F134" s="55"/>
      <c r="G134" s="55"/>
      <c r="H134" s="56"/>
      <c r="I134" s="56"/>
      <c r="J134" s="56"/>
    </row>
    <row r="135" spans="1:10">
      <c r="A135" s="55"/>
      <c r="B135" s="55"/>
      <c r="C135" s="55"/>
      <c r="D135" s="55"/>
      <c r="E135" s="55"/>
      <c r="F135" s="55"/>
      <c r="G135" s="55"/>
      <c r="H135" s="56"/>
      <c r="I135" s="56"/>
      <c r="J135" s="56"/>
    </row>
    <row r="136" spans="1:10">
      <c r="A136" s="55"/>
      <c r="B136" s="55"/>
      <c r="C136" s="55"/>
      <c r="D136" s="55"/>
      <c r="E136" s="55"/>
      <c r="F136" s="55"/>
      <c r="G136" s="55"/>
      <c r="H136" s="56"/>
      <c r="I136" s="56"/>
      <c r="J136" s="56"/>
    </row>
    <row r="137" spans="1:10">
      <c r="A137" s="55"/>
      <c r="B137" s="55"/>
      <c r="C137" s="55"/>
      <c r="D137" s="55"/>
      <c r="E137" s="55"/>
      <c r="F137" s="55"/>
      <c r="G137" s="55"/>
      <c r="H137" s="56"/>
      <c r="I137" s="56"/>
      <c r="J137" s="56"/>
    </row>
    <row r="138" spans="1:10">
      <c r="A138" s="55"/>
      <c r="B138" s="55"/>
      <c r="C138" s="55"/>
      <c r="D138" s="55"/>
      <c r="E138" s="55"/>
      <c r="F138" s="55"/>
      <c r="G138" s="55"/>
      <c r="H138" s="56"/>
      <c r="I138" s="56"/>
      <c r="J138" s="56"/>
    </row>
    <row r="139" spans="1:10">
      <c r="A139" s="55"/>
      <c r="B139" s="55"/>
      <c r="C139" s="55"/>
      <c r="D139" s="55"/>
      <c r="E139" s="55"/>
      <c r="F139" s="55"/>
      <c r="G139" s="55"/>
      <c r="H139" s="56"/>
      <c r="I139" s="56"/>
      <c r="J139" s="56"/>
    </row>
    <row r="140" spans="1:10">
      <c r="A140" s="55"/>
      <c r="B140" s="55"/>
      <c r="C140" s="55"/>
      <c r="D140" s="55"/>
      <c r="E140" s="55"/>
      <c r="F140" s="55"/>
      <c r="G140" s="55"/>
      <c r="H140" s="56"/>
      <c r="I140" s="56"/>
      <c r="J140" s="56"/>
    </row>
    <row r="141" spans="1:10">
      <c r="A141" s="55"/>
      <c r="B141" s="55"/>
      <c r="C141" s="55"/>
      <c r="D141" s="55"/>
      <c r="E141" s="55"/>
      <c r="F141" s="55"/>
      <c r="G141" s="55"/>
      <c r="H141" s="56"/>
      <c r="I141" s="56"/>
      <c r="J141" s="56"/>
    </row>
    <row r="142" spans="1:10">
      <c r="A142" s="55"/>
      <c r="B142" s="55"/>
      <c r="C142" s="55"/>
      <c r="D142" s="55"/>
      <c r="E142" s="55"/>
      <c r="F142" s="55"/>
      <c r="G142" s="55"/>
      <c r="H142" s="56"/>
      <c r="I142" s="56"/>
      <c r="J142" s="56"/>
    </row>
    <row r="143" spans="1:10">
      <c r="A143" s="55"/>
      <c r="B143" s="55"/>
      <c r="C143" s="55"/>
      <c r="D143" s="55"/>
      <c r="E143" s="55"/>
      <c r="F143" s="55"/>
      <c r="G143" s="55"/>
      <c r="H143" s="56"/>
      <c r="I143" s="56"/>
      <c r="J143" s="56"/>
    </row>
    <row r="144" spans="1:10">
      <c r="A144" s="55"/>
      <c r="B144" s="55"/>
      <c r="C144" s="55"/>
      <c r="D144" s="55"/>
      <c r="E144" s="55"/>
      <c r="F144" s="55"/>
      <c r="G144" s="55"/>
      <c r="H144" s="56"/>
      <c r="I144" s="56"/>
      <c r="J144" s="56"/>
    </row>
    <row r="145" spans="1:10">
      <c r="A145" s="55"/>
      <c r="B145" s="55"/>
      <c r="C145" s="55"/>
      <c r="D145" s="55"/>
      <c r="E145" s="55"/>
      <c r="F145" s="55"/>
      <c r="G145" s="55"/>
      <c r="H145" s="56"/>
      <c r="I145" s="56"/>
      <c r="J145" s="56"/>
    </row>
    <row r="146" spans="1:10">
      <c r="A146" s="55"/>
      <c r="B146" s="55"/>
      <c r="C146" s="55"/>
      <c r="D146" s="55"/>
      <c r="E146" s="55"/>
      <c r="F146" s="55"/>
      <c r="G146" s="55"/>
      <c r="H146" s="56"/>
      <c r="I146" s="56"/>
      <c r="J146" s="56"/>
    </row>
    <row r="147" spans="1:10">
      <c r="A147" s="55"/>
      <c r="B147" s="55"/>
      <c r="C147" s="55"/>
      <c r="D147" s="55"/>
      <c r="E147" s="55"/>
      <c r="F147" s="55"/>
      <c r="G147" s="55"/>
      <c r="H147" s="56"/>
      <c r="I147" s="56"/>
      <c r="J147" s="56"/>
    </row>
    <row r="148" spans="1:10">
      <c r="A148" s="55"/>
      <c r="B148" s="55"/>
      <c r="C148" s="55"/>
      <c r="D148" s="55"/>
      <c r="E148" s="55"/>
      <c r="F148" s="55"/>
      <c r="G148" s="55"/>
      <c r="H148" s="56"/>
      <c r="I148" s="56"/>
      <c r="J148" s="56"/>
    </row>
    <row r="149" spans="1:10">
      <c r="A149" s="55"/>
      <c r="B149" s="55"/>
      <c r="C149" s="55"/>
      <c r="D149" s="55"/>
      <c r="E149" s="55"/>
      <c r="F149" s="55"/>
      <c r="G149" s="55"/>
      <c r="H149" s="56"/>
      <c r="I149" s="56"/>
      <c r="J149" s="56"/>
    </row>
    <row r="150" spans="1:10">
      <c r="A150" s="55"/>
      <c r="B150" s="55"/>
      <c r="C150" s="55"/>
      <c r="D150" s="55"/>
      <c r="E150" s="55"/>
      <c r="F150" s="55"/>
      <c r="G150" s="55"/>
      <c r="H150" s="56"/>
      <c r="I150" s="56"/>
      <c r="J150" s="56"/>
    </row>
    <row r="151" spans="1:10">
      <c r="A151" s="55"/>
      <c r="B151" s="55"/>
      <c r="C151" s="55"/>
      <c r="D151" s="55"/>
      <c r="E151" s="55"/>
      <c r="F151" s="55"/>
      <c r="G151" s="55"/>
      <c r="H151" s="56"/>
      <c r="I151" s="56"/>
      <c r="J151" s="56"/>
    </row>
    <row r="152" spans="1:10">
      <c r="A152" s="55"/>
      <c r="B152" s="55"/>
      <c r="C152" s="55"/>
      <c r="D152" s="55"/>
      <c r="E152" s="55"/>
      <c r="F152" s="55"/>
      <c r="G152" s="55"/>
      <c r="H152" s="56"/>
      <c r="I152" s="56"/>
      <c r="J152" s="56"/>
    </row>
    <row r="153" spans="1:10">
      <c r="A153" s="55"/>
      <c r="B153" s="55"/>
      <c r="C153" s="55"/>
      <c r="D153" s="55"/>
      <c r="E153" s="55"/>
      <c r="F153" s="55"/>
      <c r="G153" s="55"/>
      <c r="H153" s="56"/>
      <c r="I153" s="56"/>
      <c r="J153" s="56"/>
    </row>
    <row r="154" spans="1:10">
      <c r="A154" s="55"/>
      <c r="B154" s="55"/>
      <c r="C154" s="55"/>
      <c r="D154" s="55"/>
      <c r="E154" s="55"/>
      <c r="F154" s="55"/>
      <c r="G154" s="55"/>
      <c r="H154" s="56"/>
      <c r="I154" s="56"/>
      <c r="J154" s="56"/>
    </row>
    <row r="155" spans="1:10">
      <c r="A155" s="55"/>
      <c r="B155" s="55"/>
      <c r="C155" s="55"/>
      <c r="D155" s="55"/>
      <c r="E155" s="55"/>
      <c r="F155" s="55"/>
      <c r="G155" s="55"/>
      <c r="H155" s="56"/>
      <c r="I155" s="56"/>
      <c r="J155" s="56"/>
    </row>
    <row r="156" spans="1:10">
      <c r="A156" s="55"/>
      <c r="B156" s="55"/>
      <c r="C156" s="55"/>
      <c r="D156" s="55"/>
      <c r="E156" s="55"/>
      <c r="F156" s="55"/>
      <c r="G156" s="55"/>
      <c r="H156" s="56"/>
      <c r="I156" s="56"/>
      <c r="J156" s="56"/>
    </row>
    <row r="157" spans="1:10">
      <c r="A157" s="55"/>
      <c r="B157" s="55"/>
      <c r="C157" s="55"/>
      <c r="D157" s="55"/>
      <c r="E157" s="55"/>
      <c r="F157" s="55"/>
      <c r="G157" s="55"/>
      <c r="H157" s="56"/>
      <c r="I157" s="56"/>
      <c r="J157" s="56"/>
    </row>
    <row r="158" spans="1:10">
      <c r="A158" s="55"/>
      <c r="B158" s="55"/>
      <c r="C158" s="55"/>
      <c r="D158" s="55"/>
      <c r="E158" s="55"/>
      <c r="F158" s="55"/>
      <c r="G158" s="55"/>
      <c r="H158" s="56"/>
      <c r="I158" s="56"/>
      <c r="J158" s="56"/>
    </row>
    <row r="159" spans="1:10">
      <c r="A159" s="55"/>
      <c r="B159" s="55"/>
      <c r="C159" s="55"/>
      <c r="D159" s="55"/>
      <c r="E159" s="55"/>
      <c r="F159" s="55"/>
      <c r="G159" s="55"/>
      <c r="H159" s="56"/>
      <c r="I159" s="56"/>
      <c r="J159" s="56"/>
    </row>
    <row r="160" spans="1:10">
      <c r="A160" s="55"/>
      <c r="B160" s="55"/>
      <c r="C160" s="55"/>
      <c r="D160" s="55"/>
      <c r="E160" s="55"/>
      <c r="F160" s="55"/>
      <c r="G160" s="55"/>
      <c r="H160" s="56"/>
      <c r="I160" s="56"/>
      <c r="J160" s="56"/>
    </row>
    <row r="161" spans="1:10">
      <c r="A161" s="55"/>
      <c r="B161" s="55"/>
      <c r="C161" s="55"/>
      <c r="D161" s="55"/>
      <c r="E161" s="55"/>
      <c r="F161" s="55"/>
      <c r="G161" s="55"/>
      <c r="H161" s="56"/>
      <c r="I161" s="56"/>
      <c r="J161" s="56"/>
    </row>
    <row r="162" spans="1:10">
      <c r="A162" s="55"/>
      <c r="B162" s="55"/>
      <c r="C162" s="55"/>
      <c r="D162" s="55"/>
      <c r="E162" s="55"/>
      <c r="F162" s="55"/>
      <c r="G162" s="55"/>
      <c r="H162" s="56"/>
      <c r="I162" s="56"/>
      <c r="J162" s="56"/>
    </row>
    <row r="163" spans="1:10">
      <c r="A163" s="55"/>
      <c r="B163" s="55"/>
      <c r="C163" s="55"/>
      <c r="D163" s="55"/>
      <c r="E163" s="55"/>
      <c r="F163" s="55"/>
      <c r="G163" s="55"/>
      <c r="H163" s="56"/>
      <c r="I163" s="56"/>
      <c r="J163" s="56"/>
    </row>
    <row r="164" spans="1:10">
      <c r="A164" s="55"/>
      <c r="B164" s="55"/>
      <c r="C164" s="55"/>
      <c r="D164" s="55"/>
      <c r="E164" s="55"/>
      <c r="F164" s="55"/>
      <c r="G164" s="55"/>
      <c r="H164" s="56"/>
      <c r="I164" s="56"/>
      <c r="J164" s="56"/>
    </row>
    <row r="165" spans="1:10">
      <c r="A165" s="55"/>
      <c r="B165" s="55"/>
      <c r="C165" s="55"/>
      <c r="D165" s="55"/>
      <c r="E165" s="55"/>
      <c r="F165" s="55"/>
      <c r="G165" s="55"/>
      <c r="H165" s="56"/>
      <c r="I165" s="56"/>
      <c r="J165" s="56"/>
    </row>
    <row r="166" spans="1:10">
      <c r="A166" s="55"/>
      <c r="B166" s="55"/>
      <c r="C166" s="55"/>
      <c r="D166" s="55"/>
      <c r="E166" s="55"/>
      <c r="F166" s="55"/>
      <c r="G166" s="55"/>
      <c r="H166" s="56"/>
      <c r="I166" s="56"/>
      <c r="J166" s="56"/>
    </row>
    <row r="167" spans="1:10">
      <c r="A167" s="55"/>
      <c r="B167" s="55"/>
      <c r="C167" s="55"/>
      <c r="D167" s="55"/>
      <c r="E167" s="55"/>
      <c r="F167" s="55"/>
      <c r="G167" s="55"/>
      <c r="H167" s="56"/>
      <c r="I167" s="56"/>
      <c r="J167" s="56"/>
    </row>
    <row r="168" spans="1:10">
      <c r="A168" s="55"/>
      <c r="B168" s="55"/>
      <c r="C168" s="55"/>
      <c r="D168" s="55"/>
      <c r="E168" s="55"/>
      <c r="F168" s="55"/>
      <c r="G168" s="55"/>
      <c r="H168" s="56"/>
      <c r="I168" s="56"/>
      <c r="J168" s="56"/>
    </row>
    <row r="169" spans="1:10">
      <c r="A169" s="55"/>
      <c r="B169" s="55"/>
      <c r="C169" s="55"/>
      <c r="D169" s="55"/>
      <c r="E169" s="55"/>
      <c r="F169" s="55"/>
      <c r="G169" s="55"/>
      <c r="H169" s="56"/>
      <c r="I169" s="56"/>
      <c r="J169" s="56"/>
    </row>
    <row r="170" spans="1:10">
      <c r="A170" s="55"/>
      <c r="B170" s="55"/>
      <c r="C170" s="55"/>
      <c r="D170" s="55"/>
      <c r="E170" s="55"/>
      <c r="F170" s="55"/>
      <c r="G170" s="55"/>
      <c r="H170" s="56"/>
      <c r="I170" s="56"/>
      <c r="J170" s="56"/>
    </row>
    <row r="171" spans="1:10">
      <c r="A171" s="55"/>
      <c r="B171" s="55"/>
      <c r="C171" s="55"/>
      <c r="D171" s="55"/>
      <c r="E171" s="55"/>
      <c r="F171" s="55"/>
      <c r="G171" s="55"/>
      <c r="H171" s="56"/>
      <c r="I171" s="56"/>
      <c r="J171" s="56"/>
    </row>
    <row r="172" spans="1:10">
      <c r="A172" s="55"/>
      <c r="B172" s="55"/>
      <c r="C172" s="55"/>
      <c r="D172" s="55"/>
      <c r="E172" s="55"/>
      <c r="F172" s="55"/>
      <c r="G172" s="55"/>
      <c r="H172" s="56"/>
      <c r="I172" s="56"/>
      <c r="J172" s="56"/>
    </row>
    <row r="173" spans="1:10">
      <c r="A173" s="55"/>
      <c r="B173" s="55"/>
      <c r="C173" s="55"/>
      <c r="D173" s="55"/>
      <c r="E173" s="55"/>
      <c r="F173" s="55"/>
      <c r="G173" s="55"/>
      <c r="H173" s="56"/>
      <c r="I173" s="56"/>
      <c r="J173" s="56"/>
    </row>
    <row r="174" spans="1:10">
      <c r="A174" s="55"/>
      <c r="B174" s="55"/>
      <c r="C174" s="55"/>
      <c r="D174" s="55"/>
      <c r="E174" s="55"/>
      <c r="F174" s="55"/>
      <c r="G174" s="55"/>
      <c r="H174" s="56"/>
      <c r="I174" s="56"/>
      <c r="J174" s="56"/>
    </row>
    <row r="175" spans="1:10">
      <c r="A175" s="55"/>
      <c r="B175" s="55"/>
      <c r="C175" s="55"/>
      <c r="D175" s="55"/>
      <c r="E175" s="55"/>
      <c r="F175" s="55"/>
      <c r="G175" s="55"/>
      <c r="H175" s="56"/>
      <c r="I175" s="56"/>
      <c r="J175" s="56"/>
    </row>
    <row r="176" spans="1:10">
      <c r="A176" s="55"/>
      <c r="B176" s="55"/>
      <c r="C176" s="55"/>
      <c r="D176" s="55"/>
      <c r="E176" s="55"/>
      <c r="F176" s="55"/>
      <c r="G176" s="55"/>
      <c r="H176" s="56"/>
      <c r="I176" s="56"/>
      <c r="J176" s="56"/>
    </row>
    <row r="177" spans="1:10">
      <c r="A177" s="55"/>
      <c r="B177" s="55"/>
      <c r="C177" s="55"/>
      <c r="D177" s="55"/>
      <c r="E177" s="55"/>
      <c r="F177" s="55"/>
      <c r="G177" s="55"/>
      <c r="H177" s="56"/>
      <c r="I177" s="56"/>
      <c r="J177" s="56"/>
    </row>
    <row r="178" spans="1:10">
      <c r="A178" s="55"/>
      <c r="B178" s="55"/>
      <c r="C178" s="55"/>
      <c r="D178" s="55"/>
      <c r="E178" s="55"/>
      <c r="F178" s="55"/>
      <c r="G178" s="55"/>
      <c r="H178" s="56"/>
      <c r="I178" s="56"/>
      <c r="J178" s="56"/>
    </row>
    <row r="179" spans="1:10">
      <c r="A179" s="55"/>
      <c r="B179" s="55"/>
      <c r="C179" s="55"/>
      <c r="D179" s="55"/>
      <c r="E179" s="55"/>
      <c r="F179" s="55"/>
      <c r="G179" s="55"/>
      <c r="H179" s="56"/>
      <c r="I179" s="56"/>
      <c r="J179" s="56"/>
    </row>
    <row r="180" spans="1:10">
      <c r="A180" s="55"/>
      <c r="B180" s="55"/>
      <c r="C180" s="55"/>
      <c r="D180" s="55"/>
      <c r="E180" s="55"/>
      <c r="F180" s="55"/>
      <c r="G180" s="55"/>
      <c r="H180" s="56"/>
      <c r="I180" s="56"/>
      <c r="J180" s="56"/>
    </row>
    <row r="181" spans="1:10">
      <c r="A181" s="55"/>
      <c r="B181" s="55"/>
      <c r="C181" s="55"/>
      <c r="D181" s="55"/>
      <c r="E181" s="55"/>
      <c r="F181" s="55"/>
      <c r="G181" s="55"/>
      <c r="H181" s="56"/>
      <c r="I181" s="56"/>
      <c r="J181" s="56"/>
    </row>
    <row r="182" spans="1:10">
      <c r="A182" s="55"/>
      <c r="B182" s="55"/>
      <c r="C182" s="55"/>
      <c r="D182" s="55"/>
      <c r="E182" s="55"/>
      <c r="F182" s="55"/>
      <c r="G182" s="55"/>
      <c r="H182" s="56"/>
      <c r="I182" s="56"/>
      <c r="J182" s="56"/>
    </row>
    <row r="183" spans="1:10">
      <c r="A183" s="55"/>
      <c r="B183" s="55"/>
      <c r="C183" s="55"/>
      <c r="D183" s="55"/>
      <c r="E183" s="55"/>
      <c r="F183" s="55"/>
      <c r="G183" s="55"/>
      <c r="H183" s="56"/>
      <c r="I183" s="56"/>
      <c r="J183" s="56"/>
    </row>
    <row r="184" spans="1:10">
      <c r="A184" s="55"/>
      <c r="B184" s="55"/>
      <c r="C184" s="55"/>
      <c r="D184" s="55"/>
      <c r="E184" s="55"/>
      <c r="F184" s="55"/>
      <c r="G184" s="55"/>
      <c r="H184" s="56"/>
      <c r="I184" s="56"/>
      <c r="J184" s="56"/>
    </row>
    <row r="185" spans="1:10">
      <c r="A185" s="55"/>
      <c r="B185" s="55"/>
      <c r="C185" s="55"/>
      <c r="D185" s="55"/>
      <c r="E185" s="55"/>
      <c r="F185" s="55"/>
      <c r="G185" s="55"/>
      <c r="H185" s="56"/>
      <c r="I185" s="56"/>
      <c r="J185" s="56"/>
    </row>
    <row r="186" spans="1:10">
      <c r="A186" s="55"/>
      <c r="B186" s="55"/>
      <c r="C186" s="55"/>
      <c r="D186" s="55"/>
      <c r="E186" s="55"/>
      <c r="F186" s="55"/>
      <c r="G186" s="55"/>
      <c r="H186" s="56"/>
      <c r="I186" s="56"/>
      <c r="J186" s="56"/>
    </row>
    <row r="187" spans="1:10">
      <c r="A187" s="55"/>
      <c r="B187" s="55"/>
      <c r="C187" s="55"/>
      <c r="D187" s="55"/>
      <c r="E187" s="55"/>
      <c r="F187" s="55"/>
      <c r="G187" s="55"/>
      <c r="H187" s="56"/>
      <c r="I187" s="56"/>
      <c r="J187" s="56"/>
    </row>
    <row r="188" spans="1:10">
      <c r="A188" s="55"/>
      <c r="B188" s="55"/>
      <c r="C188" s="55"/>
      <c r="D188" s="55"/>
      <c r="E188" s="55"/>
      <c r="F188" s="55"/>
      <c r="G188" s="55"/>
      <c r="H188" s="56"/>
      <c r="I188" s="56"/>
      <c r="J188" s="56"/>
    </row>
    <row r="189" spans="1:10">
      <c r="A189" s="55"/>
      <c r="B189" s="55"/>
      <c r="C189" s="55"/>
      <c r="D189" s="55"/>
      <c r="E189" s="55"/>
      <c r="F189" s="55"/>
      <c r="G189" s="55"/>
      <c r="H189" s="56"/>
      <c r="I189" s="56"/>
      <c r="J189" s="56"/>
    </row>
    <row r="190" spans="1:10">
      <c r="A190" s="55"/>
      <c r="B190" s="55"/>
      <c r="C190" s="55"/>
      <c r="D190" s="55"/>
      <c r="E190" s="55"/>
      <c r="F190" s="55"/>
      <c r="G190" s="55"/>
      <c r="H190" s="56"/>
      <c r="I190" s="56"/>
      <c r="J190" s="56"/>
    </row>
    <row r="191" spans="1:10">
      <c r="A191" s="55"/>
      <c r="B191" s="55"/>
      <c r="C191" s="55"/>
      <c r="D191" s="55"/>
      <c r="E191" s="55"/>
      <c r="F191" s="55"/>
      <c r="G191" s="55"/>
      <c r="H191" s="56"/>
      <c r="I191" s="56"/>
      <c r="J191" s="56"/>
    </row>
    <row r="192" spans="1:10">
      <c r="A192" s="55"/>
      <c r="B192" s="55"/>
      <c r="C192" s="55"/>
      <c r="D192" s="55"/>
      <c r="E192" s="55"/>
      <c r="F192" s="55"/>
      <c r="G192" s="55"/>
      <c r="H192" s="56"/>
      <c r="I192" s="56"/>
      <c r="J192" s="56"/>
    </row>
    <row r="193" spans="1:10">
      <c r="A193" s="55"/>
      <c r="B193" s="55"/>
      <c r="C193" s="55"/>
      <c r="D193" s="55"/>
      <c r="E193" s="55"/>
      <c r="F193" s="55"/>
      <c r="G193" s="55"/>
      <c r="H193" s="56"/>
      <c r="I193" s="56"/>
      <c r="J193" s="56"/>
    </row>
    <row r="194" spans="1:10">
      <c r="A194" s="55"/>
      <c r="B194" s="55"/>
      <c r="C194" s="55"/>
      <c r="D194" s="55"/>
      <c r="E194" s="55"/>
      <c r="F194" s="55"/>
      <c r="G194" s="55"/>
      <c r="H194" s="56"/>
      <c r="I194" s="56"/>
      <c r="J194" s="56"/>
    </row>
    <row r="195" spans="1:10">
      <c r="A195" s="55"/>
      <c r="B195" s="55"/>
      <c r="C195" s="55"/>
      <c r="D195" s="55"/>
      <c r="E195" s="55"/>
      <c r="F195" s="55"/>
      <c r="G195" s="55"/>
      <c r="H195" s="56"/>
      <c r="I195" s="56"/>
      <c r="J195" s="56"/>
    </row>
    <row r="196" spans="1:10">
      <c r="A196" s="55"/>
      <c r="B196" s="55"/>
      <c r="C196" s="55"/>
      <c r="D196" s="55"/>
      <c r="E196" s="55"/>
      <c r="F196" s="55"/>
      <c r="G196" s="55"/>
      <c r="H196" s="56"/>
      <c r="I196" s="56"/>
      <c r="J196" s="56"/>
    </row>
    <row r="197" spans="1:10">
      <c r="A197" s="55"/>
      <c r="B197" s="55"/>
      <c r="C197" s="55"/>
      <c r="D197" s="55"/>
      <c r="E197" s="55"/>
      <c r="F197" s="55"/>
      <c r="G197" s="55"/>
      <c r="H197" s="56"/>
      <c r="I197" s="56"/>
      <c r="J197" s="56"/>
    </row>
    <row r="198" spans="1:10">
      <c r="A198" s="55"/>
      <c r="B198" s="55"/>
      <c r="C198" s="55"/>
      <c r="D198" s="55"/>
      <c r="E198" s="55"/>
      <c r="F198" s="55"/>
      <c r="G198" s="55"/>
      <c r="H198" s="56"/>
      <c r="I198" s="56"/>
      <c r="J198" s="56"/>
    </row>
    <row r="199" spans="1:10">
      <c r="A199" s="55"/>
      <c r="B199" s="55"/>
      <c r="C199" s="55"/>
      <c r="D199" s="55"/>
      <c r="E199" s="55"/>
      <c r="F199" s="55"/>
      <c r="G199" s="55"/>
      <c r="H199" s="56"/>
      <c r="I199" s="56"/>
      <c r="J199" s="56"/>
    </row>
    <row r="200" spans="1:10">
      <c r="A200" s="55"/>
      <c r="B200" s="55"/>
      <c r="C200" s="55"/>
      <c r="D200" s="55"/>
      <c r="E200" s="55"/>
      <c r="F200" s="55"/>
      <c r="G200" s="55"/>
      <c r="H200" s="56"/>
      <c r="I200" s="56"/>
      <c r="J200" s="56"/>
    </row>
    <row r="201" spans="1:10">
      <c r="A201" s="55"/>
      <c r="B201" s="55"/>
      <c r="C201" s="55"/>
      <c r="D201" s="55"/>
      <c r="E201" s="55"/>
      <c r="F201" s="55"/>
      <c r="G201" s="55"/>
      <c r="H201" s="56"/>
      <c r="I201" s="56"/>
      <c r="J201" s="56"/>
    </row>
    <row r="202" spans="1:10">
      <c r="A202" s="55"/>
      <c r="B202" s="55"/>
      <c r="C202" s="55"/>
      <c r="D202" s="55"/>
      <c r="E202" s="55"/>
      <c r="F202" s="55"/>
      <c r="G202" s="55"/>
      <c r="H202" s="56"/>
      <c r="I202" s="56"/>
      <c r="J202" s="56"/>
    </row>
    <row r="203" spans="1:10">
      <c r="A203" s="55"/>
      <c r="B203" s="55"/>
      <c r="C203" s="55"/>
      <c r="D203" s="55"/>
      <c r="E203" s="55"/>
      <c r="F203" s="55"/>
      <c r="G203" s="55"/>
      <c r="H203" s="56"/>
      <c r="I203" s="56"/>
      <c r="J203" s="56"/>
    </row>
    <row r="204" spans="1:10">
      <c r="A204" s="55"/>
      <c r="B204" s="55"/>
      <c r="C204" s="55"/>
      <c r="D204" s="55"/>
      <c r="E204" s="55"/>
      <c r="F204" s="55"/>
      <c r="G204" s="55"/>
      <c r="H204" s="56"/>
      <c r="I204" s="56"/>
      <c r="J204" s="56"/>
    </row>
    <row r="205" spans="1:10">
      <c r="A205" s="55"/>
      <c r="B205" s="55"/>
      <c r="C205" s="55"/>
      <c r="D205" s="55"/>
      <c r="E205" s="55"/>
      <c r="F205" s="55"/>
      <c r="G205" s="55"/>
      <c r="H205" s="56"/>
      <c r="I205" s="56"/>
      <c r="J205" s="56"/>
    </row>
    <row r="206" spans="1:10">
      <c r="A206" s="55"/>
      <c r="B206" s="55"/>
      <c r="C206" s="55"/>
      <c r="D206" s="55"/>
      <c r="E206" s="55"/>
      <c r="F206" s="55"/>
      <c r="G206" s="55"/>
      <c r="H206" s="56"/>
      <c r="I206" s="56"/>
      <c r="J206" s="56"/>
    </row>
    <row r="207" spans="1:10">
      <c r="A207" s="55"/>
      <c r="B207" s="55"/>
      <c r="C207" s="55"/>
      <c r="D207" s="55"/>
      <c r="E207" s="55"/>
      <c r="F207" s="55"/>
      <c r="G207" s="55"/>
      <c r="H207" s="56"/>
      <c r="I207" s="56"/>
      <c r="J207" s="56"/>
    </row>
    <row r="208" spans="1:10">
      <c r="A208" s="55"/>
      <c r="B208" s="55"/>
      <c r="C208" s="55"/>
      <c r="D208" s="55"/>
      <c r="E208" s="55"/>
      <c r="F208" s="55"/>
      <c r="G208" s="55"/>
      <c r="H208" s="56"/>
      <c r="I208" s="56"/>
      <c r="J208" s="56"/>
    </row>
    <row r="209" spans="1:10">
      <c r="A209" s="55"/>
      <c r="B209" s="55"/>
      <c r="C209" s="55"/>
      <c r="D209" s="55"/>
      <c r="E209" s="55"/>
      <c r="F209" s="55"/>
      <c r="G209" s="55"/>
      <c r="H209" s="56"/>
      <c r="I209" s="56"/>
      <c r="J209" s="56"/>
    </row>
    <row r="210" spans="1:10">
      <c r="A210" s="55"/>
      <c r="B210" s="55"/>
      <c r="C210" s="55"/>
      <c r="D210" s="55"/>
      <c r="E210" s="55"/>
      <c r="F210" s="55"/>
      <c r="G210" s="55"/>
      <c r="H210" s="56"/>
      <c r="I210" s="56"/>
      <c r="J210" s="56"/>
    </row>
    <row r="211" spans="1:10">
      <c r="A211" s="55"/>
      <c r="B211" s="55"/>
      <c r="C211" s="55"/>
      <c r="D211" s="55"/>
      <c r="E211" s="55"/>
      <c r="F211" s="55"/>
      <c r="G211" s="55"/>
      <c r="H211" s="56"/>
      <c r="I211" s="56"/>
      <c r="J211" s="56"/>
    </row>
    <row r="212" spans="1:10">
      <c r="A212" s="55"/>
      <c r="B212" s="55"/>
      <c r="C212" s="55"/>
      <c r="D212" s="55"/>
      <c r="E212" s="55"/>
      <c r="F212" s="55"/>
      <c r="G212" s="55"/>
      <c r="H212" s="56"/>
      <c r="I212" s="56"/>
      <c r="J212" s="56"/>
    </row>
    <row r="213" spans="1:10">
      <c r="A213" s="55"/>
      <c r="B213" s="55"/>
      <c r="C213" s="55"/>
      <c r="D213" s="55"/>
      <c r="E213" s="55"/>
      <c r="F213" s="55"/>
      <c r="G213" s="55"/>
      <c r="H213" s="56"/>
      <c r="I213" s="56"/>
      <c r="J213" s="56"/>
    </row>
    <row r="214" spans="1:10">
      <c r="A214" s="55"/>
      <c r="B214" s="55"/>
      <c r="C214" s="55"/>
      <c r="D214" s="55"/>
      <c r="E214" s="55"/>
      <c r="F214" s="55"/>
      <c r="G214" s="55"/>
      <c r="H214" s="56"/>
      <c r="I214" s="56"/>
      <c r="J214" s="56"/>
    </row>
    <row r="215" spans="1:10">
      <c r="A215" s="55"/>
      <c r="B215" s="55"/>
      <c r="C215" s="55"/>
      <c r="D215" s="55"/>
      <c r="E215" s="55"/>
      <c r="F215" s="55"/>
      <c r="G215" s="55"/>
      <c r="H215" s="56"/>
      <c r="I215" s="56"/>
      <c r="J215" s="56"/>
    </row>
    <row r="216" spans="1:10">
      <c r="A216" s="55"/>
      <c r="B216" s="55"/>
      <c r="C216" s="55"/>
      <c r="D216" s="55"/>
      <c r="E216" s="55"/>
      <c r="F216" s="55"/>
      <c r="G216" s="55"/>
      <c r="H216" s="56"/>
      <c r="I216" s="56"/>
      <c r="J216" s="56"/>
    </row>
    <row r="217" spans="1:10">
      <c r="A217" s="55"/>
      <c r="B217" s="55"/>
      <c r="C217" s="55"/>
      <c r="D217" s="55"/>
      <c r="E217" s="55"/>
      <c r="F217" s="55"/>
      <c r="G217" s="55"/>
      <c r="H217" s="56"/>
      <c r="I217" s="56"/>
      <c r="J217" s="56"/>
    </row>
    <row r="218" spans="1:10">
      <c r="A218" s="55"/>
      <c r="B218" s="55"/>
      <c r="C218" s="55"/>
      <c r="D218" s="55"/>
      <c r="E218" s="55"/>
      <c r="F218" s="55"/>
      <c r="G218" s="55"/>
      <c r="H218" s="56"/>
      <c r="I218" s="56"/>
      <c r="J218" s="56"/>
    </row>
    <row r="219" spans="1:10">
      <c r="A219" s="55"/>
      <c r="B219" s="55"/>
      <c r="C219" s="55"/>
      <c r="D219" s="55"/>
      <c r="E219" s="55"/>
      <c r="F219" s="55"/>
      <c r="G219" s="55"/>
      <c r="H219" s="56"/>
      <c r="I219" s="56"/>
      <c r="J219" s="56"/>
    </row>
    <row r="220" spans="1:10">
      <c r="A220" s="55"/>
      <c r="B220" s="55"/>
      <c r="C220" s="55"/>
      <c r="D220" s="55"/>
      <c r="E220" s="55"/>
      <c r="F220" s="55"/>
      <c r="G220" s="55"/>
      <c r="H220" s="56"/>
      <c r="I220" s="56"/>
      <c r="J220" s="56"/>
    </row>
    <row r="221" spans="1:10">
      <c r="A221" s="55"/>
      <c r="B221" s="55"/>
      <c r="C221" s="55"/>
      <c r="D221" s="55"/>
      <c r="E221" s="55"/>
      <c r="F221" s="55"/>
      <c r="G221" s="55"/>
      <c r="H221" s="56"/>
      <c r="I221" s="56"/>
      <c r="J221" s="56"/>
    </row>
    <row r="222" spans="1:10">
      <c r="A222" s="55"/>
      <c r="B222" s="55"/>
      <c r="C222" s="55"/>
      <c r="D222" s="55"/>
      <c r="E222" s="55"/>
      <c r="F222" s="55"/>
      <c r="G222" s="55"/>
      <c r="H222" s="56"/>
      <c r="I222" s="56"/>
      <c r="J222" s="56"/>
    </row>
    <row r="223" spans="1:10">
      <c r="A223" s="55"/>
      <c r="B223" s="55"/>
      <c r="C223" s="55"/>
      <c r="D223" s="55"/>
      <c r="E223" s="55"/>
      <c r="F223" s="55"/>
      <c r="G223" s="55"/>
      <c r="H223" s="56"/>
      <c r="I223" s="56"/>
      <c r="J223" s="56"/>
    </row>
    <row r="224" spans="1:10">
      <c r="A224" s="55"/>
      <c r="B224" s="55"/>
      <c r="C224" s="55"/>
      <c r="D224" s="55"/>
      <c r="E224" s="55"/>
      <c r="F224" s="55"/>
      <c r="G224" s="55"/>
      <c r="H224" s="56"/>
      <c r="I224" s="56"/>
      <c r="J224" s="56"/>
    </row>
    <row r="225" spans="1:10">
      <c r="A225" s="55"/>
      <c r="B225" s="55"/>
      <c r="C225" s="55"/>
      <c r="D225" s="55"/>
      <c r="E225" s="55"/>
      <c r="F225" s="55"/>
      <c r="G225" s="55"/>
      <c r="H225" s="56"/>
      <c r="I225" s="56"/>
      <c r="J225" s="56"/>
    </row>
    <row r="226" spans="1:10">
      <c r="A226" s="55"/>
      <c r="B226" s="55"/>
      <c r="C226" s="55"/>
      <c r="D226" s="55"/>
      <c r="E226" s="55"/>
      <c r="F226" s="55"/>
      <c r="G226" s="55"/>
      <c r="H226" s="56"/>
      <c r="I226" s="56"/>
      <c r="J226" s="56"/>
    </row>
    <row r="227" spans="1:10">
      <c r="A227" s="55"/>
      <c r="B227" s="55"/>
      <c r="C227" s="55"/>
      <c r="D227" s="55"/>
      <c r="E227" s="55"/>
      <c r="F227" s="55"/>
      <c r="G227" s="55"/>
      <c r="H227" s="56"/>
      <c r="I227" s="56"/>
      <c r="J227" s="56"/>
    </row>
    <row r="228" spans="1:10">
      <c r="A228" s="55"/>
      <c r="B228" s="55"/>
      <c r="C228" s="55"/>
      <c r="D228" s="55"/>
      <c r="E228" s="55"/>
      <c r="F228" s="55"/>
      <c r="G228" s="55"/>
      <c r="H228" s="56"/>
      <c r="I228" s="56"/>
      <c r="J228" s="56"/>
    </row>
    <row r="229" spans="1:10">
      <c r="A229" s="55"/>
      <c r="B229" s="55"/>
      <c r="C229" s="55"/>
      <c r="D229" s="55"/>
      <c r="E229" s="55"/>
      <c r="F229" s="55"/>
      <c r="G229" s="55"/>
      <c r="H229" s="56"/>
      <c r="I229" s="56"/>
      <c r="J229" s="56"/>
    </row>
    <row r="230" spans="1:10">
      <c r="A230" s="55"/>
      <c r="B230" s="55"/>
      <c r="C230" s="55"/>
      <c r="D230" s="55"/>
      <c r="E230" s="55"/>
      <c r="F230" s="55"/>
      <c r="G230" s="55"/>
      <c r="H230" s="56"/>
      <c r="I230" s="56"/>
      <c r="J230" s="56"/>
    </row>
    <row r="231" spans="1:10">
      <c r="A231" s="55"/>
      <c r="B231" s="55"/>
      <c r="C231" s="55"/>
      <c r="D231" s="55"/>
      <c r="E231" s="55"/>
      <c r="F231" s="55"/>
      <c r="G231" s="55"/>
      <c r="H231" s="56"/>
      <c r="I231" s="56"/>
      <c r="J231" s="56"/>
    </row>
    <row r="232" spans="1:10">
      <c r="A232" s="55"/>
      <c r="B232" s="55"/>
      <c r="C232" s="55"/>
      <c r="D232" s="55"/>
      <c r="E232" s="55"/>
      <c r="F232" s="55"/>
      <c r="G232" s="55"/>
      <c r="H232" s="56"/>
      <c r="I232" s="56"/>
      <c r="J232" s="56"/>
    </row>
    <row r="233" spans="1:10">
      <c r="A233" s="55"/>
      <c r="B233" s="55"/>
      <c r="C233" s="55"/>
      <c r="D233" s="55"/>
      <c r="E233" s="55"/>
      <c r="F233" s="55"/>
      <c r="G233" s="55"/>
      <c r="H233" s="56"/>
      <c r="I233" s="56"/>
      <c r="J233" s="56"/>
    </row>
    <row r="234" spans="1:10">
      <c r="A234" s="55"/>
      <c r="B234" s="55"/>
      <c r="C234" s="55"/>
      <c r="D234" s="55"/>
      <c r="E234" s="55"/>
      <c r="F234" s="55"/>
      <c r="G234" s="55"/>
      <c r="H234" s="56"/>
      <c r="I234" s="56"/>
      <c r="J234" s="56"/>
    </row>
    <row r="235" spans="1:10">
      <c r="A235" s="55"/>
      <c r="B235" s="55"/>
      <c r="C235" s="55"/>
      <c r="D235" s="55"/>
      <c r="E235" s="55"/>
      <c r="F235" s="55"/>
      <c r="G235" s="55"/>
      <c r="H235" s="56"/>
      <c r="I235" s="56"/>
      <c r="J235" s="56"/>
    </row>
    <row r="236" spans="1:10">
      <c r="A236" s="55"/>
      <c r="B236" s="55"/>
      <c r="C236" s="55"/>
      <c r="D236" s="55"/>
      <c r="E236" s="55"/>
      <c r="F236" s="55"/>
      <c r="G236" s="55"/>
      <c r="H236" s="56"/>
      <c r="I236" s="56"/>
      <c r="J236" s="56"/>
    </row>
    <row r="237" spans="1:10">
      <c r="A237" s="55"/>
      <c r="B237" s="55"/>
      <c r="C237" s="55"/>
      <c r="D237" s="55"/>
      <c r="E237" s="55"/>
      <c r="F237" s="55"/>
      <c r="G237" s="55"/>
      <c r="H237" s="56"/>
      <c r="I237" s="56"/>
      <c r="J237" s="56"/>
    </row>
    <row r="238" spans="1:10">
      <c r="A238" s="55"/>
      <c r="B238" s="55"/>
      <c r="C238" s="55"/>
      <c r="D238" s="55"/>
      <c r="E238" s="55"/>
      <c r="F238" s="55"/>
      <c r="G238" s="55"/>
      <c r="H238" s="56"/>
      <c r="I238" s="56"/>
      <c r="J238" s="56"/>
    </row>
    <row r="239" spans="1:10">
      <c r="A239" s="55"/>
      <c r="B239" s="55"/>
      <c r="C239" s="55"/>
      <c r="D239" s="55"/>
      <c r="E239" s="55"/>
      <c r="F239" s="55"/>
      <c r="G239" s="55"/>
      <c r="H239" s="56"/>
      <c r="I239" s="56"/>
      <c r="J239" s="56"/>
    </row>
    <row r="240" spans="1:10">
      <c r="A240" s="55"/>
      <c r="B240" s="55"/>
      <c r="C240" s="55"/>
      <c r="D240" s="55"/>
      <c r="E240" s="55"/>
      <c r="F240" s="55"/>
      <c r="G240" s="55"/>
      <c r="H240" s="56"/>
      <c r="I240" s="56"/>
      <c r="J240" s="56"/>
    </row>
    <row r="241" spans="1:10">
      <c r="A241" s="55"/>
      <c r="B241" s="55"/>
      <c r="C241" s="55"/>
      <c r="D241" s="55"/>
      <c r="E241" s="55"/>
      <c r="F241" s="55"/>
      <c r="G241" s="55"/>
      <c r="H241" s="56"/>
      <c r="I241" s="56"/>
      <c r="J241" s="56"/>
    </row>
    <row r="242" spans="1:10">
      <c r="A242" s="55"/>
      <c r="B242" s="55"/>
      <c r="C242" s="55"/>
      <c r="D242" s="55"/>
      <c r="E242" s="55"/>
      <c r="F242" s="55"/>
      <c r="G242" s="55"/>
      <c r="H242" s="56"/>
      <c r="I242" s="56"/>
      <c r="J242" s="56"/>
    </row>
    <row r="243" spans="1:10">
      <c r="A243" s="55"/>
      <c r="B243" s="55"/>
      <c r="C243" s="55"/>
      <c r="D243" s="55"/>
      <c r="E243" s="55"/>
      <c r="F243" s="55"/>
      <c r="G243" s="55"/>
      <c r="H243" s="56"/>
      <c r="I243" s="56"/>
      <c r="J243" s="56"/>
    </row>
    <row r="244" spans="1:10">
      <c r="A244" s="55"/>
      <c r="B244" s="55"/>
      <c r="C244" s="55"/>
      <c r="D244" s="55"/>
      <c r="E244" s="55"/>
      <c r="F244" s="55"/>
      <c r="G244" s="55"/>
      <c r="H244" s="56"/>
      <c r="I244" s="56"/>
      <c r="J244" s="56"/>
    </row>
    <row r="245" spans="1:10">
      <c r="A245" s="55"/>
      <c r="B245" s="55"/>
      <c r="C245" s="55"/>
      <c r="D245" s="55"/>
      <c r="E245" s="55"/>
      <c r="F245" s="55"/>
      <c r="G245" s="55"/>
      <c r="H245" s="56"/>
      <c r="I245" s="56"/>
      <c r="J245" s="56"/>
    </row>
    <row r="246" spans="1:10">
      <c r="A246" s="55"/>
      <c r="B246" s="55"/>
      <c r="C246" s="55"/>
      <c r="D246" s="55"/>
      <c r="E246" s="55"/>
      <c r="F246" s="55"/>
      <c r="G246" s="55"/>
      <c r="H246" s="56"/>
      <c r="I246" s="56"/>
      <c r="J246" s="56"/>
    </row>
    <row r="247" spans="1:10">
      <c r="A247" s="55"/>
      <c r="B247" s="55"/>
      <c r="C247" s="55"/>
      <c r="D247" s="55"/>
      <c r="E247" s="55"/>
      <c r="F247" s="55"/>
      <c r="G247" s="55"/>
      <c r="H247" s="56"/>
      <c r="I247" s="56"/>
      <c r="J247" s="56"/>
    </row>
    <row r="248" spans="1:10">
      <c r="A248" s="55"/>
      <c r="B248" s="55"/>
      <c r="C248" s="55"/>
      <c r="D248" s="55"/>
      <c r="E248" s="55"/>
      <c r="F248" s="55"/>
      <c r="G248" s="55"/>
      <c r="H248" s="56"/>
      <c r="I248" s="56"/>
      <c r="J248" s="56"/>
    </row>
    <row r="249" spans="1:10">
      <c r="A249" s="55"/>
      <c r="B249" s="55"/>
      <c r="C249" s="55"/>
      <c r="D249" s="55"/>
      <c r="E249" s="55"/>
      <c r="F249" s="55"/>
      <c r="G249" s="55"/>
      <c r="H249" s="56"/>
      <c r="I249" s="56"/>
      <c r="J249" s="56"/>
    </row>
    <row r="250" spans="1:10">
      <c r="A250" s="55"/>
      <c r="B250" s="55"/>
      <c r="C250" s="55"/>
      <c r="D250" s="55"/>
      <c r="E250" s="55"/>
      <c r="F250" s="55"/>
      <c r="G250" s="55"/>
      <c r="H250" s="56"/>
      <c r="I250" s="56"/>
      <c r="J250" s="56"/>
    </row>
    <row r="251" spans="1:10">
      <c r="A251" s="55"/>
      <c r="B251" s="55"/>
      <c r="C251" s="55"/>
      <c r="D251" s="55"/>
      <c r="E251" s="55"/>
      <c r="F251" s="55"/>
      <c r="G251" s="55"/>
      <c r="H251" s="56"/>
      <c r="I251" s="56"/>
      <c r="J251" s="56"/>
    </row>
    <row r="252" spans="1:10">
      <c r="A252" s="55"/>
      <c r="B252" s="55"/>
      <c r="C252" s="55"/>
      <c r="D252" s="55"/>
      <c r="E252" s="55"/>
      <c r="F252" s="55"/>
      <c r="G252" s="55"/>
      <c r="H252" s="56"/>
      <c r="I252" s="56"/>
      <c r="J252" s="56"/>
    </row>
    <row r="253" spans="1:10">
      <c r="A253" s="55"/>
      <c r="B253" s="55"/>
      <c r="C253" s="55"/>
      <c r="D253" s="55"/>
      <c r="E253" s="55"/>
      <c r="F253" s="55"/>
      <c r="G253" s="55"/>
      <c r="H253" s="56"/>
      <c r="I253" s="56"/>
      <c r="J253" s="56"/>
    </row>
    <row r="254" spans="1:10">
      <c r="A254" s="55"/>
      <c r="B254" s="55"/>
      <c r="C254" s="55"/>
      <c r="D254" s="55"/>
      <c r="E254" s="55"/>
      <c r="F254" s="55"/>
      <c r="G254" s="55"/>
      <c r="H254" s="56"/>
      <c r="I254" s="56"/>
      <c r="J254" s="56"/>
    </row>
    <row r="255" spans="1:10">
      <c r="A255" s="55"/>
      <c r="B255" s="55"/>
      <c r="C255" s="55"/>
      <c r="D255" s="55"/>
      <c r="E255" s="55"/>
      <c r="F255" s="55"/>
      <c r="G255" s="55"/>
      <c r="H255" s="56"/>
      <c r="I255" s="56"/>
      <c r="J255" s="56"/>
    </row>
    <row r="256" spans="1:10">
      <c r="A256" s="55"/>
      <c r="B256" s="55"/>
      <c r="C256" s="55"/>
      <c r="D256" s="55"/>
      <c r="E256" s="55"/>
      <c r="F256" s="55"/>
      <c r="G256" s="55"/>
      <c r="H256" s="56"/>
      <c r="I256" s="56"/>
      <c r="J256" s="56"/>
    </row>
    <row r="257" spans="1:10">
      <c r="A257" s="55"/>
      <c r="B257" s="55"/>
      <c r="C257" s="55"/>
      <c r="D257" s="55"/>
      <c r="E257" s="55"/>
      <c r="F257" s="55"/>
      <c r="G257" s="55"/>
      <c r="H257" s="56"/>
      <c r="I257" s="56"/>
      <c r="J257" s="56"/>
    </row>
  </sheetData>
  <mergeCells count="3">
    <mergeCell ref="B2:D2"/>
    <mergeCell ref="E2:G2"/>
    <mergeCell ref="H2:J2"/>
  </mergeCells>
  <pageMargins left="0.7" right="0.7" top="0.75" bottom="0.75" header="0.3" footer="0.3"/>
</worksheet>
</file>

<file path=xl/worksheets/sheet9.xml><?xml version="1.0" encoding="utf-8"?>
<worksheet xmlns="http://schemas.openxmlformats.org/spreadsheetml/2006/main" xmlns:r="http://schemas.openxmlformats.org/officeDocument/2006/relationships">
  <sheetPr>
    <tabColor theme="0" tint="-0.34998626667073579"/>
  </sheetPr>
  <dimension ref="A1:AO23"/>
  <sheetViews>
    <sheetView topLeftCell="A10" workbookViewId="0">
      <selection activeCell="L17" sqref="L17:L23"/>
    </sheetView>
  </sheetViews>
  <sheetFormatPr defaultColWidth="9.140625" defaultRowHeight="15"/>
  <cols>
    <col min="1" max="1" width="52.7109375" style="63" bestFit="1" customWidth="1"/>
    <col min="2" max="16384" width="9.140625" style="63"/>
  </cols>
  <sheetData>
    <row r="1" spans="1:41" s="70" customFormat="1" ht="15.75" thickBot="1">
      <c r="A1" s="259" t="s">
        <v>345</v>
      </c>
    </row>
    <row r="2" spans="1:41">
      <c r="A2" s="57" t="s">
        <v>181</v>
      </c>
      <c r="B2" s="57">
        <v>2011</v>
      </c>
      <c r="C2" s="57">
        <f>B2+1</f>
        <v>2012</v>
      </c>
      <c r="D2" s="57">
        <f t="shared" ref="D2:X2" si="0">C2+1</f>
        <v>2013</v>
      </c>
      <c r="E2" s="57">
        <f t="shared" si="0"/>
        <v>2014</v>
      </c>
      <c r="F2" s="57">
        <f t="shared" si="0"/>
        <v>2015</v>
      </c>
      <c r="G2" s="57">
        <f t="shared" si="0"/>
        <v>2016</v>
      </c>
      <c r="H2" s="57">
        <f t="shared" si="0"/>
        <v>2017</v>
      </c>
      <c r="I2" s="57">
        <f t="shared" si="0"/>
        <v>2018</v>
      </c>
      <c r="J2" s="57">
        <f t="shared" si="0"/>
        <v>2019</v>
      </c>
      <c r="K2" s="57">
        <f t="shared" si="0"/>
        <v>2020</v>
      </c>
      <c r="L2" s="57">
        <f t="shared" si="0"/>
        <v>2021</v>
      </c>
      <c r="M2" s="57">
        <f t="shared" si="0"/>
        <v>2022</v>
      </c>
      <c r="N2" s="57">
        <f t="shared" si="0"/>
        <v>2023</v>
      </c>
      <c r="O2" s="57">
        <f t="shared" si="0"/>
        <v>2024</v>
      </c>
      <c r="P2" s="57">
        <f t="shared" si="0"/>
        <v>2025</v>
      </c>
      <c r="Q2" s="57">
        <f t="shared" si="0"/>
        <v>2026</v>
      </c>
      <c r="R2" s="57">
        <f t="shared" si="0"/>
        <v>2027</v>
      </c>
      <c r="S2" s="57">
        <f t="shared" si="0"/>
        <v>2028</v>
      </c>
      <c r="T2" s="57">
        <f t="shared" si="0"/>
        <v>2029</v>
      </c>
      <c r="U2" s="57">
        <f>T2+1</f>
        <v>2030</v>
      </c>
      <c r="V2" s="57">
        <f t="shared" si="0"/>
        <v>2031</v>
      </c>
      <c r="W2" s="57">
        <f t="shared" si="0"/>
        <v>2032</v>
      </c>
      <c r="X2" s="57">
        <f t="shared" si="0"/>
        <v>2033</v>
      </c>
      <c r="Y2" s="57">
        <f>X2+1</f>
        <v>2034</v>
      </c>
      <c r="Z2" s="57">
        <f t="shared" ref="Z2:AO2" si="1">Y2+1</f>
        <v>2035</v>
      </c>
      <c r="AA2" s="57">
        <f t="shared" si="1"/>
        <v>2036</v>
      </c>
      <c r="AB2" s="57">
        <f t="shared" si="1"/>
        <v>2037</v>
      </c>
      <c r="AC2" s="57">
        <f t="shared" si="1"/>
        <v>2038</v>
      </c>
      <c r="AD2" s="57">
        <f t="shared" si="1"/>
        <v>2039</v>
      </c>
      <c r="AE2" s="57">
        <f t="shared" si="1"/>
        <v>2040</v>
      </c>
      <c r="AF2" s="57">
        <f t="shared" si="1"/>
        <v>2041</v>
      </c>
      <c r="AG2" s="57">
        <f t="shared" si="1"/>
        <v>2042</v>
      </c>
      <c r="AH2" s="57">
        <f t="shared" si="1"/>
        <v>2043</v>
      </c>
      <c r="AI2" s="57">
        <f t="shared" si="1"/>
        <v>2044</v>
      </c>
      <c r="AJ2" s="57">
        <f t="shared" si="1"/>
        <v>2045</v>
      </c>
      <c r="AK2" s="57">
        <f t="shared" si="1"/>
        <v>2046</v>
      </c>
      <c r="AL2" s="57">
        <f t="shared" si="1"/>
        <v>2047</v>
      </c>
      <c r="AM2" s="57">
        <f t="shared" si="1"/>
        <v>2048</v>
      </c>
      <c r="AN2" s="57">
        <f t="shared" si="1"/>
        <v>2049</v>
      </c>
      <c r="AO2" s="57">
        <f t="shared" si="1"/>
        <v>2050</v>
      </c>
    </row>
    <row r="3" spans="1:41">
      <c r="A3" s="63" t="s">
        <v>182</v>
      </c>
      <c r="B3" s="63">
        <f>'NW Baseline Grid Char'!B3*VLOOKUP(B$2,'NW Baseline Energy'!$A$4:$G$43,5,0)</f>
        <v>937875.49041188555</v>
      </c>
      <c r="C3" s="63">
        <f>'NW Baseline Grid Char'!C3*VLOOKUP(C$2,'NW Baseline Energy'!$A$4:$G$43,5,0)</f>
        <v>955572.82178553054</v>
      </c>
      <c r="D3" s="63">
        <f>'NW Baseline Grid Char'!D3*VLOOKUP(D$2,'NW Baseline Energy'!$A$4:$G$43,5,0)</f>
        <v>973533.61371793365</v>
      </c>
      <c r="E3" s="63">
        <f>'NW Baseline Grid Char'!E3*VLOOKUP(E$2,'NW Baseline Energy'!$A$4:$G$43,5,0)</f>
        <v>991761.3996921113</v>
      </c>
      <c r="F3" s="63">
        <f>'NW Baseline Grid Char'!F3*VLOOKUP(F$2,'NW Baseline Energy'!$A$4:$G$43,5,0)</f>
        <v>1010259.7578648989</v>
      </c>
      <c r="G3" s="63">
        <f>'NW Baseline Grid Char'!G3*VLOOKUP(G$2,'NW Baseline Energy'!$A$4:$G$43,5,0)</f>
        <v>1029032.3116106873</v>
      </c>
      <c r="H3" s="63">
        <f>'NW Baseline Grid Char'!H3*VLOOKUP(H$2,'NW Baseline Energy'!$A$4:$G$43,5,0)</f>
        <v>1048082.7300716016</v>
      </c>
      <c r="I3" s="63">
        <f>'NW Baseline Grid Char'!I3*VLOOKUP(I$2,'NW Baseline Energy'!$A$4:$G$43,5,0)</f>
        <v>1067414.7287141997</v>
      </c>
      <c r="J3" s="63">
        <f>'NW Baseline Grid Char'!J3*VLOOKUP(J$2,'NW Baseline Energy'!$A$4:$G$43,5,0)</f>
        <v>1087032.0698927653</v>
      </c>
      <c r="K3" s="63">
        <f>'NW Baseline Grid Char'!K3*VLOOKUP(K$2,'NW Baseline Energy'!$A$4:$G$43,5,0)</f>
        <v>1111601.3588165999</v>
      </c>
      <c r="L3" s="63">
        <f>'NW Baseline Grid Char'!L3*VLOOKUP(L$2,'NW Baseline Energy'!$A$4:$G$43,5,0)</f>
        <v>1141073.5724658968</v>
      </c>
      <c r="M3" s="63">
        <f>'NW Baseline Grid Char'!M3*VLOOKUP(M$2,'NW Baseline Energy'!$A$4:$G$43,5,0)</f>
        <v>1171254.1076339204</v>
      </c>
      <c r="N3" s="63">
        <f>'NW Baseline Grid Char'!N3*VLOOKUP(N$2,'NW Baseline Energy'!$A$4:$G$43,5,0)</f>
        <v>1202158.9769360488</v>
      </c>
      <c r="O3" s="63">
        <f>'NW Baseline Grid Char'!O3*VLOOKUP(O$2,'NW Baseline Energy'!$A$4:$G$43,5,0)</f>
        <v>1233804.6181729212</v>
      </c>
      <c r="P3" s="63">
        <f>'NW Baseline Grid Char'!P3*VLOOKUP(P$2,'NW Baseline Energy'!$A$4:$G$43,5,0)</f>
        <v>1266207.8288298433</v>
      </c>
      <c r="Q3" s="63">
        <f>'NW Baseline Grid Char'!Q3*VLOOKUP(Q$2,'NW Baseline Energy'!$A$4:$G$43,5,0)</f>
        <v>1299385.7737480798</v>
      </c>
      <c r="R3" s="63">
        <f>'NW Baseline Grid Char'!R3*VLOOKUP(R$2,'NW Baseline Energy'!$A$4:$G$43,5,0)</f>
        <v>1333355.9929566716</v>
      </c>
      <c r="S3" s="63">
        <f>'NW Baseline Grid Char'!S3*VLOOKUP(S$2,'NW Baseline Energy'!$A$4:$G$43,5,0)</f>
        <v>1368136.4096681001</v>
      </c>
      <c r="T3" s="63">
        <f>'NW Baseline Grid Char'!T3*VLOOKUP(T$2,'NW Baseline Energy'!$A$4:$G$43,5,0)</f>
        <v>1403745.338441164</v>
      </c>
      <c r="U3" s="63">
        <f>'NW Baseline Grid Char'!U3*VLOOKUP(U$2,'NW Baseline Energy'!$A$4:$G$43,5,0)</f>
        <v>1438023.3522192</v>
      </c>
      <c r="V3" s="63">
        <f>'NW Baseline Grid Char'!V3*VLOOKUP(V$2,'NW Baseline Energy'!$A$4:$G$43,5,0)</f>
        <v>1473058.2021817716</v>
      </c>
      <c r="W3" s="63">
        <f>'NW Baseline Grid Char'!W3*VLOOKUP(W$2,'NW Baseline Energy'!$A$4:$G$43,5,0)</f>
        <v>1508865.6651532135</v>
      </c>
      <c r="X3" s="63">
        <f>'NW Baseline Grid Char'!X3*VLOOKUP(X$2,'NW Baseline Energy'!$A$4:$G$43,5,0)</f>
        <v>1545461.8348171688</v>
      </c>
      <c r="Y3" s="63">
        <f>'NW Baseline Grid Char'!Y3*VLOOKUP(Y$2,'NW Baseline Energy'!$A$4:$G$43,5,0)</f>
        <v>1582863.0343791696</v>
      </c>
      <c r="Z3" s="63">
        <f>'NW Baseline Grid Char'!Z3*VLOOKUP(Z$2,'NW Baseline Energy'!$A$4:$G$43,5,0)</f>
        <v>1621086.1954573654</v>
      </c>
      <c r="AA3" s="63">
        <f>'NW Baseline Grid Char'!AA3*VLOOKUP(AA$2,'NW Baseline Energy'!$A$4:$G$43,5,0)</f>
        <v>1660148.3080037411</v>
      </c>
      <c r="AB3" s="63">
        <f>'NW Baseline Grid Char'!AB3*VLOOKUP(AB$2,'NW Baseline Energy'!$A$4:$G$43,5,0)</f>
        <v>1700066.7963381871</v>
      </c>
      <c r="AC3" s="63">
        <f>'NW Baseline Grid Char'!AC3*VLOOKUP(AC$2,'NW Baseline Energy'!$A$4:$G$43,5,0)</f>
        <v>1740859.4338516349</v>
      </c>
      <c r="AD3" s="63">
        <f>'NW Baseline Grid Char'!AD3*VLOOKUP(AD$2,'NW Baseline Energy'!$A$4:$G$43,5,0)</f>
        <v>1782544.3498237492</v>
      </c>
      <c r="AE3" s="63">
        <f>'NW Baseline Grid Char'!AE3*VLOOKUP(AE$2,'NW Baseline Energy'!$A$4:$G$43,5,0)</f>
        <v>1825140.0363712949</v>
      </c>
      <c r="AF3" s="63">
        <f>'NW Baseline Grid Char'!AF3*VLOOKUP(AF$2,'NW Baseline Energy'!$A$4:$G$43,5,0)</f>
        <v>1868665.3555296299</v>
      </c>
      <c r="AG3" s="63">
        <f>'NW Baseline Grid Char'!AG3*VLOOKUP(AG$2,'NW Baseline Energy'!$A$4:$G$43,5,0)</f>
        <v>1913139.5464698547</v>
      </c>
      <c r="AH3" s="63">
        <f>'NW Baseline Grid Char'!AH3*VLOOKUP(AH$2,'NW Baseline Energy'!$A$4:$G$43,5,0)</f>
        <v>1958582.2328541661</v>
      </c>
      <c r="AI3" s="63">
        <f>'NW Baseline Grid Char'!AI3*VLOOKUP(AI$2,'NW Baseline Energy'!$A$4:$G$43,5,0)</f>
        <v>2005013.4303320344</v>
      </c>
      <c r="AJ3" s="63">
        <f>'NW Baseline Grid Char'!AJ3*VLOOKUP(AJ$2,'NW Baseline Energy'!$A$4:$G$43,5,0)</f>
        <v>2052453.5541798547</v>
      </c>
      <c r="AK3" s="63">
        <f>'NW Baseline Grid Char'!AK3*VLOOKUP(AK$2,'NW Baseline Energy'!$A$4:$G$43,5,0)</f>
        <v>2100923.4270867826</v>
      </c>
      <c r="AL3" s="63">
        <f>'NW Baseline Grid Char'!AL3*VLOOKUP(AL$2,'NW Baseline Energy'!$A$4:$G$43,5,0)</f>
        <v>2150444.2870895127</v>
      </c>
      <c r="AM3" s="63">
        <f>'NW Baseline Grid Char'!AM3*VLOOKUP(AM$2,'NW Baseline Energy'!$A$4:$G$43,5,0)</f>
        <v>2201037.6774516939</v>
      </c>
      <c r="AN3" s="63">
        <f>'NW Baseline Grid Char'!AN3*VLOOKUP(AN$2,'NW Baseline Energy'!$A$4:$G$43,5,0)</f>
        <v>2252725.9257404893</v>
      </c>
      <c r="AO3" s="63">
        <f>'NW Baseline Grid Char'!AO3*VLOOKUP(AO$2,'NW Baseline Energy'!$A$4:$G$43,5,0)</f>
        <v>2305531.4489280526</v>
      </c>
    </row>
    <row r="4" spans="1:41">
      <c r="A4" s="63" t="s">
        <v>185</v>
      </c>
      <c r="B4" s="63">
        <f>'NW Baseline Grid Char'!B6*VLOOKUP(B$2,'NW Baseline Energy'!$A$4:$G$43,5,0)</f>
        <v>15636182.40596847</v>
      </c>
      <c r="C4" s="63">
        <f>'NW Baseline Grid Char'!C6*VLOOKUP(C$2,'NW Baseline Energy'!$A$4:$G$43,5,0)</f>
        <v>16187256.877066424</v>
      </c>
      <c r="D4" s="63">
        <f>'NW Baseline Grid Char'!D6*VLOOKUP(D$2,'NW Baseline Energy'!$A$4:$G$43,5,0)</f>
        <v>16747947.035925832</v>
      </c>
      <c r="E4" s="63">
        <f>'NW Baseline Grid Char'!E6*VLOOKUP(E$2,'NW Baseline Energy'!$A$4:$G$43,5,0)</f>
        <v>17318391.714470729</v>
      </c>
      <c r="F4" s="63">
        <f>'NW Baseline Grid Char'!F6*VLOOKUP(F$2,'NW Baseline Energy'!$A$4:$G$43,5,0)</f>
        <v>17898731.576438211</v>
      </c>
      <c r="G4" s="63">
        <f>'NW Baseline Grid Char'!G6*VLOOKUP(G$2,'NW Baseline Energy'!$A$4:$G$43,5,0)</f>
        <v>18489109.140303921</v>
      </c>
      <c r="H4" s="63">
        <f>'NW Baseline Grid Char'!H6*VLOOKUP(H$2,'NW Baseline Energy'!$A$4:$G$43,5,0)</f>
        <v>19089668.802484669</v>
      </c>
      <c r="I4" s="63">
        <f>'NW Baseline Grid Char'!I6*VLOOKUP(I$2,'NW Baseline Energy'!$A$4:$G$43,5,0)</f>
        <v>19700556.860821422</v>
      </c>
      <c r="J4" s="63">
        <f>'NW Baseline Grid Char'!J6*VLOOKUP(J$2,'NW Baseline Energy'!$A$4:$G$43,5,0)</f>
        <v>20321921.610320095</v>
      </c>
      <c r="K4" s="63">
        <f>'NW Baseline Grid Char'!K6*VLOOKUP(K$2,'NW Baseline Energy'!$A$4:$G$43,5,0)</f>
        <v>21042177.969075002</v>
      </c>
      <c r="L4" s="63">
        <f>'NW Baseline Grid Char'!L6*VLOOKUP(L$2,'NW Baseline Energy'!$A$4:$G$43,5,0)</f>
        <v>21863698.072463557</v>
      </c>
      <c r="M4" s="63">
        <f>'NW Baseline Grid Char'!M6*VLOOKUP(M$2,'NW Baseline Energy'!$A$4:$G$43,5,0)</f>
        <v>22708326.657967053</v>
      </c>
      <c r="N4" s="63">
        <f>'NW Baseline Grid Char'!N6*VLOOKUP(N$2,'NW Baseline Energy'!$A$4:$G$43,5,0)</f>
        <v>23576635.994592048</v>
      </c>
      <c r="O4" s="63">
        <f>'NW Baseline Grid Char'!O6*VLOOKUP(O$2,'NW Baseline Energy'!$A$4:$G$43,5,0)</f>
        <v>24469211.587433904</v>
      </c>
      <c r="P4" s="63">
        <f>'NW Baseline Grid Char'!P6*VLOOKUP(P$2,'NW Baseline Energy'!$A$4:$G$43,5,0)</f>
        <v>25386652.471021134</v>
      </c>
      <c r="Q4" s="63">
        <f>'NW Baseline Grid Char'!Q6*VLOOKUP(Q$2,'NW Baseline Energy'!$A$4:$G$43,5,0)</f>
        <v>26329571.508973598</v>
      </c>
      <c r="R4" s="63">
        <f>'NW Baseline Grid Char'!R6*VLOOKUP(R$2,'NW Baseline Energy'!$A$4:$G$43,5,0)</f>
        <v>27298595.700107697</v>
      </c>
      <c r="S4" s="63">
        <f>'NW Baseline Grid Char'!S6*VLOOKUP(S$2,'NW Baseline Energy'!$A$4:$G$43,5,0)</f>
        <v>28294366.491124362</v>
      </c>
      <c r="T4" s="63">
        <f>'NW Baseline Grid Char'!T6*VLOOKUP(T$2,'NW Baseline Energy'!$A$4:$G$43,5,0)</f>
        <v>29317540.096018322</v>
      </c>
      <c r="U4" s="63">
        <f>'NW Baseline Grid Char'!U6*VLOOKUP(U$2,'NW Baseline Energy'!$A$4:$G$43,5,0)</f>
        <v>30322858.477642201</v>
      </c>
      <c r="V4" s="63">
        <f>'NW Baseline Grid Char'!V6*VLOOKUP(V$2,'NW Baseline Energy'!$A$4:$G$43,5,0)</f>
        <v>31353742.867550876</v>
      </c>
      <c r="W4" s="63">
        <f>'NW Baseline Grid Char'!W6*VLOOKUP(W$2,'NW Baseline Energy'!$A$4:$G$43,5,0)</f>
        <v>32410769.587977458</v>
      </c>
      <c r="X4" s="63">
        <f>'NW Baseline Grid Char'!X6*VLOOKUP(X$2,'NW Baseline Energy'!$A$4:$G$43,5,0)</f>
        <v>33494527.127489548</v>
      </c>
      <c r="Y4" s="63">
        <f>'NW Baseline Grid Char'!Y6*VLOOKUP(Y$2,'NW Baseline Energy'!$A$4:$G$43,5,0)</f>
        <v>34605616.387415186</v>
      </c>
      <c r="Z4" s="63">
        <f>'NW Baseline Grid Char'!Z6*VLOOKUP(Z$2,'NW Baseline Energy'!$A$4:$G$43,5,0)</f>
        <v>35744650.933119826</v>
      </c>
      <c r="AA4" s="63">
        <f>'NW Baseline Grid Char'!AA6*VLOOKUP(AA$2,'NW Baseline Energy'!$A$4:$G$43,5,0)</f>
        <v>36912257.250228025</v>
      </c>
      <c r="AB4" s="63">
        <f>'NW Baseline Grid Char'!AB6*VLOOKUP(AB$2,'NW Baseline Energy'!$A$4:$G$43,5,0)</f>
        <v>38109075.005885087</v>
      </c>
      <c r="AC4" s="63">
        <f>'NW Baseline Grid Char'!AC6*VLOOKUP(AC$2,'NW Baseline Energy'!$A$4:$G$43,5,0)</f>
        <v>39335757.315155767</v>
      </c>
      <c r="AD4" s="63">
        <f>'NW Baseline Grid Char'!AD6*VLOOKUP(AD$2,'NW Baseline Energy'!$A$4:$G$43,5,0)</f>
        <v>40592971.012658998</v>
      </c>
      <c r="AE4" s="63">
        <f>'NW Baseline Grid Char'!AE6*VLOOKUP(AE$2,'NW Baseline Energy'!$A$4:$G$43,5,0)</f>
        <v>41881396.929539502</v>
      </c>
      <c r="AF4" s="63">
        <f>'NW Baseline Grid Char'!AF6*VLOOKUP(AF$2,'NW Baseline Energy'!$A$4:$G$43,5,0)</f>
        <v>43201730.175879009</v>
      </c>
      <c r="AG4" s="63">
        <f>'NW Baseline Grid Char'!AG6*VLOOKUP(AG$2,'NW Baseline Energy'!$A$4:$G$43,5,0)</f>
        <v>44554680.428651743</v>
      </c>
      <c r="AH4" s="63">
        <f>'NW Baseline Grid Char'!AH6*VLOOKUP(AH$2,'NW Baseline Energy'!$A$4:$G$43,5,0)</f>
        <v>45940972.225330949</v>
      </c>
      <c r="AI4" s="63">
        <f>'NW Baseline Grid Char'!AI6*VLOOKUP(AI$2,'NW Baseline Energy'!$A$4:$G$43,5,0)</f>
        <v>47361345.26325503</v>
      </c>
      <c r="AJ4" s="63">
        <f>'NW Baseline Grid Char'!AJ6*VLOOKUP(AJ$2,'NW Baseline Energy'!$A$4:$G$43,5,0)</f>
        <v>48816554.704864152</v>
      </c>
      <c r="AK4" s="63">
        <f>'NW Baseline Grid Char'!AK6*VLOOKUP(AK$2,'NW Baseline Energy'!$A$4:$G$43,5,0)</f>
        <v>50307371.488920152</v>
      </c>
      <c r="AL4" s="63">
        <f>'NW Baseline Grid Char'!AL6*VLOOKUP(AL$2,'NW Baseline Energy'!$A$4:$G$43,5,0)</f>
        <v>51834582.647824675</v>
      </c>
      <c r="AM4" s="63">
        <f>'NW Baseline Grid Char'!AM6*VLOOKUP(AM$2,'NW Baseline Energy'!$A$4:$G$43,5,0)</f>
        <v>53398991.631152764</v>
      </c>
      <c r="AN4" s="63">
        <f>'NW Baseline Grid Char'!AN6*VLOOKUP(AN$2,'NW Baseline Energy'!$A$4:$G$43,5,0)</f>
        <v>55001418.635521315</v>
      </c>
      <c r="AO4" s="63">
        <f>'NW Baseline Grid Char'!AO6*VLOOKUP(AO$2,'NW Baseline Energy'!$A$4:$G$43,5,0)</f>
        <v>56642700.940914012</v>
      </c>
    </row>
    <row r="5" spans="1:41">
      <c r="A5" s="63" t="s">
        <v>188</v>
      </c>
      <c r="B5" s="63">
        <f>'NW Baseline Grid Char'!B9*VLOOKUP(B$2,'NW Baseline Energy'!$A$4:$G$43,5,0)</f>
        <v>8997915.9486697055</v>
      </c>
      <c r="C5" s="63">
        <f>'NW Baseline Grid Char'!C9*VLOOKUP(C$2,'NW Baseline Energy'!$A$4:$G$43,5,0)</f>
        <v>8972143.1820987333</v>
      </c>
      <c r="D5" s="63">
        <f>'NW Baseline Grid Char'!D9*VLOOKUP(D$2,'NW Baseline Energy'!$A$4:$G$43,5,0)</f>
        <v>8944908.3407089785</v>
      </c>
      <c r="E5" s="63">
        <f>'NW Baseline Grid Char'!E9*VLOOKUP(E$2,'NW Baseline Energy'!$A$4:$G$43,5,0)</f>
        <v>8916184.3462800235</v>
      </c>
      <c r="F5" s="63">
        <f>'NW Baseline Grid Char'!F9*VLOOKUP(F$2,'NW Baseline Energy'!$A$4:$G$43,5,0)</f>
        <v>8885943.514356086</v>
      </c>
      <c r="G5" s="63">
        <f>'NW Baseline Grid Char'!G9*VLOOKUP(G$2,'NW Baseline Energy'!$A$4:$G$43,5,0)</f>
        <v>8854158.0270824451</v>
      </c>
      <c r="H5" s="63">
        <f>'NW Baseline Grid Char'!H9*VLOOKUP(H$2,'NW Baseline Energy'!$A$4:$G$43,5,0)</f>
        <v>8820799.3776441142</v>
      </c>
      <c r="I5" s="63">
        <f>'NW Baseline Grid Char'!I9*VLOOKUP(I$2,'NW Baseline Energy'!$A$4:$G$43,5,0)</f>
        <v>8785838.9204938877</v>
      </c>
      <c r="J5" s="63">
        <f>'NW Baseline Grid Char'!J9*VLOOKUP(J$2,'NW Baseline Energy'!$A$4:$G$43,5,0)</f>
        <v>8749247.3043724578</v>
      </c>
      <c r="K5" s="63">
        <f>'NW Baseline Grid Char'!K9*VLOOKUP(K$2,'NW Baseline Energy'!$A$4:$G$43,5,0)</f>
        <v>8747688.6578940004</v>
      </c>
      <c r="L5" s="63">
        <f>'NW Baseline Grid Char'!L9*VLOOKUP(L$2,'NW Baseline Energy'!$A$4:$G$43,5,0)</f>
        <v>8778258.0420600139</v>
      </c>
      <c r="M5" s="63">
        <f>'NW Baseline Grid Char'!M9*VLOOKUP(M$2,'NW Baseline Energy'!$A$4:$G$43,5,0)</f>
        <v>8806990.5873457678</v>
      </c>
      <c r="N5" s="63">
        <f>'NW Baseline Grid Char'!N9*VLOOKUP(N$2,'NW Baseline Energy'!$A$4:$G$43,5,0)</f>
        <v>8833808.4224140458</v>
      </c>
      <c r="O5" s="63">
        <f>'NW Baseline Grid Char'!O9*VLOOKUP(O$2,'NW Baseline Energy'!$A$4:$G$43,5,0)</f>
        <v>8858631.1993051562</v>
      </c>
      <c r="P5" s="63">
        <f>'NW Baseline Grid Char'!P9*VLOOKUP(P$2,'NW Baseline Energy'!$A$4:$G$43,5,0)</f>
        <v>8881376.5756197348</v>
      </c>
      <c r="Q5" s="63">
        <f>'NW Baseline Grid Char'!Q9*VLOOKUP(Q$2,'NW Baseline Energy'!$A$4:$G$43,5,0)</f>
        <v>8901959.5341812987</v>
      </c>
      <c r="R5" s="63">
        <f>'NW Baseline Grid Char'!R9*VLOOKUP(R$2,'NW Baseline Energy'!$A$4:$G$43,5,0)</f>
        <v>8920292.9582933877</v>
      </c>
      <c r="S5" s="63">
        <f>'NW Baseline Grid Char'!S9*VLOOKUP(S$2,'NW Baseline Energy'!$A$4:$G$43,5,0)</f>
        <v>8936286.9255638942</v>
      </c>
      <c r="T5" s="63">
        <f>'NW Baseline Grid Char'!T9*VLOOKUP(T$2,'NW Baseline Energy'!$A$4:$G$43,5,0)</f>
        <v>8949849.3039461561</v>
      </c>
      <c r="U5" s="63">
        <f>'NW Baseline Grid Char'!U9*VLOOKUP(U$2,'NW Baseline Energy'!$A$4:$G$43,5,0)</f>
        <v>8947332.6972184796</v>
      </c>
      <c r="V5" s="63">
        <f>'NW Baseline Grid Char'!V9*VLOOKUP(V$2,'NW Baseline Energy'!$A$4:$G$43,5,0)</f>
        <v>8942187.0993888509</v>
      </c>
      <c r="W5" s="63">
        <f>'NW Baseline Grid Char'!W9*VLOOKUP(W$2,'NW Baseline Energy'!$A$4:$G$43,5,0)</f>
        <v>8934324.3944726512</v>
      </c>
      <c r="X5" s="63">
        <f>'NW Baseline Grid Char'!X9*VLOOKUP(X$2,'NW Baseline Energy'!$A$4:$G$43,5,0)</f>
        <v>8923654.5123737808</v>
      </c>
      <c r="Y5" s="63">
        <f>'NW Baseline Grid Char'!Y9*VLOOKUP(Y$2,'NW Baseline Energy'!$A$4:$G$43,5,0)</f>
        <v>8910085.1212321799</v>
      </c>
      <c r="Z5" s="63">
        <f>'NW Baseline Grid Char'!Z9*VLOOKUP(Z$2,'NW Baseline Energy'!$A$4:$G$43,5,0)</f>
        <v>8893521.2914947793</v>
      </c>
      <c r="AA5" s="63">
        <f>'NW Baseline Grid Char'!AA9*VLOOKUP(AA$2,'NW Baseline Energy'!$A$4:$G$43,5,0)</f>
        <v>8873866.0972392969</v>
      </c>
      <c r="AB5" s="63">
        <f>'NW Baseline Grid Char'!AB9*VLOOKUP(AB$2,'NW Baseline Energy'!$A$4:$G$43,5,0)</f>
        <v>8851019.8084580041</v>
      </c>
      <c r="AC5" s="63">
        <f>'NW Baseline Grid Char'!AC9*VLOOKUP(AC$2,'NW Baseline Energy'!$A$4:$G$43,5,0)</f>
        <v>8824880.604376398</v>
      </c>
      <c r="AD5" s="63">
        <f>'NW Baseline Grid Char'!AD9*VLOOKUP(AD$2,'NW Baseline Energy'!$A$4:$G$43,5,0)</f>
        <v>8795343.7378234304</v>
      </c>
      <c r="AE5" s="63">
        <f>'NW Baseline Grid Char'!AE9*VLOOKUP(AE$2,'NW Baseline Energy'!$A$4:$G$43,5,0)</f>
        <v>8762302.2723522056</v>
      </c>
      <c r="AF5" s="63">
        <f>'NW Baseline Grid Char'!AF9*VLOOKUP(AF$2,'NW Baseline Energy'!$A$4:$G$43,5,0)</f>
        <v>8725646.2177322861</v>
      </c>
      <c r="AG5" s="63">
        <f>'NW Baseline Grid Char'!AG9*VLOOKUP(AG$2,'NW Baseline Energy'!$A$4:$G$43,5,0)</f>
        <v>8685263.1847422644</v>
      </c>
      <c r="AH5" s="63">
        <f>'NW Baseline Grid Char'!AH9*VLOOKUP(AH$2,'NW Baseline Energy'!$A$4:$G$43,5,0)</f>
        <v>8641038.0254067555</v>
      </c>
      <c r="AI5" s="63">
        <f>'NW Baseline Grid Char'!AI9*VLOOKUP(AI$2,'NW Baseline Energy'!$A$4:$G$43,5,0)</f>
        <v>8592852.4403287247</v>
      </c>
      <c r="AJ5" s="63">
        <f>'NW Baseline Grid Char'!AJ9*VLOOKUP(AJ$2,'NW Baseline Energy'!$A$4:$G$43,5,0)</f>
        <v>8540585.6754391436</v>
      </c>
      <c r="AK5" s="63">
        <f>'NW Baseline Grid Char'!AK9*VLOOKUP(AK$2,'NW Baseline Energy'!$A$4:$G$43,5,0)</f>
        <v>8484113.5808537975</v>
      </c>
      <c r="AL5" s="63">
        <f>'NW Baseline Grid Char'!AL9*VLOOKUP(AL$2,'NW Baseline Energy'!$A$4:$G$43,5,0)</f>
        <v>8423309.4377291463</v>
      </c>
      <c r="AM5" s="63">
        <f>'NW Baseline Grid Char'!AM9*VLOOKUP(AM$2,'NW Baseline Energy'!$A$4:$G$43,5,0)</f>
        <v>8358042.9845958045</v>
      </c>
      <c r="AN5" s="63">
        <f>'NW Baseline Grid Char'!AN9*VLOOKUP(AN$2,'NW Baseline Energy'!$A$4:$G$43,5,0)</f>
        <v>8288181.2718034824</v>
      </c>
      <c r="AO5" s="63">
        <f>'NW Baseline Grid Char'!AO9*VLOOKUP(AO$2,'NW Baseline Energy'!$A$4:$G$43,5,0)</f>
        <v>8213587.6542075127</v>
      </c>
    </row>
    <row r="6" spans="1:41">
      <c r="A6" s="63" t="s">
        <v>191</v>
      </c>
      <c r="B6" s="63">
        <f>'NW Baseline Grid Char'!B12*VLOOKUP(B$2,'NW Baseline Energy'!$A$4:$G$43,5,0)</f>
        <v>2292935.7753031412</v>
      </c>
      <c r="C6" s="63">
        <f>'NW Baseline Grid Char'!C12*VLOOKUP(C$2,'NW Baseline Energy'!$A$4:$G$43,5,0)</f>
        <v>2283432.8895530147</v>
      </c>
      <c r="D6" s="63">
        <f>'NW Baseline Grid Char'!D12*VLOOKUP(D$2,'NW Baseline Energy'!$A$4:$G$43,5,0)</f>
        <v>2273497.5411116728</v>
      </c>
      <c r="E6" s="63">
        <f>'NW Baseline Grid Char'!E12*VLOOKUP(E$2,'NW Baseline Energy'!$A$4:$G$43,5,0)</f>
        <v>2263121.895943203</v>
      </c>
      <c r="F6" s="63">
        <f>'NW Baseline Grid Char'!F12*VLOOKUP(F$2,'NW Baseline Energy'!$A$4:$G$43,5,0)</f>
        <v>2252298.0051859096</v>
      </c>
      <c r="G6" s="63">
        <f>'NW Baseline Grid Char'!G12*VLOOKUP(G$2,'NW Baseline Energy'!$A$4:$G$43,5,0)</f>
        <v>2241017.7338091116</v>
      </c>
      <c r="H6" s="63">
        <f>'NW Baseline Grid Char'!H12*VLOOKUP(H$2,'NW Baseline Energy'!$A$4:$G$43,5,0)</f>
        <v>2229273.0376173593</v>
      </c>
      <c r="I6" s="63">
        <f>'NW Baseline Grid Char'!I12*VLOOKUP(I$2,'NW Baseline Energy'!$A$4:$G$43,5,0)</f>
        <v>2217055.5449190093</v>
      </c>
      <c r="J6" s="63">
        <f>'NW Baseline Grid Char'!J12*VLOOKUP(J$2,'NW Baseline Energy'!$A$4:$G$43,5,0)</f>
        <v>2204356.8320814311</v>
      </c>
      <c r="K6" s="63">
        <f>'NW Baseline Grid Char'!K12*VLOOKUP(K$2,'NW Baseline Energy'!$A$4:$G$43,5,0)</f>
        <v>2200398.286659</v>
      </c>
      <c r="L6" s="63">
        <f>'NW Baseline Grid Char'!L12*VLOOKUP(L$2,'NW Baseline Energy'!$A$4:$G$43,5,0)</f>
        <v>2204403.130482608</v>
      </c>
      <c r="M6" s="63">
        <f>'NW Baseline Grid Char'!M12*VLOOKUP(M$2,'NW Baseline Energy'!$A$4:$G$43,5,0)</f>
        <v>2207810.336821436</v>
      </c>
      <c r="N6" s="63">
        <f>'NW Baseline Grid Char'!N12*VLOOKUP(N$2,'NW Baseline Energy'!$A$4:$G$43,5,0)</f>
        <v>2210596.5558364294</v>
      </c>
      <c r="O6" s="63">
        <f>'NW Baseline Grid Char'!O12*VLOOKUP(O$2,'NW Baseline Energy'!$A$4:$G$43,5,0)</f>
        <v>2212737.7807340464</v>
      </c>
      <c r="P6" s="63">
        <f>'NW Baseline Grid Char'!P12*VLOOKUP(P$2,'NW Baseline Energy'!$A$4:$G$43,5,0)</f>
        <v>2214209.2515113577</v>
      </c>
      <c r="Q6" s="63">
        <f>'NW Baseline Grid Char'!Q12*VLOOKUP(Q$2,'NW Baseline Energy'!$A$4:$G$43,5,0)</f>
        <v>2214985.756773001</v>
      </c>
      <c r="R6" s="63">
        <f>'NW Baseline Grid Char'!R12*VLOOKUP(R$2,'NW Baseline Energy'!$A$4:$G$43,5,0)</f>
        <v>2215041.1411834443</v>
      </c>
      <c r="S6" s="63">
        <f>'NW Baseline Grid Char'!S12*VLOOKUP(S$2,'NW Baseline Energy'!$A$4:$G$43,5,0)</f>
        <v>2214348.6036161734</v>
      </c>
      <c r="T6" s="63">
        <f>'NW Baseline Grid Char'!T12*VLOOKUP(T$2,'NW Baseline Energy'!$A$4:$G$43,5,0)</f>
        <v>2212880.6007877556</v>
      </c>
      <c r="U6" s="63">
        <f>'NW Baseline Grid Char'!U12*VLOOKUP(U$2,'NW Baseline Energy'!$A$4:$G$43,5,0)</f>
        <v>2207265.5340712802</v>
      </c>
      <c r="V6" s="63">
        <f>'NW Baseline Grid Char'!V12*VLOOKUP(V$2,'NW Baseline Energy'!$A$4:$G$43,5,0)</f>
        <v>2200832.0557185239</v>
      </c>
      <c r="W6" s="63">
        <f>'NW Baseline Grid Char'!W12*VLOOKUP(W$2,'NW Baseline Energy'!$A$4:$G$43,5,0)</f>
        <v>2193554.1643676208</v>
      </c>
      <c r="X6" s="63">
        <f>'NW Baseline Grid Char'!X12*VLOOKUP(X$2,'NW Baseline Energy'!$A$4:$G$43,5,0)</f>
        <v>2185405.2145210509</v>
      </c>
      <c r="Y6" s="63">
        <f>'NW Baseline Grid Char'!Y12*VLOOKUP(Y$2,'NW Baseline Energy'!$A$4:$G$43,5,0)</f>
        <v>2176357.8086790894</v>
      </c>
      <c r="Z6" s="63">
        <f>'NW Baseline Grid Char'!Z12*VLOOKUP(Z$2,'NW Baseline Energy'!$A$4:$G$43,5,0)</f>
        <v>2166384.1552823242</v>
      </c>
      <c r="AA6" s="63">
        <f>'NW Baseline Grid Char'!AA12*VLOOKUP(AA$2,'NW Baseline Energy'!$A$4:$G$43,5,0)</f>
        <v>2155455.4972573007</v>
      </c>
      <c r="AB6" s="63">
        <f>'NW Baseline Grid Char'!AB12*VLOOKUP(AB$2,'NW Baseline Energy'!$A$4:$G$43,5,0)</f>
        <v>2143542.4662391855</v>
      </c>
      <c r="AC6" s="63">
        <f>'NW Baseline Grid Char'!AC12*VLOOKUP(AC$2,'NW Baseline Energy'!$A$4:$G$43,5,0)</f>
        <v>2130614.9750190563</v>
      </c>
      <c r="AD6" s="63">
        <f>'NW Baseline Grid Char'!AD12*VLOOKUP(AD$2,'NW Baseline Energy'!$A$4:$G$43,5,0)</f>
        <v>2116642.2016525078</v>
      </c>
      <c r="AE6" s="63">
        <f>'NW Baseline Grid Char'!AE12*VLOOKUP(AE$2,'NW Baseline Energy'!$A$4:$G$43,5,0)</f>
        <v>2101592.573236749</v>
      </c>
      <c r="AF6" s="63">
        <f>'NW Baseline Grid Char'!AF12*VLOOKUP(AF$2,'NW Baseline Energy'!$A$4:$G$43,5,0)</f>
        <v>2085433.7493495082</v>
      </c>
      <c r="AG6" s="63">
        <f>'NW Baseline Grid Char'!AG12*VLOOKUP(AG$2,'NW Baseline Energy'!$A$4:$G$43,5,0)</f>
        <v>2068132.6051429594</v>
      </c>
      <c r="AH6" s="63">
        <f>'NW Baseline Grid Char'!AH12*VLOOKUP(AH$2,'NW Baseline Energy'!$A$4:$G$43,5,0)</f>
        <v>2049655.105358904</v>
      </c>
      <c r="AI6" s="63">
        <f>'NW Baseline Grid Char'!AI12*VLOOKUP(AI$2,'NW Baseline Energy'!$A$4:$G$43,5,0)</f>
        <v>2029966.719786057</v>
      </c>
      <c r="AJ6" s="63">
        <f>'NW Baseline Grid Char'!AJ12*VLOOKUP(AJ$2,'NW Baseline Energy'!$A$4:$G$43,5,0)</f>
        <v>2009031.7583844867</v>
      </c>
      <c r="AK6" s="63">
        <f>'NW Baseline Grid Char'!AK12*VLOOKUP(AK$2,'NW Baseline Energy'!$A$4:$G$43,5,0)</f>
        <v>1986813.7823981729</v>
      </c>
      <c r="AL6" s="63">
        <f>'NW Baseline Grid Char'!AL12*VLOOKUP(AL$2,'NW Baseline Energy'!$A$4:$G$43,5,0)</f>
        <v>1963275.4786933656</v>
      </c>
      <c r="AM6" s="63">
        <f>'NW Baseline Grid Char'!AM12*VLOOKUP(AM$2,'NW Baseline Energy'!$A$4:$G$43,5,0)</f>
        <v>1938378.6406323977</v>
      </c>
      <c r="AN6" s="63">
        <f>'NW Baseline Grid Char'!AN12*VLOOKUP(AN$2,'NW Baseline Energy'!$A$4:$G$43,5,0)</f>
        <v>1912084.1485511099</v>
      </c>
      <c r="AO6" s="63">
        <f>'NW Baseline Grid Char'!AO12*VLOOKUP(AO$2,'NW Baseline Energy'!$A$4:$G$43,5,0)</f>
        <v>1884351.9498319568</v>
      </c>
    </row>
    <row r="7" spans="1:41">
      <c r="A7" s="63" t="s">
        <v>194</v>
      </c>
      <c r="B7" s="63">
        <f>'NW Baseline Grid Char'!B15*VLOOKUP(B$2,'NW Baseline Energy'!$A$4:$G$43,5,0)</f>
        <v>20834767.919033233</v>
      </c>
      <c r="C7" s="63">
        <f>'NW Baseline Grid Char'!C15*VLOOKUP(C$2,'NW Baseline Energy'!$A$4:$G$43,5,0)</f>
        <v>20860087.636503767</v>
      </c>
      <c r="D7" s="63">
        <f>'NW Baseline Grid Char'!D15*VLOOKUP(D$2,'NW Baseline Energy'!$A$4:$G$43,5,0)</f>
        <v>20883755.960686795</v>
      </c>
      <c r="E7" s="63">
        <f>'NW Baseline Grid Char'!E15*VLOOKUP(E$2,'NW Baseline Energy'!$A$4:$G$43,5,0)</f>
        <v>20905736.566179626</v>
      </c>
      <c r="F7" s="63">
        <f>'NW Baseline Grid Char'!F15*VLOOKUP(F$2,'NW Baseline Energy'!$A$4:$G$43,5,0)</f>
        <v>20925992.558324579</v>
      </c>
      <c r="G7" s="63">
        <f>'NW Baseline Grid Char'!G15*VLOOKUP(G$2,'NW Baseline Energy'!$A$4:$G$43,5,0)</f>
        <v>20944486.395559467</v>
      </c>
      <c r="H7" s="63">
        <f>'NW Baseline Grid Char'!H15*VLOOKUP(H$2,'NW Baseline Energy'!$A$4:$G$43,5,0)</f>
        <v>20961180.160034087</v>
      </c>
      <c r="I7" s="63">
        <f>'NW Baseline Grid Char'!I15*VLOOKUP(I$2,'NW Baseline Energy'!$A$4:$G$43,5,0)</f>
        <v>20976035.132808696</v>
      </c>
      <c r="J7" s="63">
        <f>'NW Baseline Grid Char'!J15*VLOOKUP(J$2,'NW Baseline Energy'!$A$4:$G$43,5,0)</f>
        <v>20989012.062855728</v>
      </c>
      <c r="K7" s="63">
        <f>'NW Baseline Grid Char'!K15*VLOOKUP(K$2,'NW Baseline Energy'!$A$4:$G$43,5,0)</f>
        <v>21088530.338695202</v>
      </c>
      <c r="L7" s="63">
        <f>'NW Baseline Grid Char'!L15*VLOOKUP(L$2,'NW Baseline Energy'!$A$4:$G$43,5,0)</f>
        <v>21268922.436036147</v>
      </c>
      <c r="M7" s="63">
        <f>'NW Baseline Grid Char'!M15*VLOOKUP(M$2,'NW Baseline Energy'!$A$4:$G$43,5,0)</f>
        <v>21448812.95145053</v>
      </c>
      <c r="N7" s="63">
        <f>'NW Baseline Grid Char'!N15*VLOOKUP(N$2,'NW Baseline Energy'!$A$4:$G$43,5,0)</f>
        <v>21628122.348054405</v>
      </c>
      <c r="O7" s="63">
        <f>'NW Baseline Grid Char'!O15*VLOOKUP(O$2,'NW Baseline Energy'!$A$4:$G$43,5,0)</f>
        <v>21806768.253189009</v>
      </c>
      <c r="P7" s="63">
        <f>'NW Baseline Grid Char'!P15*VLOOKUP(P$2,'NW Baseline Energy'!$A$4:$G$43,5,0)</f>
        <v>21984665.696590912</v>
      </c>
      <c r="Q7" s="63">
        <f>'NW Baseline Grid Char'!Q15*VLOOKUP(Q$2,'NW Baseline Energy'!$A$4:$G$43,5,0)</f>
        <v>22161726.567118339</v>
      </c>
      <c r="R7" s="63">
        <f>'NW Baseline Grid Char'!R15*VLOOKUP(R$2,'NW Baseline Energy'!$A$4:$G$43,5,0)</f>
        <v>22337859.844423059</v>
      </c>
      <c r="S7" s="63">
        <f>'NW Baseline Grid Char'!S15*VLOOKUP(S$2,'NW Baseline Energy'!$A$4:$G$43,5,0)</f>
        <v>22512971.357255779</v>
      </c>
      <c r="T7" s="63">
        <f>'NW Baseline Grid Char'!T15*VLOOKUP(T$2,'NW Baseline Energy'!$A$4:$G$43,5,0)</f>
        <v>22686964.037805405</v>
      </c>
      <c r="U7" s="63">
        <f>'NW Baseline Grid Char'!U15*VLOOKUP(U$2,'NW Baseline Energy'!$A$4:$G$43,5,0)</f>
        <v>22825164.577309202</v>
      </c>
      <c r="V7" s="63">
        <f>'NW Baseline Grid Char'!V15*VLOOKUP(V$2,'NW Baseline Energy'!$A$4:$G$43,5,0)</f>
        <v>22961576.029530216</v>
      </c>
      <c r="W7" s="63">
        <f>'NW Baseline Grid Char'!W15*VLOOKUP(W$2,'NW Baseline Energy'!$A$4:$G$43,5,0)</f>
        <v>23096098.777869564</v>
      </c>
      <c r="X7" s="63">
        <f>'NW Baseline Grid Char'!X15*VLOOKUP(X$2,'NW Baseline Energy'!$A$4:$G$43,5,0)</f>
        <v>23228630.263172388</v>
      </c>
      <c r="Y7" s="63">
        <f>'NW Baseline Grid Char'!Y15*VLOOKUP(Y$2,'NW Baseline Energy'!$A$4:$G$43,5,0)</f>
        <v>23359065.282316949</v>
      </c>
      <c r="Z7" s="63">
        <f>'NW Baseline Grid Char'!Z15*VLOOKUP(Z$2,'NW Baseline Energy'!$A$4:$G$43,5,0)</f>
        <v>23487295.371641908</v>
      </c>
      <c r="AA7" s="63">
        <f>'NW Baseline Grid Char'!AA15*VLOOKUP(AA$2,'NW Baseline Energy'!$A$4:$G$43,5,0)</f>
        <v>23613209.09950266</v>
      </c>
      <c r="AB7" s="63">
        <f>'NW Baseline Grid Char'!AB15*VLOOKUP(AB$2,'NW Baseline Energy'!$A$4:$G$43,5,0)</f>
        <v>23736691.805135779</v>
      </c>
      <c r="AC7" s="63">
        <f>'NW Baseline Grid Char'!AC15*VLOOKUP(AC$2,'NW Baseline Energy'!$A$4:$G$43,5,0)</f>
        <v>23857625.91650049</v>
      </c>
      <c r="AD7" s="63">
        <f>'NW Baseline Grid Char'!AD15*VLOOKUP(AD$2,'NW Baseline Energy'!$A$4:$G$43,5,0)</f>
        <v>23975890.289635986</v>
      </c>
      <c r="AE7" s="63">
        <f>'NW Baseline Grid Char'!AE15*VLOOKUP(AE$2,'NW Baseline Energy'!$A$4:$G$43,5,0)</f>
        <v>24091360.520005364</v>
      </c>
      <c r="AF7" s="63">
        <f>'NW Baseline Grid Char'!AF15*VLOOKUP(AF$2,'NW Baseline Energy'!$A$4:$G$43,5,0)</f>
        <v>24203908.661826067</v>
      </c>
      <c r="AG7" s="63">
        <f>'NW Baseline Grid Char'!AG15*VLOOKUP(AG$2,'NW Baseline Energy'!$A$4:$G$43,5,0)</f>
        <v>24313403.566398554</v>
      </c>
      <c r="AH7" s="63">
        <f>'NW Baseline Grid Char'!AH15*VLOOKUP(AH$2,'NW Baseline Energy'!$A$4:$G$43,5,0)</f>
        <v>24419710.174247112</v>
      </c>
      <c r="AI7" s="63">
        <f>'NW Baseline Grid Char'!AI15*VLOOKUP(AI$2,'NW Baseline Energy'!$A$4:$G$43,5,0)</f>
        <v>24522689.846450567</v>
      </c>
      <c r="AJ7" s="63">
        <f>'NW Baseline Grid Char'!AJ15*VLOOKUP(AJ$2,'NW Baseline Energy'!$A$4:$G$43,5,0)</f>
        <v>24622200.062985964</v>
      </c>
      <c r="AK7" s="63">
        <f>'NW Baseline Grid Char'!AK15*VLOOKUP(AK$2,'NW Baseline Energy'!$A$4:$G$43,5,0)</f>
        <v>24718094.782857876</v>
      </c>
      <c r="AL7" s="63">
        <f>'NW Baseline Grid Char'!AL15*VLOOKUP(AL$2,'NW Baseline Energy'!$A$4:$G$43,5,0)</f>
        <v>24810223.685651563</v>
      </c>
      <c r="AM7" s="63">
        <f>'NW Baseline Grid Char'!AM15*VLOOKUP(AM$2,'NW Baseline Energy'!$A$4:$G$43,5,0)</f>
        <v>24898432.524125922</v>
      </c>
      <c r="AN7" s="63">
        <f>'NW Baseline Grid Char'!AN15*VLOOKUP(AN$2,'NW Baseline Energy'!$A$4:$G$43,5,0)</f>
        <v>24982562.920210019</v>
      </c>
      <c r="AO7" s="63">
        <f>'NW Baseline Grid Char'!AO15*VLOOKUP(AO$2,'NW Baseline Energy'!$A$4:$G$43,5,0)</f>
        <v>25062452.147329602</v>
      </c>
    </row>
    <row r="8" spans="1:41">
      <c r="A8" s="63" t="s">
        <v>197</v>
      </c>
      <c r="B8" s="63">
        <f>'NW Baseline Grid Char'!B18*VLOOKUP(B$2,'NW Baseline Energy'!$A$4:$G$43,5,0)</f>
        <v>17117355.046416089</v>
      </c>
      <c r="C8" s="63">
        <f>'NW Baseline Grid Char'!C18*VLOOKUP(C$2,'NW Baseline Energy'!$A$4:$G$43,5,0)</f>
        <v>17235290.288918871</v>
      </c>
      <c r="D8" s="63">
        <f>'NW Baseline Grid Char'!D18*VLOOKUP(D$2,'NW Baseline Energy'!$A$4:$G$43,5,0)</f>
        <v>17353850.440147415</v>
      </c>
      <c r="E8" s="63">
        <f>'NW Baseline Grid Char'!E18*VLOOKUP(E$2,'NW Baseline Energy'!$A$4:$G$43,5,0)</f>
        <v>17473035.977434885</v>
      </c>
      <c r="F8" s="63">
        <f>'NW Baseline Grid Char'!F18*VLOOKUP(F$2,'NW Baseline Energy'!$A$4:$G$43,5,0)</f>
        <v>17592847.322828114</v>
      </c>
      <c r="G8" s="63">
        <f>'NW Baseline Grid Char'!G18*VLOOKUP(G$2,'NW Baseline Energy'!$A$4:$G$43,5,0)</f>
        <v>17713284.841910087</v>
      </c>
      <c r="H8" s="63">
        <f>'NW Baseline Grid Char'!H18*VLOOKUP(H$2,'NW Baseline Energy'!$A$4:$G$43,5,0)</f>
        <v>17834348.842604011</v>
      </c>
      <c r="I8" s="63">
        <f>'NW Baseline Grid Char'!I18*VLOOKUP(I$2,'NW Baseline Energy'!$A$4:$G$43,5,0)</f>
        <v>17956039.573959008</v>
      </c>
      <c r="J8" s="63">
        <f>'NW Baseline Grid Char'!J18*VLOOKUP(J$2,'NW Baseline Energy'!$A$4:$G$43,5,0)</f>
        <v>18078357.224916887</v>
      </c>
      <c r="K8" s="63">
        <f>'NW Baseline Grid Char'!K18*VLOOKUP(K$2,'NW Baseline Energy'!$A$4:$G$43,5,0)</f>
        <v>18277971.820391402</v>
      </c>
      <c r="L8" s="63">
        <f>'NW Baseline Grid Char'!L18*VLOOKUP(L$2,'NW Baseline Energy'!$A$4:$G$43,5,0)</f>
        <v>18551436.620124884</v>
      </c>
      <c r="M8" s="63">
        <f>'NW Baseline Grid Char'!M18*VLOOKUP(M$2,'NW Baseline Energy'!$A$4:$G$43,5,0)</f>
        <v>18828776.65011159</v>
      </c>
      <c r="N8" s="63">
        <f>'NW Baseline Grid Char'!N18*VLOOKUP(N$2,'NW Baseline Energy'!$A$4:$G$43,5,0)</f>
        <v>19110041.933032196</v>
      </c>
      <c r="O8" s="63">
        <f>'NW Baseline Grid Char'!O18*VLOOKUP(O$2,'NW Baseline Energy'!$A$4:$G$43,5,0)</f>
        <v>19395283.020375531</v>
      </c>
      <c r="P8" s="63">
        <f>'NW Baseline Grid Char'!P18*VLOOKUP(P$2,'NW Baseline Energy'!$A$4:$G$43,5,0)</f>
        <v>19684550.994962543</v>
      </c>
      <c r="Q8" s="63">
        <f>'NW Baseline Grid Char'!Q18*VLOOKUP(Q$2,'NW Baseline Energy'!$A$4:$G$43,5,0)</f>
        <v>19977897.473384075</v>
      </c>
      <c r="R8" s="63">
        <f>'NW Baseline Grid Char'!R18*VLOOKUP(R$2,'NW Baseline Energy'!$A$4:$G$43,5,0)</f>
        <v>20275374.608348414</v>
      </c>
      <c r="S8" s="63">
        <f>'NW Baseline Grid Char'!S18*VLOOKUP(S$2,'NW Baseline Energy'!$A$4:$G$43,5,0)</f>
        <v>20577035.090934601</v>
      </c>
      <c r="T8" s="63">
        <f>'NW Baseline Grid Char'!T18*VLOOKUP(T$2,'NW Baseline Energy'!$A$4:$G$43,5,0)</f>
        <v>20882932.152747035</v>
      </c>
      <c r="U8" s="63">
        <f>'NW Baseline Grid Char'!U18*VLOOKUP(U$2,'NW Baseline Energy'!$A$4:$G$43,5,0)</f>
        <v>21161067.29256456</v>
      </c>
      <c r="V8" s="63">
        <f>'NW Baseline Grid Char'!V18*VLOOKUP(V$2,'NW Baseline Energy'!$A$4:$G$43,5,0)</f>
        <v>21442644.997068066</v>
      </c>
      <c r="W8" s="63">
        <f>'NW Baseline Grid Char'!W18*VLOOKUP(W$2,'NW Baseline Energy'!$A$4:$G$43,5,0)</f>
        <v>21727702.196860213</v>
      </c>
      <c r="X8" s="63">
        <f>'NW Baseline Grid Char'!X18*VLOOKUP(X$2,'NW Baseline Energy'!$A$4:$G$43,5,0)</f>
        <v>22016276.178203493</v>
      </c>
      <c r="Y8" s="63">
        <f>'NW Baseline Grid Char'!Y18*VLOOKUP(Y$2,'NW Baseline Energy'!$A$4:$G$43,5,0)</f>
        <v>22308404.495553803</v>
      </c>
      <c r="Z8" s="63">
        <f>'NW Baseline Grid Char'!Z18*VLOOKUP(Z$2,'NW Baseline Energy'!$A$4:$G$43,5,0)</f>
        <v>22604124.970004596</v>
      </c>
      <c r="AA8" s="63">
        <f>'NW Baseline Grid Char'!AA18*VLOOKUP(AA$2,'NW Baseline Energy'!$A$4:$G$43,5,0)</f>
        <v>22903475.687602367</v>
      </c>
      <c r="AB8" s="63">
        <f>'NW Baseline Grid Char'!AB18*VLOOKUP(AB$2,'NW Baseline Energy'!$A$4:$G$43,5,0)</f>
        <v>23206494.997529514</v>
      </c>
      <c r="AC8" s="63">
        <f>'NW Baseline Grid Char'!AC18*VLOOKUP(AC$2,'NW Baseline Energy'!$A$4:$G$43,5,0)</f>
        <v>23513221.51015063</v>
      </c>
      <c r="AD8" s="63">
        <f>'NW Baseline Grid Char'!AD18*VLOOKUP(AD$2,'NW Baseline Energy'!$A$4:$G$43,5,0)</f>
        <v>23823694.094918061</v>
      </c>
      <c r="AE8" s="63">
        <f>'NW Baseline Grid Char'!AE18*VLOOKUP(AE$2,'NW Baseline Energy'!$A$4:$G$43,5,0)</f>
        <v>24137951.77472499</v>
      </c>
      <c r="AF8" s="63">
        <f>'NW Baseline Grid Char'!AF18*VLOOKUP(AF$2,'NW Baseline Energy'!$A$4:$G$43,5,0)</f>
        <v>24456034.135404125</v>
      </c>
      <c r="AG8" s="63">
        <f>'NW Baseline Grid Char'!AG18*VLOOKUP(AG$2,'NW Baseline Energy'!$A$4:$G$43,5,0)</f>
        <v>24777980.707940824</v>
      </c>
      <c r="AH8" s="63">
        <f>'NW Baseline Grid Char'!AH18*VLOOKUP(AH$2,'NW Baseline Energy'!$A$4:$G$43,5,0)</f>
        <v>25103831.374231488</v>
      </c>
      <c r="AI8" s="63">
        <f>'NW Baseline Grid Char'!AI18*VLOOKUP(AI$2,'NW Baseline Energy'!$A$4:$G$43,5,0)</f>
        <v>25433626.262527782</v>
      </c>
      <c r="AJ8" s="63">
        <f>'NW Baseline Grid Char'!AJ18*VLOOKUP(AJ$2,'NW Baseline Energy'!$A$4:$G$43,5,0)</f>
        <v>25767405.744406503</v>
      </c>
      <c r="AK8" s="63">
        <f>'NW Baseline Grid Char'!AK18*VLOOKUP(AK$2,'NW Baseline Energy'!$A$4:$G$43,5,0)</f>
        <v>26105210.431567308</v>
      </c>
      <c r="AL8" s="63">
        <f>'NW Baseline Grid Char'!AL18*VLOOKUP(AL$2,'NW Baseline Energy'!$A$4:$G$43,5,0)</f>
        <v>26447081.172453213</v>
      </c>
      <c r="AM8" s="63">
        <f>'NW Baseline Grid Char'!AM18*VLOOKUP(AM$2,'NW Baseline Energy'!$A$4:$G$43,5,0)</f>
        <v>26793059.048688937</v>
      </c>
      <c r="AN8" s="63">
        <f>'NW Baseline Grid Char'!AN18*VLOOKUP(AN$2,'NW Baseline Energy'!$A$4:$G$43,5,0)</f>
        <v>27143185.371331774</v>
      </c>
      <c r="AO8" s="63">
        <f>'NW Baseline Grid Char'!AO18*VLOOKUP(AO$2,'NW Baseline Energy'!$A$4:$G$43,5,0)</f>
        <v>27497501.676929846</v>
      </c>
    </row>
    <row r="9" spans="1:41">
      <c r="A9" s="63" t="s">
        <v>200</v>
      </c>
      <c r="B9" s="63">
        <f>'NW Baseline Grid Char'!B21*VLOOKUP(B$2,'NW Baseline Energy'!$A$4:$G$43,5,0)</f>
        <v>0</v>
      </c>
      <c r="C9" s="63">
        <f>'NW Baseline Grid Char'!C21*VLOOKUP(C$2,'NW Baseline Energy'!$A$4:$G$43,5,0)</f>
        <v>0</v>
      </c>
      <c r="D9" s="63">
        <f>'NW Baseline Grid Char'!D21*VLOOKUP(D$2,'NW Baseline Energy'!$A$4:$G$43,5,0)</f>
        <v>0</v>
      </c>
      <c r="E9" s="63">
        <f>'NW Baseline Grid Char'!E21*VLOOKUP(E$2,'NW Baseline Energy'!$A$4:$G$43,5,0)</f>
        <v>0</v>
      </c>
      <c r="F9" s="63">
        <f>'NW Baseline Grid Char'!F21*VLOOKUP(F$2,'NW Baseline Energy'!$A$4:$G$43,5,0)</f>
        <v>0</v>
      </c>
      <c r="G9" s="63">
        <f>'NW Baseline Grid Char'!G21*VLOOKUP(G$2,'NW Baseline Energy'!$A$4:$G$43,5,0)</f>
        <v>0</v>
      </c>
      <c r="H9" s="63">
        <f>'NW Baseline Grid Char'!H21*VLOOKUP(H$2,'NW Baseline Energy'!$A$4:$G$43,5,0)</f>
        <v>0</v>
      </c>
      <c r="I9" s="63">
        <f>'NW Baseline Grid Char'!I21*VLOOKUP(I$2,'NW Baseline Energy'!$A$4:$G$43,5,0)</f>
        <v>0</v>
      </c>
      <c r="J9" s="63">
        <f>'NW Baseline Grid Char'!J21*VLOOKUP(J$2,'NW Baseline Energy'!$A$4:$G$43,5,0)</f>
        <v>0</v>
      </c>
      <c r="K9" s="63">
        <f>'NW Baseline Grid Char'!K21*VLOOKUP(K$2,'NW Baseline Energy'!$A$4:$G$43,5,0)</f>
        <v>0</v>
      </c>
      <c r="L9" s="63">
        <f>'NW Baseline Grid Char'!L21*VLOOKUP(L$2,'NW Baseline Energy'!$A$4:$G$43,5,0)</f>
        <v>0</v>
      </c>
      <c r="M9" s="63">
        <f>'NW Baseline Grid Char'!M21*VLOOKUP(M$2,'NW Baseline Energy'!$A$4:$G$43,5,0)</f>
        <v>0</v>
      </c>
      <c r="N9" s="63">
        <f>'NW Baseline Grid Char'!N21*VLOOKUP(N$2,'NW Baseline Energy'!$A$4:$G$43,5,0)</f>
        <v>0</v>
      </c>
      <c r="O9" s="63">
        <f>'NW Baseline Grid Char'!O21*VLOOKUP(O$2,'NW Baseline Energy'!$A$4:$G$43,5,0)</f>
        <v>0</v>
      </c>
      <c r="P9" s="63">
        <f>'NW Baseline Grid Char'!P21*VLOOKUP(P$2,'NW Baseline Energy'!$A$4:$G$43,5,0)</f>
        <v>0</v>
      </c>
      <c r="Q9" s="63">
        <f>'NW Baseline Grid Char'!Q21*VLOOKUP(Q$2,'NW Baseline Energy'!$A$4:$G$43,5,0)</f>
        <v>0</v>
      </c>
      <c r="R9" s="63">
        <f>'NW Baseline Grid Char'!R21*VLOOKUP(R$2,'NW Baseline Energy'!$A$4:$G$43,5,0)</f>
        <v>0</v>
      </c>
      <c r="S9" s="63">
        <f>'NW Baseline Grid Char'!S21*VLOOKUP(S$2,'NW Baseline Energy'!$A$4:$G$43,5,0)</f>
        <v>0</v>
      </c>
      <c r="T9" s="63">
        <f>'NW Baseline Grid Char'!T21*VLOOKUP(T$2,'NW Baseline Energy'!$A$4:$G$43,5,0)</f>
        <v>0</v>
      </c>
      <c r="U9" s="63">
        <f>'NW Baseline Grid Char'!U21*VLOOKUP(U$2,'NW Baseline Energy'!$A$4:$G$43,5,0)</f>
        <v>0</v>
      </c>
      <c r="V9" s="63">
        <f>'NW Baseline Grid Char'!V21*VLOOKUP(V$2,'NW Baseline Energy'!$A$4:$G$43,5,0)</f>
        <v>0</v>
      </c>
      <c r="W9" s="63">
        <f>'NW Baseline Grid Char'!W21*VLOOKUP(W$2,'NW Baseline Energy'!$A$4:$G$43,5,0)</f>
        <v>0</v>
      </c>
      <c r="X9" s="63">
        <f>'NW Baseline Grid Char'!X21*VLOOKUP(X$2,'NW Baseline Energy'!$A$4:$G$43,5,0)</f>
        <v>0</v>
      </c>
      <c r="Y9" s="63">
        <f>'NW Baseline Grid Char'!Y21*VLOOKUP(Y$2,'NW Baseline Energy'!$A$4:$G$43,5,0)</f>
        <v>0</v>
      </c>
      <c r="Z9" s="63">
        <f>'NW Baseline Grid Char'!Z21*VLOOKUP(Z$2,'NW Baseline Energy'!$A$4:$G$43,5,0)</f>
        <v>0</v>
      </c>
      <c r="AA9" s="63">
        <f>'NW Baseline Grid Char'!AA21*VLOOKUP(AA$2,'NW Baseline Energy'!$A$4:$G$43,5,0)</f>
        <v>0</v>
      </c>
      <c r="AB9" s="63">
        <f>'NW Baseline Grid Char'!AB21*VLOOKUP(AB$2,'NW Baseline Energy'!$A$4:$G$43,5,0)</f>
        <v>0</v>
      </c>
      <c r="AC9" s="63">
        <f>'NW Baseline Grid Char'!AC21*VLOOKUP(AC$2,'NW Baseline Energy'!$A$4:$G$43,5,0)</f>
        <v>0</v>
      </c>
      <c r="AD9" s="63">
        <f>'NW Baseline Grid Char'!AD21*VLOOKUP(AD$2,'NW Baseline Energy'!$A$4:$G$43,5,0)</f>
        <v>0</v>
      </c>
      <c r="AE9" s="63">
        <f>'NW Baseline Grid Char'!AE21*VLOOKUP(AE$2,'NW Baseline Energy'!$A$4:$G$43,5,0)</f>
        <v>0</v>
      </c>
      <c r="AF9" s="63">
        <f>'NW Baseline Grid Char'!AF21*VLOOKUP(AF$2,'NW Baseline Energy'!$A$4:$G$43,5,0)</f>
        <v>0</v>
      </c>
      <c r="AG9" s="63">
        <f>'NW Baseline Grid Char'!AG21*VLOOKUP(AG$2,'NW Baseline Energy'!$A$4:$G$43,5,0)</f>
        <v>0</v>
      </c>
      <c r="AH9" s="63">
        <f>'NW Baseline Grid Char'!AH21*VLOOKUP(AH$2,'NW Baseline Energy'!$A$4:$G$43,5,0)</f>
        <v>0</v>
      </c>
      <c r="AI9" s="63">
        <f>'NW Baseline Grid Char'!AI21*VLOOKUP(AI$2,'NW Baseline Energy'!$A$4:$G$43,5,0)</f>
        <v>0</v>
      </c>
      <c r="AJ9" s="63">
        <f>'NW Baseline Grid Char'!AJ21*VLOOKUP(AJ$2,'NW Baseline Energy'!$A$4:$G$43,5,0)</f>
        <v>0</v>
      </c>
      <c r="AK9" s="63">
        <f>'NW Baseline Grid Char'!AK21*VLOOKUP(AK$2,'NW Baseline Energy'!$A$4:$G$43,5,0)</f>
        <v>0</v>
      </c>
      <c r="AL9" s="63">
        <f>'NW Baseline Grid Char'!AL21*VLOOKUP(AL$2,'NW Baseline Energy'!$A$4:$G$43,5,0)</f>
        <v>0</v>
      </c>
      <c r="AM9" s="63">
        <f>'NW Baseline Grid Char'!AM21*VLOOKUP(AM$2,'NW Baseline Energy'!$A$4:$G$43,5,0)</f>
        <v>0</v>
      </c>
      <c r="AN9" s="63">
        <f>'NW Baseline Grid Char'!AN21*VLOOKUP(AN$2,'NW Baseline Energy'!$A$4:$G$43,5,0)</f>
        <v>0</v>
      </c>
      <c r="AO9" s="63">
        <f>'NW Baseline Grid Char'!AO21*VLOOKUP(AO$2,'NW Baseline Energy'!$A$4:$G$43,5,0)</f>
        <v>0</v>
      </c>
    </row>
    <row r="10" spans="1:41">
      <c r="A10" s="63" t="s">
        <v>183</v>
      </c>
      <c r="B10" s="63">
        <f>'NW Baseline Grid Char'!B4*VLOOKUP(B$2,'NW Baseline Energy'!$A$4:$G$43,6,0)</f>
        <v>17875058.364626866</v>
      </c>
      <c r="C10" s="63">
        <f>'NW Baseline Grid Char'!C4*VLOOKUP(C$2,'NW Baseline Energy'!$A$4:$G$43,6,0)</f>
        <v>18195388.394981839</v>
      </c>
      <c r="D10" s="63">
        <f>'NW Baseline Grid Char'!D4*VLOOKUP(D$2,'NW Baseline Energy'!$A$4:$G$43,6,0)</f>
        <v>18521374.301752698</v>
      </c>
      <c r="E10" s="63">
        <f>'NW Baseline Grid Char'!E4*VLOOKUP(E$2,'NW Baseline Energy'!$A$4:$G$43,6,0)</f>
        <v>18853113.913692363</v>
      </c>
      <c r="F10" s="63">
        <f>'NW Baseline Grid Char'!F4*VLOOKUP(F$2,'NW Baseline Energy'!$A$4:$G$43,6,0)</f>
        <v>19190706.961772207</v>
      </c>
      <c r="G10" s="63">
        <f>'NW Baseline Grid Char'!G4*VLOOKUP(G$2,'NW Baseline Energy'!$A$4:$G$43,6,0)</f>
        <v>19534254.602150977</v>
      </c>
      <c r="H10" s="63">
        <f>'NW Baseline Grid Char'!H4*VLOOKUP(H$2,'NW Baseline Energy'!$A$4:$G$43,6,0)</f>
        <v>19883859.957484908</v>
      </c>
      <c r="I10" s="63">
        <f>'NW Baseline Grid Char'!I4*VLOOKUP(I$2,'NW Baseline Energy'!$A$4:$G$43,6,0)</f>
        <v>20239627.620270211</v>
      </c>
      <c r="J10" s="63">
        <f>'NW Baseline Grid Char'!J4*VLOOKUP(J$2,'NW Baseline Energy'!$A$4:$G$43,6,0)</f>
        <v>20601664.215863559</v>
      </c>
      <c r="K10" s="63">
        <f>'NW Baseline Grid Char'!K4*VLOOKUP(K$2,'NW Baseline Energy'!$A$4:$G$43,6,0)</f>
        <v>21054363.133481279</v>
      </c>
      <c r="L10" s="63">
        <f>'NW Baseline Grid Char'!L4*VLOOKUP(L$2,'NW Baseline Energy'!$A$4:$G$43,6,0)</f>
        <v>21301667.815247945</v>
      </c>
      <c r="M10" s="63">
        <f>'NW Baseline Grid Char'!M4*VLOOKUP(M$2,'NW Baseline Energy'!$A$4:$G$43,6,0)</f>
        <v>21551873.137487747</v>
      </c>
      <c r="N10" s="63">
        <f>'NW Baseline Grid Char'!N4*VLOOKUP(N$2,'NW Baseline Energy'!$A$4:$G$43,6,0)</f>
        <v>21805013.076185714</v>
      </c>
      <c r="O10" s="63">
        <f>'NW Baseline Grid Char'!O4*VLOOKUP(O$2,'NW Baseline Energy'!$A$4:$G$43,6,0)</f>
        <v>22061122.004799575</v>
      </c>
      <c r="P10" s="63">
        <f>'NW Baseline Grid Char'!P4*VLOOKUP(P$2,'NW Baseline Energy'!$A$4:$G$43,6,0)</f>
        <v>22320234.69890428</v>
      </c>
      <c r="Q10" s="63">
        <f>'NW Baseline Grid Char'!Q4*VLOOKUP(Q$2,'NW Baseline Energy'!$A$4:$G$43,6,0)</f>
        <v>22582386.34089065</v>
      </c>
      <c r="R10" s="63">
        <f>'NW Baseline Grid Char'!R4*VLOOKUP(R$2,'NW Baseline Energy'!$A$4:$G$43,6,0)</f>
        <v>22847612.524718914</v>
      </c>
      <c r="S10" s="63">
        <f>'NW Baseline Grid Char'!S4*VLOOKUP(S$2,'NW Baseline Energy'!$A$4:$G$43,6,0)</f>
        <v>23115949.260727722</v>
      </c>
      <c r="T10" s="63">
        <f>'NW Baseline Grid Char'!T4*VLOOKUP(T$2,'NW Baseline Energy'!$A$4:$G$43,6,0)</f>
        <v>23387432.980499264</v>
      </c>
      <c r="U10" s="63">
        <f>'NW Baseline Grid Char'!U4*VLOOKUP(U$2,'NW Baseline Energy'!$A$4:$G$43,6,0)</f>
        <v>23608641.186362401</v>
      </c>
      <c r="V10" s="63">
        <f>'NW Baseline Grid Char'!V4*VLOOKUP(V$2,'NW Baseline Energy'!$A$4:$G$43,6,0)</f>
        <v>23653130.997788694</v>
      </c>
      <c r="W10" s="63">
        <f>'NW Baseline Grid Char'!W4*VLOOKUP(W$2,'NW Baseline Energy'!$A$4:$G$43,6,0)</f>
        <v>23861940.770290568</v>
      </c>
      <c r="X10" s="63">
        <f>'NW Baseline Grid Char'!X4*VLOOKUP(X$2,'NW Baseline Energy'!$A$4:$G$43,6,0)</f>
        <v>24074420.689822271</v>
      </c>
      <c r="Y10" s="63">
        <f>'NW Baseline Grid Char'!Y4*VLOOKUP(Y$2,'NW Baseline Energy'!$A$4:$G$43,6,0)</f>
        <v>24290294.71202676</v>
      </c>
      <c r="Z10" s="63">
        <f>'NW Baseline Grid Char'!Z4*VLOOKUP(Z$2,'NW Baseline Energy'!$A$4:$G$43,6,0)</f>
        <v>24509183.339985196</v>
      </c>
      <c r="AA10" s="63">
        <f>'NW Baseline Grid Char'!AA4*VLOOKUP(AA$2,'NW Baseline Energy'!$A$4:$G$43,6,0)</f>
        <v>24730586.152036142</v>
      </c>
      <c r="AB10" s="63">
        <f>'NW Baseline Grid Char'!AB4*VLOOKUP(AB$2,'NW Baseline Energy'!$A$4:$G$43,6,0)</f>
        <v>24953863.164185427</v>
      </c>
      <c r="AC10" s="63">
        <f>'NW Baseline Grid Char'!AC4*VLOOKUP(AC$2,'NW Baseline Energy'!$A$4:$G$43,6,0)</f>
        <v>25178213.427249659</v>
      </c>
      <c r="AD10" s="63">
        <f>'NW Baseline Grid Char'!AD4*VLOOKUP(AD$2,'NW Baseline Energy'!$A$4:$G$43,6,0)</f>
        <v>25402651.409727752</v>
      </c>
      <c r="AE10" s="63">
        <f>'NW Baseline Grid Char'!AE4*VLOOKUP(AE$2,'NW Baseline Energy'!$A$4:$G$43,6,0)</f>
        <v>25625982.114197478</v>
      </c>
      <c r="AF10" s="63">
        <f>'NW Baseline Grid Char'!AF4*VLOOKUP(AF$2,'NW Baseline Energy'!$A$4:$G$43,6,0)</f>
        <v>25753247.421845861</v>
      </c>
      <c r="AG10" s="63">
        <f>'NW Baseline Grid Char'!AG4*VLOOKUP(AG$2,'NW Baseline Energy'!$A$4:$G$43,6,0)</f>
        <v>25967391.015977088</v>
      </c>
      <c r="AH10" s="63">
        <f>'NW Baseline Grid Char'!AH4*VLOOKUP(AH$2,'NW Baseline Energy'!$A$4:$G$43,6,0)</f>
        <v>26183302.576061398</v>
      </c>
      <c r="AI10" s="63">
        <f>'NW Baseline Grid Char'!AI4*VLOOKUP(AI$2,'NW Baseline Energy'!$A$4:$G$43,6,0)</f>
        <v>26400996.665471293</v>
      </c>
      <c r="AJ10" s="63">
        <f>'NW Baseline Grid Char'!AJ4*VLOOKUP(AJ$2,'NW Baseline Energy'!$A$4:$G$43,6,0)</f>
        <v>26620487.968110174</v>
      </c>
      <c r="AK10" s="63">
        <f>'NW Baseline Grid Char'!AK4*VLOOKUP(AK$2,'NW Baseline Energy'!$A$4:$G$43,6,0)</f>
        <v>26841791.011226747</v>
      </c>
      <c r="AL10" s="63">
        <f>'NW Baseline Grid Char'!AL4*VLOOKUP(AL$2,'NW Baseline Energy'!$A$4:$G$43,6,0)</f>
        <v>27064920.808875158</v>
      </c>
      <c r="AM10" s="63">
        <f>'NW Baseline Grid Char'!AM4*VLOOKUP(AM$2,'NW Baseline Energy'!$A$4:$G$43,6,0)</f>
        <v>27289892.124292739</v>
      </c>
      <c r="AN10" s="63">
        <f>'NW Baseline Grid Char'!AN4*VLOOKUP(AN$2,'NW Baseline Energy'!$A$4:$G$43,6,0)</f>
        <v>27516720.216094092</v>
      </c>
      <c r="AO10" s="63">
        <f>'NW Baseline Grid Char'!AO4*VLOOKUP(AO$2,'NW Baseline Energy'!$A$4:$G$43,6,0)</f>
        <v>27745420.087288171</v>
      </c>
    </row>
    <row r="11" spans="1:41">
      <c r="A11" s="63" t="s">
        <v>186</v>
      </c>
      <c r="B11" s="63">
        <f>'NW Baseline Grid Char'!B7*VLOOKUP(B$2,'NW Baseline Energy'!$A$4:$G$43,6,0)</f>
        <v>7508065.5504521728</v>
      </c>
      <c r="C11" s="63">
        <f>'NW Baseline Grid Char'!C7*VLOOKUP(C$2,'NW Baseline Energy'!$A$4:$G$43,6,0)</f>
        <v>7704014.8442957075</v>
      </c>
      <c r="D11" s="63">
        <f>'NW Baseline Grid Char'!D7*VLOOKUP(D$2,'NW Baseline Energy'!$A$4:$G$43,6,0)</f>
        <v>7904807.7401940674</v>
      </c>
      <c r="E11" s="63">
        <f>'NW Baseline Grid Char'!E7*VLOOKUP(E$2,'NW Baseline Energy'!$A$4:$G$43,6,0)</f>
        <v>8110559.6537306262</v>
      </c>
      <c r="F11" s="63">
        <f>'NW Baseline Grid Char'!F7*VLOOKUP(F$2,'NW Baseline Energy'!$A$4:$G$43,6,0)</f>
        <v>8321388.9376477236</v>
      </c>
      <c r="G11" s="63">
        <f>'NW Baseline Grid Char'!G7*VLOOKUP(G$2,'NW Baseline Energy'!$A$4:$G$43,6,0)</f>
        <v>8537416.5054942705</v>
      </c>
      <c r="H11" s="63">
        <f>'NW Baseline Grid Char'!H7*VLOOKUP(H$2,'NW Baseline Energy'!$A$4:$G$43,6,0)</f>
        <v>8758766.0774807222</v>
      </c>
      <c r="I11" s="63">
        <f>'NW Baseline Grid Char'!I7*VLOOKUP(I$2,'NW Baseline Energy'!$A$4:$G$43,6,0)</f>
        <v>8985564.4509863723</v>
      </c>
      <c r="J11" s="63">
        <f>'NW Baseline Grid Char'!J7*VLOOKUP(J$2,'NW Baseline Energy'!$A$4:$G$43,6,0)</f>
        <v>9217941.1651202794</v>
      </c>
      <c r="K11" s="63">
        <f>'NW Baseline Grid Char'!K7*VLOOKUP(K$2,'NW Baseline Energy'!$A$4:$G$43,6,0)</f>
        <v>9494035.4750925601</v>
      </c>
      <c r="L11" s="63">
        <f>'NW Baseline Grid Char'!L7*VLOOKUP(L$2,'NW Baseline Energy'!$A$4:$G$43,6,0)</f>
        <v>9616931.5347121339</v>
      </c>
      <c r="M11" s="63">
        <f>'NW Baseline Grid Char'!M7*VLOOKUP(M$2,'NW Baseline Energy'!$A$4:$G$43,6,0)</f>
        <v>9741392.6555234399</v>
      </c>
      <c r="N11" s="63">
        <f>'NW Baseline Grid Char'!N7*VLOOKUP(N$2,'NW Baseline Energy'!$A$4:$G$43,6,0)</f>
        <v>9867438.6630656328</v>
      </c>
      <c r="O11" s="63">
        <f>'NW Baseline Grid Char'!O7*VLOOKUP(O$2,'NW Baseline Energy'!$A$4:$G$43,6,0)</f>
        <v>9995089.3333942257</v>
      </c>
      <c r="P11" s="63">
        <f>'NW Baseline Grid Char'!P7*VLOOKUP(P$2,'NW Baseline Energy'!$A$4:$G$43,6,0)</f>
        <v>10124364.98818545</v>
      </c>
      <c r="Q11" s="63">
        <f>'NW Baseline Grid Char'!Q7*VLOOKUP(Q$2,'NW Baseline Energy'!$A$4:$G$43,6,0)</f>
        <v>10255285.89902232</v>
      </c>
      <c r="R11" s="63">
        <f>'NW Baseline Grid Char'!R7*VLOOKUP(R$2,'NW Baseline Energy'!$A$4:$G$43,6,0)</f>
        <v>10387872.818186792</v>
      </c>
      <c r="S11" s="63">
        <f>'NW Baseline Grid Char'!S7*VLOOKUP(S$2,'NW Baseline Energy'!$A$4:$G$43,6,0)</f>
        <v>10522146.758625796</v>
      </c>
      <c r="T11" s="63">
        <f>'NW Baseline Grid Char'!T7*VLOOKUP(T$2,'NW Baseline Energy'!$A$4:$G$43,6,0)</f>
        <v>10658128.758387435</v>
      </c>
      <c r="U11" s="63">
        <f>'NW Baseline Grid Char'!U7*VLOOKUP(U$2,'NW Baseline Energy'!$A$4:$G$43,6,0)</f>
        <v>10771449.5871528</v>
      </c>
      <c r="V11" s="63">
        <f>'NW Baseline Grid Char'!V7*VLOOKUP(V$2,'NW Baseline Energy'!$A$4:$G$43,6,0)</f>
        <v>11007978.674871022</v>
      </c>
      <c r="W11" s="63">
        <f>'NW Baseline Grid Char'!W7*VLOOKUP(W$2,'NW Baseline Energy'!$A$4:$G$43,6,0)</f>
        <v>11134990.046652315</v>
      </c>
      <c r="X11" s="63">
        <f>'NW Baseline Grid Char'!X7*VLOOKUP(X$2,'NW Baseline Energy'!$A$4:$G$43,6,0)</f>
        <v>11262149.556958672</v>
      </c>
      <c r="Y11" s="63">
        <f>'NW Baseline Grid Char'!Y7*VLOOKUP(Y$2,'NW Baseline Energy'!$A$4:$G$43,6,0)</f>
        <v>11389671.371506117</v>
      </c>
      <c r="Z11" s="63">
        <f>'NW Baseline Grid Char'!Z7*VLOOKUP(Z$2,'NW Baseline Energy'!$A$4:$G$43,6,0)</f>
        <v>11517840.869415985</v>
      </c>
      <c r="AA11" s="63">
        <f>'NW Baseline Grid Char'!AA7*VLOOKUP(AA$2,'NW Baseline Energy'!$A$4:$G$43,6,0)</f>
        <v>11647025.729921211</v>
      </c>
      <c r="AB11" s="63">
        <f>'NW Baseline Grid Char'!AB7*VLOOKUP(AB$2,'NW Baseline Energy'!$A$4:$G$43,6,0)</f>
        <v>11777689.673507271</v>
      </c>
      <c r="AC11" s="63">
        <f>'NW Baseline Grid Char'!AC7*VLOOKUP(AC$2,'NW Baseline Energy'!$A$4:$G$43,6,0)</f>
        <v>11910406.245977068</v>
      </c>
      <c r="AD11" s="63">
        <f>'NW Baseline Grid Char'!AD7*VLOOKUP(AD$2,'NW Baseline Energy'!$A$4:$G$43,6,0)</f>
        <v>12045875.152247015</v>
      </c>
      <c r="AE11" s="63">
        <f>'NW Baseline Grid Char'!AE7*VLOOKUP(AE$2,'NW Baseline Energy'!$A$4:$G$43,6,0)</f>
        <v>12184939.434322517</v>
      </c>
      <c r="AF11" s="63">
        <f>'NW Baseline Grid Char'!AF7*VLOOKUP(AF$2,'NW Baseline Energy'!$A$4:$G$43,6,0)</f>
        <v>12392433.86259583</v>
      </c>
      <c r="AG11" s="63">
        <f>'NW Baseline Grid Char'!AG7*VLOOKUP(AG$2,'NW Baseline Energy'!$A$4:$G$43,6,0)</f>
        <v>12543531.203489164</v>
      </c>
      <c r="AH11" s="63">
        <f>'NW Baseline Grid Char'!AH7*VLOOKUP(AH$2,'NW Baseline Energy'!$A$4:$G$43,6,0)</f>
        <v>12696345.65106868</v>
      </c>
      <c r="AI11" s="63">
        <f>'NW Baseline Grid Char'!AI7*VLOOKUP(AI$2,'NW Baseline Energy'!$A$4:$G$43,6,0)</f>
        <v>12850895.793587187</v>
      </c>
      <c r="AJ11" s="63">
        <f>'NW Baseline Grid Char'!AJ7*VLOOKUP(AJ$2,'NW Baseline Energy'!$A$4:$G$43,6,0)</f>
        <v>13007200.688960493</v>
      </c>
      <c r="AK11" s="63">
        <f>'NW Baseline Grid Char'!AK7*VLOOKUP(AK$2,'NW Baseline Energy'!$A$4:$G$43,6,0)</f>
        <v>13165279.32276376</v>
      </c>
      <c r="AL11" s="63">
        <f>'NW Baseline Grid Char'!AL7*VLOOKUP(AL$2,'NW Baseline Energy'!$A$4:$G$43,6,0)</f>
        <v>13325150.972173484</v>
      </c>
      <c r="AM11" s="63">
        <f>'NW Baseline Grid Char'!AM7*VLOOKUP(AM$2,'NW Baseline Energy'!$A$4:$G$43,6,0)</f>
        <v>13486835.11777797</v>
      </c>
      <c r="AN11" s="63">
        <f>'NW Baseline Grid Char'!AN7*VLOOKUP(AN$2,'NW Baseline Energy'!$A$4:$G$43,6,0)</f>
        <v>13650351.445678186</v>
      </c>
      <c r="AO11" s="63">
        <f>'NW Baseline Grid Char'!AO7*VLOOKUP(AO$2,'NW Baseline Energy'!$A$4:$G$43,6,0)</f>
        <v>13815719.753488246</v>
      </c>
    </row>
    <row r="12" spans="1:41">
      <c r="A12" s="63" t="s">
        <v>189</v>
      </c>
      <c r="B12" s="63">
        <f>'NW Baseline Grid Char'!B10*VLOOKUP(B$2,'NW Baseline Energy'!$A$4:$G$43,6,0)</f>
        <v>12938032.97484665</v>
      </c>
      <c r="C12" s="63">
        <f>'NW Baseline Grid Char'!C10*VLOOKUP(C$2,'NW Baseline Energy'!$A$4:$G$43,6,0)</f>
        <v>13348039.527946135</v>
      </c>
      <c r="D12" s="63">
        <f>'NW Baseline Grid Char'!D10*VLOOKUP(D$2,'NW Baseline Energy'!$A$4:$G$43,6,0)</f>
        <v>13769300.352206016</v>
      </c>
      <c r="E12" s="63">
        <f>'NW Baseline Grid Char'!E10*VLOOKUP(E$2,'NW Baseline Energy'!$A$4:$G$43,6,0)</f>
        <v>14202102.077338919</v>
      </c>
      <c r="F12" s="63">
        <f>'NW Baseline Grid Char'!F10*VLOOKUP(F$2,'NW Baseline Energy'!$A$4:$G$43,6,0)</f>
        <v>14646738.562778816</v>
      </c>
      <c r="G12" s="63">
        <f>'NW Baseline Grid Char'!G10*VLOOKUP(G$2,'NW Baseline Energy'!$A$4:$G$43,6,0)</f>
        <v>15103510.624711946</v>
      </c>
      <c r="H12" s="63">
        <f>'NW Baseline Grid Char'!H10*VLOOKUP(H$2,'NW Baseline Energy'!$A$4:$G$43,6,0)</f>
        <v>15572726.387736829</v>
      </c>
      <c r="I12" s="63">
        <f>'NW Baseline Grid Char'!I10*VLOOKUP(I$2,'NW Baseline Energy'!$A$4:$G$43,6,0)</f>
        <v>16054701.663653765</v>
      </c>
      <c r="J12" s="63">
        <f>'NW Baseline Grid Char'!J10*VLOOKUP(J$2,'NW Baseline Energy'!$A$4:$G$43,6,0)</f>
        <v>16549759.656587407</v>
      </c>
      <c r="K12" s="63">
        <f>'NW Baseline Grid Char'!K10*VLOOKUP(K$2,'NW Baseline Energy'!$A$4:$G$43,6,0)</f>
        <v>17126794.013861518</v>
      </c>
      <c r="L12" s="63">
        <f>'NW Baseline Grid Char'!L10*VLOOKUP(L$2,'NW Baseline Energy'!$A$4:$G$43,6,0)</f>
        <v>17362109.721160289</v>
      </c>
      <c r="M12" s="63">
        <f>'NW Baseline Grid Char'!M10*VLOOKUP(M$2,'NW Baseline Energy'!$A$4:$G$43,6,0)</f>
        <v>17600556.508580498</v>
      </c>
      <c r="N12" s="63">
        <f>'NW Baseline Grid Char'!N10*VLOOKUP(N$2,'NW Baseline Energy'!$A$4:$G$43,6,0)</f>
        <v>17842175.23839302</v>
      </c>
      <c r="O12" s="63">
        <f>'NW Baseline Grid Char'!O10*VLOOKUP(O$2,'NW Baseline Energy'!$A$4:$G$43,6,0)</f>
        <v>18087007.07410771</v>
      </c>
      <c r="P12" s="63">
        <f>'NW Baseline Grid Char'!P10*VLOOKUP(P$2,'NW Baseline Energy'!$A$4:$G$43,6,0)</f>
        <v>18335093.778918084</v>
      </c>
      <c r="Q12" s="63">
        <f>'NW Baseline Grid Char'!Q10*VLOOKUP(Q$2,'NW Baseline Energy'!$A$4:$G$43,6,0)</f>
        <v>18586477.649576358</v>
      </c>
      <c r="R12" s="63">
        <f>'NW Baseline Grid Char'!R10*VLOOKUP(R$2,'NW Baseline Energy'!$A$4:$G$43,6,0)</f>
        <v>18841201.523119092</v>
      </c>
      <c r="S12" s="63">
        <f>'NW Baseline Grid Char'!S10*VLOOKUP(S$2,'NW Baseline Energy'!$A$4:$G$43,6,0)</f>
        <v>19099308.704954576</v>
      </c>
      <c r="T12" s="63">
        <f>'NW Baseline Grid Char'!T10*VLOOKUP(T$2,'NW Baseline Energy'!$A$4:$G$43,6,0)</f>
        <v>19360843.289755851</v>
      </c>
      <c r="U12" s="63">
        <f>'NW Baseline Grid Char'!U10*VLOOKUP(U$2,'NW Baseline Energy'!$A$4:$G$43,6,0)</f>
        <v>19581509.3718132</v>
      </c>
      <c r="V12" s="63">
        <f>'NW Baseline Grid Char'!V10*VLOOKUP(V$2,'NW Baseline Energy'!$A$4:$G$43,6,0)</f>
        <v>20243511.133822896</v>
      </c>
      <c r="W12" s="63">
        <f>'NW Baseline Grid Char'!W10*VLOOKUP(W$2,'NW Baseline Energy'!$A$4:$G$43,6,0)</f>
        <v>20509746.104185585</v>
      </c>
      <c r="X12" s="63">
        <f>'NW Baseline Grid Char'!X10*VLOOKUP(X$2,'NW Baseline Energy'!$A$4:$G$43,6,0)</f>
        <v>20774649.740178861</v>
      </c>
      <c r="Y12" s="63">
        <f>'NW Baseline Grid Char'!Y10*VLOOKUP(Y$2,'NW Baseline Energy'!$A$4:$G$43,6,0)</f>
        <v>21038974.692969363</v>
      </c>
      <c r="Z12" s="63">
        <f>'NW Baseline Grid Char'!Z10*VLOOKUP(Z$2,'NW Baseline Energy'!$A$4:$G$43,6,0)</f>
        <v>21303728.470508397</v>
      </c>
      <c r="AA12" s="63">
        <f>'NW Baseline Grid Char'!AA10*VLOOKUP(AA$2,'NW Baseline Energy'!$A$4:$G$43,6,0)</f>
        <v>21570216.000687655</v>
      </c>
      <c r="AB12" s="63">
        <f>'NW Baseline Grid Char'!AB10*VLOOKUP(AB$2,'NW Baseline Energy'!$A$4:$G$43,6,0)</f>
        <v>21840085.651327033</v>
      </c>
      <c r="AC12" s="63">
        <f>'NW Baseline Grid Char'!AC10*VLOOKUP(AC$2,'NW Baseline Energy'!$A$4:$G$43,6,0)</f>
        <v>22115382.052256707</v>
      </c>
      <c r="AD12" s="63">
        <f>'NW Baseline Grid Char'!AD10*VLOOKUP(AD$2,'NW Baseline Energy'!$A$4:$G$43,6,0)</f>
        <v>22398602.855379343</v>
      </c>
      <c r="AE12" s="63">
        <f>'NW Baseline Grid Char'!AE10*VLOOKUP(AE$2,'NW Baseline Energy'!$A$4:$G$43,6,0)</f>
        <v>22692761.356994532</v>
      </c>
      <c r="AF12" s="63">
        <f>'NW Baseline Grid Char'!AF10*VLOOKUP(AF$2,'NW Baseline Energy'!$A$4:$G$43,6,0)</f>
        <v>23231039.839931864</v>
      </c>
      <c r="AG12" s="63">
        <f>'NW Baseline Grid Char'!AG10*VLOOKUP(AG$2,'NW Baseline Energy'!$A$4:$G$43,6,0)</f>
        <v>23564431.953687496</v>
      </c>
      <c r="AH12" s="63">
        <f>'NW Baseline Grid Char'!AH10*VLOOKUP(AH$2,'NW Baseline Energy'!$A$4:$G$43,6,0)</f>
        <v>23901947.09196312</v>
      </c>
      <c r="AI12" s="63">
        <f>'NW Baseline Grid Char'!AI10*VLOOKUP(AI$2,'NW Baseline Energy'!$A$4:$G$43,6,0)</f>
        <v>24243632.315481111</v>
      </c>
      <c r="AJ12" s="63">
        <f>'NW Baseline Grid Char'!AJ10*VLOOKUP(AJ$2,'NW Baseline Energy'!$A$4:$G$43,6,0)</f>
        <v>24589535.562717866</v>
      </c>
      <c r="AK12" s="63">
        <f>'NW Baseline Grid Char'!AK10*VLOOKUP(AK$2,'NW Baseline Energy'!$A$4:$G$43,6,0)</f>
        <v>24939704.929942247</v>
      </c>
      <c r="AL12" s="63">
        <f>'NW Baseline Grid Char'!AL10*VLOOKUP(AL$2,'NW Baseline Energy'!$A$4:$G$43,6,0)</f>
        <v>25294189.408725511</v>
      </c>
      <c r="AM12" s="63">
        <f>'NW Baseline Grid Char'!AM10*VLOOKUP(AM$2,'NW Baseline Energy'!$A$4:$G$43,6,0)</f>
        <v>25653038.15295599</v>
      </c>
      <c r="AN12" s="63">
        <f>'NW Baseline Grid Char'!AN10*VLOOKUP(AN$2,'NW Baseline Energy'!$A$4:$G$43,6,0)</f>
        <v>26016301.22972047</v>
      </c>
      <c r="AO12" s="63">
        <f>'NW Baseline Grid Char'!AO10*VLOOKUP(AO$2,'NW Baseline Energy'!$A$4:$G$43,6,0)</f>
        <v>26384028.873059567</v>
      </c>
    </row>
    <row r="13" spans="1:41">
      <c r="A13" s="63" t="s">
        <v>192</v>
      </c>
      <c r="B13" s="63">
        <f>'NW Baseline Grid Char'!B13*VLOOKUP(B$2,'NW Baseline Energy'!$A$4:$G$43,6,0)</f>
        <v>7789867.564067537</v>
      </c>
      <c r="C13" s="63">
        <f>'NW Baseline Grid Char'!C13*VLOOKUP(C$2,'NW Baseline Energy'!$A$4:$G$43,6,0)</f>
        <v>7802224.0223681219</v>
      </c>
      <c r="D13" s="63">
        <f>'NW Baseline Grid Char'!D13*VLOOKUP(D$2,'NW Baseline Energy'!$A$4:$G$43,6,0)</f>
        <v>7811930.9489164473</v>
      </c>
      <c r="E13" s="63">
        <f>'NW Baseline Grid Char'!E13*VLOOKUP(E$2,'NW Baseline Energy'!$A$4:$G$43,6,0)</f>
        <v>7818876.8589515984</v>
      </c>
      <c r="F13" s="63">
        <f>'NW Baseline Grid Char'!F13*VLOOKUP(F$2,'NW Baseline Energy'!$A$4:$G$43,6,0)</f>
        <v>7822946.856835329</v>
      </c>
      <c r="G13" s="63">
        <f>'NW Baseline Grid Char'!G13*VLOOKUP(G$2,'NW Baseline Energy'!$A$4:$G$43,6,0)</f>
        <v>7824022.4777995022</v>
      </c>
      <c r="H13" s="63">
        <f>'NW Baseline Grid Char'!H13*VLOOKUP(H$2,'NW Baseline Energy'!$A$4:$G$43,6,0)</f>
        <v>7821981.8569591176</v>
      </c>
      <c r="I13" s="63">
        <f>'NW Baseline Grid Char'!I13*VLOOKUP(I$2,'NW Baseline Energy'!$A$4:$G$43,6,0)</f>
        <v>7816699.2394024916</v>
      </c>
      <c r="J13" s="63">
        <f>'NW Baseline Grid Char'!J13*VLOOKUP(J$2,'NW Baseline Energy'!$A$4:$G$43,6,0)</f>
        <v>7808045.1417811746</v>
      </c>
      <c r="K13" s="63">
        <f>'NW Baseline Grid Char'!K13*VLOOKUP(K$2,'NW Baseline Energy'!$A$4:$G$43,6,0)</f>
        <v>7827220.27064736</v>
      </c>
      <c r="L13" s="63">
        <f>'NW Baseline Grid Char'!L13*VLOOKUP(L$2,'NW Baseline Energy'!$A$4:$G$43,6,0)</f>
        <v>7860247.093451581</v>
      </c>
      <c r="M13" s="63">
        <f>'NW Baseline Grid Char'!M13*VLOOKUP(M$2,'NW Baseline Energy'!$A$4:$G$43,6,0)</f>
        <v>7893020.9455171563</v>
      </c>
      <c r="N13" s="63">
        <f>'NW Baseline Grid Char'!N13*VLOOKUP(N$2,'NW Baseline Energy'!$A$4:$G$43,6,0)</f>
        <v>7925531.8190021887</v>
      </c>
      <c r="O13" s="63">
        <f>'NW Baseline Grid Char'!O13*VLOOKUP(O$2,'NW Baseline Energy'!$A$4:$G$43,6,0)</f>
        <v>7957769.7363049388</v>
      </c>
      <c r="P13" s="63">
        <f>'NW Baseline Grid Char'!P13*VLOOKUP(P$2,'NW Baseline Energy'!$A$4:$G$43,6,0)</f>
        <v>7989724.3029737873</v>
      </c>
      <c r="Q13" s="63">
        <f>'NW Baseline Grid Char'!Q13*VLOOKUP(Q$2,'NW Baseline Energy'!$A$4:$G$43,6,0)</f>
        <v>8021384.9997692546</v>
      </c>
      <c r="R13" s="63">
        <f>'NW Baseline Grid Char'!R13*VLOOKUP(R$2,'NW Baseline Energy'!$A$4:$G$43,6,0)</f>
        <v>8052741.1059087692</v>
      </c>
      <c r="S13" s="63">
        <f>'NW Baseline Grid Char'!S13*VLOOKUP(S$2,'NW Baseline Energy'!$A$4:$G$43,6,0)</f>
        <v>8083781.6171330623</v>
      </c>
      <c r="T13" s="63">
        <f>'NW Baseline Grid Char'!T13*VLOOKUP(T$2,'NW Baseline Energy'!$A$4:$G$43,6,0)</f>
        <v>8114495.5564464442</v>
      </c>
      <c r="U13" s="63">
        <f>'NW Baseline Grid Char'!U13*VLOOKUP(U$2,'NW Baseline Energy'!$A$4:$G$43,6,0)</f>
        <v>8126469.9403944006</v>
      </c>
      <c r="V13" s="63">
        <f>'NW Baseline Grid Char'!V13*VLOOKUP(V$2,'NW Baseline Energy'!$A$4:$G$43,6,0)</f>
        <v>7764929.0663065808</v>
      </c>
      <c r="W13" s="63">
        <f>'NW Baseline Grid Char'!W13*VLOOKUP(W$2,'NW Baseline Energy'!$A$4:$G$43,6,0)</f>
        <v>7741385.9451200552</v>
      </c>
      <c r="X13" s="63">
        <f>'NW Baseline Grid Char'!X13*VLOOKUP(X$2,'NW Baseline Energy'!$A$4:$G$43,6,0)</f>
        <v>7720600.6076458255</v>
      </c>
      <c r="Y13" s="63">
        <f>'NW Baseline Grid Char'!Y13*VLOOKUP(Y$2,'NW Baseline Energy'!$A$4:$G$43,6,0)</f>
        <v>7701945.9787136344</v>
      </c>
      <c r="Z13" s="63">
        <f>'NW Baseline Grid Char'!Z13*VLOOKUP(Z$2,'NW Baseline Energy'!$A$4:$G$43,6,0)</f>
        <v>7684578.7634441173</v>
      </c>
      <c r="AA13" s="63">
        <f>'NW Baseline Grid Char'!AA13*VLOOKUP(AA$2,'NW Baseline Energy'!$A$4:$G$43,6,0)</f>
        <v>7667402.9358132044</v>
      </c>
      <c r="AB13" s="63">
        <f>'NW Baseline Grid Char'!AB13*VLOOKUP(AB$2,'NW Baseline Energy'!$A$4:$G$43,6,0)</f>
        <v>7649030.4800635632</v>
      </c>
      <c r="AC13" s="63">
        <f>'NW Baseline Grid Char'!AC13*VLOOKUP(AC$2,'NW Baseline Energy'!$A$4:$G$43,6,0)</f>
        <v>7627736.8518926939</v>
      </c>
      <c r="AD13" s="63">
        <f>'NW Baseline Grid Char'!AD13*VLOOKUP(AD$2,'NW Baseline Energy'!$A$4:$G$43,6,0)</f>
        <v>7601412.6286672959</v>
      </c>
      <c r="AE13" s="63">
        <f>'NW Baseline Grid Char'!AE13*VLOOKUP(AE$2,'NW Baseline Energy'!$A$4:$G$43,6,0)</f>
        <v>7567509.8588895239</v>
      </c>
      <c r="AF13" s="63">
        <f>'NW Baseline Grid Char'!AF13*VLOOKUP(AF$2,'NW Baseline Energy'!$A$4:$G$43,6,0)</f>
        <v>7327847.4928133087</v>
      </c>
      <c r="AG13" s="63">
        <f>'NW Baseline Grid Char'!AG13*VLOOKUP(AG$2,'NW Baseline Energy'!$A$4:$G$43,6,0)</f>
        <v>7264074.8834938761</v>
      </c>
      <c r="AH13" s="63">
        <f>'NW Baseline Grid Char'!AH13*VLOOKUP(AH$2,'NW Baseline Energy'!$A$4:$G$43,6,0)</f>
        <v>7198556.9679919332</v>
      </c>
      <c r="AI13" s="63">
        <f>'NW Baseline Grid Char'!AI13*VLOOKUP(AI$2,'NW Baseline Energy'!$A$4:$G$43,6,0)</f>
        <v>7131267.6438659243</v>
      </c>
      <c r="AJ13" s="63">
        <f>'NW Baseline Grid Char'!AJ13*VLOOKUP(AJ$2,'NW Baseline Energy'!$A$4:$G$43,6,0)</f>
        <v>7062180.1155608995</v>
      </c>
      <c r="AK13" s="63">
        <f>'NW Baseline Grid Char'!AK13*VLOOKUP(AK$2,'NW Baseline Energy'!$A$4:$G$43,6,0)</f>
        <v>6991267.6159958076</v>
      </c>
      <c r="AL13" s="63">
        <f>'NW Baseline Grid Char'!AL13*VLOOKUP(AL$2,'NW Baseline Energy'!$A$4:$G$43,6,0)</f>
        <v>6918502.6706937524</v>
      </c>
      <c r="AM13" s="63">
        <f>'NW Baseline Grid Char'!AM13*VLOOKUP(AM$2,'NW Baseline Energy'!$A$4:$G$43,6,0)</f>
        <v>6843857.8324217517</v>
      </c>
      <c r="AN13" s="63">
        <f>'NW Baseline Grid Char'!AN13*VLOOKUP(AN$2,'NW Baseline Energy'!$A$4:$G$43,6,0)</f>
        <v>6767305.0272414414</v>
      </c>
      <c r="AO13" s="63">
        <f>'NW Baseline Grid Char'!AO13*VLOOKUP(AO$2,'NW Baseline Energy'!$A$4:$G$43,6,0)</f>
        <v>6688815.8261228558</v>
      </c>
    </row>
    <row r="14" spans="1:41">
      <c r="A14" s="63" t="s">
        <v>195</v>
      </c>
      <c r="B14" s="63">
        <f>'NW Baseline Grid Char'!B16*VLOOKUP(B$2,'NW Baseline Energy'!$A$4:$G$43,6,0)</f>
        <v>3915970.210627438</v>
      </c>
      <c r="C14" s="63">
        <f>'NW Baseline Grid Char'!C16*VLOOKUP(C$2,'NW Baseline Energy'!$A$4:$G$43,6,0)</f>
        <v>3947689.3970011468</v>
      </c>
      <c r="D14" s="63">
        <f>'NW Baseline Grid Char'!D16*VLOOKUP(D$2,'NW Baseline Energy'!$A$4:$G$43,6,0)</f>
        <v>3979101.841930849</v>
      </c>
      <c r="E14" s="63">
        <f>'NW Baseline Grid Char'!E16*VLOOKUP(E$2,'NW Baseline Energy'!$A$4:$G$43,6,0)</f>
        <v>4010182.4679344292</v>
      </c>
      <c r="F14" s="63">
        <f>'NW Baseline Grid Char'!F16*VLOOKUP(F$2,'NW Baseline Energy'!$A$4:$G$43,6,0)</f>
        <v>4040905.2511140099</v>
      </c>
      <c r="G14" s="63">
        <f>'NW Baseline Grid Char'!G16*VLOOKUP(G$2,'NW Baseline Energy'!$A$4:$G$43,6,0)</f>
        <v>4071243.2555930591</v>
      </c>
      <c r="H14" s="63">
        <f>'NW Baseline Grid Char'!H16*VLOOKUP(H$2,'NW Baseline Energy'!$A$4:$G$43,6,0)</f>
        <v>4101168.6748850713</v>
      </c>
      <c r="I14" s="63">
        <f>'NW Baseline Grid Char'!I16*VLOOKUP(I$2,'NW Baseline Energy'!$A$4:$G$43,6,0)</f>
        <v>4130652.5363674792</v>
      </c>
      <c r="J14" s="63">
        <f>'NW Baseline Grid Char'!J16*VLOOKUP(J$2,'NW Baseline Energy'!$A$4:$G$43,6,0)</f>
        <v>4159665.0747942333</v>
      </c>
      <c r="K14" s="63">
        <f>'NW Baseline Grid Char'!K16*VLOOKUP(K$2,'NW Baseline Energy'!$A$4:$G$43,6,0)</f>
        <v>4205009.0143007999</v>
      </c>
      <c r="L14" s="63">
        <f>'NW Baseline Grid Char'!L16*VLOOKUP(L$2,'NW Baseline Energy'!$A$4:$G$43,6,0)</f>
        <v>4236219.6071711509</v>
      </c>
      <c r="M14" s="63">
        <f>'NW Baseline Grid Char'!M16*VLOOKUP(M$2,'NW Baseline Energy'!$A$4:$G$43,6,0)</f>
        <v>4267598.5720281387</v>
      </c>
      <c r="N14" s="63">
        <f>'NW Baseline Grid Char'!N16*VLOOKUP(N$2,'NW Baseline Energy'!$A$4:$G$43,6,0)</f>
        <v>4299145.8770781439</v>
      </c>
      <c r="O14" s="63">
        <f>'NW Baseline Grid Char'!O16*VLOOKUP(O$2,'NW Baseline Energy'!$A$4:$G$43,6,0)</f>
        <v>4330861.170617383</v>
      </c>
      <c r="P14" s="63">
        <f>'NW Baseline Grid Char'!P16*VLOOKUP(P$2,'NW Baseline Energy'!$A$4:$G$43,6,0)</f>
        <v>4362744.3725602608</v>
      </c>
      <c r="Q14" s="63">
        <f>'NW Baseline Grid Char'!Q16*VLOOKUP(Q$2,'NW Baseline Energy'!$A$4:$G$43,6,0)</f>
        <v>4394795.0751031721</v>
      </c>
      <c r="R14" s="63">
        <f>'NW Baseline Grid Char'!R16*VLOOKUP(R$2,'NW Baseline Energy'!$A$4:$G$43,6,0)</f>
        <v>4427013.1476899805</v>
      </c>
      <c r="S14" s="63">
        <f>'NW Baseline Grid Char'!S16*VLOOKUP(S$2,'NW Baseline Energy'!$A$4:$G$43,6,0)</f>
        <v>4459398.1240490358</v>
      </c>
      <c r="T14" s="63">
        <f>'NW Baseline Grid Char'!T16*VLOOKUP(T$2,'NW Baseline Energy'!$A$4:$G$43,6,0)</f>
        <v>4491949.820901012</v>
      </c>
      <c r="U14" s="63">
        <f>'NW Baseline Grid Char'!U16*VLOOKUP(U$2,'NW Baseline Energy'!$A$4:$G$43,6,0)</f>
        <v>4514445.2112060003</v>
      </c>
      <c r="V14" s="63">
        <f>'NW Baseline Grid Char'!V16*VLOOKUP(V$2,'NW Baseline Energy'!$A$4:$G$43,6,0)</f>
        <v>4409812.3755957419</v>
      </c>
      <c r="W14" s="63">
        <f>'NW Baseline Grid Char'!W16*VLOOKUP(W$2,'NW Baseline Energy'!$A$4:$G$43,6,0)</f>
        <v>4420586.3483140599</v>
      </c>
      <c r="X14" s="63">
        <f>'NW Baseline Grid Char'!X16*VLOOKUP(X$2,'NW Baseline Energy'!$A$4:$G$43,6,0)</f>
        <v>4432496.0947524998</v>
      </c>
      <c r="Y14" s="63">
        <f>'NW Baseline Grid Char'!Y16*VLOOKUP(Y$2,'NW Baseline Energy'!$A$4:$G$43,6,0)</f>
        <v>4445329.7997629233</v>
      </c>
      <c r="Z14" s="63">
        <f>'NW Baseline Grid Char'!Z16*VLOOKUP(Z$2,'NW Baseline Energy'!$A$4:$G$43,6,0)</f>
        <v>4458801.9270506054</v>
      </c>
      <c r="AA14" s="63">
        <f>'NW Baseline Grid Char'!AA16*VLOOKUP(AA$2,'NW Baseline Energy'!$A$4:$G$43,6,0)</f>
        <v>4472541.1755712042</v>
      </c>
      <c r="AB14" s="63">
        <f>'NW Baseline Grid Char'!AB16*VLOOKUP(AB$2,'NW Baseline Energy'!$A$4:$G$43,6,0)</f>
        <v>4486076.2459659539</v>
      </c>
      <c r="AC14" s="63">
        <f>'NW Baseline Grid Char'!AC16*VLOOKUP(AC$2,'NW Baseline Energy'!$A$4:$G$43,6,0)</f>
        <v>4498821.4552656207</v>
      </c>
      <c r="AD14" s="63">
        <f>'NW Baseline Grid Char'!AD16*VLOOKUP(AD$2,'NW Baseline Energy'!$A$4:$G$43,6,0)</f>
        <v>4510059.7740292288</v>
      </c>
      <c r="AE14" s="63">
        <f>'NW Baseline Grid Char'!AE16*VLOOKUP(AE$2,'NW Baseline Energy'!$A$4:$G$43,6,0)</f>
        <v>4518924.9906394146</v>
      </c>
      <c r="AF14" s="63">
        <f>'NW Baseline Grid Char'!AF16*VLOOKUP(AF$2,'NW Baseline Energy'!$A$4:$G$43,6,0)</f>
        <v>4457865.2429147363</v>
      </c>
      <c r="AG14" s="63">
        <f>'NW Baseline Grid Char'!AG16*VLOOKUP(AG$2,'NW Baseline Energy'!$A$4:$G$43,6,0)</f>
        <v>4456975.3830211544</v>
      </c>
      <c r="AH14" s="63">
        <f>'NW Baseline Grid Char'!AH16*VLOOKUP(AH$2,'NW Baseline Energy'!$A$4:$G$43,6,0)</f>
        <v>4455707.1412816811</v>
      </c>
      <c r="AI14" s="63">
        <f>'NW Baseline Grid Char'!AI16*VLOOKUP(AI$2,'NW Baseline Energy'!$A$4:$G$43,6,0)</f>
        <v>4454053.9495423501</v>
      </c>
      <c r="AJ14" s="63">
        <f>'NW Baseline Grid Char'!AJ16*VLOOKUP(AJ$2,'NW Baseline Energy'!$A$4:$G$43,6,0)</f>
        <v>4452008.8795449492</v>
      </c>
      <c r="AK14" s="63">
        <f>'NW Baseline Grid Char'!AK16*VLOOKUP(AK$2,'NW Baseline Energy'!$A$4:$G$43,6,0)</f>
        <v>4449565.0004863888</v>
      </c>
      <c r="AL14" s="63">
        <f>'NW Baseline Grid Char'!AL16*VLOOKUP(AL$2,'NW Baseline Energy'!$A$4:$G$43,6,0)</f>
        <v>4446715.1948845275</v>
      </c>
      <c r="AM14" s="63">
        <f>'NW Baseline Grid Char'!AM16*VLOOKUP(AM$2,'NW Baseline Energy'!$A$4:$G$43,6,0)</f>
        <v>4443452.5308927046</v>
      </c>
      <c r="AN14" s="63">
        <f>'NW Baseline Grid Char'!AN16*VLOOKUP(AN$2,'NW Baseline Energy'!$A$4:$G$43,6,0)</f>
        <v>4439769.7022842867</v>
      </c>
      <c r="AO14" s="63">
        <f>'NW Baseline Grid Char'!AO16*VLOOKUP(AO$2,'NW Baseline Energy'!$A$4:$G$43,6,0)</f>
        <v>4435659.3990701716</v>
      </c>
    </row>
    <row r="15" spans="1:41">
      <c r="A15" s="63" t="s">
        <v>198</v>
      </c>
      <c r="B15" s="63">
        <f>'NW Baseline Grid Char'!B19*VLOOKUP(B$2,'NW Baseline Energy'!$A$4:$G$43,6,0)</f>
        <v>1370406.4787949231</v>
      </c>
      <c r="C15" s="63">
        <f>'NW Baseline Grid Char'!C19*VLOOKUP(C$2,'NW Baseline Energy'!$A$4:$G$43,6,0)</f>
        <v>1396918.1803642253</v>
      </c>
      <c r="D15" s="63">
        <f>'NW Baseline Grid Char'!D19*VLOOKUP(D$2,'NW Baseline Energy'!$A$4:$G$43,6,0)</f>
        <v>1423941.9386672839</v>
      </c>
      <c r="E15" s="63">
        <f>'NW Baseline Grid Char'!E19*VLOOKUP(E$2,'NW Baseline Energy'!$A$4:$G$43,6,0)</f>
        <v>1451487.7534755939</v>
      </c>
      <c r="F15" s="63">
        <f>'NW Baseline Grid Char'!F19*VLOOKUP(F$2,'NW Baseline Energy'!$A$4:$G$43,6,0)</f>
        <v>1479565.5652454831</v>
      </c>
      <c r="G15" s="63">
        <f>'NW Baseline Grid Char'!G19*VLOOKUP(G$2,'NW Baseline Energy'!$A$4:$G$43,6,0)</f>
        <v>1508185.7626721803</v>
      </c>
      <c r="H15" s="63">
        <f>'NW Baseline Grid Char'!H19*VLOOKUP(H$2,'NW Baseline Energy'!$A$4:$G$43,6,0)</f>
        <v>1537358.7398990202</v>
      </c>
      <c r="I15" s="63">
        <f>'NW Baseline Grid Char'!I19*VLOOKUP(I$2,'NW Baseline Energy'!$A$4:$G$43,6,0)</f>
        <v>1567095.0871010229</v>
      </c>
      <c r="J15" s="63">
        <f>'NW Baseline Grid Char'!J19*VLOOKUP(J$2,'NW Baseline Energy'!$A$4:$G$43,6,0)</f>
        <v>1597405.8048489315</v>
      </c>
      <c r="K15" s="63">
        <f>'NW Baseline Grid Char'!K19*VLOOKUP(K$2,'NW Baseline Energy'!$A$4:$G$43,6,0)</f>
        <v>1634846.5493942399</v>
      </c>
      <c r="L15" s="63">
        <f>'NW Baseline Grid Char'!L19*VLOOKUP(L$2,'NW Baseline Energy'!$A$4:$G$43,6,0)</f>
        <v>1650878.7137444564</v>
      </c>
      <c r="M15" s="63">
        <f>'NW Baseline Grid Char'!M19*VLOOKUP(M$2,'NW Baseline Energy'!$A$4:$G$43,6,0)</f>
        <v>1667064.4550130954</v>
      </c>
      <c r="N15" s="63">
        <f>'NW Baseline Grid Char'!N19*VLOOKUP(N$2,'NW Baseline Energy'!$A$4:$G$43,6,0)</f>
        <v>1683405.1969316725</v>
      </c>
      <c r="O15" s="63">
        <f>'NW Baseline Grid Char'!O19*VLOOKUP(O$2,'NW Baseline Energy'!$A$4:$G$43,6,0)</f>
        <v>1699902.4510605682</v>
      </c>
      <c r="P15" s="63">
        <f>'NW Baseline Grid Char'!P19*VLOOKUP(P$2,'NW Baseline Energy'!$A$4:$G$43,6,0)</f>
        <v>1716557.5166923865</v>
      </c>
      <c r="Q15" s="63">
        <f>'NW Baseline Grid Char'!Q19*VLOOKUP(Q$2,'NW Baseline Energy'!$A$4:$G$43,6,0)</f>
        <v>1733371.9299871523</v>
      </c>
      <c r="R15" s="63">
        <f>'NW Baseline Grid Char'!R19*VLOOKUP(R$2,'NW Baseline Energy'!$A$4:$G$43,6,0)</f>
        <v>1750347.1655587906</v>
      </c>
      <c r="S15" s="63">
        <f>'NW Baseline Grid Char'!S19*VLOOKUP(S$2,'NW Baseline Energy'!$A$4:$G$43,6,0)</f>
        <v>1767484.7897229171</v>
      </c>
      <c r="T15" s="63">
        <f>'NW Baseline Grid Char'!T19*VLOOKUP(T$2,'NW Baseline Energy'!$A$4:$G$43,6,0)</f>
        <v>1784786.1466032176</v>
      </c>
      <c r="U15" s="63">
        <f>'NW Baseline Grid Char'!U19*VLOOKUP(U$2,'NW Baseline Energy'!$A$4:$G$43,6,0)</f>
        <v>1798181.0307215999</v>
      </c>
      <c r="V15" s="63">
        <f>'NW Baseline Grid Char'!V19*VLOOKUP(V$2,'NW Baseline Energy'!$A$4:$G$43,6,0)</f>
        <v>1815571.8529729359</v>
      </c>
      <c r="W15" s="63">
        <f>'NW Baseline Grid Char'!W19*VLOOKUP(W$2,'NW Baseline Energy'!$A$4:$G$43,6,0)</f>
        <v>1829522.2735632362</v>
      </c>
      <c r="X15" s="63">
        <f>'NW Baseline Grid Char'!X19*VLOOKUP(X$2,'NW Baseline Energy'!$A$4:$G$43,6,0)</f>
        <v>1843536.7306424105</v>
      </c>
      <c r="Y15" s="63">
        <f>'NW Baseline Grid Char'!Y19*VLOOKUP(Y$2,'NW Baseline Energy'!$A$4:$G$43,6,0)</f>
        <v>1857622.4621851556</v>
      </c>
      <c r="Z15" s="63">
        <f>'NW Baseline Grid Char'!Z19*VLOOKUP(Z$2,'NW Baseline Energy'!$A$4:$G$43,6,0)</f>
        <v>1871788.7291466852</v>
      </c>
      <c r="AA15" s="63">
        <f>'NW Baseline Grid Char'!AA19*VLOOKUP(AA$2,'NW Baseline Energy'!$A$4:$G$43,6,0)</f>
        <v>1886047.7486085161</v>
      </c>
      <c r="AB15" s="63">
        <f>'NW Baseline Grid Char'!AB19*VLOOKUP(AB$2,'NW Baseline Energy'!$A$4:$G$43,6,0)</f>
        <v>1900414.3919745467</v>
      </c>
      <c r="AC15" s="63">
        <f>'NW Baseline Grid Char'!AC19*VLOOKUP(AC$2,'NW Baseline Energy'!$A$4:$G$43,6,0)</f>
        <v>1914907.416922336</v>
      </c>
      <c r="AD15" s="63">
        <f>'NW Baseline Grid Char'!AD19*VLOOKUP(AD$2,'NW Baseline Energy'!$A$4:$G$43,6,0)</f>
        <v>1929549.2824588281</v>
      </c>
      <c r="AE15" s="63">
        <f>'NW Baseline Grid Char'!AE19*VLOOKUP(AE$2,'NW Baseline Energy'!$A$4:$G$43,6,0)</f>
        <v>1944367.3553905252</v>
      </c>
      <c r="AF15" s="63">
        <f>'NW Baseline Grid Char'!AF19*VLOOKUP(AF$2,'NW Baseline Energy'!$A$4:$G$43,6,0)</f>
        <v>1961433.639697639</v>
      </c>
      <c r="AG15" s="63">
        <f>'NW Baseline Grid Char'!AG19*VLOOKUP(AG$2,'NW Baseline Energy'!$A$4:$G$43,6,0)</f>
        <v>1976759.5314293606</v>
      </c>
      <c r="AH15" s="63">
        <f>'NW Baseline Grid Char'!AH19*VLOOKUP(AH$2,'NW Baseline Energy'!$A$4:$G$43,6,0)</f>
        <v>1992202.3453770666</v>
      </c>
      <c r="AI15" s="63">
        <f>'NW Baseline Grid Char'!AI19*VLOOKUP(AI$2,'NW Baseline Energy'!$A$4:$G$43,6,0)</f>
        <v>2007762.9441325504</v>
      </c>
      <c r="AJ15" s="63">
        <f>'NW Baseline Grid Char'!AJ19*VLOOKUP(AJ$2,'NW Baseline Energy'!$A$4:$G$43,6,0)</f>
        <v>2023442.1963380456</v>
      </c>
      <c r="AK15" s="63">
        <f>'NW Baseline Grid Char'!AK19*VLOOKUP(AK$2,'NW Baseline Energy'!$A$4:$G$43,6,0)</f>
        <v>2039240.9767252163</v>
      </c>
      <c r="AL15" s="63">
        <f>'NW Baseline Grid Char'!AL19*VLOOKUP(AL$2,'NW Baseline Energy'!$A$4:$G$43,6,0)</f>
        <v>2055160.1661543562</v>
      </c>
      <c r="AM15" s="63">
        <f>'NW Baseline Grid Char'!AM19*VLOOKUP(AM$2,'NW Baseline Energy'!$A$4:$G$43,6,0)</f>
        <v>2071200.6516537999</v>
      </c>
      <c r="AN15" s="63">
        <f>'NW Baseline Grid Char'!AN19*VLOOKUP(AN$2,'NW Baseline Energy'!$A$4:$G$43,6,0)</f>
        <v>2087363.3264595477</v>
      </c>
      <c r="AO15" s="63">
        <f>'NW Baseline Grid Char'!AO19*VLOOKUP(AO$2,'NW Baseline Energy'!$A$4:$G$43,6,0)</f>
        <v>2103649.0900551011</v>
      </c>
    </row>
    <row r="16" spans="1:41">
      <c r="A16" s="63" t="s">
        <v>201</v>
      </c>
      <c r="B16" s="63">
        <f>'NW Baseline Grid Char'!B22*VLOOKUP(B$2,'NW Baseline Energy'!$A$4:$G$43,6,0)</f>
        <v>0</v>
      </c>
      <c r="C16" s="63">
        <f>'NW Baseline Grid Char'!C22*VLOOKUP(C$2,'NW Baseline Energy'!$A$4:$G$43,6,0)</f>
        <v>0</v>
      </c>
      <c r="D16" s="63">
        <f>'NW Baseline Grid Char'!D22*VLOOKUP(D$2,'NW Baseline Energy'!$A$4:$G$43,6,0)</f>
        <v>0</v>
      </c>
      <c r="E16" s="63">
        <f>'NW Baseline Grid Char'!E22*VLOOKUP(E$2,'NW Baseline Energy'!$A$4:$G$43,6,0)</f>
        <v>0</v>
      </c>
      <c r="F16" s="63">
        <f>'NW Baseline Grid Char'!F22*VLOOKUP(F$2,'NW Baseline Energy'!$A$4:$G$43,6,0)</f>
        <v>0</v>
      </c>
      <c r="G16" s="63">
        <f>'NW Baseline Grid Char'!G22*VLOOKUP(G$2,'NW Baseline Energy'!$A$4:$G$43,6,0)</f>
        <v>0</v>
      </c>
      <c r="H16" s="63">
        <f>'NW Baseline Grid Char'!H22*VLOOKUP(H$2,'NW Baseline Energy'!$A$4:$G$43,6,0)</f>
        <v>0</v>
      </c>
      <c r="I16" s="63">
        <f>'NW Baseline Grid Char'!I22*VLOOKUP(I$2,'NW Baseline Energy'!$A$4:$G$43,6,0)</f>
        <v>0</v>
      </c>
      <c r="J16" s="63">
        <f>'NW Baseline Grid Char'!J22*VLOOKUP(J$2,'NW Baseline Energy'!$A$4:$G$43,6,0)</f>
        <v>0</v>
      </c>
      <c r="K16" s="63">
        <f>'NW Baseline Grid Char'!K22*VLOOKUP(K$2,'NW Baseline Energy'!$A$4:$G$43,6,0)</f>
        <v>0</v>
      </c>
      <c r="L16" s="63">
        <f>'NW Baseline Grid Char'!L22*VLOOKUP(L$2,'NW Baseline Energy'!$A$4:$G$43,6,0)</f>
        <v>0</v>
      </c>
      <c r="M16" s="63">
        <f>'NW Baseline Grid Char'!M22*VLOOKUP(M$2,'NW Baseline Energy'!$A$4:$G$43,6,0)</f>
        <v>0</v>
      </c>
      <c r="N16" s="63">
        <f>'NW Baseline Grid Char'!N22*VLOOKUP(N$2,'NW Baseline Energy'!$A$4:$G$43,6,0)</f>
        <v>0</v>
      </c>
      <c r="O16" s="63">
        <f>'NW Baseline Grid Char'!O22*VLOOKUP(O$2,'NW Baseline Energy'!$A$4:$G$43,6,0)</f>
        <v>0</v>
      </c>
      <c r="P16" s="63">
        <f>'NW Baseline Grid Char'!P22*VLOOKUP(P$2,'NW Baseline Energy'!$A$4:$G$43,6,0)</f>
        <v>0</v>
      </c>
      <c r="Q16" s="63">
        <f>'NW Baseline Grid Char'!Q22*VLOOKUP(Q$2,'NW Baseline Energy'!$A$4:$G$43,6,0)</f>
        <v>0</v>
      </c>
      <c r="R16" s="63">
        <f>'NW Baseline Grid Char'!R22*VLOOKUP(R$2,'NW Baseline Energy'!$A$4:$G$43,6,0)</f>
        <v>0</v>
      </c>
      <c r="S16" s="63">
        <f>'NW Baseline Grid Char'!S22*VLOOKUP(S$2,'NW Baseline Energy'!$A$4:$G$43,6,0)</f>
        <v>0</v>
      </c>
      <c r="T16" s="63">
        <f>'NW Baseline Grid Char'!T22*VLOOKUP(T$2,'NW Baseline Energy'!$A$4:$G$43,6,0)</f>
        <v>0</v>
      </c>
      <c r="U16" s="63">
        <f>'NW Baseline Grid Char'!U22*VLOOKUP(U$2,'NW Baseline Energy'!$A$4:$G$43,6,0)</f>
        <v>0</v>
      </c>
      <c r="V16" s="63">
        <f>'NW Baseline Grid Char'!V22*VLOOKUP(V$2,'NW Baseline Energy'!$A$4:$G$43,6,0)</f>
        <v>0</v>
      </c>
      <c r="W16" s="63">
        <f>'NW Baseline Grid Char'!W22*VLOOKUP(W$2,'NW Baseline Energy'!$A$4:$G$43,6,0)</f>
        <v>0</v>
      </c>
      <c r="X16" s="63">
        <f>'NW Baseline Grid Char'!X22*VLOOKUP(X$2,'NW Baseline Energy'!$A$4:$G$43,6,0)</f>
        <v>0</v>
      </c>
      <c r="Y16" s="63">
        <f>'NW Baseline Grid Char'!Y22*VLOOKUP(Y$2,'NW Baseline Energy'!$A$4:$G$43,6,0)</f>
        <v>0</v>
      </c>
      <c r="Z16" s="63">
        <f>'NW Baseline Grid Char'!Z22*VLOOKUP(Z$2,'NW Baseline Energy'!$A$4:$G$43,6,0)</f>
        <v>0</v>
      </c>
      <c r="AA16" s="63">
        <f>'NW Baseline Grid Char'!AA22*VLOOKUP(AA$2,'NW Baseline Energy'!$A$4:$G$43,6,0)</f>
        <v>0</v>
      </c>
      <c r="AB16" s="63">
        <f>'NW Baseline Grid Char'!AB22*VLOOKUP(AB$2,'NW Baseline Energy'!$A$4:$G$43,6,0)</f>
        <v>0</v>
      </c>
      <c r="AC16" s="63">
        <f>'NW Baseline Grid Char'!AC22*VLOOKUP(AC$2,'NW Baseline Energy'!$A$4:$G$43,6,0)</f>
        <v>0</v>
      </c>
      <c r="AD16" s="63">
        <f>'NW Baseline Grid Char'!AD22*VLOOKUP(AD$2,'NW Baseline Energy'!$A$4:$G$43,6,0)</f>
        <v>0</v>
      </c>
      <c r="AE16" s="63">
        <f>'NW Baseline Grid Char'!AE22*VLOOKUP(AE$2,'NW Baseline Energy'!$A$4:$G$43,6,0)</f>
        <v>0</v>
      </c>
      <c r="AF16" s="63">
        <f>'NW Baseline Grid Char'!AF22*VLOOKUP(AF$2,'NW Baseline Energy'!$A$4:$G$43,6,0)</f>
        <v>0</v>
      </c>
      <c r="AG16" s="63">
        <f>'NW Baseline Grid Char'!AG22*VLOOKUP(AG$2,'NW Baseline Energy'!$A$4:$G$43,6,0)</f>
        <v>0</v>
      </c>
      <c r="AH16" s="63">
        <f>'NW Baseline Grid Char'!AH22*VLOOKUP(AH$2,'NW Baseline Energy'!$A$4:$G$43,6,0)</f>
        <v>0</v>
      </c>
      <c r="AI16" s="63">
        <f>'NW Baseline Grid Char'!AI22*VLOOKUP(AI$2,'NW Baseline Energy'!$A$4:$G$43,6,0)</f>
        <v>0</v>
      </c>
      <c r="AJ16" s="63">
        <f>'NW Baseline Grid Char'!AJ22*VLOOKUP(AJ$2,'NW Baseline Energy'!$A$4:$G$43,6,0)</f>
        <v>0</v>
      </c>
      <c r="AK16" s="63">
        <f>'NW Baseline Grid Char'!AK22*VLOOKUP(AK$2,'NW Baseline Energy'!$A$4:$G$43,6,0)</f>
        <v>0</v>
      </c>
      <c r="AL16" s="63">
        <f>'NW Baseline Grid Char'!AL22*VLOOKUP(AL$2,'NW Baseline Energy'!$A$4:$G$43,6,0)</f>
        <v>0</v>
      </c>
      <c r="AM16" s="63">
        <f>'NW Baseline Grid Char'!AM22*VLOOKUP(AM$2,'NW Baseline Energy'!$A$4:$G$43,6,0)</f>
        <v>0</v>
      </c>
      <c r="AN16" s="63">
        <f>'NW Baseline Grid Char'!AN22*VLOOKUP(AN$2,'NW Baseline Energy'!$A$4:$G$43,6,0)</f>
        <v>0</v>
      </c>
      <c r="AO16" s="63">
        <f>'NW Baseline Grid Char'!AO22*VLOOKUP(AO$2,'NW Baseline Energy'!$A$4:$G$43,6,0)</f>
        <v>0</v>
      </c>
    </row>
    <row r="17" spans="1:41">
      <c r="A17" s="63" t="s">
        <v>184</v>
      </c>
      <c r="B17" s="63">
        <f>'NW Baseline Grid Char'!B5*VLOOKUP(B$2,'NW Baseline Energy'!$A$4:$G$43,7,0)</f>
        <v>1818449.282354383</v>
      </c>
      <c r="C17" s="63">
        <f>'NW Baseline Grid Char'!C5*VLOOKUP(C$2,'NW Baseline Energy'!$A$4:$G$43,7,0)</f>
        <v>1825408.5708291982</v>
      </c>
      <c r="D17" s="63">
        <f>'NW Baseline Grid Char'!D5*VLOOKUP(D$2,'NW Baseline Energy'!$A$4:$G$43,7,0)</f>
        <v>1832104.6721023906</v>
      </c>
      <c r="E17" s="63">
        <f>'NW Baseline Grid Char'!E5*VLOOKUP(E$2,'NW Baseline Energy'!$A$4:$G$43,7,0)</f>
        <v>1838526.9705766295</v>
      </c>
      <c r="F17" s="63">
        <f>'NW Baseline Grid Char'!F5*VLOOKUP(F$2,'NW Baseline Energy'!$A$4:$G$43,7,0)</f>
        <v>1844664.5684020468</v>
      </c>
      <c r="G17" s="63">
        <f>'NW Baseline Grid Char'!G5*VLOOKUP(G$2,'NW Baseline Energy'!$A$4:$G$43,7,0)</f>
        <v>1850506.2789259343</v>
      </c>
      <c r="H17" s="63">
        <f>'NW Baseline Grid Char'!H5*VLOOKUP(H$2,'NW Baseline Energy'!$A$4:$G$43,7,0)</f>
        <v>1856040.6199997554</v>
      </c>
      <c r="I17" s="63">
        <f>'NW Baseline Grid Char'!I5*VLOOKUP(I$2,'NW Baseline Energy'!$A$4:$G$43,7,0)</f>
        <v>1861255.8071404542</v>
      </c>
      <c r="J17" s="63">
        <f>'NW Baseline Grid Char'!J5*VLOOKUP(J$2,'NW Baseline Energy'!$A$4:$G$43,7,0)</f>
        <v>1866139.7465429923</v>
      </c>
      <c r="K17" s="63">
        <f>'NW Baseline Grid Char'!K5*VLOOKUP(K$2,'NW Baseline Energy'!$A$4:$G$43,7,0)</f>
        <v>1876381.8787047602</v>
      </c>
      <c r="L17" s="63">
        <f>'NW Baseline Grid Char'!L5*VLOOKUP(L$2,'NW Baseline Energy'!$A$4:$G$43,7,0)</f>
        <v>1905258.5110501563</v>
      </c>
      <c r="M17" s="63">
        <f>'NW Baseline Grid Char'!M5*VLOOKUP(M$2,'NW Baseline Energy'!$A$4:$G$43,7,0)</f>
        <v>1934504.8972658883</v>
      </c>
      <c r="N17" s="63">
        <f>'NW Baseline Grid Char'!N5*VLOOKUP(N$2,'NW Baseline Energy'!$A$4:$G$43,7,0)</f>
        <v>1964124.5488486772</v>
      </c>
      <c r="O17" s="63">
        <f>'NW Baseline Grid Char'!O5*VLOOKUP(O$2,'NW Baseline Energy'!$A$4:$G$43,7,0)</f>
        <v>1994120.982714765</v>
      </c>
      <c r="P17" s="63">
        <f>'NW Baseline Grid Char'!P5*VLOOKUP(P$2,'NW Baseline Energy'!$A$4:$G$43,7,0)</f>
        <v>2024497.7203008637</v>
      </c>
      <c r="Q17" s="63">
        <f>'NW Baseline Grid Char'!Q5*VLOOKUP(Q$2,'NW Baseline Energy'!$A$4:$G$43,7,0)</f>
        <v>2055258.2866323241</v>
      </c>
      <c r="R17" s="63">
        <f>'NW Baseline Grid Char'!R5*VLOOKUP(R$2,'NW Baseline Energy'!$A$4:$G$43,7,0)</f>
        <v>2086406.2093576787</v>
      </c>
      <c r="S17" s="63">
        <f>'NW Baseline Grid Char'!S5*VLOOKUP(S$2,'NW Baseline Energy'!$A$4:$G$43,7,0)</f>
        <v>2117945.0177486469</v>
      </c>
      <c r="T17" s="63">
        <f>'NW Baseline Grid Char'!T5*VLOOKUP(T$2,'NW Baseline Energy'!$A$4:$G$43,7,0)</f>
        <v>2149878.2416647389</v>
      </c>
      <c r="U17" s="63">
        <f>'NW Baseline Grid Char'!U5*VLOOKUP(U$2,'NW Baseline Energy'!$A$4:$G$43,7,0)</f>
        <v>2177898.7543000802</v>
      </c>
      <c r="V17" s="63">
        <f>'NW Baseline Grid Char'!V5*VLOOKUP(V$2,'NW Baseline Energy'!$A$4:$G$43,7,0)</f>
        <v>2206284.4732587994</v>
      </c>
      <c r="W17" s="63">
        <f>'NW Baseline Grid Char'!W5*VLOOKUP(W$2,'NW Baseline Energy'!$A$4:$G$43,7,0)</f>
        <v>2235040.1584701794</v>
      </c>
      <c r="X17" s="63">
        <f>'NW Baseline Grid Char'!X5*VLOOKUP(X$2,'NW Baseline Energy'!$A$4:$G$43,7,0)</f>
        <v>2264170.6319022072</v>
      </c>
      <c r="Y17" s="63">
        <f>'NW Baseline Grid Char'!Y5*VLOOKUP(Y$2,'NW Baseline Energy'!$A$4:$G$43,7,0)</f>
        <v>2293680.7783701573</v>
      </c>
      <c r="Z17" s="63">
        <f>'NW Baseline Grid Char'!Z5*VLOOKUP(Z$2,'NW Baseline Energy'!$A$4:$G$43,7,0)</f>
        <v>2323575.5463557132</v>
      </c>
      <c r="AA17" s="63">
        <f>'NW Baseline Grid Char'!AA5*VLOOKUP(AA$2,'NW Baseline Energy'!$A$4:$G$43,7,0)</f>
        <v>2353859.9488367653</v>
      </c>
      <c r="AB17" s="63">
        <f>'NW Baseline Grid Char'!AB5*VLOOKUP(AB$2,'NW Baseline Energy'!$A$4:$G$43,7,0)</f>
        <v>2384539.0641280259</v>
      </c>
      <c r="AC17" s="63">
        <f>'NW Baseline Grid Char'!AC5*VLOOKUP(AC$2,'NW Baseline Energy'!$A$4:$G$43,7,0)</f>
        <v>2415618.0367325987</v>
      </c>
      <c r="AD17" s="63">
        <f>'NW Baseline Grid Char'!AD5*VLOOKUP(AD$2,'NW Baseline Energy'!$A$4:$G$43,7,0)</f>
        <v>2447102.0782046458</v>
      </c>
      <c r="AE17" s="63">
        <f>'NW Baseline Grid Char'!AE5*VLOOKUP(AE$2,'NW Baseline Energy'!$A$4:$G$43,7,0)</f>
        <v>2478996.468023303</v>
      </c>
      <c r="AF17" s="63">
        <f>'NW Baseline Grid Char'!AF5*VLOOKUP(AF$2,'NW Baseline Energy'!$A$4:$G$43,7,0)</f>
        <v>2511306.5544779785</v>
      </c>
      <c r="AG17" s="63">
        <f>'NW Baseline Grid Char'!AG5*VLOOKUP(AG$2,'NW Baseline Energy'!$A$4:$G$43,7,0)</f>
        <v>2544037.7555651986</v>
      </c>
      <c r="AH17" s="63">
        <f>'NW Baseline Grid Char'!AH5*VLOOKUP(AH$2,'NW Baseline Energy'!$A$4:$G$43,7,0)</f>
        <v>2577195.5598971322</v>
      </c>
      <c r="AI17" s="63">
        <f>'NW Baseline Grid Char'!AI5*VLOOKUP(AI$2,'NW Baseline Energy'!$A$4:$G$43,7,0)</f>
        <v>2610785.5276219677</v>
      </c>
      <c r="AJ17" s="63">
        <f>'NW Baseline Grid Char'!AJ5*VLOOKUP(AJ$2,'NW Baseline Energy'!$A$4:$G$43,7,0)</f>
        <v>2644813.2913562758</v>
      </c>
      <c r="AK17" s="63">
        <f>'NW Baseline Grid Char'!AK5*VLOOKUP(AK$2,'NW Baseline Energy'!$A$4:$G$43,7,0)</f>
        <v>2679284.5571295335</v>
      </c>
      <c r="AL17" s="63">
        <f>'NW Baseline Grid Char'!AL5*VLOOKUP(AL$2,'NW Baseline Energy'!$A$4:$G$43,7,0)</f>
        <v>2714205.1053409474</v>
      </c>
      <c r="AM17" s="63">
        <f>'NW Baseline Grid Char'!AM5*VLOOKUP(AM$2,'NW Baseline Energy'!$A$4:$G$43,7,0)</f>
        <v>2749580.7917287606</v>
      </c>
      <c r="AN17" s="63">
        <f>'NW Baseline Grid Char'!AN5*VLOOKUP(AN$2,'NW Baseline Energy'!$A$4:$G$43,7,0)</f>
        <v>2785417.5483521824</v>
      </c>
      <c r="AO17" s="63">
        <f>'NW Baseline Grid Char'!AO5*VLOOKUP(AO$2,'NW Baseline Energy'!$A$4:$G$43,7,0)</f>
        <v>2821721.384586121</v>
      </c>
    </row>
    <row r="18" spans="1:41">
      <c r="A18" s="63" t="s">
        <v>187</v>
      </c>
      <c r="B18" s="63">
        <f>'NW Baseline Grid Char'!B8*VLOOKUP(B$2,'NW Baseline Energy'!$A$4:$G$43,7,0)</f>
        <v>0</v>
      </c>
      <c r="C18" s="63">
        <f>'NW Baseline Grid Char'!C8*VLOOKUP(C$2,'NW Baseline Energy'!$A$4:$G$43,7,0)</f>
        <v>0</v>
      </c>
      <c r="D18" s="63">
        <f>'NW Baseline Grid Char'!D8*VLOOKUP(D$2,'NW Baseline Energy'!$A$4:$G$43,7,0)</f>
        <v>0</v>
      </c>
      <c r="E18" s="63">
        <f>'NW Baseline Grid Char'!E8*VLOOKUP(E$2,'NW Baseline Energy'!$A$4:$G$43,7,0)</f>
        <v>0</v>
      </c>
      <c r="F18" s="63">
        <f>'NW Baseline Grid Char'!F8*VLOOKUP(F$2,'NW Baseline Energy'!$A$4:$G$43,7,0)</f>
        <v>0</v>
      </c>
      <c r="G18" s="63">
        <f>'NW Baseline Grid Char'!G8*VLOOKUP(G$2,'NW Baseline Energy'!$A$4:$G$43,7,0)</f>
        <v>0</v>
      </c>
      <c r="H18" s="63">
        <f>'NW Baseline Grid Char'!H8*VLOOKUP(H$2,'NW Baseline Energy'!$A$4:$G$43,7,0)</f>
        <v>0</v>
      </c>
      <c r="I18" s="63">
        <f>'NW Baseline Grid Char'!I8*VLOOKUP(I$2,'NW Baseline Energy'!$A$4:$G$43,7,0)</f>
        <v>0</v>
      </c>
      <c r="J18" s="63">
        <f>'NW Baseline Grid Char'!J8*VLOOKUP(J$2,'NW Baseline Energy'!$A$4:$G$43,7,0)</f>
        <v>0</v>
      </c>
      <c r="K18" s="63">
        <f>'NW Baseline Grid Char'!K8*VLOOKUP(K$2,'NW Baseline Energy'!$A$4:$G$43,7,0)</f>
        <v>0</v>
      </c>
      <c r="L18" s="63">
        <f>'NW Baseline Grid Char'!L8*VLOOKUP(L$2,'NW Baseline Energy'!$A$4:$G$43,7,0)</f>
        <v>0</v>
      </c>
      <c r="M18" s="63">
        <f>'NW Baseline Grid Char'!M8*VLOOKUP(M$2,'NW Baseline Energy'!$A$4:$G$43,7,0)</f>
        <v>0</v>
      </c>
      <c r="N18" s="63">
        <f>'NW Baseline Grid Char'!N8*VLOOKUP(N$2,'NW Baseline Energy'!$A$4:$G$43,7,0)</f>
        <v>0</v>
      </c>
      <c r="O18" s="63">
        <f>'NW Baseline Grid Char'!O8*VLOOKUP(O$2,'NW Baseline Energy'!$A$4:$G$43,7,0)</f>
        <v>0</v>
      </c>
      <c r="P18" s="63">
        <f>'NW Baseline Grid Char'!P8*VLOOKUP(P$2,'NW Baseline Energy'!$A$4:$G$43,7,0)</f>
        <v>0</v>
      </c>
      <c r="Q18" s="63">
        <f>'NW Baseline Grid Char'!Q8*VLOOKUP(Q$2,'NW Baseline Energy'!$A$4:$G$43,7,0)</f>
        <v>0</v>
      </c>
      <c r="R18" s="63">
        <f>'NW Baseline Grid Char'!R8*VLOOKUP(R$2,'NW Baseline Energy'!$A$4:$G$43,7,0)</f>
        <v>0</v>
      </c>
      <c r="S18" s="63">
        <f>'NW Baseline Grid Char'!S8*VLOOKUP(S$2,'NW Baseline Energy'!$A$4:$G$43,7,0)</f>
        <v>0</v>
      </c>
      <c r="T18" s="63">
        <f>'NW Baseline Grid Char'!T8*VLOOKUP(T$2,'NW Baseline Energy'!$A$4:$G$43,7,0)</f>
        <v>0</v>
      </c>
      <c r="U18" s="63">
        <f>'NW Baseline Grid Char'!U8*VLOOKUP(U$2,'NW Baseline Energy'!$A$4:$G$43,7,0)</f>
        <v>0</v>
      </c>
      <c r="V18" s="63">
        <f>'NW Baseline Grid Char'!V8*VLOOKUP(V$2,'NW Baseline Energy'!$A$4:$G$43,7,0)</f>
        <v>0</v>
      </c>
      <c r="W18" s="63">
        <f>'NW Baseline Grid Char'!W8*VLOOKUP(W$2,'NW Baseline Energy'!$A$4:$G$43,7,0)</f>
        <v>0</v>
      </c>
      <c r="X18" s="63">
        <f>'NW Baseline Grid Char'!X8*VLOOKUP(X$2,'NW Baseline Energy'!$A$4:$G$43,7,0)</f>
        <v>0</v>
      </c>
      <c r="Y18" s="63">
        <f>'NW Baseline Grid Char'!Y8*VLOOKUP(Y$2,'NW Baseline Energy'!$A$4:$G$43,7,0)</f>
        <v>0</v>
      </c>
      <c r="Z18" s="63">
        <f>'NW Baseline Grid Char'!Z8*VLOOKUP(Z$2,'NW Baseline Energy'!$A$4:$G$43,7,0)</f>
        <v>0</v>
      </c>
      <c r="AA18" s="63">
        <f>'NW Baseline Grid Char'!AA8*VLOOKUP(AA$2,'NW Baseline Energy'!$A$4:$G$43,7,0)</f>
        <v>0</v>
      </c>
      <c r="AB18" s="63">
        <f>'NW Baseline Grid Char'!AB8*VLOOKUP(AB$2,'NW Baseline Energy'!$A$4:$G$43,7,0)</f>
        <v>0</v>
      </c>
      <c r="AC18" s="63">
        <f>'NW Baseline Grid Char'!AC8*VLOOKUP(AC$2,'NW Baseline Energy'!$A$4:$G$43,7,0)</f>
        <v>0</v>
      </c>
      <c r="AD18" s="63">
        <f>'NW Baseline Grid Char'!AD8*VLOOKUP(AD$2,'NW Baseline Energy'!$A$4:$G$43,7,0)</f>
        <v>0</v>
      </c>
      <c r="AE18" s="63">
        <f>'NW Baseline Grid Char'!AE8*VLOOKUP(AE$2,'NW Baseline Energy'!$A$4:$G$43,7,0)</f>
        <v>0</v>
      </c>
      <c r="AF18" s="63">
        <f>'NW Baseline Grid Char'!AF8*VLOOKUP(AF$2,'NW Baseline Energy'!$A$4:$G$43,7,0)</f>
        <v>0</v>
      </c>
      <c r="AG18" s="63">
        <f>'NW Baseline Grid Char'!AG8*VLOOKUP(AG$2,'NW Baseline Energy'!$A$4:$G$43,7,0)</f>
        <v>0</v>
      </c>
      <c r="AH18" s="63">
        <f>'NW Baseline Grid Char'!AH8*VLOOKUP(AH$2,'NW Baseline Energy'!$A$4:$G$43,7,0)</f>
        <v>0</v>
      </c>
      <c r="AI18" s="63">
        <f>'NW Baseline Grid Char'!AI8*VLOOKUP(AI$2,'NW Baseline Energy'!$A$4:$G$43,7,0)</f>
        <v>0</v>
      </c>
      <c r="AJ18" s="63">
        <f>'NW Baseline Grid Char'!AJ8*VLOOKUP(AJ$2,'NW Baseline Energy'!$A$4:$G$43,7,0)</f>
        <v>0</v>
      </c>
      <c r="AK18" s="63">
        <f>'NW Baseline Grid Char'!AK8*VLOOKUP(AK$2,'NW Baseline Energy'!$A$4:$G$43,7,0)</f>
        <v>0</v>
      </c>
      <c r="AL18" s="63">
        <f>'NW Baseline Grid Char'!AL8*VLOOKUP(AL$2,'NW Baseline Energy'!$A$4:$G$43,7,0)</f>
        <v>0</v>
      </c>
      <c r="AM18" s="63">
        <f>'NW Baseline Grid Char'!AM8*VLOOKUP(AM$2,'NW Baseline Energy'!$A$4:$G$43,7,0)</f>
        <v>0</v>
      </c>
      <c r="AN18" s="63">
        <f>'NW Baseline Grid Char'!AN8*VLOOKUP(AN$2,'NW Baseline Energy'!$A$4:$G$43,7,0)</f>
        <v>0</v>
      </c>
      <c r="AO18" s="63">
        <f>'NW Baseline Grid Char'!AO8*VLOOKUP(AO$2,'NW Baseline Energy'!$A$4:$G$43,7,0)</f>
        <v>0</v>
      </c>
    </row>
    <row r="19" spans="1:41">
      <c r="A19" s="63" t="s">
        <v>190</v>
      </c>
      <c r="B19" s="63">
        <f>'NW Baseline Grid Char'!B11*VLOOKUP(B$2,'NW Baseline Energy'!$A$4:$G$43,7,0)</f>
        <v>2548311.8846815131</v>
      </c>
      <c r="C19" s="63">
        <f>'NW Baseline Grid Char'!C11*VLOOKUP(C$2,'NW Baseline Energy'!$A$4:$G$43,7,0)</f>
        <v>2558064.3906773566</v>
      </c>
      <c r="D19" s="63">
        <f>'NW Baseline Grid Char'!D11*VLOOKUP(D$2,'NW Baseline Energy'!$A$4:$G$43,7,0)</f>
        <v>2567448.0752382008</v>
      </c>
      <c r="E19" s="63">
        <f>'NW Baseline Grid Char'!E11*VLOOKUP(E$2,'NW Baseline Energy'!$A$4:$G$43,7,0)</f>
        <v>2576448.0620333706</v>
      </c>
      <c r="F19" s="63">
        <f>'NW Baseline Grid Char'!F11*VLOOKUP(F$2,'NW Baseline Energy'!$A$4:$G$43,7,0)</f>
        <v>2585049.0791932526</v>
      </c>
      <c r="G19" s="63">
        <f>'NW Baseline Grid Char'!G11*VLOOKUP(G$2,'NW Baseline Energy'!$A$4:$G$43,7,0)</f>
        <v>2593235.4501299327</v>
      </c>
      <c r="H19" s="63">
        <f>'NW Baseline Grid Char'!H11*VLOOKUP(H$2,'NW Baseline Energy'!$A$4:$G$43,7,0)</f>
        <v>2600991.0841578664</v>
      </c>
      <c r="I19" s="63">
        <f>'NW Baseline Grid Char'!I11*VLOOKUP(I$2,'NW Baseline Energy'!$A$4:$G$43,7,0)</f>
        <v>2608299.4669103804</v>
      </c>
      <c r="J19" s="63">
        <f>'NW Baseline Grid Char'!J11*VLOOKUP(J$2,'NW Baseline Energy'!$A$4:$G$43,7,0)</f>
        <v>2615143.6505476818</v>
      </c>
      <c r="K19" s="63">
        <f>'NW Baseline Grid Char'!K11*VLOOKUP(K$2,'NW Baseline Energy'!$A$4:$G$43,7,0)</f>
        <v>2629496.6200616402</v>
      </c>
      <c r="L19" s="63">
        <f>'NW Baseline Grid Char'!L11*VLOOKUP(L$2,'NW Baseline Energy'!$A$4:$G$43,7,0)</f>
        <v>2669963.3331613191</v>
      </c>
      <c r="M19" s="63">
        <f>'NW Baseline Grid Char'!M11*VLOOKUP(M$2,'NW Baseline Energy'!$A$4:$G$43,7,0)</f>
        <v>2710948.2065370786</v>
      </c>
      <c r="N19" s="63">
        <f>'NW Baseline Grid Char'!N11*VLOOKUP(N$2,'NW Baseline Energy'!$A$4:$G$43,7,0)</f>
        <v>2752456.1610788852</v>
      </c>
      <c r="O19" s="63">
        <f>'NW Baseline Grid Char'!O11*VLOOKUP(O$2,'NW Baseline Energy'!$A$4:$G$43,7,0)</f>
        <v>2794492.1252714335</v>
      </c>
      <c r="P19" s="63">
        <f>'NW Baseline Grid Char'!P11*VLOOKUP(P$2,'NW Baseline Energy'!$A$4:$G$43,7,0)</f>
        <v>2837061.0339342495</v>
      </c>
      <c r="Q19" s="63">
        <f>'NW Baseline Grid Char'!Q11*VLOOKUP(Q$2,'NW Baseline Energy'!$A$4:$G$43,7,0)</f>
        <v>2880167.8269158527</v>
      </c>
      <c r="R19" s="63">
        <f>'NW Baseline Grid Char'!R11*VLOOKUP(R$2,'NW Baseline Energy'!$A$4:$G$43,7,0)</f>
        <v>2923817.4477407979</v>
      </c>
      <c r="S19" s="63">
        <f>'NW Baseline Grid Char'!S11*VLOOKUP(S$2,'NW Baseline Energy'!$A$4:$G$43,7,0)</f>
        <v>2968014.8422083193</v>
      </c>
      <c r="T19" s="63">
        <f>'NW Baseline Grid Char'!T11*VLOOKUP(T$2,'NW Baseline Energy'!$A$4:$G$43,7,0)</f>
        <v>3012764.9569413587</v>
      </c>
      <c r="U19" s="63">
        <f>'NW Baseline Grid Char'!U11*VLOOKUP(U$2,'NW Baseline Energy'!$A$4:$G$43,7,0)</f>
        <v>3052031.9335111207</v>
      </c>
      <c r="V19" s="63">
        <f>'NW Baseline Grid Char'!V11*VLOOKUP(V$2,'NW Baseline Energy'!$A$4:$G$43,7,0)</f>
        <v>3091810.697582054</v>
      </c>
      <c r="W19" s="63">
        <f>'NW Baseline Grid Char'!W11*VLOOKUP(W$2,'NW Baseline Energy'!$A$4:$G$43,7,0)</f>
        <v>3132107.9195543076</v>
      </c>
      <c r="X19" s="63">
        <f>'NW Baseline Grid Char'!X11*VLOOKUP(X$2,'NW Baseline Energy'!$A$4:$G$43,7,0)</f>
        <v>3172930.3567669219</v>
      </c>
      <c r="Y19" s="63">
        <f>'NW Baseline Grid Char'!Y11*VLOOKUP(Y$2,'NW Baseline Energy'!$A$4:$G$43,7,0)</f>
        <v>3214284.8546309513</v>
      </c>
      <c r="Z19" s="63">
        <f>'NW Baseline Grid Char'!Z11*VLOOKUP(Z$2,'NW Baseline Energy'!$A$4:$G$43,7,0)</f>
        <v>3256178.3477773503</v>
      </c>
      <c r="AA19" s="63">
        <f>'NW Baseline Grid Char'!AA11*VLOOKUP(AA$2,'NW Baseline Energy'!$A$4:$G$43,7,0)</f>
        <v>3298617.861219828</v>
      </c>
      <c r="AB19" s="63">
        <f>'NW Baseline Grid Char'!AB11*VLOOKUP(AB$2,'NW Baseline Energy'!$A$4:$G$43,7,0)</f>
        <v>3341610.5115328538</v>
      </c>
      <c r="AC19" s="63">
        <f>'NW Baseline Grid Char'!AC11*VLOOKUP(AC$2,'NW Baseline Energy'!$A$4:$G$43,7,0)</f>
        <v>3385163.5080450154</v>
      </c>
      <c r="AD19" s="63">
        <f>'NW Baseline Grid Char'!AD11*VLOOKUP(AD$2,'NW Baseline Energy'!$A$4:$G$43,7,0)</f>
        <v>3429284.1540479367</v>
      </c>
      <c r="AE19" s="63">
        <f>'NW Baseline Grid Char'!AE11*VLOOKUP(AE$2,'NW Baseline Energy'!$A$4:$G$43,7,0)</f>
        <v>3473979.8480209457</v>
      </c>
      <c r="AF19" s="63">
        <f>'NW Baseline Grid Char'!AF11*VLOOKUP(AF$2,'NW Baseline Energy'!$A$4:$G$43,7,0)</f>
        <v>3519258.0848717061</v>
      </c>
      <c r="AG19" s="63">
        <f>'NW Baseline Grid Char'!AG11*VLOOKUP(AG$2,'NW Baseline Energy'!$A$4:$G$43,7,0)</f>
        <v>3565126.4571930235</v>
      </c>
      <c r="AH19" s="63">
        <f>'NW Baseline Grid Char'!AH11*VLOOKUP(AH$2,'NW Baseline Energy'!$A$4:$G$43,7,0)</f>
        <v>3611592.6565360213</v>
      </c>
      <c r="AI19" s="63">
        <f>'NW Baseline Grid Char'!AI11*VLOOKUP(AI$2,'NW Baseline Energy'!$A$4:$G$43,7,0)</f>
        <v>3658664.4746999252</v>
      </c>
      <c r="AJ19" s="63">
        <f>'NW Baseline Grid Char'!AJ11*VLOOKUP(AJ$2,'NW Baseline Energy'!$A$4:$G$43,7,0)</f>
        <v>3706349.8050386426</v>
      </c>
      <c r="AK19" s="63">
        <f>'NW Baseline Grid Char'!AK11*VLOOKUP(AK$2,'NW Baseline Energy'!$A$4:$G$43,7,0)</f>
        <v>3754656.6437843861</v>
      </c>
      <c r="AL19" s="63">
        <f>'NW Baseline Grid Char'!AL11*VLOOKUP(AL$2,'NW Baseline Energy'!$A$4:$G$43,7,0)</f>
        <v>3803593.0913885371</v>
      </c>
      <c r="AM19" s="63">
        <f>'NW Baseline Grid Char'!AM11*VLOOKUP(AM$2,'NW Baseline Energy'!$A$4:$G$43,7,0)</f>
        <v>3853167.3538799901</v>
      </c>
      <c r="AN19" s="63">
        <f>'NW Baseline Grid Char'!AN11*VLOOKUP(AN$2,'NW Baseline Energy'!$A$4:$G$43,7,0)</f>
        <v>3903387.7442412027</v>
      </c>
      <c r="AO19" s="63">
        <f>'NW Baseline Grid Char'!AO11*VLOOKUP(AO$2,'NW Baseline Energy'!$A$4:$G$43,7,0)</f>
        <v>3954262.6838021777</v>
      </c>
    </row>
    <row r="20" spans="1:41">
      <c r="A20" s="63" t="s">
        <v>193</v>
      </c>
      <c r="B20" s="63">
        <f>'NW Baseline Grid Char'!B14*VLOOKUP(B$2,'NW Baseline Energy'!$A$4:$G$43,7,0)</f>
        <v>21835361.019546222</v>
      </c>
      <c r="C20" s="63">
        <f>'NW Baseline Grid Char'!C14*VLOOKUP(C$2,'NW Baseline Energy'!$A$4:$G$43,7,0)</f>
        <v>21918925.943661131</v>
      </c>
      <c r="D20" s="63">
        <f>'NW Baseline Grid Char'!D14*VLOOKUP(D$2,'NW Baseline Energy'!$A$4:$G$43,7,0)</f>
        <v>21999330.599508502</v>
      </c>
      <c r="E20" s="63">
        <f>'NW Baseline Grid Char'!E14*VLOOKUP(E$2,'NW Baseline Energy'!$A$4:$G$43,7,0)</f>
        <v>22076447.518369567</v>
      </c>
      <c r="F20" s="63">
        <f>'NW Baseline Grid Char'!F14*VLOOKUP(F$2,'NW Baseline Energy'!$A$4:$G$43,7,0)</f>
        <v>22150145.842326809</v>
      </c>
      <c r="G20" s="63">
        <f>'NW Baseline Grid Char'!G14*VLOOKUP(G$2,'NW Baseline Energy'!$A$4:$G$43,7,0)</f>
        <v>22220291.245609995</v>
      </c>
      <c r="H20" s="63">
        <f>'NW Baseline Grid Char'!H14*VLOOKUP(H$2,'NW Baseline Energy'!$A$4:$G$43,7,0)</f>
        <v>22286745.854228899</v>
      </c>
      <c r="I20" s="63">
        <f>'NW Baseline Grid Char'!I14*VLOOKUP(I$2,'NW Baseline Energy'!$A$4:$G$43,7,0)</f>
        <v>22349368.16385648</v>
      </c>
      <c r="J20" s="63">
        <f>'NW Baseline Grid Char'!J14*VLOOKUP(J$2,'NW Baseline Energy'!$A$4:$G$43,7,0)</f>
        <v>22408012.955925655</v>
      </c>
      <c r="K20" s="63">
        <f>'NW Baseline Grid Char'!K14*VLOOKUP(K$2,'NW Baseline Energy'!$A$4:$G$43,7,0)</f>
        <v>22530997.223637842</v>
      </c>
      <c r="L20" s="63">
        <f>'NW Baseline Grid Char'!L14*VLOOKUP(L$2,'NW Baseline Energy'!$A$4:$G$43,7,0)</f>
        <v>22877738.646898251</v>
      </c>
      <c r="M20" s="63">
        <f>'NW Baseline Grid Char'!M14*VLOOKUP(M$2,'NW Baseline Energy'!$A$4:$G$43,7,0)</f>
        <v>23228919.95711372</v>
      </c>
      <c r="N20" s="63">
        <f>'NW Baseline Grid Char'!N14*VLOOKUP(N$2,'NW Baseline Energy'!$A$4:$G$43,7,0)</f>
        <v>23584583.3192208</v>
      </c>
      <c r="O20" s="63">
        <f>'NW Baseline Grid Char'!O14*VLOOKUP(O$2,'NW Baseline Energy'!$A$4:$G$43,7,0)</f>
        <v>23944770.963231936</v>
      </c>
      <c r="P20" s="63">
        <f>'NW Baseline Grid Char'!P14*VLOOKUP(P$2,'NW Baseline Energy'!$A$4:$G$43,7,0)</f>
        <v>24309525.173439939</v>
      </c>
      <c r="Q20" s="63">
        <f>'NW Baseline Grid Char'!Q14*VLOOKUP(Q$2,'NW Baseline Energy'!$A$4:$G$43,7,0)</f>
        <v>24678888.277228855</v>
      </c>
      <c r="R20" s="63">
        <f>'NW Baseline Grid Char'!R14*VLOOKUP(R$2,'NW Baseline Energy'!$A$4:$G$43,7,0)</f>
        <v>25052902.633481052</v>
      </c>
      <c r="S20" s="63">
        <f>'NW Baseline Grid Char'!S14*VLOOKUP(S$2,'NW Baseline Energy'!$A$4:$G$43,7,0)</f>
        <v>25431610.620569624</v>
      </c>
      <c r="T20" s="63">
        <f>'NW Baseline Grid Char'!T14*VLOOKUP(T$2,'NW Baseline Energy'!$A$4:$G$43,7,0)</f>
        <v>25815054.623925656</v>
      </c>
      <c r="U20" s="63">
        <f>'NW Baseline Grid Char'!U14*VLOOKUP(U$2,'NW Baseline Energy'!$A$4:$G$43,7,0)</f>
        <v>26151516.033810724</v>
      </c>
      <c r="V20" s="63">
        <f>'NW Baseline Grid Char'!V14*VLOOKUP(V$2,'NW Baseline Energy'!$A$4:$G$43,7,0)</f>
        <v>26492362.725152329</v>
      </c>
      <c r="W20" s="63">
        <f>'NW Baseline Grid Char'!W14*VLOOKUP(W$2,'NW Baseline Energy'!$A$4:$G$43,7,0)</f>
        <v>26837651.853668448</v>
      </c>
      <c r="X20" s="63">
        <f>'NW Baseline Grid Char'!X14*VLOOKUP(X$2,'NW Baseline Energy'!$A$4:$G$43,7,0)</f>
        <v>27187441.32001809</v>
      </c>
      <c r="Y20" s="63">
        <f>'NW Baseline Grid Char'!Y14*VLOOKUP(Y$2,'NW Baseline Energy'!$A$4:$G$43,7,0)</f>
        <v>27541789.779510513</v>
      </c>
      <c r="Z20" s="63">
        <f>'NW Baseline Grid Char'!Z14*VLOOKUP(Z$2,'NW Baseline Energy'!$A$4:$G$43,7,0)</f>
        <v>27900756.651940983</v>
      </c>
      <c r="AA20" s="63">
        <f>'NW Baseline Grid Char'!AA14*VLOOKUP(AA$2,'NW Baseline Energy'!$A$4:$G$43,7,0)</f>
        <v>28264402.131554715</v>
      </c>
      <c r="AB20" s="63">
        <f>'NW Baseline Grid Char'!AB14*VLOOKUP(AB$2,'NW Baseline Energy'!$A$4:$G$43,7,0)</f>
        <v>28632787.197140727</v>
      </c>
      <c r="AC20" s="63">
        <f>'NW Baseline Grid Char'!AC14*VLOOKUP(AC$2,'NW Baseline Energy'!$A$4:$G$43,7,0)</f>
        <v>29005973.622257192</v>
      </c>
      <c r="AD20" s="63">
        <f>'NW Baseline Grid Char'!AD14*VLOOKUP(AD$2,'NW Baseline Energy'!$A$4:$G$43,7,0)</f>
        <v>29384023.985590085</v>
      </c>
      <c r="AE20" s="63">
        <f>'NW Baseline Grid Char'!AE14*VLOOKUP(AE$2,'NW Baseline Energy'!$A$4:$G$43,7,0)</f>
        <v>29767001.68144688</v>
      </c>
      <c r="AF20" s="63">
        <f>'NW Baseline Grid Char'!AF14*VLOOKUP(AF$2,'NW Baseline Energy'!$A$4:$G$43,7,0)</f>
        <v>30154970.930386923</v>
      </c>
      <c r="AG20" s="63">
        <f>'NW Baseline Grid Char'!AG14*VLOOKUP(AG$2,'NW Baseline Energy'!$A$4:$G$43,7,0)</f>
        <v>30547996.789990488</v>
      </c>
      <c r="AH20" s="63">
        <f>'NW Baseline Grid Char'!AH14*VLOOKUP(AH$2,'NW Baseline Energy'!$A$4:$G$43,7,0)</f>
        <v>30946145.165768035</v>
      </c>
      <c r="AI20" s="63">
        <f>'NW Baseline Grid Char'!AI14*VLOOKUP(AI$2,'NW Baseline Energy'!$A$4:$G$43,7,0)</f>
        <v>31349482.822211813</v>
      </c>
      <c r="AJ20" s="63">
        <f>'NW Baseline Grid Char'!AJ14*VLOOKUP(AJ$2,'NW Baseline Energy'!$A$4:$G$43,7,0)</f>
        <v>31758077.393991377</v>
      </c>
      <c r="AK20" s="63">
        <f>'NW Baseline Grid Char'!AK14*VLOOKUP(AK$2,'NW Baseline Energy'!$A$4:$G$43,7,0)</f>
        <v>32171997.39729511</v>
      </c>
      <c r="AL20" s="63">
        <f>'NW Baseline Grid Char'!AL14*VLOOKUP(AL$2,'NW Baseline Energy'!$A$4:$G$43,7,0)</f>
        <v>32591312.241319504</v>
      </c>
      <c r="AM20" s="63">
        <f>'NW Baseline Grid Char'!AM14*VLOOKUP(AM$2,'NW Baseline Energy'!$A$4:$G$43,7,0)</f>
        <v>33016092.239908222</v>
      </c>
      <c r="AN20" s="63">
        <f>'NW Baseline Grid Char'!AN14*VLOOKUP(AN$2,'NW Baseline Energy'!$A$4:$G$43,7,0)</f>
        <v>33446408.623342846</v>
      </c>
      <c r="AO20" s="63">
        <f>'NW Baseline Grid Char'!AO14*VLOOKUP(AO$2,'NW Baseline Energy'!$A$4:$G$43,7,0)</f>
        <v>33882333.550287306</v>
      </c>
    </row>
    <row r="21" spans="1:41">
      <c r="A21" s="63" t="s">
        <v>196</v>
      </c>
      <c r="B21" s="63">
        <f>'NW Baseline Grid Char'!B17*VLOOKUP(B$2,'NW Baseline Energy'!$A$4:$G$43,7,0)</f>
        <v>606149.77570091304</v>
      </c>
      <c r="C21" s="63">
        <f>'NW Baseline Grid Char'!C17*VLOOKUP(C$2,'NW Baseline Energy'!$A$4:$G$43,7,0)</f>
        <v>608469.53858293605</v>
      </c>
      <c r="D21" s="63">
        <f>'NW Baseline Grid Char'!D17*VLOOKUP(D$2,'NW Baseline Energy'!$A$4:$G$43,7,0)</f>
        <v>610701.5723955927</v>
      </c>
      <c r="E21" s="63">
        <f>'NW Baseline Grid Char'!E17*VLOOKUP(E$2,'NW Baseline Energy'!$A$4:$G$43,7,0)</f>
        <v>612842.33860635222</v>
      </c>
      <c r="F21" s="63">
        <f>'NW Baseline Grid Char'!F17*VLOOKUP(F$2,'NW Baseline Energy'!$A$4:$G$43,7,0)</f>
        <v>614888.20459850261</v>
      </c>
      <c r="G21" s="63">
        <f>'NW Baseline Grid Char'!G17*VLOOKUP(G$2,'NW Baseline Energy'!$A$4:$G$43,7,0)</f>
        <v>616835.44148771605</v>
      </c>
      <c r="H21" s="63">
        <f>'NW Baseline Grid Char'!H17*VLOOKUP(H$2,'NW Baseline Energy'!$A$4:$G$43,7,0)</f>
        <v>618680.22189105267</v>
      </c>
      <c r="I21" s="63">
        <f>'NW Baseline Grid Char'!I17*VLOOKUP(I$2,'NW Baseline Energy'!$A$4:$G$43,7,0)</f>
        <v>620418.61764739733</v>
      </c>
      <c r="J21" s="63">
        <f>'NW Baseline Grid Char'!J17*VLOOKUP(J$2,'NW Baseline Energy'!$A$4:$G$43,7,0)</f>
        <v>622046.59748830472</v>
      </c>
      <c r="K21" s="63">
        <f>'NW Baseline Grid Char'!K17*VLOOKUP(K$2,'NW Baseline Energy'!$A$4:$G$43,7,0)</f>
        <v>625460.64162623999</v>
      </c>
      <c r="L21" s="63">
        <f>'NW Baseline Grid Char'!L17*VLOOKUP(L$2,'NW Baseline Energy'!$A$4:$G$43,7,0)</f>
        <v>635086.18597823731</v>
      </c>
      <c r="M21" s="63">
        <f>'NW Baseline Grid Char'!M17*VLOOKUP(M$2,'NW Baseline Energy'!$A$4:$G$43,7,0)</f>
        <v>644834.9816233794</v>
      </c>
      <c r="N21" s="63">
        <f>'NW Baseline Grid Char'!N17*VLOOKUP(N$2,'NW Baseline Energy'!$A$4:$G$43,7,0)</f>
        <v>654708.19906060223</v>
      </c>
      <c r="O21" s="63">
        <f>'NW Baseline Grid Char'!O17*VLOOKUP(O$2,'NW Baseline Energy'!$A$4:$G$43,7,0)</f>
        <v>664707.01059534866</v>
      </c>
      <c r="P21" s="63">
        <f>'NW Baseline Grid Char'!P17*VLOOKUP(P$2,'NW Baseline Energy'!$A$4:$G$43,7,0)</f>
        <v>674832.5900398849</v>
      </c>
      <c r="Q21" s="63">
        <f>'NW Baseline Grid Char'!Q17*VLOOKUP(Q$2,'NW Baseline Energy'!$A$4:$G$43,7,0)</f>
        <v>685086.11240269011</v>
      </c>
      <c r="R21" s="63">
        <f>'NW Baseline Grid Char'!R17*VLOOKUP(R$2,'NW Baseline Energy'!$A$4:$G$43,7,0)</f>
        <v>695468.7535666374</v>
      </c>
      <c r="S21" s="63">
        <f>'NW Baseline Grid Char'!S17*VLOOKUP(S$2,'NW Baseline Energy'!$A$4:$G$43,7,0)</f>
        <v>705981.68995566235</v>
      </c>
      <c r="T21" s="63">
        <f>'NW Baseline Grid Char'!T17*VLOOKUP(T$2,'NW Baseline Energy'!$A$4:$G$43,7,0)</f>
        <v>716626.09818963008</v>
      </c>
      <c r="U21" s="63">
        <f>'NW Baseline Grid Char'!U17*VLOOKUP(U$2,'NW Baseline Energy'!$A$4:$G$43,7,0)</f>
        <v>725966.26929792017</v>
      </c>
      <c r="V21" s="63">
        <f>'NW Baseline Grid Char'!V17*VLOOKUP(V$2,'NW Baseline Energy'!$A$4:$G$43,7,0)</f>
        <v>735428.17585033155</v>
      </c>
      <c r="W21" s="63">
        <f>'NW Baseline Grid Char'!W17*VLOOKUP(W$2,'NW Baseline Energy'!$A$4:$G$43,7,0)</f>
        <v>745013.40448999789</v>
      </c>
      <c r="X21" s="63">
        <f>'NW Baseline Grid Char'!X17*VLOOKUP(X$2,'NW Baseline Energy'!$A$4:$G$43,7,0)</f>
        <v>754723.56253962114</v>
      </c>
      <c r="Y21" s="63">
        <f>'NW Baseline Grid Char'!Y17*VLOOKUP(Y$2,'NW Baseline Energy'!$A$4:$G$43,7,0)</f>
        <v>764560.27827099955</v>
      </c>
      <c r="Z21" s="63">
        <f>'NW Baseline Grid Char'!Z17*VLOOKUP(Z$2,'NW Baseline Energy'!$A$4:$G$43,7,0)</f>
        <v>774525.20117806806</v>
      </c>
      <c r="AA21" s="63">
        <f>'NW Baseline Grid Char'!AA17*VLOOKUP(AA$2,'NW Baseline Energy'!$A$4:$G$43,7,0)</f>
        <v>784620.00225349795</v>
      </c>
      <c r="AB21" s="63">
        <f>'NW Baseline Grid Char'!AB17*VLOOKUP(AB$2,'NW Baseline Energy'!$A$4:$G$43,7,0)</f>
        <v>794846.37426890177</v>
      </c>
      <c r="AC21" s="63">
        <f>'NW Baseline Grid Char'!AC17*VLOOKUP(AC$2,'NW Baseline Energy'!$A$4:$G$43,7,0)</f>
        <v>805206.03205868963</v>
      </c>
      <c r="AD21" s="63">
        <f>'NW Baseline Grid Char'!AD17*VLOOKUP(AD$2,'NW Baseline Energy'!$A$4:$G$43,7,0)</f>
        <v>815700.71280762483</v>
      </c>
      <c r="AE21" s="63">
        <f>'NW Baseline Grid Char'!AE17*VLOOKUP(AE$2,'NW Baseline Energy'!$A$4:$G$43,7,0)</f>
        <v>826332.17634212936</v>
      </c>
      <c r="AF21" s="63">
        <f>'NW Baseline Grid Char'!AF17*VLOOKUP(AF$2,'NW Baseline Energy'!$A$4:$G$43,7,0)</f>
        <v>837102.20542538317</v>
      </c>
      <c r="AG21" s="63">
        <f>'NW Baseline Grid Char'!AG17*VLOOKUP(AG$2,'NW Baseline Energy'!$A$4:$G$43,7,0)</f>
        <v>848012.60605627275</v>
      </c>
      <c r="AH21" s="63">
        <f>'NW Baseline Grid Char'!AH17*VLOOKUP(AH$2,'NW Baseline Energy'!$A$4:$G$43,7,0)</f>
        <v>859065.20777223271</v>
      </c>
      <c r="AI21" s="63">
        <f>'NW Baseline Grid Char'!AI17*VLOOKUP(AI$2,'NW Baseline Energy'!$A$4:$G$43,7,0)</f>
        <v>870261.86395603826</v>
      </c>
      <c r="AJ21" s="63">
        <f>'NW Baseline Grid Char'!AJ17*VLOOKUP(AJ$2,'NW Baseline Energy'!$A$4:$G$43,7,0)</f>
        <v>881604.45214659255</v>
      </c>
      <c r="AK21" s="63">
        <f>'NW Baseline Grid Char'!AK17*VLOOKUP(AK$2,'NW Baseline Energy'!$A$4:$G$43,7,0)</f>
        <v>893094.87435376761</v>
      </c>
      <c r="AL21" s="63">
        <f>'NW Baseline Grid Char'!AL17*VLOOKUP(AL$2,'NW Baseline Energy'!$A$4:$G$43,7,0)</f>
        <v>904735.05737734702</v>
      </c>
      <c r="AM21" s="63">
        <f>'NW Baseline Grid Char'!AM17*VLOOKUP(AM$2,'NW Baseline Energy'!$A$4:$G$43,7,0)</f>
        <v>916526.95313012612</v>
      </c>
      <c r="AN21" s="63">
        <f>'NW Baseline Grid Char'!AN17*VLOOKUP(AN$2,'NW Baseline Energy'!$A$4:$G$43,7,0)</f>
        <v>928472.53896522336</v>
      </c>
      <c r="AO21" s="63">
        <f>'NW Baseline Grid Char'!AO17*VLOOKUP(AO$2,'NW Baseline Energy'!$A$4:$G$43,7,0)</f>
        <v>940573.81800765754</v>
      </c>
    </row>
    <row r="22" spans="1:41">
      <c r="A22" s="63" t="s">
        <v>199</v>
      </c>
      <c r="B22" s="63">
        <f>'NW Baseline Grid Char'!B20*VLOOKUP(B$2,'NW Baseline Energy'!$A$4:$G$43,7,0)</f>
        <v>0</v>
      </c>
      <c r="C22" s="63">
        <f>'NW Baseline Grid Char'!C20*VLOOKUP(C$2,'NW Baseline Energy'!$A$4:$G$43,7,0)</f>
        <v>0</v>
      </c>
      <c r="D22" s="63">
        <f>'NW Baseline Grid Char'!D20*VLOOKUP(D$2,'NW Baseline Energy'!$A$4:$G$43,7,0)</f>
        <v>0</v>
      </c>
      <c r="E22" s="63">
        <f>'NW Baseline Grid Char'!E20*VLOOKUP(E$2,'NW Baseline Energy'!$A$4:$G$43,7,0)</f>
        <v>0</v>
      </c>
      <c r="F22" s="63">
        <f>'NW Baseline Grid Char'!F20*VLOOKUP(F$2,'NW Baseline Energy'!$A$4:$G$43,7,0)</f>
        <v>0</v>
      </c>
      <c r="G22" s="63">
        <f>'NW Baseline Grid Char'!G20*VLOOKUP(G$2,'NW Baseline Energy'!$A$4:$G$43,7,0)</f>
        <v>0</v>
      </c>
      <c r="H22" s="63">
        <f>'NW Baseline Grid Char'!H20*VLOOKUP(H$2,'NW Baseline Energy'!$A$4:$G$43,7,0)</f>
        <v>0</v>
      </c>
      <c r="I22" s="63">
        <f>'NW Baseline Grid Char'!I20*VLOOKUP(I$2,'NW Baseline Energy'!$A$4:$G$43,7,0)</f>
        <v>0</v>
      </c>
      <c r="J22" s="63">
        <f>'NW Baseline Grid Char'!J20*VLOOKUP(J$2,'NW Baseline Energy'!$A$4:$G$43,7,0)</f>
        <v>0</v>
      </c>
      <c r="K22" s="63">
        <f>'NW Baseline Grid Char'!K20*VLOOKUP(K$2,'NW Baseline Energy'!$A$4:$G$43,7,0)</f>
        <v>0</v>
      </c>
      <c r="L22" s="63">
        <f>'NW Baseline Grid Char'!L20*VLOOKUP(L$2,'NW Baseline Energy'!$A$4:$G$43,7,0)</f>
        <v>0</v>
      </c>
      <c r="M22" s="63">
        <f>'NW Baseline Grid Char'!M20*VLOOKUP(M$2,'NW Baseline Energy'!$A$4:$G$43,7,0)</f>
        <v>0</v>
      </c>
      <c r="N22" s="63">
        <f>'NW Baseline Grid Char'!N20*VLOOKUP(N$2,'NW Baseline Energy'!$A$4:$G$43,7,0)</f>
        <v>0</v>
      </c>
      <c r="O22" s="63">
        <f>'NW Baseline Grid Char'!O20*VLOOKUP(O$2,'NW Baseline Energy'!$A$4:$G$43,7,0)</f>
        <v>0</v>
      </c>
      <c r="P22" s="63">
        <f>'NW Baseline Grid Char'!P20*VLOOKUP(P$2,'NW Baseline Energy'!$A$4:$G$43,7,0)</f>
        <v>0</v>
      </c>
      <c r="Q22" s="63">
        <f>'NW Baseline Grid Char'!Q20*VLOOKUP(Q$2,'NW Baseline Energy'!$A$4:$G$43,7,0)</f>
        <v>0</v>
      </c>
      <c r="R22" s="63">
        <f>'NW Baseline Grid Char'!R20*VLOOKUP(R$2,'NW Baseline Energy'!$A$4:$G$43,7,0)</f>
        <v>0</v>
      </c>
      <c r="S22" s="63">
        <f>'NW Baseline Grid Char'!S20*VLOOKUP(S$2,'NW Baseline Energy'!$A$4:$G$43,7,0)</f>
        <v>0</v>
      </c>
      <c r="T22" s="63">
        <f>'NW Baseline Grid Char'!T20*VLOOKUP(T$2,'NW Baseline Energy'!$A$4:$G$43,7,0)</f>
        <v>0</v>
      </c>
      <c r="U22" s="63">
        <f>'NW Baseline Grid Char'!U20*VLOOKUP(U$2,'NW Baseline Energy'!$A$4:$G$43,7,0)</f>
        <v>0</v>
      </c>
      <c r="V22" s="63">
        <f>'NW Baseline Grid Char'!V20*VLOOKUP(V$2,'NW Baseline Energy'!$A$4:$G$43,7,0)</f>
        <v>0</v>
      </c>
      <c r="W22" s="63">
        <f>'NW Baseline Grid Char'!W20*VLOOKUP(W$2,'NW Baseline Energy'!$A$4:$G$43,7,0)</f>
        <v>0</v>
      </c>
      <c r="X22" s="63">
        <f>'NW Baseline Grid Char'!X20*VLOOKUP(X$2,'NW Baseline Energy'!$A$4:$G$43,7,0)</f>
        <v>0</v>
      </c>
      <c r="Y22" s="63">
        <f>'NW Baseline Grid Char'!Y20*VLOOKUP(Y$2,'NW Baseline Energy'!$A$4:$G$43,7,0)</f>
        <v>0</v>
      </c>
      <c r="Z22" s="63">
        <f>'NW Baseline Grid Char'!Z20*VLOOKUP(Z$2,'NW Baseline Energy'!$A$4:$G$43,7,0)</f>
        <v>0</v>
      </c>
      <c r="AA22" s="63">
        <f>'NW Baseline Grid Char'!AA20*VLOOKUP(AA$2,'NW Baseline Energy'!$A$4:$G$43,7,0)</f>
        <v>0</v>
      </c>
      <c r="AB22" s="63">
        <f>'NW Baseline Grid Char'!AB20*VLOOKUP(AB$2,'NW Baseline Energy'!$A$4:$G$43,7,0)</f>
        <v>0</v>
      </c>
      <c r="AC22" s="63">
        <f>'NW Baseline Grid Char'!AC20*VLOOKUP(AC$2,'NW Baseline Energy'!$A$4:$G$43,7,0)</f>
        <v>0</v>
      </c>
      <c r="AD22" s="63">
        <f>'NW Baseline Grid Char'!AD20*VLOOKUP(AD$2,'NW Baseline Energy'!$A$4:$G$43,7,0)</f>
        <v>0</v>
      </c>
      <c r="AE22" s="63">
        <f>'NW Baseline Grid Char'!AE20*VLOOKUP(AE$2,'NW Baseline Energy'!$A$4:$G$43,7,0)</f>
        <v>0</v>
      </c>
      <c r="AF22" s="63">
        <f>'NW Baseline Grid Char'!AF20*VLOOKUP(AF$2,'NW Baseline Energy'!$A$4:$G$43,7,0)</f>
        <v>0</v>
      </c>
      <c r="AG22" s="63">
        <f>'NW Baseline Grid Char'!AG20*VLOOKUP(AG$2,'NW Baseline Energy'!$A$4:$G$43,7,0)</f>
        <v>0</v>
      </c>
      <c r="AH22" s="63">
        <f>'NW Baseline Grid Char'!AH20*VLOOKUP(AH$2,'NW Baseline Energy'!$A$4:$G$43,7,0)</f>
        <v>0</v>
      </c>
      <c r="AI22" s="63">
        <f>'NW Baseline Grid Char'!AI20*VLOOKUP(AI$2,'NW Baseline Energy'!$A$4:$G$43,7,0)</f>
        <v>0</v>
      </c>
      <c r="AJ22" s="63">
        <f>'NW Baseline Grid Char'!AJ20*VLOOKUP(AJ$2,'NW Baseline Energy'!$A$4:$G$43,7,0)</f>
        <v>0</v>
      </c>
      <c r="AK22" s="63">
        <f>'NW Baseline Grid Char'!AK20*VLOOKUP(AK$2,'NW Baseline Energy'!$A$4:$G$43,7,0)</f>
        <v>0</v>
      </c>
      <c r="AL22" s="63">
        <f>'NW Baseline Grid Char'!AL20*VLOOKUP(AL$2,'NW Baseline Energy'!$A$4:$G$43,7,0)</f>
        <v>0</v>
      </c>
      <c r="AM22" s="63">
        <f>'NW Baseline Grid Char'!AM20*VLOOKUP(AM$2,'NW Baseline Energy'!$A$4:$G$43,7,0)</f>
        <v>0</v>
      </c>
      <c r="AN22" s="63">
        <f>'NW Baseline Grid Char'!AN20*VLOOKUP(AN$2,'NW Baseline Energy'!$A$4:$G$43,7,0)</f>
        <v>0</v>
      </c>
      <c r="AO22" s="63">
        <f>'NW Baseline Grid Char'!AO20*VLOOKUP(AO$2,'NW Baseline Energy'!$A$4:$G$43,7,0)</f>
        <v>0</v>
      </c>
    </row>
    <row r="23" spans="1:41">
      <c r="A23" s="63" t="s">
        <v>306</v>
      </c>
      <c r="B23" s="63">
        <f>'NW Baseline Grid Char'!B23*VLOOKUP(B$2,'NW Baseline Energy'!$A$4:$G$43,7,0)</f>
        <v>6791946.6522974465</v>
      </c>
      <c r="C23" s="63">
        <f>'NW Baseline Grid Char'!C23*VLOOKUP(C$2,'NW Baseline Energy'!$A$4:$G$43,7,0)</f>
        <v>6817939.7424086519</v>
      </c>
      <c r="D23" s="63">
        <f>'NW Baseline Grid Char'!D23*VLOOKUP(D$2,'NW Baseline Energy'!$A$4:$G$43,7,0)</f>
        <v>6842949.8227376565</v>
      </c>
      <c r="E23" s="63">
        <f>'NW Baseline Grid Char'!E23*VLOOKUP(E$2,'NW Baseline Energy'!$A$4:$G$43,7,0)</f>
        <v>6866937.2438031957</v>
      </c>
      <c r="F23" s="63">
        <f>'NW Baseline Grid Char'!F23*VLOOKUP(F$2,'NW Baseline Energy'!$A$4:$G$43,7,0)</f>
        <v>6889861.3019047873</v>
      </c>
      <c r="G23" s="63">
        <f>'NW Baseline Grid Char'!G23*VLOOKUP(G$2,'NW Baseline Energy'!$A$4:$G$43,7,0)</f>
        <v>6911680.2146572173</v>
      </c>
      <c r="H23" s="63">
        <f>'NW Baseline Grid Char'!H23*VLOOKUP(H$2,'NW Baseline Energy'!$A$4:$G$43,7,0)</f>
        <v>6932351.095992079</v>
      </c>
      <c r="I23" s="63">
        <f>'NW Baseline Grid Char'!I23*VLOOKUP(I$2,'NW Baseline Energy'!$A$4:$G$43,7,0)</f>
        <v>6951829.9306151224</v>
      </c>
      <c r="J23" s="63">
        <f>'NW Baseline Grid Char'!J23*VLOOKUP(J$2,'NW Baseline Energy'!$A$4:$G$43,7,0)</f>
        <v>6970071.5479079317</v>
      </c>
      <c r="K23" s="63">
        <f>'NW Baseline Grid Char'!K23*VLOOKUP(K$2,'NW Baseline Energy'!$A$4:$G$43,7,0)</f>
        <v>7008326.1288432004</v>
      </c>
      <c r="L23" s="63">
        <f>'NW Baseline Grid Char'!L23*VLOOKUP(L$2,'NW Baseline Energy'!$A$4:$G$43,7,0)</f>
        <v>7116180.9633393306</v>
      </c>
      <c r="M23" s="63">
        <f>'NW Baseline Grid Char'!M23*VLOOKUP(M$2,'NW Baseline Energy'!$A$4:$G$43,7,0)</f>
        <v>7225416.8363863677</v>
      </c>
      <c r="N23" s="63">
        <f>'NW Baseline Grid Char'!N23*VLOOKUP(N$2,'NW Baseline Energy'!$A$4:$G$43,7,0)</f>
        <v>7336046.8634990696</v>
      </c>
      <c r="O23" s="63">
        <f>'NW Baseline Grid Char'!O23*VLOOKUP(O$2,'NW Baseline Energy'!$A$4:$G$43,7,0)</f>
        <v>7448084.1804342214</v>
      </c>
      <c r="P23" s="63">
        <f>'NW Baseline Grid Char'!P23*VLOOKUP(P$2,'NW Baseline Energy'!$A$4:$G$43,7,0)</f>
        <v>7561541.9398326566</v>
      </c>
      <c r="Q23" s="63">
        <f>'NW Baseline Grid Char'!Q23*VLOOKUP(Q$2,'NW Baseline Energy'!$A$4:$G$43,7,0)</f>
        <v>7676433.3077388527</v>
      </c>
      <c r="R23" s="63">
        <f>'NW Baseline Grid Char'!R23*VLOOKUP(R$2,'NW Baseline Energy'!$A$4:$G$43,7,0)</f>
        <v>7792771.4599949261</v>
      </c>
      <c r="S23" s="63">
        <f>'NW Baseline Grid Char'!S23*VLOOKUP(S$2,'NW Baseline Energy'!$A$4:$G$43,7,0)</f>
        <v>7910569.5785056315</v>
      </c>
      <c r="T23" s="63">
        <f>'NW Baseline Grid Char'!T23*VLOOKUP(T$2,'NW Baseline Energy'!$A$4:$G$43,7,0)</f>
        <v>8029840.8473711303</v>
      </c>
      <c r="U23" s="63">
        <f>'NW Baseline Grid Char'!U23*VLOOKUP(U$2,'NW Baseline Energy'!$A$4:$G$43,7,0)</f>
        <v>8134498.0565856015</v>
      </c>
      <c r="V23" s="63">
        <f>'NW Baseline Grid Char'!V23*VLOOKUP(V$2,'NW Baseline Energy'!$A$4:$G$43,7,0)</f>
        <v>8240519.3191666035</v>
      </c>
      <c r="W23" s="63">
        <f>'NW Baseline Grid Char'!W23*VLOOKUP(W$2,'NW Baseline Energy'!$A$4:$G$43,7,0)</f>
        <v>8347922.4135510027</v>
      </c>
      <c r="X23" s="63">
        <f>'NW Baseline Grid Char'!X23*VLOOKUP(X$2,'NW Baseline Energy'!$A$4:$G$43,7,0)</f>
        <v>8456725.3498915415</v>
      </c>
      <c r="Y23" s="63">
        <f>'NW Baseline Grid Char'!Y23*VLOOKUP(Y$2,'NW Baseline Energy'!$A$4:$G$43,7,0)</f>
        <v>8566946.373076912</v>
      </c>
      <c r="Z23" s="63">
        <f>'NW Baseline Grid Char'!Z23*VLOOKUP(Z$2,'NW Baseline Energy'!$A$4:$G$43,7,0)</f>
        <v>8678603.9657911938</v>
      </c>
      <c r="AA23" s="63">
        <f>'NW Baseline Grid Char'!AA23*VLOOKUP(AA$2,'NW Baseline Energy'!$A$4:$G$43,7,0)</f>
        <v>8791716.8516131714</v>
      </c>
      <c r="AB23" s="63">
        <f>'NW Baseline Grid Char'!AB23*VLOOKUP(AB$2,'NW Baseline Energy'!$A$4:$G$43,7,0)</f>
        <v>8906303.9981560446</v>
      </c>
      <c r="AC23" s="63">
        <f>'NW Baseline Grid Char'!AC23*VLOOKUP(AC$2,'NW Baseline Energy'!$A$4:$G$43,7,0)</f>
        <v>9022384.6202480569</v>
      </c>
      <c r="AD23" s="63">
        <f>'NW Baseline Grid Char'!AD23*VLOOKUP(AD$2,'NW Baseline Energy'!$A$4:$G$43,7,0)</f>
        <v>9139978.183154583</v>
      </c>
      <c r="AE23" s="63">
        <f>'NW Baseline Grid Char'!AE23*VLOOKUP(AE$2,'NW Baseline Energy'!$A$4:$G$43,7,0)</f>
        <v>9259104.4058422074</v>
      </c>
      <c r="AF23" s="63">
        <f>'NW Baseline Grid Char'!AF23*VLOOKUP(AF$2,'NW Baseline Energy'!$A$4:$G$43,7,0)</f>
        <v>9379783.2642853465</v>
      </c>
      <c r="AG23" s="63">
        <f>'NW Baseline Grid Char'!AG23*VLOOKUP(AG$2,'NW Baseline Energy'!$A$4:$G$43,7,0)</f>
        <v>9502034.9948159847</v>
      </c>
      <c r="AH23" s="63">
        <f>'NW Baseline Grid Char'!AH23*VLOOKUP(AH$2,'NW Baseline Energy'!$A$4:$G$43,7,0)</f>
        <v>9625880.0975170247</v>
      </c>
      <c r="AI23" s="63">
        <f>'NW Baseline Grid Char'!AI23*VLOOKUP(AI$2,'NW Baseline Energy'!$A$4:$G$43,7,0)</f>
        <v>9751339.3396599218</v>
      </c>
      <c r="AJ23" s="63">
        <f>'NW Baseline Grid Char'!AJ23*VLOOKUP(AJ$2,'NW Baseline Energy'!$A$4:$G$43,7,0)</f>
        <v>9878433.7591870762</v>
      </c>
      <c r="AK23" s="63">
        <f>'NW Baseline Grid Char'!AK23*VLOOKUP(AK$2,'NW Baseline Energy'!$A$4:$G$43,7,0)</f>
        <v>10007184.668239653</v>
      </c>
      <c r="AL23" s="63">
        <f>'NW Baseline Grid Char'!AL23*VLOOKUP(AL$2,'NW Baseline Energy'!$A$4:$G$43,7,0)</f>
        <v>10137613.656731334</v>
      </c>
      <c r="AM23" s="63">
        <f>'NW Baseline Grid Char'!AM23*VLOOKUP(AM$2,'NW Baseline Energy'!$A$4:$G$43,7,0)</f>
        <v>10269742.595968699</v>
      </c>
      <c r="AN23" s="63">
        <f>'NW Baseline Grid Char'!AN23*VLOOKUP(AN$2,'NW Baseline Energy'!$A$4:$G$43,7,0)</f>
        <v>10403593.642318757</v>
      </c>
      <c r="AO23" s="63">
        <f>'NW Baseline Grid Char'!AO23*VLOOKUP(AO$2,'NW Baseline Energy'!$A$4:$G$43,7,0)</f>
        <v>10539189.240924297</v>
      </c>
    </row>
  </sheetData>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sheetPr>
    <tabColor theme="0" tint="-0.34998626667073579"/>
  </sheetPr>
  <dimension ref="A1:S44"/>
  <sheetViews>
    <sheetView workbookViewId="0">
      <selection activeCell="J20" sqref="J20"/>
    </sheetView>
  </sheetViews>
  <sheetFormatPr defaultRowHeight="15"/>
  <sheetData>
    <row r="1" spans="1:19" s="70" customFormat="1" ht="15.75" thickBot="1">
      <c r="A1" s="259" t="s">
        <v>345</v>
      </c>
      <c r="B1" s="260"/>
      <c r="C1" s="260"/>
      <c r="D1" s="260"/>
      <c r="E1" s="260"/>
      <c r="F1" s="261"/>
    </row>
    <row r="2" spans="1:19">
      <c r="A2" s="70"/>
      <c r="B2" s="486" t="s">
        <v>176</v>
      </c>
      <c r="C2" s="486"/>
      <c r="D2" s="486"/>
      <c r="E2" s="486"/>
      <c r="F2" s="486"/>
      <c r="G2" s="487"/>
      <c r="H2" s="487" t="s">
        <v>177</v>
      </c>
      <c r="I2" s="487"/>
      <c r="J2" s="487"/>
      <c r="K2" s="487"/>
      <c r="L2" s="487"/>
      <c r="M2" s="487"/>
      <c r="N2" s="487" t="s">
        <v>180</v>
      </c>
      <c r="O2" s="487"/>
      <c r="P2" s="487"/>
      <c r="Q2" s="487"/>
      <c r="R2" s="487"/>
      <c r="S2" s="487"/>
    </row>
    <row r="3" spans="1:19">
      <c r="A3" s="74"/>
      <c r="B3" s="485" t="s">
        <v>3</v>
      </c>
      <c r="C3" s="485"/>
      <c r="D3" s="485" t="s">
        <v>4</v>
      </c>
      <c r="E3" s="485"/>
      <c r="F3" s="485" t="s">
        <v>2</v>
      </c>
      <c r="G3" s="485"/>
      <c r="H3" s="485" t="s">
        <v>3</v>
      </c>
      <c r="I3" s="485"/>
      <c r="J3" s="485" t="s">
        <v>4</v>
      </c>
      <c r="K3" s="485"/>
      <c r="L3" s="485" t="s">
        <v>2</v>
      </c>
      <c r="M3" s="485"/>
      <c r="N3" s="485" t="s">
        <v>3</v>
      </c>
      <c r="O3" s="485"/>
      <c r="P3" s="485" t="s">
        <v>4</v>
      </c>
      <c r="Q3" s="485"/>
      <c r="R3" s="485" t="s">
        <v>2</v>
      </c>
      <c r="S3" s="485"/>
    </row>
    <row r="4" spans="1:19">
      <c r="A4" s="71" t="s">
        <v>173</v>
      </c>
      <c r="B4" s="75" t="s">
        <v>174</v>
      </c>
      <c r="C4" s="75" t="s">
        <v>175</v>
      </c>
      <c r="D4" s="75" t="s">
        <v>174</v>
      </c>
      <c r="E4" s="75" t="s">
        <v>175</v>
      </c>
      <c r="F4" s="75" t="s">
        <v>174</v>
      </c>
      <c r="G4" s="75" t="s">
        <v>175</v>
      </c>
      <c r="H4" s="75" t="s">
        <v>174</v>
      </c>
      <c r="I4" s="75" t="s">
        <v>175</v>
      </c>
      <c r="J4" s="75" t="s">
        <v>174</v>
      </c>
      <c r="K4" s="75" t="s">
        <v>175</v>
      </c>
      <c r="L4" s="75" t="s">
        <v>174</v>
      </c>
      <c r="M4" s="75" t="s">
        <v>175</v>
      </c>
      <c r="N4" s="75" t="s">
        <v>174</v>
      </c>
      <c r="O4" s="75" t="s">
        <v>175</v>
      </c>
      <c r="P4" s="75" t="s">
        <v>174</v>
      </c>
      <c r="Q4" s="75" t="s">
        <v>175</v>
      </c>
      <c r="R4" s="75" t="s">
        <v>174</v>
      </c>
      <c r="S4" s="75" t="s">
        <v>175</v>
      </c>
    </row>
    <row r="5" spans="1:19">
      <c r="A5" s="72">
        <v>2011</v>
      </c>
      <c r="B5" s="73">
        <v>19691.2</v>
      </c>
      <c r="C5" s="73">
        <v>8615.7999999999993</v>
      </c>
      <c r="D5" s="73">
        <v>6957.9</v>
      </c>
      <c r="E5" s="73">
        <v>11531.6</v>
      </c>
      <c r="F5" s="73">
        <v>6173.6</v>
      </c>
      <c r="G5" s="73">
        <v>8844.5999999999985</v>
      </c>
      <c r="H5" s="73">
        <v>19691.2</v>
      </c>
      <c r="I5" s="73">
        <v>8615.7999999999993</v>
      </c>
      <c r="J5" s="73">
        <v>6957.9</v>
      </c>
      <c r="K5" s="73">
        <v>11531.6</v>
      </c>
      <c r="L5" s="73">
        <v>6173.6</v>
      </c>
      <c r="M5" s="73">
        <v>8844.5999999999985</v>
      </c>
      <c r="N5" s="73">
        <v>19691.2</v>
      </c>
      <c r="O5" s="73">
        <v>8615.7999999999993</v>
      </c>
      <c r="P5" s="73">
        <v>6957.9</v>
      </c>
      <c r="Q5" s="73">
        <v>11531.6</v>
      </c>
      <c r="R5" s="73">
        <v>6173.6</v>
      </c>
      <c r="S5" s="73">
        <v>8844.5999999999985</v>
      </c>
    </row>
    <row r="6" spans="1:19">
      <c r="A6" s="72">
        <v>2012</v>
      </c>
      <c r="B6" s="73">
        <v>19844.400000000001</v>
      </c>
      <c r="C6" s="73">
        <v>8754.5999999999985</v>
      </c>
      <c r="D6" s="73">
        <v>7106.7999999999993</v>
      </c>
      <c r="E6" s="73">
        <v>11799.2</v>
      </c>
      <c r="F6" s="73">
        <v>6193.2000000000007</v>
      </c>
      <c r="G6" s="73">
        <v>8905.1999999999989</v>
      </c>
      <c r="H6" s="73">
        <v>19844.400000000001</v>
      </c>
      <c r="I6" s="73">
        <v>8754.5999999999985</v>
      </c>
      <c r="J6" s="73">
        <v>7106.7999999999993</v>
      </c>
      <c r="K6" s="73">
        <v>11799.2</v>
      </c>
      <c r="L6" s="73">
        <v>6193.2000000000007</v>
      </c>
      <c r="M6" s="73">
        <v>8905.1999999999989</v>
      </c>
      <c r="N6" s="73">
        <v>19844.400000000001</v>
      </c>
      <c r="O6" s="73">
        <v>8754.5999999999985</v>
      </c>
      <c r="P6" s="73">
        <v>7106.7999999999993</v>
      </c>
      <c r="Q6" s="73">
        <v>11799.2</v>
      </c>
      <c r="R6" s="73">
        <v>6193.2000000000007</v>
      </c>
      <c r="S6" s="73">
        <v>8905.1999999999989</v>
      </c>
    </row>
    <row r="7" spans="1:19">
      <c r="A7" s="72">
        <v>2013</v>
      </c>
      <c r="B7" s="73">
        <v>19997.600000000002</v>
      </c>
      <c r="C7" s="73">
        <v>8893.3999999999978</v>
      </c>
      <c r="D7" s="73">
        <v>7255.6999999999989</v>
      </c>
      <c r="E7" s="73">
        <v>12066.800000000001</v>
      </c>
      <c r="F7" s="73">
        <v>6212.8000000000011</v>
      </c>
      <c r="G7" s="73">
        <v>8965.7999999999993</v>
      </c>
      <c r="H7" s="73">
        <v>19997.600000000002</v>
      </c>
      <c r="I7" s="73">
        <v>8893.3999999999978</v>
      </c>
      <c r="J7" s="73">
        <v>7255.6999999999989</v>
      </c>
      <c r="K7" s="73">
        <v>12066.800000000001</v>
      </c>
      <c r="L7" s="73">
        <v>6212.8000000000011</v>
      </c>
      <c r="M7" s="73">
        <v>8965.7999999999993</v>
      </c>
      <c r="N7" s="73">
        <v>19997.600000000002</v>
      </c>
      <c r="O7" s="73">
        <v>8893.3999999999978</v>
      </c>
      <c r="P7" s="73">
        <v>7255.6999999999989</v>
      </c>
      <c r="Q7" s="73">
        <v>12066.800000000001</v>
      </c>
      <c r="R7" s="73">
        <v>6212.8000000000011</v>
      </c>
      <c r="S7" s="73">
        <v>8965.7999999999993</v>
      </c>
    </row>
    <row r="8" spans="1:19">
      <c r="A8" s="72">
        <v>2014</v>
      </c>
      <c r="B8" s="73">
        <v>20258.32454904433</v>
      </c>
      <c r="C8" s="73">
        <v>9062.3917325305119</v>
      </c>
      <c r="D8" s="73">
        <v>7444.1109015946568</v>
      </c>
      <c r="E8" s="73">
        <v>12375.62992246899</v>
      </c>
      <c r="F8" s="73">
        <v>6265.6560493610132</v>
      </c>
      <c r="G8" s="73">
        <v>9056.5723450004916</v>
      </c>
      <c r="H8" s="73">
        <v>19867.632707663714</v>
      </c>
      <c r="I8" s="73">
        <v>9070.2390747869558</v>
      </c>
      <c r="J8" s="73">
        <v>7300.5475289897513</v>
      </c>
      <c r="K8" s="73">
        <v>12386.346277103283</v>
      </c>
      <c r="L8" s="73">
        <v>6144.8197633465343</v>
      </c>
      <c r="M8" s="73">
        <v>9064.4146481097614</v>
      </c>
      <c r="N8" s="73">
        <v>20258.32454904433</v>
      </c>
      <c r="O8" s="73">
        <v>8991.2443980258577</v>
      </c>
      <c r="P8" s="73">
        <v>7444.1109015946568</v>
      </c>
      <c r="Q8" s="73">
        <v>12278.470904431942</v>
      </c>
      <c r="R8" s="73">
        <v>6265.6560493610132</v>
      </c>
      <c r="S8" s="73">
        <v>8985.4706975421941</v>
      </c>
    </row>
    <row r="9" spans="1:19">
      <c r="A9" s="72">
        <v>2015</v>
      </c>
      <c r="B9" s="73">
        <v>20523.122642174178</v>
      </c>
      <c r="C9" s="73">
        <v>9234.5941051168429</v>
      </c>
      <c r="D9" s="73">
        <v>7635.0180692308213</v>
      </c>
      <c r="E9" s="73">
        <v>12689.385553667271</v>
      </c>
      <c r="F9" s="73">
        <v>6319.4721610950055</v>
      </c>
      <c r="G9" s="73">
        <v>9150.0116272158739</v>
      </c>
      <c r="H9" s="73">
        <v>20225.723390844196</v>
      </c>
      <c r="I9" s="73">
        <v>9268.4753078418635</v>
      </c>
      <c r="J9" s="73">
        <v>7524.379513038888</v>
      </c>
      <c r="K9" s="73">
        <v>12735.942190537917</v>
      </c>
      <c r="L9" s="73">
        <v>6227.8970961169198</v>
      </c>
      <c r="M9" s="73">
        <v>9183.582501620218</v>
      </c>
      <c r="N9" s="73">
        <v>20320.924389541917</v>
      </c>
      <c r="O9" s="73">
        <v>9090.164751291828</v>
      </c>
      <c r="P9" s="73">
        <v>7559.7962163319953</v>
      </c>
      <c r="Q9" s="73">
        <v>12490.92314859663</v>
      </c>
      <c r="R9" s="73">
        <v>6257.2113516260879</v>
      </c>
      <c r="S9" s="73">
        <v>9006.9051461115323</v>
      </c>
    </row>
    <row r="10" spans="1:19">
      <c r="A10" s="72">
        <v>2016</v>
      </c>
      <c r="B10" s="73">
        <v>20792.047717945836</v>
      </c>
      <c r="C10" s="73">
        <v>9410.0681301055392</v>
      </c>
      <c r="D10" s="73">
        <v>7828.4744902873272</v>
      </c>
      <c r="E10" s="73">
        <v>13008.207781821988</v>
      </c>
      <c r="F10" s="73">
        <v>6374.2548573543354</v>
      </c>
      <c r="G10" s="73">
        <v>9246.1212085064599</v>
      </c>
      <c r="H10" s="73">
        <v>20508.771974255909</v>
      </c>
      <c r="I10" s="73">
        <v>9441.7485172534853</v>
      </c>
      <c r="J10" s="73">
        <v>7721.8175143474491</v>
      </c>
      <c r="K10" s="73">
        <v>13052.001838669525</v>
      </c>
      <c r="L10" s="73">
        <v>6287.4105113966416</v>
      </c>
      <c r="M10" s="73">
        <v>9277.2496440769937</v>
      </c>
      <c r="N10" s="73">
        <v>20384.370400949541</v>
      </c>
      <c r="O10" s="73">
        <v>9190.1729094361654</v>
      </c>
      <c r="P10" s="73">
        <v>7674.9787153800926</v>
      </c>
      <c r="Q10" s="73">
        <v>12704.230947526237</v>
      </c>
      <c r="R10" s="73">
        <v>6249.2725009578598</v>
      </c>
      <c r="S10" s="73">
        <v>9030.0571125435872</v>
      </c>
    </row>
    <row r="11" spans="1:19">
      <c r="A11" s="72">
        <v>2017</v>
      </c>
      <c r="B11" s="73">
        <v>21065.154232627301</v>
      </c>
      <c r="C11" s="73">
        <v>9588.8759785539078</v>
      </c>
      <c r="D11" s="73">
        <v>8024.5335086474124</v>
      </c>
      <c r="E11" s="73">
        <v>13332.237739501988</v>
      </c>
      <c r="F11" s="73">
        <v>6430.0109802965926</v>
      </c>
      <c r="G11" s="73">
        <v>9344.9069476663335</v>
      </c>
      <c r="H11" s="73">
        <v>20756.944024815195</v>
      </c>
      <c r="I11" s="73">
        <v>9603.7289299867862</v>
      </c>
      <c r="J11" s="73">
        <v>7907.1242975406321</v>
      </c>
      <c r="K11" s="73">
        <v>13352.889073410082</v>
      </c>
      <c r="L11" s="73">
        <v>6335.9316776441683</v>
      </c>
      <c r="M11" s="73">
        <v>9359.3819966031315</v>
      </c>
      <c r="N11" s="73">
        <v>20448.65283345697</v>
      </c>
      <c r="O11" s="73">
        <v>9291.2808516561417</v>
      </c>
      <c r="P11" s="73">
        <v>7789.6842366630744</v>
      </c>
      <c r="Q11" s="73">
        <v>12918.46567791812</v>
      </c>
      <c r="R11" s="73">
        <v>6241.8276552538782</v>
      </c>
      <c r="S11" s="73">
        <v>9054.8835105962899</v>
      </c>
    </row>
    <row r="12" spans="1:19">
      <c r="A12" s="72">
        <v>2018</v>
      </c>
      <c r="B12" s="73">
        <v>21342.497665571278</v>
      </c>
      <c r="C12" s="73">
        <v>9771.0810022821843</v>
      </c>
      <c r="D12" s="73">
        <v>8223.2488501080352</v>
      </c>
      <c r="E12" s="73">
        <v>13661.616978470945</v>
      </c>
      <c r="F12" s="73">
        <v>6486.7476867155619</v>
      </c>
      <c r="G12" s="73">
        <v>9446.3770776178244</v>
      </c>
      <c r="H12" s="73">
        <v>20980.502916640533</v>
      </c>
      <c r="I12" s="73">
        <v>9747.8784724590041</v>
      </c>
      <c r="J12" s="73">
        <v>8083.7725362512992</v>
      </c>
      <c r="K12" s="73">
        <v>13629.175933790031</v>
      </c>
      <c r="L12" s="73">
        <v>6376.724547108166</v>
      </c>
      <c r="M12" s="73">
        <v>9423.9455937509665</v>
      </c>
      <c r="N12" s="73">
        <v>20513.762381701657</v>
      </c>
      <c r="O12" s="73">
        <v>9393.5006881885092</v>
      </c>
      <c r="P12" s="73">
        <v>7903.937747119453</v>
      </c>
      <c r="Q12" s="73">
        <v>13133.696103743394</v>
      </c>
      <c r="R12" s="73">
        <v>6234.8654201796817</v>
      </c>
      <c r="S12" s="73">
        <v>9081.3441786805251</v>
      </c>
    </row>
    <row r="13" spans="1:19">
      <c r="A13" s="72">
        <v>2019</v>
      </c>
      <c r="B13" s="73">
        <v>21624.134525180401</v>
      </c>
      <c r="C13" s="73">
        <v>9956.7477563416396</v>
      </c>
      <c r="D13" s="73">
        <v>8424.6746471328061</v>
      </c>
      <c r="E13" s="73">
        <v>13996.487633793833</v>
      </c>
      <c r="F13" s="73">
        <v>6544.472443117591</v>
      </c>
      <c r="G13" s="73">
        <v>9550.5420943445242</v>
      </c>
      <c r="H13" s="73">
        <v>21185.496698807507</v>
      </c>
      <c r="I13" s="73">
        <v>9886.9759166462918</v>
      </c>
      <c r="J13" s="73">
        <v>8253.7831383506145</v>
      </c>
      <c r="K13" s="73">
        <v>13898.40734539233</v>
      </c>
      <c r="L13" s="73">
        <v>6411.7201628418816</v>
      </c>
      <c r="M13" s="73">
        <v>9483.6167379613744</v>
      </c>
      <c r="N13" s="73">
        <v>20579.690165093994</v>
      </c>
      <c r="O13" s="73">
        <v>9496.8446618015914</v>
      </c>
      <c r="P13" s="73">
        <v>8017.7633827529708</v>
      </c>
      <c r="Q13" s="73">
        <v>13349.988582798647</v>
      </c>
      <c r="R13" s="73">
        <v>6228.3748288988299</v>
      </c>
      <c r="S13" s="73">
        <v>9109.4016766889199</v>
      </c>
    </row>
    <row r="14" spans="1:19">
      <c r="A14" s="72">
        <v>2020</v>
      </c>
      <c r="B14" s="73">
        <v>21910.122355442178</v>
      </c>
      <c r="C14" s="73">
        <v>10145.942021906874</v>
      </c>
      <c r="D14" s="73">
        <v>8628.8654630023339</v>
      </c>
      <c r="E14" s="73">
        <v>14336.992578345851</v>
      </c>
      <c r="F14" s="73">
        <v>6603.1930212177413</v>
      </c>
      <c r="G14" s="73">
        <v>9657.4146564323928</v>
      </c>
      <c r="H14" s="73">
        <v>21394.444257797189</v>
      </c>
      <c r="I14" s="73">
        <v>10022.804338002712</v>
      </c>
      <c r="J14" s="73">
        <v>8425.7759113052234</v>
      </c>
      <c r="K14" s="73">
        <v>14162.989606868503</v>
      </c>
      <c r="L14" s="73">
        <v>6447.7798308975862</v>
      </c>
      <c r="M14" s="73">
        <v>9540.206055128785</v>
      </c>
      <c r="N14" s="73">
        <v>20646.427709208914</v>
      </c>
      <c r="O14" s="73">
        <v>9601.3251492996296</v>
      </c>
      <c r="P14" s="73">
        <v>8131.1844865218582</v>
      </c>
      <c r="Q14" s="73">
        <v>13567.407256080774</v>
      </c>
      <c r="R14" s="73">
        <v>6222.3453228987464</v>
      </c>
      <c r="S14" s="73">
        <v>9139.0211000429335</v>
      </c>
    </row>
    <row r="15" spans="1:19">
      <c r="A15" s="72">
        <v>2021</v>
      </c>
      <c r="B15" s="73">
        <v>22234.737888606138</v>
      </c>
      <c r="C15" s="73">
        <v>10429.662290122049</v>
      </c>
      <c r="D15" s="73">
        <v>8751.0121283152148</v>
      </c>
      <c r="E15" s="73">
        <v>14531.596638662615</v>
      </c>
      <c r="F15" s="73">
        <v>6713.5635353358266</v>
      </c>
      <c r="G15" s="73">
        <v>9827.7569637774668</v>
      </c>
      <c r="H15" s="73">
        <v>21635.324707892567</v>
      </c>
      <c r="I15" s="73">
        <v>10253.676354294914</v>
      </c>
      <c r="J15" s="73">
        <v>8515.0987552601437</v>
      </c>
      <c r="K15" s="73">
        <v>14286.396308836062</v>
      </c>
      <c r="L15" s="73">
        <v>6532.5765368472848</v>
      </c>
      <c r="M15" s="73">
        <v>9661.927336869021</v>
      </c>
      <c r="N15" s="73">
        <v>20745.893817473636</v>
      </c>
      <c r="O15" s="73">
        <v>9792.3295102308712</v>
      </c>
      <c r="P15" s="73">
        <v>8165.0419860574466</v>
      </c>
      <c r="Q15" s="73">
        <v>13643.604043662901</v>
      </c>
      <c r="R15" s="73">
        <v>6264.0215026915776</v>
      </c>
      <c r="S15" s="73">
        <v>9227.2052400892135</v>
      </c>
    </row>
    <row r="16" spans="1:19">
      <c r="A16" s="72">
        <v>2022</v>
      </c>
      <c r="B16" s="73">
        <v>22564.262846497935</v>
      </c>
      <c r="C16" s="73">
        <v>10717.300168811144</v>
      </c>
      <c r="D16" s="73">
        <v>8875.0635475597282</v>
      </c>
      <c r="E16" s="73">
        <v>14731.158283330391</v>
      </c>
      <c r="F16" s="73">
        <v>6825.4768614833783</v>
      </c>
      <c r="G16" s="73">
        <v>10001.548742379277</v>
      </c>
      <c r="H16" s="73">
        <v>21878.57270661744</v>
      </c>
      <c r="I16" s="73">
        <v>10474.231489183481</v>
      </c>
      <c r="J16" s="73">
        <v>8605.3652371485368</v>
      </c>
      <c r="K16" s="73">
        <v>14397.05518489003</v>
      </c>
      <c r="L16" s="73">
        <v>6618.0620562340237</v>
      </c>
      <c r="M16" s="73">
        <v>9774.7133259264883</v>
      </c>
      <c r="N16" s="73">
        <v>20845.931491044648</v>
      </c>
      <c r="O16" s="73">
        <v>9983.3923378546951</v>
      </c>
      <c r="P16" s="73">
        <v>8199.2027813934073</v>
      </c>
      <c r="Q16" s="73">
        <v>13722.386274251317</v>
      </c>
      <c r="R16" s="73">
        <v>6305.6978203157178</v>
      </c>
      <c r="S16" s="73">
        <v>9316.6547086107894</v>
      </c>
    </row>
    <row r="17" spans="1:19">
      <c r="A17" s="72">
        <v>2023</v>
      </c>
      <c r="B17" s="73">
        <v>22898.769259012417</v>
      </c>
      <c r="C17" s="73">
        <v>11009.007416897432</v>
      </c>
      <c r="D17" s="73">
        <v>9001.0453830146689</v>
      </c>
      <c r="E17" s="73">
        <v>14935.705561168596</v>
      </c>
      <c r="F17" s="73">
        <v>6938.9606623470736</v>
      </c>
      <c r="G17" s="73">
        <v>10178.844353150678</v>
      </c>
      <c r="H17" s="73">
        <v>22049.309383143689</v>
      </c>
      <c r="I17" s="73">
        <v>10693.10643176542</v>
      </c>
      <c r="J17" s="73">
        <v>8667.1398002622172</v>
      </c>
      <c r="K17" s="73">
        <v>14507.128858315893</v>
      </c>
      <c r="L17" s="73">
        <v>6681.5508165940992</v>
      </c>
      <c r="M17" s="73">
        <v>9886.7647099186888</v>
      </c>
      <c r="N17" s="73">
        <v>20946.54101645853</v>
      </c>
      <c r="O17" s="73">
        <v>10174.61254794593</v>
      </c>
      <c r="P17" s="73">
        <v>8233.6637473263436</v>
      </c>
      <c r="Q17" s="73">
        <v>13803.698322688449</v>
      </c>
      <c r="R17" s="73">
        <v>6347.3814894326679</v>
      </c>
      <c r="S17" s="73">
        <v>9407.3692166103065</v>
      </c>
    </row>
    <row r="18" spans="1:19">
      <c r="A18" s="72">
        <v>2024</v>
      </c>
      <c r="B18" s="73">
        <v>23238.330304715477</v>
      </c>
      <c r="C18" s="73">
        <v>11304.933999039456</v>
      </c>
      <c r="D18" s="73">
        <v>9128.9838050481976</v>
      </c>
      <c r="E18" s="73">
        <v>15145.271055339728</v>
      </c>
      <c r="F18" s="73">
        <v>7054.0428241760928</v>
      </c>
      <c r="G18" s="73">
        <v>10359.69986613063</v>
      </c>
      <c r="H18" s="73">
        <v>22288.09160608548</v>
      </c>
      <c r="I18" s="73">
        <v>10948.214063637537</v>
      </c>
      <c r="J18" s="73">
        <v>8755.6904755802425</v>
      </c>
      <c r="K18" s="73">
        <v>14667.371749340737</v>
      </c>
      <c r="L18" s="73">
        <v>6765.5959183342738</v>
      </c>
      <c r="M18" s="73">
        <v>10032.806187021723</v>
      </c>
      <c r="N18" s="73">
        <v>21047.7228014592</v>
      </c>
      <c r="O18" s="73">
        <v>10366.083876941319</v>
      </c>
      <c r="P18" s="73">
        <v>8268.4219592435675</v>
      </c>
      <c r="Q18" s="73">
        <v>13887.489313250544</v>
      </c>
      <c r="R18" s="73">
        <v>6389.0794237808577</v>
      </c>
      <c r="S18" s="73">
        <v>9499.3493780125027</v>
      </c>
    </row>
    <row r="19" spans="1:19">
      <c r="A19" s="72">
        <v>2025</v>
      </c>
      <c r="B19" s="73">
        <v>23583.020324168756</v>
      </c>
      <c r="C19" s="73">
        <v>11605.228421981541</v>
      </c>
      <c r="D19" s="73">
        <v>9258.9054926892641</v>
      </c>
      <c r="E19" s="73">
        <v>15359.891652616378</v>
      </c>
      <c r="F19" s="73">
        <v>7170.7514710908363</v>
      </c>
      <c r="G19" s="73">
        <v>10544.17303940159</v>
      </c>
      <c r="H19" s="73">
        <v>22529.549221583471</v>
      </c>
      <c r="I19" s="73">
        <v>11205.944470119675</v>
      </c>
      <c r="J19" s="73">
        <v>8845.3032804179184</v>
      </c>
      <c r="K19" s="73">
        <v>14831.42654911094</v>
      </c>
      <c r="L19" s="73">
        <v>6850.4286559986012</v>
      </c>
      <c r="M19" s="73">
        <v>10181.395252769387</v>
      </c>
      <c r="N19" s="73">
        <v>21149.477368630436</v>
      </c>
      <c r="O19" s="73">
        <v>10557.895326081481</v>
      </c>
      <c r="P19" s="73">
        <v>8303.4746815375038</v>
      </c>
      <c r="Q19" s="73">
        <v>13973.712743224654</v>
      </c>
      <c r="R19" s="73">
        <v>6430.7982552380981</v>
      </c>
      <c r="S19" s="73">
        <v>9592.5966471484826</v>
      </c>
    </row>
    <row r="20" spans="1:19">
      <c r="A20" s="72">
        <v>2026</v>
      </c>
      <c r="B20" s="73">
        <v>23932.914833719573</v>
      </c>
      <c r="C20" s="73">
        <v>11910.038042457409</v>
      </c>
      <c r="D20" s="73">
        <v>9390.8376346865844</v>
      </c>
      <c r="E20" s="73">
        <v>15579.608338065173</v>
      </c>
      <c r="F20" s="73">
        <v>7289.1149788619314</v>
      </c>
      <c r="G20" s="73">
        <v>10732.323302642919</v>
      </c>
      <c r="H20" s="73">
        <v>22773.70998325208</v>
      </c>
      <c r="I20" s="73">
        <v>11466.409448015205</v>
      </c>
      <c r="J20" s="73">
        <v>8935.9868732263039</v>
      </c>
      <c r="K20" s="73">
        <v>14999.294511666192</v>
      </c>
      <c r="L20" s="73">
        <v>6936.0623942596067</v>
      </c>
      <c r="M20" s="73">
        <v>10332.562572670606</v>
      </c>
      <c r="N20" s="73">
        <v>21251.805349480881</v>
      </c>
      <c r="O20" s="73">
        <v>10750.131562746476</v>
      </c>
      <c r="P20" s="73">
        <v>8338.8193568364404</v>
      </c>
      <c r="Q20" s="73">
        <v>14062.32614314183</v>
      </c>
      <c r="R20" s="73">
        <v>6472.5443506157389</v>
      </c>
      <c r="S20" s="73">
        <v>9687.1132624473084</v>
      </c>
    </row>
    <row r="21" spans="1:19">
      <c r="A21" s="72">
        <v>2027</v>
      </c>
      <c r="B21" s="73">
        <v>24288.090539741999</v>
      </c>
      <c r="C21" s="73">
        <v>12219.509349901924</v>
      </c>
      <c r="D21" s="73">
        <v>9524.8079310245394</v>
      </c>
      <c r="E21" s="73">
        <v>15804.466012384033</v>
      </c>
      <c r="F21" s="73">
        <v>7409.1619882105633</v>
      </c>
      <c r="G21" s="73">
        <v>10924.211744859676</v>
      </c>
      <c r="H21" s="73">
        <v>23020.602022056053</v>
      </c>
      <c r="I21" s="73">
        <v>11729.718481805232</v>
      </c>
      <c r="J21" s="73">
        <v>9027.7501377828848</v>
      </c>
      <c r="K21" s="73">
        <v>15170.980419276128</v>
      </c>
      <c r="L21" s="73">
        <v>7022.510442657167</v>
      </c>
      <c r="M21" s="73">
        <v>10486.339895788271</v>
      </c>
      <c r="N21" s="73">
        <v>21354.707478944878</v>
      </c>
      <c r="O21" s="73">
        <v>10942.873283751765</v>
      </c>
      <c r="P21" s="73">
        <v>8374.4535959854747</v>
      </c>
      <c r="Q21" s="73">
        <v>14153.290769589545</v>
      </c>
      <c r="R21" s="73">
        <v>6514.3238272873687</v>
      </c>
      <c r="S21" s="73">
        <v>9782.9021956459874</v>
      </c>
    </row>
    <row r="22" spans="1:19">
      <c r="A22" s="72">
        <v>2028</v>
      </c>
      <c r="B22" s="73">
        <v>24648.625353316806</v>
      </c>
      <c r="C22" s="73">
        <v>12533.788226820232</v>
      </c>
      <c r="D22" s="73">
        <v>9660.8445948683548</v>
      </c>
      <c r="E22" s="73">
        <v>16034.513329476185</v>
      </c>
      <c r="F22" s="73">
        <v>7530.9214176765981</v>
      </c>
      <c r="G22" s="73">
        <v>11119.901105884981</v>
      </c>
      <c r="H22" s="73">
        <v>23270.253846477321</v>
      </c>
      <c r="I22" s="73">
        <v>11995.979016426283</v>
      </c>
      <c r="J22" s="73">
        <v>9120.6021784782297</v>
      </c>
      <c r="K22" s="73">
        <v>15346.492373902358</v>
      </c>
      <c r="L22" s="73">
        <v>7109.786066168007</v>
      </c>
      <c r="M22" s="73">
        <v>10642.7600272909</v>
      </c>
      <c r="N22" s="73">
        <v>21458.18459026581</v>
      </c>
      <c r="O22" s="73">
        <v>11136.197544774426</v>
      </c>
      <c r="P22" s="73">
        <v>8410.3751687175245</v>
      </c>
      <c r="Q22" s="73">
        <v>14246.571327036558</v>
      </c>
      <c r="R22" s="73">
        <v>6556.1425677454781</v>
      </c>
      <c r="S22" s="73">
        <v>9879.9671059151733</v>
      </c>
    </row>
    <row r="23" spans="1:19">
      <c r="A23" s="72">
        <v>2029</v>
      </c>
      <c r="B23" s="73">
        <v>25014.598405339279</v>
      </c>
      <c r="C23" s="73">
        <v>12853.020189314302</v>
      </c>
      <c r="D23" s="73">
        <v>9798.9763549135077</v>
      </c>
      <c r="E23" s="73">
        <v>16269.802552143728</v>
      </c>
      <c r="F23" s="73">
        <v>7654.4224760968882</v>
      </c>
      <c r="G23" s="73">
        <v>11319.455771304814</v>
      </c>
      <c r="H23" s="73">
        <v>23522.694342947303</v>
      </c>
      <c r="I23" s="73">
        <v>12265.296706534546</v>
      </c>
      <c r="J23" s="73">
        <v>9214.5523160267603</v>
      </c>
      <c r="K23" s="73">
        <v>15525.841609171383</v>
      </c>
      <c r="L23" s="73">
        <v>7197.902495151845</v>
      </c>
      <c r="M23" s="73">
        <v>10801.856804595529</v>
      </c>
      <c r="N23" s="73">
        <v>21562.237610231678</v>
      </c>
      <c r="O23" s="73">
        <v>11330.178059565627</v>
      </c>
      <c r="P23" s="73">
        <v>8446.5819949597244</v>
      </c>
      <c r="Q23" s="73">
        <v>14342.135715543298</v>
      </c>
      <c r="R23" s="73">
        <v>6598.0062331710442</v>
      </c>
      <c r="S23" s="73">
        <v>9978.3122983722187</v>
      </c>
    </row>
    <row r="24" spans="1:19">
      <c r="A24" s="72">
        <v>2030</v>
      </c>
      <c r="B24" s="73">
        <v>25386.090062045649</v>
      </c>
      <c r="C24" s="73">
        <v>13177.35060996538</v>
      </c>
      <c r="D24" s="73">
        <v>9939.232458116745</v>
      </c>
      <c r="E24" s="73">
        <v>16510.389424041976</v>
      </c>
      <c r="F24" s="73">
        <v>7779.6946747325264</v>
      </c>
      <c r="G24" s="73">
        <v>11522.941770497979</v>
      </c>
      <c r="H24" s="73">
        <v>23777.9527765274</v>
      </c>
      <c r="I24" s="73">
        <v>12537.775644785155</v>
      </c>
      <c r="J24" s="73">
        <v>9309.6100835696834</v>
      </c>
      <c r="K24" s="73">
        <v>15709.042320701803</v>
      </c>
      <c r="L24" s="73">
        <v>7286.8729347242106</v>
      </c>
      <c r="M24" s="73">
        <v>10963.665076739324</v>
      </c>
      <c r="N24" s="73">
        <v>21666.8675547354</v>
      </c>
      <c r="O24" s="73">
        <v>11524.885472161646</v>
      </c>
      <c r="P24" s="73">
        <v>8483.0721367254646</v>
      </c>
      <c r="Q24" s="73">
        <v>14439.954801610349</v>
      </c>
      <c r="R24" s="73">
        <v>6639.9202760933949</v>
      </c>
      <c r="S24" s="73">
        <v>10077.942686517439</v>
      </c>
    </row>
    <row r="25" spans="1:19">
      <c r="A25" s="72">
        <v>2031</v>
      </c>
      <c r="B25" s="73">
        <v>25763.087281262775</v>
      </c>
      <c r="C25" s="73">
        <v>13509.607733226918</v>
      </c>
      <c r="D25" s="73">
        <v>10081.491611272822</v>
      </c>
      <c r="E25" s="73">
        <v>16754.214733246754</v>
      </c>
      <c r="F25" s="73">
        <v>7907.013560282744</v>
      </c>
      <c r="G25" s="73">
        <v>11729.862292317264</v>
      </c>
      <c r="H25" s="73">
        <v>24035.970477971263</v>
      </c>
      <c r="I25" s="73">
        <v>12816.063651976887</v>
      </c>
      <c r="J25" s="73">
        <v>9405.6442885517117</v>
      </c>
      <c r="K25" s="73">
        <v>15894.101938435067</v>
      </c>
      <c r="L25" s="73">
        <v>7376.9398220413532</v>
      </c>
      <c r="M25" s="73">
        <v>11127.685180489947</v>
      </c>
      <c r="N25" s="73">
        <v>21771.995529164389</v>
      </c>
      <c r="O25" s="73">
        <v>11722.715562791203</v>
      </c>
      <c r="P25" s="73">
        <v>8519.7161307440056</v>
      </c>
      <c r="Q25" s="73">
        <v>14538.164073611033</v>
      </c>
      <c r="R25" s="73">
        <v>6682.0976074836362</v>
      </c>
      <c r="S25" s="73">
        <v>10178.373936450374</v>
      </c>
    </row>
    <row r="26" spans="1:19">
      <c r="A26" s="72">
        <v>2032</v>
      </c>
      <c r="B26" s="73">
        <v>26145.671476205065</v>
      </c>
      <c r="C26" s="73">
        <v>13849.978010396122</v>
      </c>
      <c r="D26" s="73">
        <v>10225.782352638082</v>
      </c>
      <c r="E26" s="73">
        <v>17001.316215481889</v>
      </c>
      <c r="F26" s="73">
        <v>8036.4125107674672</v>
      </c>
      <c r="G26" s="73">
        <v>11940.270543329952</v>
      </c>
      <c r="H26" s="73">
        <v>24296.777148831461</v>
      </c>
      <c r="I26" s="73">
        <v>13100.278381882235</v>
      </c>
      <c r="J26" s="73">
        <v>9502.6649141758044</v>
      </c>
      <c r="K26" s="73">
        <v>16081.034577386397</v>
      </c>
      <c r="L26" s="73">
        <v>7468.1166260312584</v>
      </c>
      <c r="M26" s="73">
        <v>11293.943423967708</v>
      </c>
      <c r="N26" s="73">
        <v>21877.623848236039</v>
      </c>
      <c r="O26" s="73">
        <v>11923.713818806276</v>
      </c>
      <c r="P26" s="73">
        <v>8556.5146058133487</v>
      </c>
      <c r="Q26" s="73">
        <v>14636.761801662868</v>
      </c>
      <c r="R26" s="73">
        <v>6724.5398596795949</v>
      </c>
      <c r="S26" s="73">
        <v>10279.609741684846</v>
      </c>
    </row>
    <row r="27" spans="1:19">
      <c r="A27" s="72">
        <v>2033</v>
      </c>
      <c r="B27" s="73">
        <v>26533.925261162494</v>
      </c>
      <c r="C27" s="73">
        <v>14198.65208528798</v>
      </c>
      <c r="D27" s="73">
        <v>10372.133626036482</v>
      </c>
      <c r="E27" s="73">
        <v>17251.731951707181</v>
      </c>
      <c r="F27" s="73">
        <v>8167.925447505786</v>
      </c>
      <c r="G27" s="73">
        <v>12154.220462827749</v>
      </c>
      <c r="H27" s="73">
        <v>24560.402808917945</v>
      </c>
      <c r="I27" s="73">
        <v>13390.539725820701</v>
      </c>
      <c r="J27" s="73">
        <v>9600.6820451946187</v>
      </c>
      <c r="K27" s="73">
        <v>16269.854395397693</v>
      </c>
      <c r="L27" s="73">
        <v>7560.4169805053762</v>
      </c>
      <c r="M27" s="73">
        <v>11462.466364149725</v>
      </c>
      <c r="N27" s="73">
        <v>21983.754837111741</v>
      </c>
      <c r="O27" s="73">
        <v>12127.926305466835</v>
      </c>
      <c r="P27" s="73">
        <v>8593.4681932001131</v>
      </c>
      <c r="Q27" s="73">
        <v>14735.746216978216</v>
      </c>
      <c r="R27" s="73">
        <v>6767.2486749857717</v>
      </c>
      <c r="S27" s="73">
        <v>10381.653778692629</v>
      </c>
    </row>
    <row r="28" spans="1:19">
      <c r="A28" s="72">
        <v>2034</v>
      </c>
      <c r="B28" s="73">
        <v>26927.932469176008</v>
      </c>
      <c r="C28" s="73">
        <v>14555.824883813913</v>
      </c>
      <c r="D28" s="73">
        <v>10520.5747866078</v>
      </c>
      <c r="E28" s="73">
        <v>17505.500370070251</v>
      </c>
      <c r="F28" s="73">
        <v>8301.5868439415299</v>
      </c>
      <c r="G28" s="73">
        <v>12371.766731435378</v>
      </c>
      <c r="H28" s="73">
        <v>24826.87779969137</v>
      </c>
      <c r="I28" s="73">
        <v>13686.969852167944</v>
      </c>
      <c r="J28" s="73">
        <v>9699.7058689377518</v>
      </c>
      <c r="K28" s="73">
        <v>16460.57559257247</v>
      </c>
      <c r="L28" s="73">
        <v>7653.8546861696213</v>
      </c>
      <c r="M28" s="73">
        <v>11633.280808393598</v>
      </c>
      <c r="N28" s="73">
        <v>22090.390831442306</v>
      </c>
      <c r="O28" s="73">
        <v>12335.399671986286</v>
      </c>
      <c r="P28" s="73">
        <v>8630.5775266486908</v>
      </c>
      <c r="Q28" s="73">
        <v>14835.115511937962</v>
      </c>
      <c r="R28" s="73">
        <v>6810.2257057331217</v>
      </c>
      <c r="S28" s="73">
        <v>10484.509706525942</v>
      </c>
    </row>
    <row r="29" spans="1:19">
      <c r="A29" s="72">
        <v>2035</v>
      </c>
      <c r="B29" s="73">
        <v>27327.778169972244</v>
      </c>
      <c r="C29" s="73">
        <v>14921.695705374561</v>
      </c>
      <c r="D29" s="73">
        <v>10671.135606637077</v>
      </c>
      <c r="E29" s="73">
        <v>17762.660247862099</v>
      </c>
      <c r="F29" s="73">
        <v>8437.4317346118896</v>
      </c>
      <c r="G29" s="73">
        <v>12592.964779803948</v>
      </c>
      <c r="H29" s="73">
        <v>25096.232787692396</v>
      </c>
      <c r="I29" s="73">
        <v>13989.693246509985</v>
      </c>
      <c r="J29" s="73">
        <v>9799.7466763493267</v>
      </c>
      <c r="K29" s="73">
        <v>16653.21241070906</v>
      </c>
      <c r="L29" s="73">
        <v>7748.4437126598023</v>
      </c>
      <c r="M29" s="73">
        <v>11806.413815965105</v>
      </c>
      <c r="N29" s="73">
        <v>22197.53417741353</v>
      </c>
      <c r="O29" s="73">
        <v>12546.181157627529</v>
      </c>
      <c r="P29" s="73">
        <v>8667.843242390516</v>
      </c>
      <c r="Q29" s="73">
        <v>14934.8678401744</v>
      </c>
      <c r="R29" s="73">
        <v>6853.4726143391836</v>
      </c>
      <c r="S29" s="73">
        <v>10588.181166443206</v>
      </c>
    </row>
    <row r="30" spans="1:19">
      <c r="A30" s="72">
        <v>2036</v>
      </c>
      <c r="B30" s="73">
        <v>27733.548688161653</v>
      </c>
      <c r="C30" s="73">
        <v>15296.468316101689</v>
      </c>
      <c r="D30" s="73">
        <v>10823.846281466429</v>
      </c>
      <c r="E30" s="73">
        <v>18023.250713476678</v>
      </c>
      <c r="F30" s="73">
        <v>8575.49572426144</v>
      </c>
      <c r="G30" s="73">
        <v>12817.87079739</v>
      </c>
      <c r="H30" s="73">
        <v>25368.498768007459</v>
      </c>
      <c r="I30" s="73">
        <v>14298.836752452327</v>
      </c>
      <c r="J30" s="73">
        <v>9900.8148630359919</v>
      </c>
      <c r="K30" s="73">
        <v>16847.779132732572</v>
      </c>
      <c r="L30" s="73">
        <v>7844.1982006017824</v>
      </c>
      <c r="M30" s="73">
        <v>11981.892699570191</v>
      </c>
      <c r="N30" s="73">
        <v>22305.187231792068</v>
      </c>
      <c r="O30" s="73">
        <v>12760.318597850046</v>
      </c>
      <c r="P30" s="73">
        <v>8705.2659791532915</v>
      </c>
      <c r="Q30" s="73">
        <v>15035.001316663511</v>
      </c>
      <c r="R30" s="73">
        <v>6896.9910733685774</v>
      </c>
      <c r="S30" s="73">
        <v>10692.671781538262</v>
      </c>
    </row>
    <row r="31" spans="1:19">
      <c r="A31" s="72">
        <v>2037</v>
      </c>
      <c r="B31" s="73">
        <v>28145.331621703535</v>
      </c>
      <c r="C31" s="73">
        <v>15680.351043985018</v>
      </c>
      <c r="D31" s="73">
        <v>10978.737435490451</v>
      </c>
      <c r="E31" s="73">
        <v>18287.311248374634</v>
      </c>
      <c r="F31" s="73">
        <v>8715.8149971038747</v>
      </c>
      <c r="G31" s="73">
        <v>13046.541741321114</v>
      </c>
      <c r="H31" s="73">
        <v>25643.70706777116</v>
      </c>
      <c r="I31" s="73">
        <v>14614.529613094215</v>
      </c>
      <c r="J31" s="73">
        <v>10002.920930325494</v>
      </c>
      <c r="K31" s="73">
        <v>17044.290082125626</v>
      </c>
      <c r="L31" s="73">
        <v>7941.1324636966738</v>
      </c>
      <c r="M31" s="73">
        <v>12159.745026891336</v>
      </c>
      <c r="N31" s="73">
        <v>22413.352361971345</v>
      </c>
      <c r="O31" s="73">
        <v>12977.860430508648</v>
      </c>
      <c r="P31" s="73">
        <v>8742.8463781703122</v>
      </c>
      <c r="Q31" s="73">
        <v>15135.514017826577</v>
      </c>
      <c r="R31" s="73">
        <v>6940.7827655938463</v>
      </c>
      <c r="S31" s="73">
        <v>10797.985156373165</v>
      </c>
    </row>
    <row r="32" spans="1:19">
      <c r="A32" s="72">
        <v>2038</v>
      </c>
      <c r="B32" s="73">
        <v>28563.215860642194</v>
      </c>
      <c r="C32" s="73">
        <v>16073.556875920256</v>
      </c>
      <c r="D32" s="73">
        <v>11135.840128236268</v>
      </c>
      <c r="E32" s="73">
        <v>18554.881689051472</v>
      </c>
      <c r="F32" s="73">
        <v>8858.4263262338591</v>
      </c>
      <c r="G32" s="73">
        <v>13279.035345348975</v>
      </c>
      <c r="H32" s="73">
        <v>25921.889349705878</v>
      </c>
      <c r="I32" s="73">
        <v>14936.903513178146</v>
      </c>
      <c r="J32" s="73">
        <v>10106.075486335836</v>
      </c>
      <c r="K32" s="73">
        <v>17242.75962235832</v>
      </c>
      <c r="L32" s="73">
        <v>8039.2609908313334</v>
      </c>
      <c r="M32" s="73">
        <v>12339.998622128491</v>
      </c>
      <c r="N32" s="73">
        <v>22522.031946017774</v>
      </c>
      <c r="O32" s="73">
        <v>13198.855702104283</v>
      </c>
      <c r="P32" s="73">
        <v>8780.5850831897551</v>
      </c>
      <c r="Q32" s="73">
        <v>15236.403981641179</v>
      </c>
      <c r="R32" s="73">
        <v>6984.8493840566525</v>
      </c>
      <c r="S32" s="73">
        <v>10904.12487661472</v>
      </c>
    </row>
    <row r="33" spans="1:19">
      <c r="A33" s="72">
        <v>2039</v>
      </c>
      <c r="B33" s="73">
        <v>28987.291606117971</v>
      </c>
      <c r="C33" s="73">
        <v>16476.303556715557</v>
      </c>
      <c r="D33" s="73">
        <v>11295.185860529591</v>
      </c>
      <c r="E33" s="73">
        <v>18826.002229010421</v>
      </c>
      <c r="F33" s="73">
        <v>9003.3670831914387</v>
      </c>
      <c r="G33" s="73">
        <v>13515.410128890815</v>
      </c>
      <c r="H33" s="73">
        <v>26203.077615698869</v>
      </c>
      <c r="I33" s="73">
        <v>15266.092621925247</v>
      </c>
      <c r="J33" s="73">
        <v>10210.289247055252</v>
      </c>
      <c r="K33" s="73">
        <v>17443.202156317606</v>
      </c>
      <c r="L33" s="73">
        <v>8138.5984482145241</v>
      </c>
      <c r="M33" s="73">
        <v>12522.681567544745</v>
      </c>
      <c r="N33" s="73">
        <v>22631.228372717083</v>
      </c>
      <c r="O33" s="73">
        <v>13423.354074087611</v>
      </c>
      <c r="P33" s="73">
        <v>8818.4827404840707</v>
      </c>
      <c r="Q33" s="73">
        <v>15337.669207761621</v>
      </c>
      <c r="R33" s="73">
        <v>7029.1926321293413</v>
      </c>
      <c r="S33" s="73">
        <v>11011.094508674905</v>
      </c>
    </row>
    <row r="34" spans="1:19">
      <c r="A34" s="72">
        <v>2040</v>
      </c>
      <c r="B34" s="73">
        <v>29417.650389657312</v>
      </c>
      <c r="C34" s="73">
        <v>16888.813690094019</v>
      </c>
      <c r="D34" s="73">
        <v>11456.806580747821</v>
      </c>
      <c r="E34" s="73">
        <v>19100.713420740296</v>
      </c>
      <c r="F34" s="73">
        <v>9150.6752476814509</v>
      </c>
      <c r="G34" s="73">
        <v>13755.725406160196</v>
      </c>
      <c r="H34" s="73">
        <v>26487.304210417326</v>
      </c>
      <c r="I34" s="73">
        <v>15602.233636566907</v>
      </c>
      <c r="J34" s="73">
        <v>10315.573037432976</v>
      </c>
      <c r="K34" s="73">
        <v>17645.632125736367</v>
      </c>
      <c r="L34" s="73">
        <v>8239.1596815389967</v>
      </c>
      <c r="M34" s="73">
        <v>12707.822205016926</v>
      </c>
      <c r="N34" s="73">
        <v>22740.944041620922</v>
      </c>
      <c r="O34" s="73">
        <v>13651.405829215721</v>
      </c>
      <c r="P34" s="73">
        <v>8856.5399988593563</v>
      </c>
      <c r="Q34" s="73">
        <v>15439.307657648833</v>
      </c>
      <c r="R34" s="73">
        <v>7073.8142235768701</v>
      </c>
      <c r="S34" s="73">
        <v>11118.897599355347</v>
      </c>
    </row>
    <row r="35" spans="1:19">
      <c r="A35" s="72">
        <v>2041</v>
      </c>
      <c r="B35" s="73">
        <v>29854.385092745899</v>
      </c>
      <c r="C35" s="73">
        <v>17311.314841730862</v>
      </c>
      <c r="D35" s="73">
        <v>11620.73469116153</v>
      </c>
      <c r="E35" s="73">
        <v>19379.056177698469</v>
      </c>
      <c r="F35" s="73">
        <v>9300.389417450453</v>
      </c>
      <c r="G35" s="73">
        <v>14000.041295388068</v>
      </c>
      <c r="H35" s="73">
        <v>26774.601824961741</v>
      </c>
      <c r="I35" s="73">
        <v>15945.465826583582</v>
      </c>
      <c r="J35" s="73">
        <v>10421.937792480994</v>
      </c>
      <c r="K35" s="73">
        <v>17850.064010622456</v>
      </c>
      <c r="L35" s="73">
        <v>8340.9597181698409</v>
      </c>
      <c r="M35" s="73">
        <v>12895.44913759128</v>
      </c>
      <c r="N35" s="73">
        <v>22851.181363093583</v>
      </c>
      <c r="O35" s="73">
        <v>13883.0618779627</v>
      </c>
      <c r="P35" s="73">
        <v>8894.7575096647652</v>
      </c>
      <c r="Q35" s="73">
        <v>15541.317254709656</v>
      </c>
      <c r="R35" s="73">
        <v>7118.7158826190807</v>
      </c>
      <c r="S35" s="73">
        <v>11227.53767549596</v>
      </c>
    </row>
    <row r="36" spans="1:19">
      <c r="A36" s="72">
        <v>2042</v>
      </c>
      <c r="B36" s="73">
        <v>30297.589966688938</v>
      </c>
      <c r="C36" s="73">
        <v>17744.039644364409</v>
      </c>
      <c r="D36" s="73">
        <v>11787.003054365578</v>
      </c>
      <c r="E36" s="73">
        <v>19661.07177629945</v>
      </c>
      <c r="F36" s="73">
        <v>9452.548818323723</v>
      </c>
      <c r="G36" s="73">
        <v>14248.418728135064</v>
      </c>
      <c r="H36" s="73">
        <v>27065.003500557996</v>
      </c>
      <c r="I36" s="73">
        <v>16295.931078661606</v>
      </c>
      <c r="J36" s="73">
        <v>10529.394558386903</v>
      </c>
      <c r="K36" s="73">
        <v>18056.512328688008</v>
      </c>
      <c r="L36" s="73">
        <v>8444.0137693594097</v>
      </c>
      <c r="M36" s="73">
        <v>13085.591231044466</v>
      </c>
      <c r="N36" s="73">
        <v>22961.94275835895</v>
      </c>
      <c r="O36" s="73">
        <v>14118.373764984553</v>
      </c>
      <c r="P36" s="73">
        <v>8933.1359268019914</v>
      </c>
      <c r="Q36" s="73">
        <v>15643.695884445673</v>
      </c>
      <c r="R36" s="73">
        <v>7163.8993439933656</v>
      </c>
      <c r="S36" s="73">
        <v>11337.018243627936</v>
      </c>
    </row>
    <row r="37" spans="1:19">
      <c r="A37" s="72">
        <v>2043</v>
      </c>
      <c r="B37" s="73">
        <v>30747.360652762953</v>
      </c>
      <c r="C37" s="73">
        <v>18187.225905020881</v>
      </c>
      <c r="D37" s="73">
        <v>11955.644999801038</v>
      </c>
      <c r="E37" s="73">
        <v>19946.801857909162</v>
      </c>
      <c r="F37" s="73">
        <v>9607.1933144049235</v>
      </c>
      <c r="G37" s="73">
        <v>14500.91945869604</v>
      </c>
      <c r="H37" s="73">
        <v>27358.542632288609</v>
      </c>
      <c r="I37" s="73">
        <v>16653.773942379135</v>
      </c>
      <c r="J37" s="73">
        <v>10637.954493637902</v>
      </c>
      <c r="K37" s="73">
        <v>18264.991634779271</v>
      </c>
      <c r="L37" s="73">
        <v>8548.3372324891425</v>
      </c>
      <c r="M37" s="73">
        <v>13278.277615449972</v>
      </c>
      <c r="N37" s="73">
        <v>23073.230659547658</v>
      </c>
      <c r="O37" s="73">
        <v>14357.393675639103</v>
      </c>
      <c r="P37" s="73">
        <v>8971.6759067347357</v>
      </c>
      <c r="Q37" s="73">
        <v>15746.441394611495</v>
      </c>
      <c r="R37" s="73">
        <v>7209.3663530176818</v>
      </c>
      <c r="S37" s="73">
        <v>11447.342789631197</v>
      </c>
    </row>
    <row r="38" spans="1:19">
      <c r="A38" s="72">
        <v>2044</v>
      </c>
      <c r="B38" s="73">
        <v>31203.794202663146</v>
      </c>
      <c r="C38" s="73">
        <v>18641.116714393716</v>
      </c>
      <c r="D38" s="73">
        <v>12126.694330369284</v>
      </c>
      <c r="E38" s="73">
        <v>20236.288430845354</v>
      </c>
      <c r="F38" s="73">
        <v>9764.3634184410148</v>
      </c>
      <c r="G38" s="73">
        <v>14757.606073597917</v>
      </c>
      <c r="H38" s="73">
        <v>27655.252972863516</v>
      </c>
      <c r="I38" s="73">
        <v>17019.14167663252</v>
      </c>
      <c r="J38" s="73">
        <v>10747.62887015611</v>
      </c>
      <c r="K38" s="73">
        <v>18475.51652030725</v>
      </c>
      <c r="L38" s="73">
        <v>8653.9456933385973</v>
      </c>
      <c r="M38" s="73">
        <v>13473.537686750349</v>
      </c>
      <c r="N38" s="73">
        <v>23185.047509744414</v>
      </c>
      <c r="O38" s="73">
        <v>14600.174442561462</v>
      </c>
      <c r="P38" s="73">
        <v>9010.3781084982311</v>
      </c>
      <c r="Q38" s="73">
        <v>15849.551595382512</v>
      </c>
      <c r="R38" s="73">
        <v>7255.1186656539303</v>
      </c>
      <c r="S38" s="73">
        <v>11558.514778396519</v>
      </c>
    </row>
    <row r="39" spans="1:19">
      <c r="A39" s="72">
        <v>2045</v>
      </c>
      <c r="B39" s="73">
        <v>31666.989099250844</v>
      </c>
      <c r="C39" s="73">
        <v>19105.960558418836</v>
      </c>
      <c r="D39" s="73">
        <v>12300.185329139524</v>
      </c>
      <c r="E39" s="73">
        <v>20529.573872384342</v>
      </c>
      <c r="F39" s="73">
        <v>9924.100302355173</v>
      </c>
      <c r="G39" s="73">
        <v>15018.542001191703</v>
      </c>
      <c r="H39" s="73">
        <v>27955.168636430801</v>
      </c>
      <c r="I39" s="73">
        <v>17392.184296814528</v>
      </c>
      <c r="J39" s="73">
        <v>10858.429074445292</v>
      </c>
      <c r="K39" s="73">
        <v>18688.101612679438</v>
      </c>
      <c r="L39" s="73">
        <v>8760.8549283820594</v>
      </c>
      <c r="M39" s="73">
        <v>13671.401108335192</v>
      </c>
      <c r="N39" s="73">
        <v>23297.395763035507</v>
      </c>
      <c r="O39" s="73">
        <v>14846.769552295686</v>
      </c>
      <c r="P39" s="73">
        <v>9049.2431937088058</v>
      </c>
      <c r="Q39" s="73">
        <v>15953.024259532192</v>
      </c>
      <c r="R39" s="73">
        <v>7301.1580485717377</v>
      </c>
      <c r="S39" s="73">
        <v>11670.537653492358</v>
      </c>
    </row>
    <row r="40" spans="1:19">
      <c r="A40" s="72">
        <v>2046</v>
      </c>
      <c r="B40" s="73">
        <v>32137.045277605321</v>
      </c>
      <c r="C40" s="73">
        <v>19582.011432088297</v>
      </c>
      <c r="D40" s="73">
        <v>12476.152766151057</v>
      </c>
      <c r="E40" s="73">
        <v>20826.700930774536</v>
      </c>
      <c r="F40" s="73">
        <v>10086.445807950337</v>
      </c>
      <c r="G40" s="73">
        <v>15283.791521339946</v>
      </c>
      <c r="H40" s="73">
        <v>28258.324102427887</v>
      </c>
      <c r="I40" s="73">
        <v>17773.054622756066</v>
      </c>
      <c r="J40" s="73">
        <v>10970.366608749082</v>
      </c>
      <c r="K40" s="73">
        <v>18902.761574732973</v>
      </c>
      <c r="L40" s="73">
        <v>8869.0809071130134</v>
      </c>
      <c r="M40" s="73">
        <v>13871.897812625384</v>
      </c>
      <c r="N40" s="73">
        <v>23410.277884556599</v>
      </c>
      <c r="O40" s="73">
        <v>15097.233151983271</v>
      </c>
      <c r="P40" s="73">
        <v>9088.2718265734493</v>
      </c>
      <c r="Q40" s="73">
        <v>16056.857122618823</v>
      </c>
      <c r="R40" s="73">
        <v>7347.4862792125759</v>
      </c>
      <c r="S40" s="73">
        <v>11783.414836836659</v>
      </c>
    </row>
    <row r="41" spans="1:19">
      <c r="A41" s="72">
        <v>2047</v>
      </c>
      <c r="B41" s="73">
        <v>32614.064146384419</v>
      </c>
      <c r="C41" s="73">
        <v>20069.528955545225</v>
      </c>
      <c r="D41" s="73">
        <v>12654.631905311675</v>
      </c>
      <c r="E41" s="73">
        <v>21127.712727256901</v>
      </c>
      <c r="F41" s="73">
        <v>10251.442457786223</v>
      </c>
      <c r="G41" s="73">
        <v>15553.419775200502</v>
      </c>
      <c r="H41" s="73">
        <v>28564.754219473441</v>
      </c>
      <c r="I41" s="73">
        <v>18161.908327443278</v>
      </c>
      <c r="J41" s="73">
        <v>11083.453092220892</v>
      </c>
      <c r="K41" s="73">
        <v>19119.511104169411</v>
      </c>
      <c r="L41" s="73">
        <v>8978.639794396835</v>
      </c>
      <c r="M41" s="73">
        <v>14075.058002663563</v>
      </c>
      <c r="N41" s="73">
        <v>23523.696350540591</v>
      </c>
      <c r="O41" s="73">
        <v>15351.620056109135</v>
      </c>
      <c r="P41" s="73">
        <v>9127.4646738994616</v>
      </c>
      <c r="Q41" s="73">
        <v>16161.047883181765</v>
      </c>
      <c r="R41" s="73">
        <v>7394.1051458542806</v>
      </c>
      <c r="S41" s="73">
        <v>11897.149728373673</v>
      </c>
    </row>
    <row r="42" spans="1:19">
      <c r="A42" s="72">
        <v>2048</v>
      </c>
      <c r="B42" s="73">
        <v>33098.148609498588</v>
      </c>
      <c r="C42" s="73">
        <v>20568.778492504003</v>
      </c>
      <c r="D42" s="73">
        <v>12835.658511393422</v>
      </c>
      <c r="E42" s="73">
        <v>21432.65275809286</v>
      </c>
      <c r="F42" s="73">
        <v>10419.133466232539</v>
      </c>
      <c r="G42" s="73">
        <v>15827.492775107819</v>
      </c>
      <c r="H42" s="73">
        <v>28874.494209300599</v>
      </c>
      <c r="I42" s="73">
        <v>18558.903986521909</v>
      </c>
      <c r="J42" s="73">
        <v>11197.700262105505</v>
      </c>
      <c r="K42" s="73">
        <v>19338.364932991506</v>
      </c>
      <c r="L42" s="73">
        <v>9089.5479528520718</v>
      </c>
      <c r="M42" s="73">
        <v>14280.912153711262</v>
      </c>
      <c r="N42" s="73">
        <v>23637.653648365784</v>
      </c>
      <c r="O42" s="73">
        <v>15609.985753305691</v>
      </c>
      <c r="P42" s="73">
        <v>9166.8224051040779</v>
      </c>
      <c r="Q42" s="73">
        <v>16265.594202947166</v>
      </c>
      <c r="R42" s="73">
        <v>7441.0164476759428</v>
      </c>
      <c r="S42" s="73">
        <v>12011.745705756024</v>
      </c>
    </row>
    <row r="43" spans="1:19">
      <c r="A43" s="72">
        <v>2049</v>
      </c>
      <c r="B43" s="73">
        <v>33589.403088102845</v>
      </c>
      <c r="C43" s="73">
        <v>21080.031271040429</v>
      </c>
      <c r="D43" s="73">
        <v>13019.268857127248</v>
      </c>
      <c r="E43" s="73">
        <v>21741.564896599841</v>
      </c>
      <c r="F43" s="73">
        <v>10589.562750701314</v>
      </c>
      <c r="G43" s="73">
        <v>16106.077414552792</v>
      </c>
      <c r="H43" s="73">
        <v>29187.579670731815</v>
      </c>
      <c r="I43" s="73">
        <v>18964.203128601257</v>
      </c>
      <c r="J43" s="73">
        <v>11313.119974932602</v>
      </c>
      <c r="K43" s="73">
        <v>19559.337826942221</v>
      </c>
      <c r="L43" s="73">
        <v>9201.8219452605899</v>
      </c>
      <c r="M43" s="73">
        <v>14489.491014852789</v>
      </c>
      <c r="N43" s="73">
        <v>23752.152276604182</v>
      </c>
      <c r="O43" s="73">
        <v>15872.386413215761</v>
      </c>
      <c r="P43" s="73">
        <v>9206.345692224173</v>
      </c>
      <c r="Q43" s="73">
        <v>16370.493707043144</v>
      </c>
      <c r="R43" s="73">
        <v>7488.2219948231714</v>
      </c>
      <c r="S43" s="73">
        <v>12127.206124032067</v>
      </c>
    </row>
    <row r="44" spans="1:19">
      <c r="A44" s="72">
        <v>2050</v>
      </c>
      <c r="B44" s="73">
        <v>34087.933542911349</v>
      </c>
      <c r="C44" s="73">
        <v>21603.564506797436</v>
      </c>
      <c r="D44" s="73">
        <v>13205.499730397829</v>
      </c>
      <c r="E44" s="73">
        <v>22054.493395194968</v>
      </c>
      <c r="F44" s="73">
        <v>10762.774943061198</v>
      </c>
      <c r="G44" s="73">
        <v>16389.241478262316</v>
      </c>
      <c r="H44" s="73">
        <v>29504.046583695901</v>
      </c>
      <c r="I44" s="73">
        <v>19377.970286370077</v>
      </c>
      <c r="J44" s="73">
        <v>11429.724207722253</v>
      </c>
      <c r="K44" s="73">
        <v>19782.444584946308</v>
      </c>
      <c r="L44" s="73">
        <v>9315.4785370070276</v>
      </c>
      <c r="M44" s="73">
        <v>14700.825610606214</v>
      </c>
      <c r="N44" s="73">
        <v>23867.194745070043</v>
      </c>
      <c r="O44" s="73">
        <v>16138.878893414974</v>
      </c>
      <c r="P44" s="73">
        <v>9246.0352099259726</v>
      </c>
      <c r="Q44" s="73">
        <v>16475.74398422442</v>
      </c>
      <c r="R44" s="73">
        <v>7535.7236084737642</v>
      </c>
      <c r="S44" s="73">
        <v>12243.534315338764</v>
      </c>
    </row>
  </sheetData>
  <mergeCells count="12">
    <mergeCell ref="L3:M3"/>
    <mergeCell ref="N3:O3"/>
    <mergeCell ref="P3:Q3"/>
    <mergeCell ref="R3:S3"/>
    <mergeCell ref="B2:G2"/>
    <mergeCell ref="H2:M2"/>
    <mergeCell ref="N2:S2"/>
    <mergeCell ref="B3:C3"/>
    <mergeCell ref="D3:E3"/>
    <mergeCell ref="F3:G3"/>
    <mergeCell ref="H3:I3"/>
    <mergeCell ref="J3:K3"/>
  </mergeCells>
  <pageMargins left="0.7" right="0.7" top="0.75" bottom="0.75" header="0.3" footer="0.3"/>
</worksheet>
</file>

<file path=xl/worksheets/sheet11.xml><?xml version="1.0" encoding="utf-8"?>
<worksheet xmlns="http://schemas.openxmlformats.org/spreadsheetml/2006/main" xmlns:r="http://schemas.openxmlformats.org/officeDocument/2006/relationships">
  <sheetPr>
    <tabColor theme="0" tint="-0.34998626667073579"/>
  </sheetPr>
  <dimension ref="A1:AO11"/>
  <sheetViews>
    <sheetView workbookViewId="0">
      <selection activeCell="D8" sqref="D8"/>
    </sheetView>
  </sheetViews>
  <sheetFormatPr defaultRowHeight="15"/>
  <cols>
    <col min="1" max="1" width="30" bestFit="1" customWidth="1"/>
  </cols>
  <sheetData>
    <row r="1" spans="1:41" s="70" customFormat="1" ht="15.75" thickBot="1">
      <c r="A1" s="259" t="s">
        <v>345</v>
      </c>
      <c r="B1" s="260"/>
      <c r="C1" s="260"/>
      <c r="D1" s="261"/>
    </row>
    <row r="2" spans="1:41">
      <c r="A2" s="262"/>
      <c r="B2" s="263">
        <v>2011</v>
      </c>
      <c r="C2" s="263">
        <v>2012</v>
      </c>
      <c r="D2" s="263">
        <v>2013</v>
      </c>
      <c r="E2" s="68">
        <v>2014</v>
      </c>
      <c r="F2" s="68">
        <v>2015</v>
      </c>
      <c r="G2" s="68">
        <v>2016</v>
      </c>
      <c r="H2" s="68">
        <v>2017</v>
      </c>
      <c r="I2" s="68">
        <v>2018</v>
      </c>
      <c r="J2" s="68">
        <v>2019</v>
      </c>
      <c r="K2" s="68">
        <v>2020</v>
      </c>
      <c r="L2" s="68">
        <v>2021</v>
      </c>
      <c r="M2" s="68">
        <v>2022</v>
      </c>
      <c r="N2" s="68">
        <v>2023</v>
      </c>
      <c r="O2" s="68">
        <v>2024</v>
      </c>
      <c r="P2" s="68">
        <v>2025</v>
      </c>
      <c r="Q2" s="68">
        <v>2026</v>
      </c>
      <c r="R2" s="68">
        <v>2027</v>
      </c>
      <c r="S2" s="68">
        <v>2028</v>
      </c>
      <c r="T2" s="68">
        <v>2029</v>
      </c>
      <c r="U2" s="68">
        <v>2030</v>
      </c>
      <c r="V2" s="68">
        <v>2031</v>
      </c>
      <c r="W2" s="68">
        <v>2032</v>
      </c>
      <c r="X2" s="68">
        <v>2033</v>
      </c>
      <c r="Y2" s="68">
        <v>2034</v>
      </c>
      <c r="Z2" s="68">
        <v>2035</v>
      </c>
      <c r="AA2" s="68">
        <v>2036</v>
      </c>
      <c r="AB2" s="68">
        <v>2037</v>
      </c>
      <c r="AC2" s="68">
        <v>2038</v>
      </c>
      <c r="AD2" s="68">
        <v>2039</v>
      </c>
      <c r="AE2" s="68">
        <v>2040</v>
      </c>
      <c r="AF2" s="68">
        <v>2041</v>
      </c>
      <c r="AG2" s="68">
        <v>2042</v>
      </c>
      <c r="AH2" s="68">
        <v>2043</v>
      </c>
      <c r="AI2" s="68">
        <v>2044</v>
      </c>
      <c r="AJ2" s="68">
        <v>2045</v>
      </c>
      <c r="AK2" s="68">
        <v>2046</v>
      </c>
      <c r="AL2" s="68">
        <v>2047</v>
      </c>
      <c r="AM2" s="68">
        <v>2048</v>
      </c>
      <c r="AN2" s="68">
        <v>2049</v>
      </c>
      <c r="AO2" s="68">
        <v>2050</v>
      </c>
    </row>
    <row r="3" spans="1:41">
      <c r="A3" s="67" t="s">
        <v>204</v>
      </c>
      <c r="B3" s="69">
        <v>5874919</v>
      </c>
      <c r="C3" s="69">
        <v>5966561</v>
      </c>
      <c r="D3" s="69">
        <v>6060419</v>
      </c>
      <c r="E3" s="69">
        <v>6154480</v>
      </c>
      <c r="F3" s="69">
        <v>6249711</v>
      </c>
      <c r="G3" s="69">
        <v>6345977</v>
      </c>
      <c r="H3" s="69">
        <v>6441457</v>
      </c>
      <c r="I3" s="69">
        <v>6536223</v>
      </c>
      <c r="J3" s="69">
        <v>6630423</v>
      </c>
      <c r="K3" s="69">
        <v>6724196</v>
      </c>
      <c r="L3" s="69">
        <v>6816156</v>
      </c>
      <c r="M3" s="69">
        <v>6907512</v>
      </c>
      <c r="N3" s="69">
        <v>6998378</v>
      </c>
      <c r="O3" s="69">
        <v>7088375</v>
      </c>
      <c r="P3" s="69">
        <v>7177924</v>
      </c>
      <c r="Q3" s="69">
        <v>7266466</v>
      </c>
      <c r="R3" s="69">
        <v>7353492</v>
      </c>
      <c r="S3" s="69">
        <v>7438640</v>
      </c>
      <c r="T3" s="69">
        <v>7522347</v>
      </c>
      <c r="U3" s="69">
        <v>7605304</v>
      </c>
      <c r="V3" s="69">
        <v>7689175.8559417697</v>
      </c>
      <c r="W3" s="69">
        <v>7773972.6569244107</v>
      </c>
      <c r="X3" s="69">
        <v>7859704.6033103568</v>
      </c>
      <c r="Y3" s="69">
        <v>7946382.0079523949</v>
      </c>
      <c r="Z3" s="69">
        <v>8034015.2974342164</v>
      </c>
      <c r="AA3" s="69">
        <v>8122615.01332465</v>
      </c>
      <c r="AB3" s="69">
        <v>8212191.8134457264</v>
      </c>
      <c r="AC3" s="69">
        <v>8302756.4731547274</v>
      </c>
      <c r="AD3" s="69">
        <v>8394319.8866403718</v>
      </c>
      <c r="AE3" s="69">
        <v>8486893.0682333019</v>
      </c>
      <c r="AF3" s="69">
        <v>8580487.1537310109</v>
      </c>
      <c r="AG3" s="69">
        <v>8675113.4017373938</v>
      </c>
      <c r="AH3" s="69">
        <v>8770783.1950170621</v>
      </c>
      <c r="AI3" s="69">
        <v>8867508.0418646</v>
      </c>
      <c r="AJ3" s="69">
        <v>8965299.577488916</v>
      </c>
      <c r="AK3" s="69">
        <v>9064169.565412866</v>
      </c>
      <c r="AL3" s="69">
        <v>9164129.8988883048</v>
      </c>
      <c r="AM3" s="69">
        <v>9265192.6023267508</v>
      </c>
      <c r="AN3" s="69">
        <v>9367369.832745824</v>
      </c>
      <c r="AO3" s="69">
        <v>9470673.8812316358</v>
      </c>
    </row>
    <row r="4" spans="1:41">
      <c r="A4" s="67" t="s">
        <v>205</v>
      </c>
      <c r="B4" s="69">
        <v>368109.8661258581</v>
      </c>
      <c r="C4" s="69">
        <v>373486.05763078062</v>
      </c>
      <c r="D4" s="69">
        <v>378939.52680845541</v>
      </c>
      <c r="E4" s="69">
        <v>384222.696794555</v>
      </c>
      <c r="F4" s="69">
        <v>389432.25250224111</v>
      </c>
      <c r="G4" s="69">
        <v>394176.6962072298</v>
      </c>
      <c r="H4" s="69">
        <v>398910.99371926603</v>
      </c>
      <c r="I4" s="69">
        <v>404211.04209112196</v>
      </c>
      <c r="J4" s="69">
        <v>409461.45527194545</v>
      </c>
      <c r="K4" s="69">
        <v>414973.96221003355</v>
      </c>
      <c r="L4" s="69">
        <v>420270.55792898097</v>
      </c>
      <c r="M4" s="69">
        <v>425475.03615722148</v>
      </c>
      <c r="N4" s="69">
        <v>430609.97963586426</v>
      </c>
      <c r="O4" s="69">
        <v>435727.19666466326</v>
      </c>
      <c r="P4" s="69">
        <v>440815.13833749207</v>
      </c>
      <c r="Q4" s="69">
        <v>445687.17196607753</v>
      </c>
      <c r="R4" s="69">
        <v>450729.45878165902</v>
      </c>
      <c r="S4" s="69">
        <v>455977.8439503425</v>
      </c>
      <c r="T4" s="69">
        <v>461256.43179383531</v>
      </c>
      <c r="U4" s="69">
        <v>466415.471809601</v>
      </c>
      <c r="V4" s="69">
        <v>471632.21442212129</v>
      </c>
      <c r="W4" s="69">
        <v>476907.30502078304</v>
      </c>
      <c r="X4" s="69">
        <v>482241.39621349488</v>
      </c>
      <c r="Y4" s="69">
        <v>487635.14790742495</v>
      </c>
      <c r="Z4" s="69">
        <v>493089.22739064106</v>
      </c>
      <c r="AA4" s="69">
        <v>498604.30941466434</v>
      </c>
      <c r="AB4" s="69">
        <v>504181.07627794618</v>
      </c>
      <c r="AC4" s="69">
        <v>509820.21791027865</v>
      </c>
      <c r="AD4" s="69">
        <v>515522.43195814936</v>
      </c>
      <c r="AE4" s="69">
        <v>521288.42387105065</v>
      </c>
      <c r="AF4" s="69">
        <v>527118.90698875429</v>
      </c>
      <c r="AG4" s="69">
        <v>533014.60262956249</v>
      </c>
      <c r="AH4" s="69">
        <v>538976.2401795456</v>
      </c>
      <c r="AI4" s="69">
        <v>545004.55718277826</v>
      </c>
      <c r="AJ4" s="69">
        <v>551100.29943258467</v>
      </c>
      <c r="AK4" s="69">
        <v>557264.22106380423</v>
      </c>
      <c r="AL4" s="69">
        <v>563497.08464608958</v>
      </c>
      <c r="AM4" s="69">
        <v>569799.66127824772</v>
      </c>
      <c r="AN4" s="69">
        <v>576172.73068363674</v>
      </c>
      <c r="AO4" s="69">
        <v>582617.08130662923</v>
      </c>
    </row>
    <row r="5" spans="1:41">
      <c r="A5" s="67" t="s">
        <v>206</v>
      </c>
      <c r="B5" s="69">
        <v>34446.785272905516</v>
      </c>
      <c r="C5" s="69">
        <v>34949.875603803535</v>
      </c>
      <c r="D5" s="69">
        <v>35460.19738282248</v>
      </c>
      <c r="E5" s="69">
        <v>35954.582996516438</v>
      </c>
      <c r="F5" s="69">
        <v>36442.079973216722</v>
      </c>
      <c r="G5" s="69">
        <v>36886.0529513527</v>
      </c>
      <c r="H5" s="69">
        <v>37329.076474551082</v>
      </c>
      <c r="I5" s="69">
        <v>37825.041524667162</v>
      </c>
      <c r="J5" s="69">
        <v>38316.361839814657</v>
      </c>
      <c r="K5" s="69">
        <v>38832.208222336769</v>
      </c>
      <c r="L5" s="69">
        <v>39327.850181972783</v>
      </c>
      <c r="M5" s="69">
        <v>39814.872021057141</v>
      </c>
      <c r="N5" s="69">
        <v>40295.386975081325</v>
      </c>
      <c r="O5" s="69">
        <v>40774.243133002463</v>
      </c>
      <c r="P5" s="69">
        <v>41250.359777550853</v>
      </c>
      <c r="Q5" s="69">
        <v>41706.272296311967</v>
      </c>
      <c r="R5" s="69">
        <v>42178.116675406534</v>
      </c>
      <c r="S5" s="69">
        <v>42669.247214334624</v>
      </c>
      <c r="T5" s="69">
        <v>43163.204042774523</v>
      </c>
      <c r="U5" s="69">
        <v>43645.973889471999</v>
      </c>
      <c r="V5" s="69">
        <v>44134.143398452405</v>
      </c>
      <c r="W5" s="69">
        <v>44627.772963613519</v>
      </c>
      <c r="X5" s="69">
        <v>45126.923654344042</v>
      </c>
      <c r="Y5" s="69">
        <v>45631.657223078801</v>
      </c>
      <c r="Z5" s="69">
        <v>46142.036112938462</v>
      </c>
      <c r="AA5" s="69">
        <v>46658.123465454672</v>
      </c>
      <c r="AB5" s="69">
        <v>47179.983128381617</v>
      </c>
      <c r="AC5" s="69">
        <v>47707.67966359495</v>
      </c>
      <c r="AD5" s="69">
        <v>48241.278355079055</v>
      </c>
      <c r="AE5" s="69">
        <v>48780.845217003669</v>
      </c>
      <c r="AF5" s="69">
        <v>49326.447001890818</v>
      </c>
      <c r="AG5" s="69">
        <v>49878.151208873111</v>
      </c>
      <c r="AH5" s="69">
        <v>50436.026092044391</v>
      </c>
      <c r="AI5" s="69">
        <v>51000.140668903798</v>
      </c>
      <c r="AJ5" s="69">
        <v>51570.564728894264</v>
      </c>
      <c r="AK5" s="69">
        <v>52147.368842036514</v>
      </c>
      <c r="AL5" s="69">
        <v>52730.624367659635</v>
      </c>
      <c r="AM5" s="69">
        <v>53320.403463229319</v>
      </c>
      <c r="AN5" s="69">
        <v>53916.779093274788</v>
      </c>
      <c r="AO5" s="69">
        <v>54519.825038415627</v>
      </c>
    </row>
    <row r="8" spans="1:41">
      <c r="A8" s="71" t="s">
        <v>484</v>
      </c>
    </row>
    <row r="9" spans="1:41">
      <c r="A9" s="70" t="s">
        <v>3</v>
      </c>
      <c r="B9" s="374">
        <f>RATE(20,,F3,-Z3)</f>
        <v>1.2636636848189211E-2</v>
      </c>
    </row>
    <row r="10" spans="1:41">
      <c r="A10" s="251" t="s">
        <v>4</v>
      </c>
      <c r="B10" s="374">
        <f>RATE(20,,F4,-Z4)</f>
        <v>1.1869906316853229E-2</v>
      </c>
    </row>
    <row r="11" spans="1:41">
      <c r="A11" s="251" t="s">
        <v>485</v>
      </c>
      <c r="B11" s="374">
        <f>RATE(20,,F5,-Z5)</f>
        <v>1.1869906316873007E-2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sheetPr>
    <tabColor rgb="FF7030A0"/>
  </sheetPr>
  <dimension ref="A1:AN39"/>
  <sheetViews>
    <sheetView zoomScaleNormal="100" workbookViewId="0">
      <pane xSplit="4" ySplit="3" topLeftCell="G4" activePane="bottomRight" state="frozen"/>
      <selection pane="topRight" activeCell="E1" sqref="E1"/>
      <selection pane="bottomLeft" activeCell="A3" sqref="A3"/>
      <selection pane="bottomRight" activeCell="J12" sqref="J12"/>
    </sheetView>
  </sheetViews>
  <sheetFormatPr defaultRowHeight="15"/>
  <cols>
    <col min="1" max="1" width="2.5703125" style="70" bestFit="1" customWidth="1"/>
    <col min="2" max="2" width="18.140625" customWidth="1"/>
    <col min="3" max="3" width="36" customWidth="1"/>
    <col min="4" max="4" width="3.85546875" style="70" hidden="1" customWidth="1"/>
    <col min="5" max="5" width="14.85546875" customWidth="1"/>
    <col min="6" max="6" width="18.7109375" bestFit="1" customWidth="1"/>
    <col min="7" max="7" width="18" style="70" bestFit="1" customWidth="1"/>
    <col min="8" max="8" width="18.85546875" style="70" bestFit="1" customWidth="1"/>
    <col min="9" max="9" width="12" style="70" customWidth="1"/>
    <col min="10" max="12" width="15.7109375" style="70" customWidth="1"/>
    <col min="13" max="13" width="15.42578125" customWidth="1"/>
    <col min="14" max="14" width="10.140625" style="70" bestFit="1" customWidth="1"/>
    <col min="15" max="15" width="12.28515625" style="70" bestFit="1" customWidth="1"/>
    <col min="16" max="17" width="12.28515625" style="70" customWidth="1"/>
    <col min="18" max="18" width="30.5703125" customWidth="1"/>
    <col min="19" max="19" width="13.7109375" customWidth="1"/>
    <col min="20" max="22" width="12.28515625" style="70" customWidth="1"/>
    <col min="23" max="25" width="15.140625" style="70" customWidth="1"/>
    <col min="26" max="26" width="15.140625" customWidth="1"/>
    <col min="27" max="27" width="10.140625" style="70" bestFit="1" customWidth="1"/>
    <col min="28" max="30" width="12.42578125" style="70" customWidth="1"/>
    <col min="31" max="31" width="30.42578125" customWidth="1"/>
    <col min="32" max="32" width="11.85546875" customWidth="1"/>
    <col min="33" max="34" width="11.85546875" style="70" customWidth="1"/>
    <col min="35" max="35" width="15.85546875" style="70" customWidth="1"/>
    <col min="36" max="36" width="15.140625" customWidth="1"/>
    <col min="37" max="37" width="10.42578125" customWidth="1"/>
    <col min="38" max="38" width="12.28515625" customWidth="1"/>
    <col min="39" max="40" width="12.28515625" style="70" customWidth="1"/>
  </cols>
  <sheetData>
    <row r="1" spans="1:40" s="70" customFormat="1">
      <c r="A1" s="521" t="s">
        <v>223</v>
      </c>
      <c r="B1" s="521"/>
      <c r="C1" s="521" t="s">
        <v>250</v>
      </c>
      <c r="D1" s="204"/>
      <c r="E1" s="522" t="s">
        <v>262</v>
      </c>
      <c r="F1" s="523"/>
      <c r="G1" s="523"/>
      <c r="H1" s="523"/>
      <c r="I1" s="523"/>
      <c r="J1" s="523"/>
      <c r="K1" s="523"/>
      <c r="L1" s="523"/>
      <c r="M1" s="523"/>
      <c r="N1" s="523"/>
      <c r="O1" s="524"/>
      <c r="P1" s="516" t="s">
        <v>346</v>
      </c>
      <c r="Q1" s="517"/>
      <c r="R1" s="507" t="s">
        <v>263</v>
      </c>
      <c r="S1" s="508"/>
      <c r="T1" s="508"/>
      <c r="U1" s="508"/>
      <c r="V1" s="508"/>
      <c r="W1" s="508"/>
      <c r="X1" s="508"/>
      <c r="Y1" s="508"/>
      <c r="Z1" s="508"/>
      <c r="AA1" s="508"/>
      <c r="AB1" s="509"/>
      <c r="AC1" s="493" t="s">
        <v>346</v>
      </c>
      <c r="AD1" s="494"/>
      <c r="AE1" s="506" t="s">
        <v>264</v>
      </c>
      <c r="AF1" s="506"/>
      <c r="AG1" s="506"/>
      <c r="AH1" s="506"/>
      <c r="AI1" s="506"/>
      <c r="AJ1" s="506"/>
      <c r="AK1" s="506"/>
      <c r="AL1" s="506"/>
      <c r="AM1" s="499" t="s">
        <v>346</v>
      </c>
      <c r="AN1" s="500"/>
    </row>
    <row r="2" spans="1:40" s="70" customFormat="1">
      <c r="A2" s="521"/>
      <c r="B2" s="521"/>
      <c r="C2" s="521"/>
      <c r="D2" s="248"/>
      <c r="E2" s="488" t="s">
        <v>249</v>
      </c>
      <c r="F2" s="520" t="s">
        <v>332</v>
      </c>
      <c r="G2" s="520"/>
      <c r="H2" s="520"/>
      <c r="I2" s="304"/>
      <c r="J2" s="488" t="s">
        <v>510</v>
      </c>
      <c r="K2" s="488" t="s">
        <v>511</v>
      </c>
      <c r="L2" s="383"/>
      <c r="M2" s="488" t="s">
        <v>331</v>
      </c>
      <c r="N2" s="488" t="s">
        <v>333</v>
      </c>
      <c r="O2" s="488" t="s">
        <v>334</v>
      </c>
      <c r="P2" s="518" t="s">
        <v>347</v>
      </c>
      <c r="Q2" s="519"/>
      <c r="R2" s="511" t="s">
        <v>249</v>
      </c>
      <c r="S2" s="510" t="s">
        <v>332</v>
      </c>
      <c r="T2" s="510"/>
      <c r="U2" s="510"/>
      <c r="V2" s="305"/>
      <c r="W2" s="489" t="s">
        <v>343</v>
      </c>
      <c r="X2" s="489" t="s">
        <v>343</v>
      </c>
      <c r="Y2" s="382"/>
      <c r="Z2" s="489" t="s">
        <v>331</v>
      </c>
      <c r="AA2" s="489" t="s">
        <v>335</v>
      </c>
      <c r="AB2" s="489" t="s">
        <v>334</v>
      </c>
      <c r="AC2" s="495" t="s">
        <v>347</v>
      </c>
      <c r="AD2" s="496"/>
      <c r="AE2" s="504" t="s">
        <v>249</v>
      </c>
      <c r="AF2" s="501" t="s">
        <v>332</v>
      </c>
      <c r="AG2" s="502"/>
      <c r="AH2" s="503"/>
      <c r="AI2" s="504" t="s">
        <v>343</v>
      </c>
      <c r="AJ2" s="504" t="s">
        <v>336</v>
      </c>
      <c r="AK2" s="504" t="s">
        <v>333</v>
      </c>
      <c r="AL2" s="504" t="s">
        <v>337</v>
      </c>
      <c r="AM2" s="497" t="s">
        <v>347</v>
      </c>
      <c r="AN2" s="498"/>
    </row>
    <row r="3" spans="1:40" s="225" customFormat="1" ht="60">
      <c r="A3" s="521"/>
      <c r="B3" s="521"/>
      <c r="C3" s="521"/>
      <c r="D3" s="224"/>
      <c r="E3" s="488"/>
      <c r="F3" s="193" t="s">
        <v>246</v>
      </c>
      <c r="G3" s="193" t="s">
        <v>261</v>
      </c>
      <c r="H3" s="193" t="s">
        <v>295</v>
      </c>
      <c r="I3" s="193" t="s">
        <v>402</v>
      </c>
      <c r="J3" s="488"/>
      <c r="K3" s="488"/>
      <c r="L3" s="383" t="s">
        <v>492</v>
      </c>
      <c r="M3" s="488"/>
      <c r="N3" s="488"/>
      <c r="O3" s="488"/>
      <c r="P3" s="271" t="s">
        <v>174</v>
      </c>
      <c r="Q3" s="271" t="s">
        <v>175</v>
      </c>
      <c r="R3" s="512"/>
      <c r="S3" s="194" t="s">
        <v>246</v>
      </c>
      <c r="T3" s="194" t="s">
        <v>261</v>
      </c>
      <c r="U3" s="194" t="s">
        <v>295</v>
      </c>
      <c r="V3" s="305" t="s">
        <v>402</v>
      </c>
      <c r="W3" s="489"/>
      <c r="X3" s="489"/>
      <c r="Y3" s="382" t="s">
        <v>492</v>
      </c>
      <c r="Z3" s="489"/>
      <c r="AA3" s="489"/>
      <c r="AB3" s="489"/>
      <c r="AC3" s="270" t="s">
        <v>174</v>
      </c>
      <c r="AD3" s="270" t="s">
        <v>175</v>
      </c>
      <c r="AE3" s="505"/>
      <c r="AF3" s="200" t="s">
        <v>246</v>
      </c>
      <c r="AG3" s="200" t="s">
        <v>261</v>
      </c>
      <c r="AH3" s="200" t="s">
        <v>295</v>
      </c>
      <c r="AI3" s="505"/>
      <c r="AJ3" s="505"/>
      <c r="AK3" s="505"/>
      <c r="AL3" s="505"/>
      <c r="AM3" s="268" t="s">
        <v>174</v>
      </c>
      <c r="AN3" s="269" t="s">
        <v>175</v>
      </c>
    </row>
    <row r="4" spans="1:40">
      <c r="A4" s="513">
        <v>1</v>
      </c>
      <c r="B4" s="490" t="s">
        <v>224</v>
      </c>
      <c r="C4" s="53" t="s">
        <v>268</v>
      </c>
      <c r="D4" s="202" t="s">
        <v>251</v>
      </c>
      <c r="E4" s="195" t="s">
        <v>247</v>
      </c>
      <c r="F4" s="253">
        <v>60</v>
      </c>
      <c r="G4" s="429">
        <v>200</v>
      </c>
      <c r="H4" s="253">
        <v>0</v>
      </c>
      <c r="I4" s="253">
        <f>SUM(F4:H4)/M4</f>
        <v>149.42528735632183</v>
      </c>
      <c r="J4" s="253">
        <f t="shared" ref="J4:J9" si="0">IF($F$22=1,SUM(K4:L4),K4)</f>
        <v>38</v>
      </c>
      <c r="K4" s="253">
        <v>20</v>
      </c>
      <c r="L4" s="388">
        <v>18</v>
      </c>
      <c r="M4" s="191">
        <v>1.74</v>
      </c>
      <c r="N4" s="249">
        <v>0.33</v>
      </c>
      <c r="O4" s="249">
        <v>0.25</v>
      </c>
      <c r="P4" s="264">
        <v>1</v>
      </c>
      <c r="Q4" s="264">
        <f>1-P4</f>
        <v>0</v>
      </c>
      <c r="R4" s="192" t="s">
        <v>248</v>
      </c>
      <c r="S4" s="430">
        <f>AVERAGE(400,100)*Z4</f>
        <v>435</v>
      </c>
      <c r="T4" s="198">
        <f>114.9*Z4</f>
        <v>199.92600000000002</v>
      </c>
      <c r="U4" s="372">
        <v>0</v>
      </c>
      <c r="V4" s="372">
        <f>SUM(S4:U4)/Z4</f>
        <v>364.90000000000003</v>
      </c>
      <c r="W4" s="198">
        <f t="shared" ref="W4:W14" si="1">IF($F$22=1,SUM(X4:Y4),X4)</f>
        <v>65.5</v>
      </c>
      <c r="X4" s="198">
        <f>J4*1.25</f>
        <v>47.5</v>
      </c>
      <c r="Y4" s="387">
        <f t="shared" ref="Y4:AD4" si="2">L4</f>
        <v>18</v>
      </c>
      <c r="Z4" s="256">
        <f t="shared" si="2"/>
        <v>1.74</v>
      </c>
      <c r="AA4" s="250">
        <f t="shared" si="2"/>
        <v>0.33</v>
      </c>
      <c r="AB4" s="250">
        <f t="shared" si="2"/>
        <v>0.25</v>
      </c>
      <c r="AC4" s="266">
        <f t="shared" si="2"/>
        <v>1</v>
      </c>
      <c r="AD4" s="266">
        <f t="shared" si="2"/>
        <v>0</v>
      </c>
      <c r="AE4" s="201" t="s">
        <v>29</v>
      </c>
      <c r="AF4" s="212" t="s">
        <v>29</v>
      </c>
      <c r="AG4" s="201" t="s">
        <v>29</v>
      </c>
      <c r="AH4" s="201" t="s">
        <v>29</v>
      </c>
      <c r="AI4" s="201" t="s">
        <v>29</v>
      </c>
      <c r="AJ4" s="201" t="s">
        <v>29</v>
      </c>
      <c r="AK4" s="201" t="s">
        <v>29</v>
      </c>
      <c r="AL4" s="201" t="s">
        <v>29</v>
      </c>
      <c r="AM4" s="267" t="s">
        <v>29</v>
      </c>
      <c r="AN4" s="267" t="s">
        <v>29</v>
      </c>
    </row>
    <row r="5" spans="1:40">
      <c r="A5" s="514"/>
      <c r="B5" s="491"/>
      <c r="C5" s="53" t="s">
        <v>259</v>
      </c>
      <c r="D5" s="202" t="s">
        <v>252</v>
      </c>
      <c r="E5" s="195" t="s">
        <v>247</v>
      </c>
      <c r="F5" s="197">
        <v>60</v>
      </c>
      <c r="G5" s="254">
        <f t="shared" ref="G5" si="3">80*M5</f>
        <v>46.4</v>
      </c>
      <c r="H5" s="253">
        <v>0</v>
      </c>
      <c r="I5" s="253">
        <f t="shared" ref="I5:I12" si="4">SUM(F5:H5)/M5</f>
        <v>183.44827586206898</v>
      </c>
      <c r="J5" s="253">
        <f t="shared" si="0"/>
        <v>33.793103448275865</v>
      </c>
      <c r="K5" s="253">
        <v>20</v>
      </c>
      <c r="L5" s="388">
        <v>13.793103448275863</v>
      </c>
      <c r="M5" s="191">
        <v>0.57999999999999996</v>
      </c>
      <c r="N5" s="249">
        <v>0.56999999999999995</v>
      </c>
      <c r="O5" s="249">
        <v>0.25</v>
      </c>
      <c r="P5" s="264">
        <v>1</v>
      </c>
      <c r="Q5" s="264">
        <v>1</v>
      </c>
      <c r="R5" s="192" t="s">
        <v>269</v>
      </c>
      <c r="S5" s="430">
        <f>AVERAGE(400,100)*Z5</f>
        <v>145</v>
      </c>
      <c r="T5" s="198">
        <f>114.9*Z5</f>
        <v>66.641999999999996</v>
      </c>
      <c r="U5" s="372">
        <v>0</v>
      </c>
      <c r="V5" s="372">
        <f t="shared" ref="V5:V14" si="5">SUM(S5:U5)/Z5</f>
        <v>364.90000000000003</v>
      </c>
      <c r="W5" s="198">
        <f t="shared" si="1"/>
        <v>56.034482758620697</v>
      </c>
      <c r="X5" s="198">
        <f>J5*1.25</f>
        <v>42.241379310344833</v>
      </c>
      <c r="Y5" s="387">
        <f>L5</f>
        <v>13.793103448275863</v>
      </c>
      <c r="Z5" s="256">
        <f t="shared" ref="Z5:Z12" si="6">M5</f>
        <v>0.57999999999999996</v>
      </c>
      <c r="AA5" s="250">
        <f t="shared" ref="AA5:AA9" si="7">N5</f>
        <v>0.56999999999999995</v>
      </c>
      <c r="AB5" s="250">
        <f t="shared" ref="AB5:AB12" si="8">O5</f>
        <v>0.25</v>
      </c>
      <c r="AC5" s="266">
        <f t="shared" ref="AC5:AD14" si="9">P5</f>
        <v>1</v>
      </c>
      <c r="AD5" s="266">
        <f t="shared" si="9"/>
        <v>1</v>
      </c>
      <c r="AE5" s="201" t="str">
        <f>R5</f>
        <v>Water Heater Controls</v>
      </c>
      <c r="AF5" s="212">
        <f t="shared" ref="AF5:AF14" si="10">S5</f>
        <v>145</v>
      </c>
      <c r="AG5" s="257">
        <f>T5</f>
        <v>66.641999999999996</v>
      </c>
      <c r="AH5" s="257">
        <f t="shared" ref="AH5" si="11">U5*1.1</f>
        <v>0</v>
      </c>
      <c r="AI5" s="257">
        <f>W5*1.5</f>
        <v>84.051724137931046</v>
      </c>
      <c r="AJ5" s="257">
        <f>Z5</f>
        <v>0.57999999999999996</v>
      </c>
      <c r="AK5" s="252">
        <v>1</v>
      </c>
      <c r="AL5" s="252">
        <f>AB5</f>
        <v>0.25</v>
      </c>
      <c r="AM5" s="267">
        <f t="shared" ref="AM5:AN14" si="12">P5</f>
        <v>1</v>
      </c>
      <c r="AN5" s="267">
        <f t="shared" si="12"/>
        <v>1</v>
      </c>
    </row>
    <row r="6" spans="1:40">
      <c r="A6" s="514"/>
      <c r="B6" s="491"/>
      <c r="C6" s="196" t="s">
        <v>267</v>
      </c>
      <c r="D6" s="202" t="s">
        <v>253</v>
      </c>
      <c r="E6" s="195" t="s">
        <v>247</v>
      </c>
      <c r="F6" s="197">
        <v>60</v>
      </c>
      <c r="G6" s="254">
        <f>80*M6</f>
        <v>48</v>
      </c>
      <c r="H6" s="253">
        <v>0</v>
      </c>
      <c r="I6" s="253">
        <f t="shared" si="4"/>
        <v>180</v>
      </c>
      <c r="J6" s="253">
        <f t="shared" si="0"/>
        <v>40</v>
      </c>
      <c r="K6" s="253">
        <v>20</v>
      </c>
      <c r="L6" s="388">
        <v>20</v>
      </c>
      <c r="M6" s="191">
        <v>0.6</v>
      </c>
      <c r="N6" s="249">
        <v>0.35</v>
      </c>
      <c r="O6" s="249">
        <v>0.25</v>
      </c>
      <c r="P6" s="264">
        <v>0</v>
      </c>
      <c r="Q6" s="264">
        <f t="shared" ref="Q6:Q7" si="13">1-P6</f>
        <v>1</v>
      </c>
      <c r="R6" s="192" t="s">
        <v>248</v>
      </c>
      <c r="S6" s="430">
        <f>AVERAGE(400,100)*Z6</f>
        <v>150</v>
      </c>
      <c r="T6" s="198">
        <f>114.9*Z6</f>
        <v>68.94</v>
      </c>
      <c r="U6" s="372">
        <v>0</v>
      </c>
      <c r="V6" s="372">
        <f t="shared" si="5"/>
        <v>364.90000000000003</v>
      </c>
      <c r="W6" s="198">
        <f t="shared" si="1"/>
        <v>70</v>
      </c>
      <c r="X6" s="198">
        <f>J6*1.25</f>
        <v>50</v>
      </c>
      <c r="Y6" s="387">
        <f t="shared" ref="Y6:Y14" si="14">L6</f>
        <v>20</v>
      </c>
      <c r="Z6" s="256">
        <f t="shared" si="6"/>
        <v>0.6</v>
      </c>
      <c r="AA6" s="250">
        <f t="shared" si="7"/>
        <v>0.35</v>
      </c>
      <c r="AB6" s="250">
        <f t="shared" si="8"/>
        <v>0.25</v>
      </c>
      <c r="AC6" s="266">
        <f t="shared" si="9"/>
        <v>0</v>
      </c>
      <c r="AD6" s="266">
        <f t="shared" si="9"/>
        <v>1</v>
      </c>
      <c r="AE6" s="201" t="s">
        <v>29</v>
      </c>
      <c r="AF6" s="212" t="s">
        <v>29</v>
      </c>
      <c r="AG6" s="257" t="s">
        <v>29</v>
      </c>
      <c r="AH6" s="258" t="s">
        <v>29</v>
      </c>
      <c r="AI6" s="257" t="s">
        <v>29</v>
      </c>
      <c r="AJ6" s="257" t="s">
        <v>29</v>
      </c>
      <c r="AK6" s="252" t="s">
        <v>29</v>
      </c>
      <c r="AL6" s="252" t="s">
        <v>29</v>
      </c>
      <c r="AM6" s="267">
        <f t="shared" si="12"/>
        <v>0</v>
      </c>
      <c r="AN6" s="267">
        <f t="shared" si="12"/>
        <v>1</v>
      </c>
    </row>
    <row r="7" spans="1:40" s="70" customFormat="1">
      <c r="A7" s="515"/>
      <c r="B7" s="492"/>
      <c r="C7" s="196" t="s">
        <v>277</v>
      </c>
      <c r="D7" s="203" t="s">
        <v>254</v>
      </c>
      <c r="E7" s="195" t="s">
        <v>247</v>
      </c>
      <c r="F7" s="211">
        <v>40</v>
      </c>
      <c r="G7" s="254">
        <f>80*M7</f>
        <v>21.6</v>
      </c>
      <c r="H7" s="253">
        <v>0</v>
      </c>
      <c r="I7" s="253">
        <f t="shared" si="4"/>
        <v>228.14814814814815</v>
      </c>
      <c r="J7" s="253">
        <f t="shared" si="0"/>
        <v>40</v>
      </c>
      <c r="K7" s="253">
        <v>20</v>
      </c>
      <c r="L7" s="388">
        <v>20</v>
      </c>
      <c r="M7" s="191">
        <v>0.27</v>
      </c>
      <c r="N7" s="249">
        <f>N6/2</f>
        <v>0.17499999999999999</v>
      </c>
      <c r="O7" s="249">
        <v>0.25</v>
      </c>
      <c r="P7" s="264">
        <v>0</v>
      </c>
      <c r="Q7" s="264">
        <f t="shared" si="13"/>
        <v>1</v>
      </c>
      <c r="R7" s="192" t="s">
        <v>248</v>
      </c>
      <c r="S7" s="430">
        <f>AVERAGE(400,100)*Z7</f>
        <v>67.5</v>
      </c>
      <c r="T7" s="198">
        <f>114.9*Z7</f>
        <v>31.023000000000003</v>
      </c>
      <c r="U7" s="372">
        <v>0</v>
      </c>
      <c r="V7" s="372">
        <f t="shared" si="5"/>
        <v>364.9</v>
      </c>
      <c r="W7" s="198">
        <f t="shared" si="1"/>
        <v>70</v>
      </c>
      <c r="X7" s="198">
        <f>J7*1.25</f>
        <v>50</v>
      </c>
      <c r="Y7" s="387">
        <f t="shared" si="14"/>
        <v>20</v>
      </c>
      <c r="Z7" s="256">
        <f t="shared" si="6"/>
        <v>0.27</v>
      </c>
      <c r="AA7" s="250">
        <f t="shared" si="7"/>
        <v>0.17499999999999999</v>
      </c>
      <c r="AB7" s="250">
        <f t="shared" si="8"/>
        <v>0.25</v>
      </c>
      <c r="AC7" s="266">
        <f t="shared" si="9"/>
        <v>0</v>
      </c>
      <c r="AD7" s="266">
        <f t="shared" si="9"/>
        <v>1</v>
      </c>
      <c r="AE7" s="201" t="s">
        <v>29</v>
      </c>
      <c r="AF7" s="212" t="s">
        <v>29</v>
      </c>
      <c r="AG7" s="257" t="s">
        <v>29</v>
      </c>
      <c r="AH7" s="258" t="s">
        <v>29</v>
      </c>
      <c r="AI7" s="257" t="s">
        <v>29</v>
      </c>
      <c r="AJ7" s="257" t="s">
        <v>29</v>
      </c>
      <c r="AK7" s="252" t="s">
        <v>29</v>
      </c>
      <c r="AL7" s="252" t="s">
        <v>29</v>
      </c>
      <c r="AM7" s="267">
        <f t="shared" si="12"/>
        <v>0</v>
      </c>
      <c r="AN7" s="267">
        <f t="shared" si="12"/>
        <v>1</v>
      </c>
    </row>
    <row r="8" spans="1:40">
      <c r="A8" s="513">
        <v>2</v>
      </c>
      <c r="B8" s="490" t="s">
        <v>225</v>
      </c>
      <c r="C8" s="196" t="s">
        <v>270</v>
      </c>
      <c r="D8" s="202" t="s">
        <v>255</v>
      </c>
      <c r="E8" s="195" t="s">
        <v>247</v>
      </c>
      <c r="F8" s="197">
        <v>100</v>
      </c>
      <c r="G8" s="254">
        <f>60*M8</f>
        <v>168</v>
      </c>
      <c r="H8" s="253">
        <v>0</v>
      </c>
      <c r="I8" s="253">
        <f t="shared" si="4"/>
        <v>95.714285714285722</v>
      </c>
      <c r="J8" s="253">
        <f t="shared" si="0"/>
        <v>40</v>
      </c>
      <c r="K8" s="253">
        <v>10</v>
      </c>
      <c r="L8" s="388">
        <v>30</v>
      </c>
      <c r="M8" s="191">
        <v>2.8</v>
      </c>
      <c r="N8" s="249">
        <f>0.58*0.6</f>
        <v>0.34799999999999998</v>
      </c>
      <c r="O8" s="249">
        <v>0.15</v>
      </c>
      <c r="P8" s="264">
        <v>0.2</v>
      </c>
      <c r="Q8" s="264">
        <v>1</v>
      </c>
      <c r="R8" s="192" t="s">
        <v>248</v>
      </c>
      <c r="S8" s="198">
        <f>285.17*Z8</f>
        <v>798.476</v>
      </c>
      <c r="T8" s="198">
        <f>82.07*Z8</f>
        <v>229.79599999999996</v>
      </c>
      <c r="U8" s="372">
        <v>0</v>
      </c>
      <c r="V8" s="372">
        <f t="shared" si="5"/>
        <v>367.24</v>
      </c>
      <c r="W8" s="198">
        <f t="shared" si="1"/>
        <v>50</v>
      </c>
      <c r="X8" s="198">
        <v>20</v>
      </c>
      <c r="Y8" s="387">
        <f t="shared" si="14"/>
        <v>30</v>
      </c>
      <c r="Z8" s="256">
        <f t="shared" si="6"/>
        <v>2.8</v>
      </c>
      <c r="AA8" s="250">
        <f t="shared" si="7"/>
        <v>0.34799999999999998</v>
      </c>
      <c r="AB8" s="250">
        <f t="shared" si="8"/>
        <v>0.15</v>
      </c>
      <c r="AC8" s="266">
        <f t="shared" si="9"/>
        <v>0.2</v>
      </c>
      <c r="AD8" s="266">
        <f t="shared" si="9"/>
        <v>1</v>
      </c>
      <c r="AE8" s="201" t="s">
        <v>29</v>
      </c>
      <c r="AF8" s="212" t="s">
        <v>29</v>
      </c>
      <c r="AG8" s="257" t="s">
        <v>29</v>
      </c>
      <c r="AH8" s="258" t="s">
        <v>29</v>
      </c>
      <c r="AI8" s="257" t="s">
        <v>29</v>
      </c>
      <c r="AJ8" s="257" t="s">
        <v>29</v>
      </c>
      <c r="AK8" s="252" t="s">
        <v>29</v>
      </c>
      <c r="AL8" s="252" t="s">
        <v>29</v>
      </c>
      <c r="AM8" s="267">
        <f t="shared" si="12"/>
        <v>0.2</v>
      </c>
      <c r="AN8" s="267">
        <f t="shared" si="12"/>
        <v>1</v>
      </c>
    </row>
    <row r="9" spans="1:40" s="70" customFormat="1">
      <c r="A9" s="514"/>
      <c r="B9" s="491"/>
      <c r="C9" s="196" t="s">
        <v>271</v>
      </c>
      <c r="D9" s="203" t="s">
        <v>256</v>
      </c>
      <c r="E9" s="195" t="s">
        <v>247</v>
      </c>
      <c r="F9" s="253">
        <v>100</v>
      </c>
      <c r="G9" s="254">
        <f>60*M9</f>
        <v>900</v>
      </c>
      <c r="H9" s="253">
        <v>0</v>
      </c>
      <c r="I9" s="253">
        <f t="shared" si="4"/>
        <v>66.666666666666671</v>
      </c>
      <c r="J9" s="253">
        <f t="shared" si="0"/>
        <v>40</v>
      </c>
      <c r="K9" s="253">
        <v>10</v>
      </c>
      <c r="L9" s="388">
        <v>30</v>
      </c>
      <c r="M9" s="255">
        <v>15</v>
      </c>
      <c r="N9" s="249">
        <f>0.58*0.3</f>
        <v>0.17399999999999999</v>
      </c>
      <c r="O9" s="249">
        <v>0.15</v>
      </c>
      <c r="P9" s="264">
        <v>0.2</v>
      </c>
      <c r="Q9" s="264">
        <v>1</v>
      </c>
      <c r="R9" s="192" t="s">
        <v>291</v>
      </c>
      <c r="S9" s="198">
        <f>138.5*Z9</f>
        <v>2077.5</v>
      </c>
      <c r="T9" s="198">
        <f>96*Z9</f>
        <v>1440</v>
      </c>
      <c r="U9" s="372">
        <v>0</v>
      </c>
      <c r="V9" s="372">
        <f t="shared" si="5"/>
        <v>234.5</v>
      </c>
      <c r="W9" s="198">
        <f t="shared" si="1"/>
        <v>50</v>
      </c>
      <c r="X9" s="198">
        <v>20</v>
      </c>
      <c r="Y9" s="387">
        <f t="shared" si="14"/>
        <v>30</v>
      </c>
      <c r="Z9" s="256">
        <f t="shared" si="6"/>
        <v>15</v>
      </c>
      <c r="AA9" s="250">
        <f t="shared" si="7"/>
        <v>0.17399999999999999</v>
      </c>
      <c r="AB9" s="250">
        <f t="shared" si="8"/>
        <v>0.15</v>
      </c>
      <c r="AC9" s="266">
        <f t="shared" si="9"/>
        <v>0.2</v>
      </c>
      <c r="AD9" s="266">
        <f t="shared" si="9"/>
        <v>1</v>
      </c>
      <c r="AE9" s="201" t="s">
        <v>291</v>
      </c>
      <c r="AF9" s="212">
        <f t="shared" si="10"/>
        <v>2077.5</v>
      </c>
      <c r="AG9" s="257">
        <f t="shared" ref="AG9:AG14" si="15">T9</f>
        <v>1440</v>
      </c>
      <c r="AH9" s="257">
        <f t="shared" ref="AH9" si="16">U9</f>
        <v>0</v>
      </c>
      <c r="AI9" s="257">
        <f t="shared" ref="AI9:AI14" si="17">W9*1.5</f>
        <v>75</v>
      </c>
      <c r="AJ9" s="257">
        <f t="shared" ref="AJ9:AJ14" si="18">Z9</f>
        <v>15</v>
      </c>
      <c r="AK9" s="252">
        <v>1</v>
      </c>
      <c r="AL9" s="252">
        <f>AB9</f>
        <v>0.15</v>
      </c>
      <c r="AM9" s="267">
        <f t="shared" si="12"/>
        <v>0.2</v>
      </c>
      <c r="AN9" s="267">
        <f t="shared" si="12"/>
        <v>1</v>
      </c>
    </row>
    <row r="10" spans="1:40" s="70" customFormat="1">
      <c r="A10" s="515"/>
      <c r="B10" s="492"/>
      <c r="C10" s="196" t="s">
        <v>292</v>
      </c>
      <c r="D10" s="203" t="s">
        <v>257</v>
      </c>
      <c r="E10" s="195" t="s">
        <v>29</v>
      </c>
      <c r="F10" s="197" t="s">
        <v>29</v>
      </c>
      <c r="G10" s="254" t="s">
        <v>29</v>
      </c>
      <c r="H10" s="253" t="s">
        <v>29</v>
      </c>
      <c r="I10" s="253"/>
      <c r="J10" s="253" t="s">
        <v>29</v>
      </c>
      <c r="K10" s="253" t="s">
        <v>29</v>
      </c>
      <c r="L10" s="388"/>
      <c r="M10" s="197" t="s">
        <v>29</v>
      </c>
      <c r="N10" s="213" t="s">
        <v>29</v>
      </c>
      <c r="O10" s="249" t="s">
        <v>29</v>
      </c>
      <c r="P10" s="264">
        <v>1</v>
      </c>
      <c r="Q10" s="264">
        <v>1</v>
      </c>
      <c r="R10" s="192" t="s">
        <v>291</v>
      </c>
      <c r="S10" s="198">
        <f>138.5*Z10</f>
        <v>7894.5</v>
      </c>
      <c r="T10" s="198">
        <f>96*Z10</f>
        <v>5472</v>
      </c>
      <c r="U10" s="372">
        <v>0</v>
      </c>
      <c r="V10" s="372">
        <f t="shared" si="5"/>
        <v>234.5</v>
      </c>
      <c r="W10" s="198">
        <f t="shared" si="1"/>
        <v>20</v>
      </c>
      <c r="X10" s="198">
        <v>20</v>
      </c>
      <c r="Y10" s="387">
        <f t="shared" si="14"/>
        <v>0</v>
      </c>
      <c r="Z10" s="256">
        <v>57</v>
      </c>
      <c r="AA10" s="250">
        <v>0.25</v>
      </c>
      <c r="AB10" s="250">
        <v>0.15</v>
      </c>
      <c r="AC10" s="266">
        <f t="shared" si="9"/>
        <v>1</v>
      </c>
      <c r="AD10" s="266">
        <f t="shared" si="9"/>
        <v>1</v>
      </c>
      <c r="AE10" s="201" t="str">
        <f>R10</f>
        <v>AutoDR</v>
      </c>
      <c r="AF10" s="212">
        <f t="shared" si="10"/>
        <v>7894.5</v>
      </c>
      <c r="AG10" s="257">
        <f t="shared" si="15"/>
        <v>5472</v>
      </c>
      <c r="AH10" s="257">
        <f t="shared" ref="AH10:AH14" si="19">U10</f>
        <v>0</v>
      </c>
      <c r="AI10" s="257">
        <f t="shared" si="17"/>
        <v>30</v>
      </c>
      <c r="AJ10" s="257">
        <f t="shared" si="18"/>
        <v>57</v>
      </c>
      <c r="AK10" s="252">
        <v>1</v>
      </c>
      <c r="AL10" s="252">
        <f t="shared" ref="AL10:AL13" si="20">AB10</f>
        <v>0.15</v>
      </c>
      <c r="AM10" s="267">
        <f t="shared" si="12"/>
        <v>1</v>
      </c>
      <c r="AN10" s="267">
        <f t="shared" si="12"/>
        <v>1</v>
      </c>
    </row>
    <row r="11" spans="1:40">
      <c r="A11" s="513">
        <v>3</v>
      </c>
      <c r="B11" s="448" t="s">
        <v>310</v>
      </c>
      <c r="C11" s="53" t="s">
        <v>260</v>
      </c>
      <c r="D11" s="202" t="s">
        <v>258</v>
      </c>
      <c r="E11" s="195" t="s">
        <v>247</v>
      </c>
      <c r="F11" s="253">
        <v>100</v>
      </c>
      <c r="G11" s="254">
        <f>40*M11</f>
        <v>1000</v>
      </c>
      <c r="H11" s="253">
        <v>0</v>
      </c>
      <c r="I11" s="253">
        <f t="shared" si="4"/>
        <v>44</v>
      </c>
      <c r="J11" s="253">
        <f>IF($F$22=1,SUM(K11:L11),K11)</f>
        <v>15</v>
      </c>
      <c r="K11" s="253">
        <v>10</v>
      </c>
      <c r="L11" s="388">
        <v>5</v>
      </c>
      <c r="M11" s="255">
        <v>25</v>
      </c>
      <c r="N11" s="249">
        <v>0.7</v>
      </c>
      <c r="O11" s="249">
        <v>0.2</v>
      </c>
      <c r="P11" s="264">
        <v>0</v>
      </c>
      <c r="Q11" s="264">
        <v>1</v>
      </c>
      <c r="R11" s="192" t="s">
        <v>291</v>
      </c>
      <c r="S11" s="198">
        <f>138.5*Z11</f>
        <v>3462.5</v>
      </c>
      <c r="T11" s="198">
        <f>96*Z11</f>
        <v>2400</v>
      </c>
      <c r="U11" s="372">
        <v>0</v>
      </c>
      <c r="V11" s="372">
        <f t="shared" si="5"/>
        <v>234.5</v>
      </c>
      <c r="W11" s="198">
        <f t="shared" si="1"/>
        <v>25</v>
      </c>
      <c r="X11" s="198">
        <v>20</v>
      </c>
      <c r="Y11" s="387">
        <f t="shared" si="14"/>
        <v>5</v>
      </c>
      <c r="Z11" s="256">
        <f t="shared" si="6"/>
        <v>25</v>
      </c>
      <c r="AA11" s="250">
        <f>N11*0.5</f>
        <v>0.35</v>
      </c>
      <c r="AB11" s="250">
        <f t="shared" si="8"/>
        <v>0.2</v>
      </c>
      <c r="AC11" s="266">
        <f t="shared" si="9"/>
        <v>0</v>
      </c>
      <c r="AD11" s="266">
        <f t="shared" si="9"/>
        <v>1</v>
      </c>
      <c r="AE11" s="201" t="s">
        <v>291</v>
      </c>
      <c r="AF11" s="212">
        <f t="shared" si="10"/>
        <v>3462.5</v>
      </c>
      <c r="AG11" s="257">
        <f t="shared" si="15"/>
        <v>2400</v>
      </c>
      <c r="AH11" s="257">
        <f t="shared" si="19"/>
        <v>0</v>
      </c>
      <c r="AI11" s="257">
        <f t="shared" si="17"/>
        <v>37.5</v>
      </c>
      <c r="AJ11" s="257">
        <f t="shared" si="18"/>
        <v>25</v>
      </c>
      <c r="AK11" s="252">
        <v>1</v>
      </c>
      <c r="AL11" s="252">
        <f t="shared" si="20"/>
        <v>0.2</v>
      </c>
      <c r="AM11" s="267">
        <f t="shared" si="12"/>
        <v>0</v>
      </c>
      <c r="AN11" s="267">
        <f t="shared" si="12"/>
        <v>1</v>
      </c>
    </row>
    <row r="12" spans="1:40" ht="15" customHeight="1">
      <c r="A12" s="514"/>
      <c r="B12" s="449"/>
      <c r="C12" s="53" t="s">
        <v>244</v>
      </c>
      <c r="D12" s="205" t="s">
        <v>328</v>
      </c>
      <c r="E12" s="195" t="s">
        <v>266</v>
      </c>
      <c r="F12" s="197">
        <v>0</v>
      </c>
      <c r="G12" s="197">
        <v>0</v>
      </c>
      <c r="H12" s="253">
        <v>0</v>
      </c>
      <c r="I12" s="253">
        <f t="shared" si="4"/>
        <v>0</v>
      </c>
      <c r="J12" s="253">
        <f>IF($F$22=1,SUM(K12:L12),K12)</f>
        <v>50</v>
      </c>
      <c r="K12" s="211">
        <v>10</v>
      </c>
      <c r="L12" s="389">
        <v>40</v>
      </c>
      <c r="M12" s="255">
        <v>500</v>
      </c>
      <c r="N12" s="249">
        <v>0.7</v>
      </c>
      <c r="O12" s="213">
        <v>0.25</v>
      </c>
      <c r="P12" s="265">
        <v>1</v>
      </c>
      <c r="Q12" s="264">
        <v>1</v>
      </c>
      <c r="R12" s="192" t="s">
        <v>291</v>
      </c>
      <c r="S12" s="198">
        <v>2500</v>
      </c>
      <c r="T12" s="198">
        <f>S12/2</f>
        <v>1250</v>
      </c>
      <c r="U12" s="372">
        <v>0</v>
      </c>
      <c r="V12" s="372">
        <f t="shared" si="5"/>
        <v>7.5</v>
      </c>
      <c r="W12" s="198">
        <f t="shared" si="1"/>
        <v>60</v>
      </c>
      <c r="X12" s="198">
        <v>20</v>
      </c>
      <c r="Y12" s="387">
        <f t="shared" si="14"/>
        <v>40</v>
      </c>
      <c r="Z12" s="256">
        <f t="shared" si="6"/>
        <v>500</v>
      </c>
      <c r="AA12" s="250">
        <f>N12*0.25</f>
        <v>0.17499999999999999</v>
      </c>
      <c r="AB12" s="250">
        <f t="shared" si="8"/>
        <v>0.25</v>
      </c>
      <c r="AC12" s="266">
        <f t="shared" si="9"/>
        <v>1</v>
      </c>
      <c r="AD12" s="266">
        <f t="shared" si="9"/>
        <v>1</v>
      </c>
      <c r="AE12" s="201" t="s">
        <v>291</v>
      </c>
      <c r="AF12" s="212">
        <f t="shared" si="10"/>
        <v>2500</v>
      </c>
      <c r="AG12" s="257">
        <f t="shared" si="15"/>
        <v>1250</v>
      </c>
      <c r="AH12" s="257">
        <f t="shared" si="19"/>
        <v>0</v>
      </c>
      <c r="AI12" s="257">
        <f t="shared" si="17"/>
        <v>90</v>
      </c>
      <c r="AJ12" s="257">
        <f t="shared" si="18"/>
        <v>500</v>
      </c>
      <c r="AK12" s="252">
        <v>1</v>
      </c>
      <c r="AL12" s="252">
        <f t="shared" si="20"/>
        <v>0.25</v>
      </c>
      <c r="AM12" s="267">
        <f t="shared" si="12"/>
        <v>1</v>
      </c>
      <c r="AN12" s="267">
        <f t="shared" si="12"/>
        <v>1</v>
      </c>
    </row>
    <row r="13" spans="1:40">
      <c r="A13" s="514"/>
      <c r="B13" s="449"/>
      <c r="C13" s="53" t="s">
        <v>245</v>
      </c>
      <c r="D13" s="205" t="s">
        <v>329</v>
      </c>
      <c r="E13" s="195" t="s">
        <v>29</v>
      </c>
      <c r="F13" s="233" t="s">
        <v>29</v>
      </c>
      <c r="G13" s="197" t="s">
        <v>29</v>
      </c>
      <c r="H13" s="197" t="s">
        <v>29</v>
      </c>
      <c r="I13" s="197"/>
      <c r="J13" s="197" t="s">
        <v>29</v>
      </c>
      <c r="K13" s="197" t="s">
        <v>29</v>
      </c>
      <c r="L13" s="390"/>
      <c r="M13" s="197" t="s">
        <v>29</v>
      </c>
      <c r="N13" s="213" t="s">
        <v>29</v>
      </c>
      <c r="O13" s="213" t="s">
        <v>29</v>
      </c>
      <c r="P13" s="265">
        <v>1</v>
      </c>
      <c r="Q13" s="264">
        <v>1</v>
      </c>
      <c r="R13" s="192" t="s">
        <v>291</v>
      </c>
      <c r="S13" s="198">
        <v>2500</v>
      </c>
      <c r="T13" s="198">
        <f>S13/2</f>
        <v>1250</v>
      </c>
      <c r="U13" s="372">
        <v>0</v>
      </c>
      <c r="V13" s="372">
        <f t="shared" si="5"/>
        <v>37.5</v>
      </c>
      <c r="W13" s="198">
        <f t="shared" si="1"/>
        <v>50</v>
      </c>
      <c r="X13" s="387">
        <v>50</v>
      </c>
      <c r="Y13" s="387">
        <f t="shared" si="14"/>
        <v>0</v>
      </c>
      <c r="Z13" s="256">
        <v>100</v>
      </c>
      <c r="AA13" s="250">
        <f>AA12</f>
        <v>0.17499999999999999</v>
      </c>
      <c r="AB13" s="250">
        <f>AB12</f>
        <v>0.25</v>
      </c>
      <c r="AC13" s="266">
        <f t="shared" si="9"/>
        <v>1</v>
      </c>
      <c r="AD13" s="266">
        <f t="shared" si="9"/>
        <v>1</v>
      </c>
      <c r="AE13" s="201" t="s">
        <v>291</v>
      </c>
      <c r="AF13" s="212">
        <f t="shared" si="10"/>
        <v>2500</v>
      </c>
      <c r="AG13" s="257">
        <f t="shared" si="15"/>
        <v>1250</v>
      </c>
      <c r="AH13" s="257">
        <f t="shared" si="19"/>
        <v>0</v>
      </c>
      <c r="AI13" s="257">
        <f t="shared" si="17"/>
        <v>75</v>
      </c>
      <c r="AJ13" s="257">
        <f t="shared" si="18"/>
        <v>100</v>
      </c>
      <c r="AK13" s="252">
        <v>1</v>
      </c>
      <c r="AL13" s="252">
        <f t="shared" si="20"/>
        <v>0.25</v>
      </c>
      <c r="AM13" s="267">
        <f t="shared" si="12"/>
        <v>1</v>
      </c>
      <c r="AN13" s="267">
        <f t="shared" si="12"/>
        <v>1</v>
      </c>
    </row>
    <row r="14" spans="1:40">
      <c r="A14" s="515"/>
      <c r="B14" s="450"/>
      <c r="C14" s="53" t="s">
        <v>202</v>
      </c>
      <c r="D14" s="205" t="s">
        <v>330</v>
      </c>
      <c r="E14" s="195" t="s">
        <v>29</v>
      </c>
      <c r="F14" s="233" t="s">
        <v>29</v>
      </c>
      <c r="G14" s="197" t="s">
        <v>29</v>
      </c>
      <c r="H14" s="197" t="s">
        <v>29</v>
      </c>
      <c r="I14" s="197"/>
      <c r="J14" s="197" t="s">
        <v>29</v>
      </c>
      <c r="K14" s="197" t="s">
        <v>29</v>
      </c>
      <c r="L14" s="390">
        <v>50</v>
      </c>
      <c r="M14" s="197" t="s">
        <v>29</v>
      </c>
      <c r="N14" s="213" t="s">
        <v>29</v>
      </c>
      <c r="O14" s="213" t="s">
        <v>29</v>
      </c>
      <c r="P14" s="265">
        <v>0.9</v>
      </c>
      <c r="Q14" s="264">
        <v>1</v>
      </c>
      <c r="R14" s="192" t="s">
        <v>309</v>
      </c>
      <c r="S14" s="198">
        <v>5000</v>
      </c>
      <c r="T14" s="210">
        <f>S14/2</f>
        <v>2500</v>
      </c>
      <c r="U14" s="372">
        <v>0</v>
      </c>
      <c r="V14" s="372">
        <f t="shared" si="5"/>
        <v>30</v>
      </c>
      <c r="W14" s="198">
        <f t="shared" si="1"/>
        <v>70</v>
      </c>
      <c r="X14" s="198">
        <v>20</v>
      </c>
      <c r="Y14" s="387">
        <f t="shared" si="14"/>
        <v>50</v>
      </c>
      <c r="Z14" s="256">
        <v>250</v>
      </c>
      <c r="AA14" s="250">
        <f>AA12</f>
        <v>0.17499999999999999</v>
      </c>
      <c r="AB14" s="250">
        <f>AB11</f>
        <v>0.2</v>
      </c>
      <c r="AC14" s="266">
        <f t="shared" si="9"/>
        <v>0.9</v>
      </c>
      <c r="AD14" s="266">
        <f t="shared" si="9"/>
        <v>1</v>
      </c>
      <c r="AE14" s="201" t="str">
        <f>R14</f>
        <v>Refrigerated Warehouse Controls</v>
      </c>
      <c r="AF14" s="212">
        <f t="shared" si="10"/>
        <v>5000</v>
      </c>
      <c r="AG14" s="257">
        <f t="shared" si="15"/>
        <v>2500</v>
      </c>
      <c r="AH14" s="257">
        <f t="shared" si="19"/>
        <v>0</v>
      </c>
      <c r="AI14" s="257">
        <f t="shared" si="17"/>
        <v>105</v>
      </c>
      <c r="AJ14" s="257">
        <f t="shared" si="18"/>
        <v>250</v>
      </c>
      <c r="AK14" s="252">
        <v>1</v>
      </c>
      <c r="AL14" s="252">
        <f>AB14</f>
        <v>0.2</v>
      </c>
      <c r="AM14" s="267">
        <f t="shared" si="12"/>
        <v>0.9</v>
      </c>
      <c r="AN14" s="267">
        <f t="shared" si="12"/>
        <v>1</v>
      </c>
    </row>
    <row r="15" spans="1:40" s="286" customFormat="1">
      <c r="A15" s="286" t="s">
        <v>483</v>
      </c>
    </row>
    <row r="16" spans="1:40" s="70" customFormat="1">
      <c r="A16" s="285" t="s">
        <v>359</v>
      </c>
      <c r="L16" s="70" t="s">
        <v>509</v>
      </c>
      <c r="R16" s="251"/>
      <c r="Y16" s="70" t="s">
        <v>509</v>
      </c>
    </row>
    <row r="17" spans="1:19">
      <c r="B17" s="70" t="s">
        <v>248</v>
      </c>
      <c r="C17" s="70" t="s">
        <v>360</v>
      </c>
      <c r="R17" s="251"/>
    </row>
    <row r="18" spans="1:19">
      <c r="B18" s="70" t="s">
        <v>361</v>
      </c>
      <c r="C18" s="70" t="s">
        <v>81</v>
      </c>
      <c r="S18" s="70"/>
    </row>
    <row r="19" spans="1:19">
      <c r="B19" s="70" t="s">
        <v>362</v>
      </c>
      <c r="C19" s="70" t="s">
        <v>363</v>
      </c>
    </row>
    <row r="20" spans="1:19">
      <c r="B20" s="70" t="s">
        <v>364</v>
      </c>
      <c r="C20" s="70" t="s">
        <v>365</v>
      </c>
    </row>
    <row r="21" spans="1:19">
      <c r="A21" s="373" t="s">
        <v>482</v>
      </c>
    </row>
    <row r="22" spans="1:19">
      <c r="B22" s="370"/>
      <c r="F22" s="386">
        <v>1</v>
      </c>
      <c r="G22" s="70" t="s">
        <v>508</v>
      </c>
    </row>
    <row r="23" spans="1:19">
      <c r="B23" s="370"/>
      <c r="E23" s="422" t="s">
        <v>541</v>
      </c>
      <c r="F23" s="70" t="s">
        <v>501</v>
      </c>
      <c r="G23" s="70" t="s">
        <v>561</v>
      </c>
      <c r="H23" s="70" t="s">
        <v>502</v>
      </c>
      <c r="I23" s="70" t="s">
        <v>560</v>
      </c>
      <c r="J23" s="70" t="s">
        <v>564</v>
      </c>
    </row>
    <row r="24" spans="1:19">
      <c r="B24" s="371"/>
      <c r="E24" s="2" t="s">
        <v>493</v>
      </c>
      <c r="F24" s="2" t="s">
        <v>494</v>
      </c>
      <c r="G24" s="2" t="s">
        <v>495</v>
      </c>
      <c r="H24" s="2" t="s">
        <v>496</v>
      </c>
      <c r="I24" s="2" t="s">
        <v>497</v>
      </c>
      <c r="J24" s="2" t="s">
        <v>498</v>
      </c>
      <c r="K24" s="46" t="s">
        <v>544</v>
      </c>
      <c r="M24" s="251"/>
    </row>
    <row r="25" spans="1:19">
      <c r="E25" s="2" t="s">
        <v>499</v>
      </c>
      <c r="F25" s="2" t="s">
        <v>499</v>
      </c>
      <c r="G25" s="2" t="s">
        <v>499</v>
      </c>
      <c r="H25" s="2" t="s">
        <v>499</v>
      </c>
      <c r="I25" s="2" t="s">
        <v>499</v>
      </c>
      <c r="J25" s="2" t="s">
        <v>499</v>
      </c>
      <c r="K25" s="2" t="s">
        <v>368</v>
      </c>
      <c r="L25" s="2" t="s">
        <v>368</v>
      </c>
    </row>
    <row r="26" spans="1:19" ht="45">
      <c r="B26" s="490" t="s">
        <v>224</v>
      </c>
      <c r="C26" s="196" t="s">
        <v>268</v>
      </c>
      <c r="E26" s="409">
        <f>32/M4</f>
        <v>18.390804597701148</v>
      </c>
      <c r="F26" s="409">
        <f>60/M4</f>
        <v>34.482758620689658</v>
      </c>
      <c r="G26" s="3" t="s">
        <v>500</v>
      </c>
      <c r="H26" s="3"/>
      <c r="I26" s="3"/>
      <c r="J26" s="3"/>
      <c r="K26" s="3" t="s">
        <v>551</v>
      </c>
      <c r="L26" s="3" t="s">
        <v>546</v>
      </c>
      <c r="M26" s="70"/>
    </row>
    <row r="27" spans="1:19" ht="45">
      <c r="B27" s="491"/>
      <c r="C27" s="196" t="s">
        <v>259</v>
      </c>
      <c r="E27" s="409">
        <f>8/M5</f>
        <v>13.793103448275863</v>
      </c>
      <c r="F27" s="409">
        <f>50/M5</f>
        <v>86.206896551724142</v>
      </c>
      <c r="G27" s="3" t="s">
        <v>505</v>
      </c>
      <c r="H27" s="409">
        <f>8/M5</f>
        <v>13.793103448275863</v>
      </c>
      <c r="I27" s="3"/>
      <c r="J27" s="3"/>
      <c r="K27" s="3" t="s">
        <v>552</v>
      </c>
      <c r="L27" s="3" t="s">
        <v>552</v>
      </c>
      <c r="M27" s="70"/>
    </row>
    <row r="28" spans="1:19" ht="75">
      <c r="B28" s="491"/>
      <c r="C28" s="196" t="s">
        <v>267</v>
      </c>
      <c r="E28" s="3"/>
      <c r="F28" s="3"/>
      <c r="G28" s="3" t="s">
        <v>504</v>
      </c>
      <c r="H28" s="3">
        <v>21</v>
      </c>
      <c r="I28" s="3"/>
      <c r="J28" s="3"/>
      <c r="K28" s="3" t="s">
        <v>545</v>
      </c>
      <c r="L28" s="3" t="s">
        <v>546</v>
      </c>
      <c r="M28" s="70"/>
    </row>
    <row r="29" spans="1:19" ht="75">
      <c r="B29" s="492"/>
      <c r="C29" s="196" t="s">
        <v>277</v>
      </c>
      <c r="E29" s="3"/>
      <c r="F29" s="3"/>
      <c r="G29" s="3" t="s">
        <v>504</v>
      </c>
      <c r="H29" s="3">
        <v>21</v>
      </c>
      <c r="I29" s="3"/>
      <c r="J29" s="3"/>
      <c r="K29" s="3" t="s">
        <v>545</v>
      </c>
      <c r="L29" s="3" t="s">
        <v>546</v>
      </c>
      <c r="M29" s="385"/>
      <c r="N29" s="385"/>
      <c r="O29" s="385"/>
    </row>
    <row r="30" spans="1:19" ht="75">
      <c r="B30" s="490" t="s">
        <v>225</v>
      </c>
      <c r="C30" s="196" t="s">
        <v>270</v>
      </c>
      <c r="E30" s="3"/>
      <c r="F30" s="3"/>
      <c r="G30" s="3" t="s">
        <v>503</v>
      </c>
      <c r="H30" s="3">
        <v>38</v>
      </c>
      <c r="I30" s="3"/>
      <c r="J30" s="3"/>
      <c r="K30" s="3" t="s">
        <v>553</v>
      </c>
      <c r="L30" s="3" t="s">
        <v>546</v>
      </c>
      <c r="M30" s="70"/>
    </row>
    <row r="31" spans="1:19" ht="75">
      <c r="B31" s="491"/>
      <c r="C31" s="196" t="s">
        <v>271</v>
      </c>
      <c r="E31" s="3"/>
      <c r="F31" s="3"/>
      <c r="G31" s="3" t="s">
        <v>503</v>
      </c>
      <c r="H31" s="3">
        <v>128</v>
      </c>
      <c r="I31" s="3"/>
      <c r="J31" s="3"/>
      <c r="K31" s="3" t="s">
        <v>553</v>
      </c>
      <c r="L31" s="3" t="s">
        <v>546</v>
      </c>
    </row>
    <row r="32" spans="1:19" ht="45">
      <c r="B32" s="492"/>
      <c r="C32" s="196" t="s">
        <v>292</v>
      </c>
      <c r="E32" s="3"/>
      <c r="F32" s="3"/>
      <c r="G32" s="364"/>
      <c r="H32" s="3"/>
      <c r="I32" s="3"/>
      <c r="J32" s="3"/>
      <c r="K32" s="3" t="s">
        <v>29</v>
      </c>
      <c r="L32" s="3" t="s">
        <v>547</v>
      </c>
    </row>
    <row r="33" spans="2:12" ht="105">
      <c r="B33" s="448" t="s">
        <v>310</v>
      </c>
      <c r="C33" s="196" t="s">
        <v>260</v>
      </c>
      <c r="E33" s="3"/>
      <c r="F33" s="3"/>
      <c r="G33" s="3" t="s">
        <v>542</v>
      </c>
      <c r="H33" s="3" t="s">
        <v>543</v>
      </c>
      <c r="I33" s="3"/>
      <c r="J33" s="3" t="s">
        <v>548</v>
      </c>
      <c r="K33" s="3" t="s">
        <v>549</v>
      </c>
      <c r="L33" s="3" t="s">
        <v>546</v>
      </c>
    </row>
    <row r="34" spans="2:12" ht="105">
      <c r="B34" s="449"/>
      <c r="C34" s="196" t="s">
        <v>244</v>
      </c>
      <c r="E34" s="3" t="s">
        <v>550</v>
      </c>
      <c r="F34" s="3">
        <v>70</v>
      </c>
      <c r="G34" s="3">
        <v>40</v>
      </c>
      <c r="H34" s="3">
        <v>70</v>
      </c>
      <c r="I34" s="3"/>
      <c r="J34" s="3"/>
      <c r="K34" s="3" t="s">
        <v>562</v>
      </c>
      <c r="L34" s="3" t="s">
        <v>546</v>
      </c>
    </row>
    <row r="35" spans="2:12" ht="120">
      <c r="B35" s="449"/>
      <c r="C35" s="196" t="s">
        <v>245</v>
      </c>
      <c r="E35" s="3"/>
      <c r="F35" s="3"/>
      <c r="G35" s="3" t="s">
        <v>500</v>
      </c>
      <c r="H35" s="3"/>
      <c r="I35" s="3"/>
      <c r="J35" s="3"/>
      <c r="K35" s="3" t="s">
        <v>29</v>
      </c>
      <c r="L35" s="3" t="s">
        <v>554</v>
      </c>
    </row>
    <row r="36" spans="2:12" ht="75">
      <c r="B36" s="450"/>
      <c r="C36" s="196" t="s">
        <v>202</v>
      </c>
      <c r="E36" s="3"/>
      <c r="F36" s="3"/>
      <c r="G36" s="3" t="s">
        <v>500</v>
      </c>
      <c r="H36" s="3"/>
      <c r="I36" s="3"/>
      <c r="J36" s="3"/>
      <c r="K36" s="3" t="s">
        <v>29</v>
      </c>
      <c r="L36" s="3" t="s">
        <v>563</v>
      </c>
    </row>
    <row r="38" spans="2:12">
      <c r="E38" s="70" t="s">
        <v>507</v>
      </c>
    </row>
    <row r="39" spans="2:12">
      <c r="E39" s="370" t="s">
        <v>506</v>
      </c>
    </row>
  </sheetData>
  <mergeCells count="40">
    <mergeCell ref="AA2:AA3"/>
    <mergeCell ref="A1:B3"/>
    <mergeCell ref="E1:O1"/>
    <mergeCell ref="M2:M3"/>
    <mergeCell ref="N2:N3"/>
    <mergeCell ref="O2:O3"/>
    <mergeCell ref="W2:W3"/>
    <mergeCell ref="A8:A10"/>
    <mergeCell ref="A4:A7"/>
    <mergeCell ref="B11:B14"/>
    <mergeCell ref="A11:A14"/>
    <mergeCell ref="P1:Q1"/>
    <mergeCell ref="P2:Q2"/>
    <mergeCell ref="B8:B10"/>
    <mergeCell ref="B4:B7"/>
    <mergeCell ref="F2:H2"/>
    <mergeCell ref="E2:E3"/>
    <mergeCell ref="J2:J3"/>
    <mergeCell ref="C1:C3"/>
    <mergeCell ref="AC1:AD1"/>
    <mergeCell ref="AC2:AD2"/>
    <mergeCell ref="AM2:AN2"/>
    <mergeCell ref="AM1:AN1"/>
    <mergeCell ref="Z2:Z3"/>
    <mergeCell ref="AF2:AH2"/>
    <mergeCell ref="AE2:AE3"/>
    <mergeCell ref="AL2:AL3"/>
    <mergeCell ref="AK2:AK3"/>
    <mergeCell ref="AJ2:AJ3"/>
    <mergeCell ref="AI2:AI3"/>
    <mergeCell ref="AE1:AL1"/>
    <mergeCell ref="R1:AB1"/>
    <mergeCell ref="S2:U2"/>
    <mergeCell ref="R2:R3"/>
    <mergeCell ref="AB2:AB3"/>
    <mergeCell ref="B33:B36"/>
    <mergeCell ref="K2:K3"/>
    <mergeCell ref="X2:X3"/>
    <mergeCell ref="B26:B29"/>
    <mergeCell ref="B30:B32"/>
  </mergeCells>
  <hyperlinks>
    <hyperlink ref="E23" r:id="rId1"/>
  </hyperlinks>
  <pageMargins left="0.7" right="0.7" top="0.75" bottom="0.75" header="0.3" footer="0.3"/>
  <pageSetup orientation="portrait" r:id="rId2"/>
  <legacyDrawing r:id="rId3"/>
</worksheet>
</file>

<file path=xl/worksheets/sheet13.xml><?xml version="1.0" encoding="utf-8"?>
<worksheet xmlns="http://schemas.openxmlformats.org/spreadsheetml/2006/main" xmlns:r="http://schemas.openxmlformats.org/officeDocument/2006/relationships">
  <sheetPr>
    <tabColor theme="5" tint="0.39997558519241921"/>
  </sheetPr>
  <dimension ref="A1:W118"/>
  <sheetViews>
    <sheetView topLeftCell="A43" zoomScale="75" zoomScaleNormal="75" workbookViewId="0">
      <selection activeCell="D70" sqref="D70"/>
    </sheetView>
  </sheetViews>
  <sheetFormatPr defaultRowHeight="12.75"/>
  <cols>
    <col min="1" max="1" width="33.85546875" style="76" customWidth="1"/>
    <col min="2" max="2" width="41.85546875" style="76" customWidth="1"/>
    <col min="3" max="23" width="14.42578125" style="76" bestFit="1" customWidth="1"/>
    <col min="24" max="25" width="9.140625" style="76"/>
    <col min="26" max="26" width="12.42578125" style="76" bestFit="1" customWidth="1"/>
    <col min="27" max="255" width="9.140625" style="76"/>
    <col min="256" max="256" width="33.85546875" style="76" customWidth="1"/>
    <col min="257" max="257" width="19.28515625" style="76" customWidth="1"/>
    <col min="258" max="279" width="12.85546875" style="76" customWidth="1"/>
    <col min="280" max="511" width="9.140625" style="76"/>
    <col min="512" max="512" width="33.85546875" style="76" customWidth="1"/>
    <col min="513" max="513" width="19.28515625" style="76" customWidth="1"/>
    <col min="514" max="535" width="12.85546875" style="76" customWidth="1"/>
    <col min="536" max="767" width="9.140625" style="76"/>
    <col min="768" max="768" width="33.85546875" style="76" customWidth="1"/>
    <col min="769" max="769" width="19.28515625" style="76" customWidth="1"/>
    <col min="770" max="791" width="12.85546875" style="76" customWidth="1"/>
    <col min="792" max="1023" width="9.140625" style="76"/>
    <col min="1024" max="1024" width="33.85546875" style="76" customWidth="1"/>
    <col min="1025" max="1025" width="19.28515625" style="76" customWidth="1"/>
    <col min="1026" max="1047" width="12.85546875" style="76" customWidth="1"/>
    <col min="1048" max="1279" width="9.140625" style="76"/>
    <col min="1280" max="1280" width="33.85546875" style="76" customWidth="1"/>
    <col min="1281" max="1281" width="19.28515625" style="76" customWidth="1"/>
    <col min="1282" max="1303" width="12.85546875" style="76" customWidth="1"/>
    <col min="1304" max="1535" width="9.140625" style="76"/>
    <col min="1536" max="1536" width="33.85546875" style="76" customWidth="1"/>
    <col min="1537" max="1537" width="19.28515625" style="76" customWidth="1"/>
    <col min="1538" max="1559" width="12.85546875" style="76" customWidth="1"/>
    <col min="1560" max="1791" width="9.140625" style="76"/>
    <col min="1792" max="1792" width="33.85546875" style="76" customWidth="1"/>
    <col min="1793" max="1793" width="19.28515625" style="76" customWidth="1"/>
    <col min="1794" max="1815" width="12.85546875" style="76" customWidth="1"/>
    <col min="1816" max="2047" width="9.140625" style="76"/>
    <col min="2048" max="2048" width="33.85546875" style="76" customWidth="1"/>
    <col min="2049" max="2049" width="19.28515625" style="76" customWidth="1"/>
    <col min="2050" max="2071" width="12.85546875" style="76" customWidth="1"/>
    <col min="2072" max="2303" width="9.140625" style="76"/>
    <col min="2304" max="2304" width="33.85546875" style="76" customWidth="1"/>
    <col min="2305" max="2305" width="19.28515625" style="76" customWidth="1"/>
    <col min="2306" max="2327" width="12.85546875" style="76" customWidth="1"/>
    <col min="2328" max="2559" width="9.140625" style="76"/>
    <col min="2560" max="2560" width="33.85546875" style="76" customWidth="1"/>
    <col min="2561" max="2561" width="19.28515625" style="76" customWidth="1"/>
    <col min="2562" max="2583" width="12.85546875" style="76" customWidth="1"/>
    <col min="2584" max="2815" width="9.140625" style="76"/>
    <col min="2816" max="2816" width="33.85546875" style="76" customWidth="1"/>
    <col min="2817" max="2817" width="19.28515625" style="76" customWidth="1"/>
    <col min="2818" max="2839" width="12.85546875" style="76" customWidth="1"/>
    <col min="2840" max="3071" width="9.140625" style="76"/>
    <col min="3072" max="3072" width="33.85546875" style="76" customWidth="1"/>
    <col min="3073" max="3073" width="19.28515625" style="76" customWidth="1"/>
    <col min="3074" max="3095" width="12.85546875" style="76" customWidth="1"/>
    <col min="3096" max="3327" width="9.140625" style="76"/>
    <col min="3328" max="3328" width="33.85546875" style="76" customWidth="1"/>
    <col min="3329" max="3329" width="19.28515625" style="76" customWidth="1"/>
    <col min="3330" max="3351" width="12.85546875" style="76" customWidth="1"/>
    <col min="3352" max="3583" width="9.140625" style="76"/>
    <col min="3584" max="3584" width="33.85546875" style="76" customWidth="1"/>
    <col min="3585" max="3585" width="19.28515625" style="76" customWidth="1"/>
    <col min="3586" max="3607" width="12.85546875" style="76" customWidth="1"/>
    <col min="3608" max="3839" width="9.140625" style="76"/>
    <col min="3840" max="3840" width="33.85546875" style="76" customWidth="1"/>
    <col min="3841" max="3841" width="19.28515625" style="76" customWidth="1"/>
    <col min="3842" max="3863" width="12.85546875" style="76" customWidth="1"/>
    <col min="3864" max="4095" width="9.140625" style="76"/>
    <col min="4096" max="4096" width="33.85546875" style="76" customWidth="1"/>
    <col min="4097" max="4097" width="19.28515625" style="76" customWidth="1"/>
    <col min="4098" max="4119" width="12.85546875" style="76" customWidth="1"/>
    <col min="4120" max="4351" width="9.140625" style="76"/>
    <col min="4352" max="4352" width="33.85546875" style="76" customWidth="1"/>
    <col min="4353" max="4353" width="19.28515625" style="76" customWidth="1"/>
    <col min="4354" max="4375" width="12.85546875" style="76" customWidth="1"/>
    <col min="4376" max="4607" width="9.140625" style="76"/>
    <col min="4608" max="4608" width="33.85546875" style="76" customWidth="1"/>
    <col min="4609" max="4609" width="19.28515625" style="76" customWidth="1"/>
    <col min="4610" max="4631" width="12.85546875" style="76" customWidth="1"/>
    <col min="4632" max="4863" width="9.140625" style="76"/>
    <col min="4864" max="4864" width="33.85546875" style="76" customWidth="1"/>
    <col min="4865" max="4865" width="19.28515625" style="76" customWidth="1"/>
    <col min="4866" max="4887" width="12.85546875" style="76" customWidth="1"/>
    <col min="4888" max="5119" width="9.140625" style="76"/>
    <col min="5120" max="5120" width="33.85546875" style="76" customWidth="1"/>
    <col min="5121" max="5121" width="19.28515625" style="76" customWidth="1"/>
    <col min="5122" max="5143" width="12.85546875" style="76" customWidth="1"/>
    <col min="5144" max="5375" width="9.140625" style="76"/>
    <col min="5376" max="5376" width="33.85546875" style="76" customWidth="1"/>
    <col min="5377" max="5377" width="19.28515625" style="76" customWidth="1"/>
    <col min="5378" max="5399" width="12.85546875" style="76" customWidth="1"/>
    <col min="5400" max="5631" width="9.140625" style="76"/>
    <col min="5632" max="5632" width="33.85546875" style="76" customWidth="1"/>
    <col min="5633" max="5633" width="19.28515625" style="76" customWidth="1"/>
    <col min="5634" max="5655" width="12.85546875" style="76" customWidth="1"/>
    <col min="5656" max="5887" width="9.140625" style="76"/>
    <col min="5888" max="5888" width="33.85546875" style="76" customWidth="1"/>
    <col min="5889" max="5889" width="19.28515625" style="76" customWidth="1"/>
    <col min="5890" max="5911" width="12.85546875" style="76" customWidth="1"/>
    <col min="5912" max="6143" width="9.140625" style="76"/>
    <col min="6144" max="6144" width="33.85546875" style="76" customWidth="1"/>
    <col min="6145" max="6145" width="19.28515625" style="76" customWidth="1"/>
    <col min="6146" max="6167" width="12.85546875" style="76" customWidth="1"/>
    <col min="6168" max="6399" width="9.140625" style="76"/>
    <col min="6400" max="6400" width="33.85546875" style="76" customWidth="1"/>
    <col min="6401" max="6401" width="19.28515625" style="76" customWidth="1"/>
    <col min="6402" max="6423" width="12.85546875" style="76" customWidth="1"/>
    <col min="6424" max="6655" width="9.140625" style="76"/>
    <col min="6656" max="6656" width="33.85546875" style="76" customWidth="1"/>
    <col min="6657" max="6657" width="19.28515625" style="76" customWidth="1"/>
    <col min="6658" max="6679" width="12.85546875" style="76" customWidth="1"/>
    <col min="6680" max="6911" width="9.140625" style="76"/>
    <col min="6912" max="6912" width="33.85546875" style="76" customWidth="1"/>
    <col min="6913" max="6913" width="19.28515625" style="76" customWidth="1"/>
    <col min="6914" max="6935" width="12.85546875" style="76" customWidth="1"/>
    <col min="6936" max="7167" width="9.140625" style="76"/>
    <col min="7168" max="7168" width="33.85546875" style="76" customWidth="1"/>
    <col min="7169" max="7169" width="19.28515625" style="76" customWidth="1"/>
    <col min="7170" max="7191" width="12.85546875" style="76" customWidth="1"/>
    <col min="7192" max="7423" width="9.140625" style="76"/>
    <col min="7424" max="7424" width="33.85546875" style="76" customWidth="1"/>
    <col min="7425" max="7425" width="19.28515625" style="76" customWidth="1"/>
    <col min="7426" max="7447" width="12.85546875" style="76" customWidth="1"/>
    <col min="7448" max="7679" width="9.140625" style="76"/>
    <col min="7680" max="7680" width="33.85546875" style="76" customWidth="1"/>
    <col min="7681" max="7681" width="19.28515625" style="76" customWidth="1"/>
    <col min="7682" max="7703" width="12.85546875" style="76" customWidth="1"/>
    <col min="7704" max="7935" width="9.140625" style="76"/>
    <col min="7936" max="7936" width="33.85546875" style="76" customWidth="1"/>
    <col min="7937" max="7937" width="19.28515625" style="76" customWidth="1"/>
    <col min="7938" max="7959" width="12.85546875" style="76" customWidth="1"/>
    <col min="7960" max="8191" width="9.140625" style="76"/>
    <col min="8192" max="8192" width="33.85546875" style="76" customWidth="1"/>
    <col min="8193" max="8193" width="19.28515625" style="76" customWidth="1"/>
    <col min="8194" max="8215" width="12.85546875" style="76" customWidth="1"/>
    <col min="8216" max="8447" width="9.140625" style="76"/>
    <col min="8448" max="8448" width="33.85546875" style="76" customWidth="1"/>
    <col min="8449" max="8449" width="19.28515625" style="76" customWidth="1"/>
    <col min="8450" max="8471" width="12.85546875" style="76" customWidth="1"/>
    <col min="8472" max="8703" width="9.140625" style="76"/>
    <col min="8704" max="8704" width="33.85546875" style="76" customWidth="1"/>
    <col min="8705" max="8705" width="19.28515625" style="76" customWidth="1"/>
    <col min="8706" max="8727" width="12.85546875" style="76" customWidth="1"/>
    <col min="8728" max="8959" width="9.140625" style="76"/>
    <col min="8960" max="8960" width="33.85546875" style="76" customWidth="1"/>
    <col min="8961" max="8961" width="19.28515625" style="76" customWidth="1"/>
    <col min="8962" max="8983" width="12.85546875" style="76" customWidth="1"/>
    <col min="8984" max="9215" width="9.140625" style="76"/>
    <col min="9216" max="9216" width="33.85546875" style="76" customWidth="1"/>
    <col min="9217" max="9217" width="19.28515625" style="76" customWidth="1"/>
    <col min="9218" max="9239" width="12.85546875" style="76" customWidth="1"/>
    <col min="9240" max="9471" width="9.140625" style="76"/>
    <col min="9472" max="9472" width="33.85546875" style="76" customWidth="1"/>
    <col min="9473" max="9473" width="19.28515625" style="76" customWidth="1"/>
    <col min="9474" max="9495" width="12.85546875" style="76" customWidth="1"/>
    <col min="9496" max="9727" width="9.140625" style="76"/>
    <col min="9728" max="9728" width="33.85546875" style="76" customWidth="1"/>
    <col min="9729" max="9729" width="19.28515625" style="76" customWidth="1"/>
    <col min="9730" max="9751" width="12.85546875" style="76" customWidth="1"/>
    <col min="9752" max="9983" width="9.140625" style="76"/>
    <col min="9984" max="9984" width="33.85546875" style="76" customWidth="1"/>
    <col min="9985" max="9985" width="19.28515625" style="76" customWidth="1"/>
    <col min="9986" max="10007" width="12.85546875" style="76" customWidth="1"/>
    <col min="10008" max="10239" width="9.140625" style="76"/>
    <col min="10240" max="10240" width="33.85546875" style="76" customWidth="1"/>
    <col min="10241" max="10241" width="19.28515625" style="76" customWidth="1"/>
    <col min="10242" max="10263" width="12.85546875" style="76" customWidth="1"/>
    <col min="10264" max="10495" width="9.140625" style="76"/>
    <col min="10496" max="10496" width="33.85546875" style="76" customWidth="1"/>
    <col min="10497" max="10497" width="19.28515625" style="76" customWidth="1"/>
    <col min="10498" max="10519" width="12.85546875" style="76" customWidth="1"/>
    <col min="10520" max="10751" width="9.140625" style="76"/>
    <col min="10752" max="10752" width="33.85546875" style="76" customWidth="1"/>
    <col min="10753" max="10753" width="19.28515625" style="76" customWidth="1"/>
    <col min="10754" max="10775" width="12.85546875" style="76" customWidth="1"/>
    <col min="10776" max="11007" width="9.140625" style="76"/>
    <col min="11008" max="11008" width="33.85546875" style="76" customWidth="1"/>
    <col min="11009" max="11009" width="19.28515625" style="76" customWidth="1"/>
    <col min="11010" max="11031" width="12.85546875" style="76" customWidth="1"/>
    <col min="11032" max="11263" width="9.140625" style="76"/>
    <col min="11264" max="11264" width="33.85546875" style="76" customWidth="1"/>
    <col min="11265" max="11265" width="19.28515625" style="76" customWidth="1"/>
    <col min="11266" max="11287" width="12.85546875" style="76" customWidth="1"/>
    <col min="11288" max="11519" width="9.140625" style="76"/>
    <col min="11520" max="11520" width="33.85546875" style="76" customWidth="1"/>
    <col min="11521" max="11521" width="19.28515625" style="76" customWidth="1"/>
    <col min="11522" max="11543" width="12.85546875" style="76" customWidth="1"/>
    <col min="11544" max="11775" width="9.140625" style="76"/>
    <col min="11776" max="11776" width="33.85546875" style="76" customWidth="1"/>
    <col min="11777" max="11777" width="19.28515625" style="76" customWidth="1"/>
    <col min="11778" max="11799" width="12.85546875" style="76" customWidth="1"/>
    <col min="11800" max="12031" width="9.140625" style="76"/>
    <col min="12032" max="12032" width="33.85546875" style="76" customWidth="1"/>
    <col min="12033" max="12033" width="19.28515625" style="76" customWidth="1"/>
    <col min="12034" max="12055" width="12.85546875" style="76" customWidth="1"/>
    <col min="12056" max="12287" width="9.140625" style="76"/>
    <col min="12288" max="12288" width="33.85546875" style="76" customWidth="1"/>
    <col min="12289" max="12289" width="19.28515625" style="76" customWidth="1"/>
    <col min="12290" max="12311" width="12.85546875" style="76" customWidth="1"/>
    <col min="12312" max="12543" width="9.140625" style="76"/>
    <col min="12544" max="12544" width="33.85546875" style="76" customWidth="1"/>
    <col min="12545" max="12545" width="19.28515625" style="76" customWidth="1"/>
    <col min="12546" max="12567" width="12.85546875" style="76" customWidth="1"/>
    <col min="12568" max="12799" width="9.140625" style="76"/>
    <col min="12800" max="12800" width="33.85546875" style="76" customWidth="1"/>
    <col min="12801" max="12801" width="19.28515625" style="76" customWidth="1"/>
    <col min="12802" max="12823" width="12.85546875" style="76" customWidth="1"/>
    <col min="12824" max="13055" width="9.140625" style="76"/>
    <col min="13056" max="13056" width="33.85546875" style="76" customWidth="1"/>
    <col min="13057" max="13057" width="19.28515625" style="76" customWidth="1"/>
    <col min="13058" max="13079" width="12.85546875" style="76" customWidth="1"/>
    <col min="13080" max="13311" width="9.140625" style="76"/>
    <col min="13312" max="13312" width="33.85546875" style="76" customWidth="1"/>
    <col min="13313" max="13313" width="19.28515625" style="76" customWidth="1"/>
    <col min="13314" max="13335" width="12.85546875" style="76" customWidth="1"/>
    <col min="13336" max="13567" width="9.140625" style="76"/>
    <col min="13568" max="13568" width="33.85546875" style="76" customWidth="1"/>
    <col min="13569" max="13569" width="19.28515625" style="76" customWidth="1"/>
    <col min="13570" max="13591" width="12.85546875" style="76" customWidth="1"/>
    <col min="13592" max="13823" width="9.140625" style="76"/>
    <col min="13824" max="13824" width="33.85546875" style="76" customWidth="1"/>
    <col min="13825" max="13825" width="19.28515625" style="76" customWidth="1"/>
    <col min="13826" max="13847" width="12.85546875" style="76" customWidth="1"/>
    <col min="13848" max="14079" width="9.140625" style="76"/>
    <col min="14080" max="14080" width="33.85546875" style="76" customWidth="1"/>
    <col min="14081" max="14081" width="19.28515625" style="76" customWidth="1"/>
    <col min="14082" max="14103" width="12.85546875" style="76" customWidth="1"/>
    <col min="14104" max="14335" width="9.140625" style="76"/>
    <col min="14336" max="14336" width="33.85546875" style="76" customWidth="1"/>
    <col min="14337" max="14337" width="19.28515625" style="76" customWidth="1"/>
    <col min="14338" max="14359" width="12.85546875" style="76" customWidth="1"/>
    <col min="14360" max="14591" width="9.140625" style="76"/>
    <col min="14592" max="14592" width="33.85546875" style="76" customWidth="1"/>
    <col min="14593" max="14593" width="19.28515625" style="76" customWidth="1"/>
    <col min="14594" max="14615" width="12.85546875" style="76" customWidth="1"/>
    <col min="14616" max="14847" width="9.140625" style="76"/>
    <col min="14848" max="14848" width="33.85546875" style="76" customWidth="1"/>
    <col min="14849" max="14849" width="19.28515625" style="76" customWidth="1"/>
    <col min="14850" max="14871" width="12.85546875" style="76" customWidth="1"/>
    <col min="14872" max="15103" width="9.140625" style="76"/>
    <col min="15104" max="15104" width="33.85546875" style="76" customWidth="1"/>
    <col min="15105" max="15105" width="19.28515625" style="76" customWidth="1"/>
    <col min="15106" max="15127" width="12.85546875" style="76" customWidth="1"/>
    <col min="15128" max="15359" width="9.140625" style="76"/>
    <col min="15360" max="15360" width="33.85546875" style="76" customWidth="1"/>
    <col min="15361" max="15361" width="19.28515625" style="76" customWidth="1"/>
    <col min="15362" max="15383" width="12.85546875" style="76" customWidth="1"/>
    <col min="15384" max="15615" width="9.140625" style="76"/>
    <col min="15616" max="15616" width="33.85546875" style="76" customWidth="1"/>
    <col min="15617" max="15617" width="19.28515625" style="76" customWidth="1"/>
    <col min="15618" max="15639" width="12.85546875" style="76" customWidth="1"/>
    <col min="15640" max="15871" width="9.140625" style="76"/>
    <col min="15872" max="15872" width="33.85546875" style="76" customWidth="1"/>
    <col min="15873" max="15873" width="19.28515625" style="76" customWidth="1"/>
    <col min="15874" max="15895" width="12.85546875" style="76" customWidth="1"/>
    <col min="15896" max="16127" width="9.140625" style="76"/>
    <col min="16128" max="16128" width="33.85546875" style="76" customWidth="1"/>
    <col min="16129" max="16129" width="19.28515625" style="76" customWidth="1"/>
    <col min="16130" max="16151" width="12.85546875" style="76" customWidth="1"/>
    <col min="16152" max="16384" width="9.140625" style="76"/>
  </cols>
  <sheetData>
    <row r="1" spans="1:23" ht="16.5" thickBot="1">
      <c r="A1" s="526" t="s">
        <v>296</v>
      </c>
      <c r="B1" s="527"/>
      <c r="C1" s="527"/>
      <c r="D1" s="527"/>
      <c r="E1" s="527"/>
      <c r="F1" s="527"/>
      <c r="G1" s="527"/>
      <c r="H1" s="527"/>
      <c r="I1" s="527"/>
      <c r="J1" s="527"/>
      <c r="K1" s="527"/>
      <c r="L1" s="527"/>
      <c r="M1" s="527"/>
      <c r="N1" s="527"/>
      <c r="O1" s="527"/>
      <c r="P1" s="527"/>
      <c r="Q1" s="527"/>
      <c r="R1" s="527"/>
      <c r="S1" s="527"/>
      <c r="T1" s="527"/>
      <c r="U1" s="527"/>
      <c r="V1" s="527"/>
      <c r="W1" s="528"/>
    </row>
    <row r="2" spans="1:23" ht="16.5" thickBot="1">
      <c r="A2" s="178" t="s">
        <v>231</v>
      </c>
      <c r="B2" s="179"/>
      <c r="C2" s="179"/>
      <c r="D2" s="179"/>
      <c r="E2" s="179"/>
      <c r="F2" s="179"/>
      <c r="G2" s="179"/>
      <c r="H2" s="179"/>
      <c r="I2" s="179"/>
      <c r="J2" s="179"/>
      <c r="K2" s="179"/>
      <c r="L2" s="179"/>
      <c r="M2" s="180"/>
      <c r="N2" s="180"/>
      <c r="O2" s="180"/>
      <c r="P2" s="180"/>
      <c r="Q2" s="180"/>
      <c r="R2" s="180"/>
      <c r="S2" s="180"/>
      <c r="T2" s="180"/>
      <c r="U2" s="180"/>
      <c r="V2" s="180"/>
      <c r="W2" s="181"/>
    </row>
    <row r="3" spans="1:23" ht="15.75">
      <c r="A3" s="151" t="s">
        <v>229</v>
      </c>
      <c r="B3" s="152"/>
      <c r="C3" s="152"/>
      <c r="D3" s="153"/>
      <c r="E3" s="153"/>
      <c r="F3" s="153"/>
      <c r="G3" s="153"/>
      <c r="H3" s="153"/>
      <c r="I3" s="153"/>
      <c r="J3" s="153"/>
      <c r="K3" s="153"/>
      <c r="L3" s="153"/>
      <c r="M3" s="154"/>
      <c r="N3" s="154"/>
      <c r="O3" s="154"/>
      <c r="P3" s="154"/>
      <c r="Q3" s="154"/>
      <c r="R3" s="154"/>
      <c r="S3" s="154"/>
      <c r="T3" s="154"/>
      <c r="U3" s="154"/>
      <c r="V3" s="154"/>
      <c r="W3" s="155"/>
    </row>
    <row r="4" spans="1:23">
      <c r="A4" s="156"/>
      <c r="B4" s="157"/>
      <c r="C4" s="529" t="s">
        <v>226</v>
      </c>
      <c r="D4" s="529"/>
      <c r="E4" s="529"/>
      <c r="F4" s="529"/>
      <c r="G4" s="529"/>
      <c r="H4" s="529"/>
      <c r="I4" s="529"/>
      <c r="J4" s="529"/>
      <c r="K4" s="529"/>
      <c r="L4" s="529"/>
      <c r="M4" s="529"/>
      <c r="N4" s="529"/>
      <c r="O4" s="529"/>
      <c r="P4" s="529"/>
      <c r="Q4" s="529"/>
      <c r="R4" s="529"/>
      <c r="S4" s="529"/>
      <c r="T4" s="529"/>
      <c r="U4" s="529"/>
      <c r="V4" s="529"/>
      <c r="W4" s="530"/>
    </row>
    <row r="5" spans="1:23">
      <c r="A5" s="156"/>
      <c r="B5" s="158" t="s">
        <v>1</v>
      </c>
      <c r="C5" s="159">
        <v>2016</v>
      </c>
      <c r="D5" s="159">
        <v>2017</v>
      </c>
      <c r="E5" s="159">
        <v>2018</v>
      </c>
      <c r="F5" s="159">
        <v>2019</v>
      </c>
      <c r="G5" s="159">
        <v>2020</v>
      </c>
      <c r="H5" s="159">
        <v>2021</v>
      </c>
      <c r="I5" s="159">
        <v>2022</v>
      </c>
      <c r="J5" s="159">
        <v>2023</v>
      </c>
      <c r="K5" s="159">
        <v>2024</v>
      </c>
      <c r="L5" s="159">
        <v>2025</v>
      </c>
      <c r="M5" s="159">
        <v>2026</v>
      </c>
      <c r="N5" s="159">
        <v>2027</v>
      </c>
      <c r="O5" s="159">
        <v>2028</v>
      </c>
      <c r="P5" s="159">
        <v>2029</v>
      </c>
      <c r="Q5" s="159">
        <v>2030</v>
      </c>
      <c r="R5" s="159">
        <v>2031</v>
      </c>
      <c r="S5" s="159">
        <v>2032</v>
      </c>
      <c r="T5" s="159">
        <v>2033</v>
      </c>
      <c r="U5" s="159">
        <v>2034</v>
      </c>
      <c r="V5" s="160">
        <v>2035</v>
      </c>
      <c r="W5" s="160"/>
    </row>
    <row r="6" spans="1:23" ht="13.5" thickBot="1">
      <c r="A6" s="161"/>
      <c r="B6" s="162" t="s">
        <v>230</v>
      </c>
      <c r="C6" s="326">
        <f>HLOOKUP('Res-Capacity-Base'!C$5,'NW Customers'!$B$2:$AO$5,2)</f>
        <v>6345977</v>
      </c>
      <c r="D6" s="326">
        <f>HLOOKUP('Res-Capacity-Base'!D$5,'NW Customers'!$B$2:$AO$5,2)</f>
        <v>6441457</v>
      </c>
      <c r="E6" s="326">
        <f>HLOOKUP('Res-Capacity-Base'!E$5,'NW Customers'!$B$2:$AO$5,2)</f>
        <v>6536223</v>
      </c>
      <c r="F6" s="326">
        <f>HLOOKUP('Res-Capacity-Base'!F$5,'NW Customers'!$B$2:$AO$5,2)</f>
        <v>6630423</v>
      </c>
      <c r="G6" s="326">
        <f>HLOOKUP('Res-Capacity-Base'!G$5,'NW Customers'!$B$2:$AO$5,2)</f>
        <v>6724196</v>
      </c>
      <c r="H6" s="326">
        <f>HLOOKUP('Res-Capacity-Base'!H$5,'NW Customers'!$B$2:$AO$5,2)</f>
        <v>6816156</v>
      </c>
      <c r="I6" s="326">
        <f>HLOOKUP('Res-Capacity-Base'!I$5,'NW Customers'!$B$2:$AO$5,2)</f>
        <v>6907512</v>
      </c>
      <c r="J6" s="326">
        <f>HLOOKUP('Res-Capacity-Base'!J$5,'NW Customers'!$B$2:$AO$5,2)</f>
        <v>6998378</v>
      </c>
      <c r="K6" s="326">
        <f>HLOOKUP('Res-Capacity-Base'!K$5,'NW Customers'!$B$2:$AO$5,2)</f>
        <v>7088375</v>
      </c>
      <c r="L6" s="326">
        <f>HLOOKUP('Res-Capacity-Base'!L$5,'NW Customers'!$B$2:$AO$5,2)</f>
        <v>7177924</v>
      </c>
      <c r="M6" s="326">
        <f>HLOOKUP('Res-Capacity-Base'!M$5,'NW Customers'!$B$2:$AO$5,2)</f>
        <v>7266466</v>
      </c>
      <c r="N6" s="326">
        <f>HLOOKUP('Res-Capacity-Base'!N$5,'NW Customers'!$B$2:$AO$5,2)</f>
        <v>7353492</v>
      </c>
      <c r="O6" s="326">
        <f>HLOOKUP('Res-Capacity-Base'!O$5,'NW Customers'!$B$2:$AO$5,2)</f>
        <v>7438640</v>
      </c>
      <c r="P6" s="326">
        <f>HLOOKUP('Res-Capacity-Base'!P$5,'NW Customers'!$B$2:$AO$5,2)</f>
        <v>7522347</v>
      </c>
      <c r="Q6" s="326">
        <f>HLOOKUP('Res-Capacity-Base'!Q$5,'NW Customers'!$B$2:$AO$5,2)</f>
        <v>7605304</v>
      </c>
      <c r="R6" s="326">
        <f>HLOOKUP('Res-Capacity-Base'!R$5,'NW Customers'!$B$2:$AO$5,2)</f>
        <v>7689175.8559417697</v>
      </c>
      <c r="S6" s="326">
        <f>HLOOKUP('Res-Capacity-Base'!S$5,'NW Customers'!$B$2:$AO$5,2)</f>
        <v>7773972.6569244107</v>
      </c>
      <c r="T6" s="326">
        <f>HLOOKUP('Res-Capacity-Base'!T$5,'NW Customers'!$B$2:$AO$5,2)</f>
        <v>7859704.6033103568</v>
      </c>
      <c r="U6" s="326">
        <f>HLOOKUP('Res-Capacity-Base'!U$5,'NW Customers'!$B$2:$AO$5,2)</f>
        <v>7946382.0079523949</v>
      </c>
      <c r="V6" s="326">
        <f>HLOOKUP('Res-Capacity-Base'!V$5,'NW Customers'!$B$2:$AO$5,2)</f>
        <v>8034015.2974342164</v>
      </c>
      <c r="W6" s="326"/>
    </row>
    <row r="7" spans="1:23" s="221" customFormat="1" ht="16.5" thickBot="1">
      <c r="A7" s="230"/>
      <c r="B7" s="230"/>
      <c r="C7" s="230"/>
      <c r="D7" s="231"/>
      <c r="E7" s="231"/>
      <c r="F7" s="231"/>
      <c r="G7" s="231"/>
      <c r="H7" s="231"/>
      <c r="I7" s="231"/>
      <c r="J7" s="231"/>
      <c r="K7" s="231"/>
      <c r="L7" s="231"/>
    </row>
    <row r="8" spans="1:23" ht="15.75">
      <c r="A8" s="151" t="s">
        <v>286</v>
      </c>
      <c r="B8" s="152"/>
      <c r="C8" s="152"/>
      <c r="D8" s="153"/>
      <c r="E8" s="153"/>
      <c r="F8" s="153"/>
      <c r="G8" s="153"/>
      <c r="H8" s="153"/>
      <c r="I8" s="153"/>
      <c r="J8" s="153"/>
      <c r="K8" s="153"/>
      <c r="L8" s="153"/>
      <c r="M8" s="154"/>
      <c r="N8" s="154"/>
      <c r="O8" s="154"/>
      <c r="P8" s="154"/>
      <c r="Q8" s="154"/>
      <c r="R8" s="154"/>
      <c r="S8" s="154"/>
      <c r="T8" s="154"/>
      <c r="U8" s="154"/>
      <c r="V8" s="154"/>
      <c r="W8" s="155"/>
    </row>
    <row r="9" spans="1:23" ht="15.75">
      <c r="A9" s="185"/>
      <c r="B9" s="158" t="s">
        <v>237</v>
      </c>
      <c r="C9" s="325">
        <f>KeyAssumptions!N4</f>
        <v>0.33</v>
      </c>
      <c r="D9" s="163"/>
      <c r="E9" s="163"/>
      <c r="F9" s="163"/>
      <c r="G9" s="163"/>
      <c r="H9" s="163"/>
      <c r="I9" s="163"/>
      <c r="J9" s="163"/>
      <c r="K9" s="163"/>
      <c r="L9" s="163"/>
      <c r="M9" s="164"/>
      <c r="N9" s="164"/>
      <c r="O9" s="164"/>
      <c r="P9" s="164"/>
      <c r="Q9" s="164"/>
      <c r="R9" s="164"/>
      <c r="S9" s="164"/>
      <c r="T9" s="164"/>
      <c r="U9" s="164"/>
      <c r="V9" s="164"/>
      <c r="W9" s="165"/>
    </row>
    <row r="10" spans="1:23" ht="15.75">
      <c r="A10" s="185"/>
      <c r="B10" s="158" t="s">
        <v>203</v>
      </c>
      <c r="C10" s="325">
        <f>KeyAssumptions!O4</f>
        <v>0.25</v>
      </c>
      <c r="D10" s="163"/>
      <c r="E10" s="163"/>
      <c r="F10" s="163"/>
      <c r="G10" s="163"/>
      <c r="H10" s="163"/>
      <c r="I10" s="163"/>
      <c r="J10" s="163"/>
      <c r="K10" s="163"/>
      <c r="L10" s="163"/>
      <c r="M10" s="164"/>
      <c r="N10" s="164"/>
      <c r="O10" s="164"/>
      <c r="P10" s="164"/>
      <c r="Q10" s="164"/>
      <c r="R10" s="164"/>
      <c r="S10" s="164"/>
      <c r="T10" s="164"/>
      <c r="U10" s="164"/>
      <c r="V10" s="164"/>
      <c r="W10" s="165"/>
    </row>
    <row r="11" spans="1:23" ht="15.75" customHeight="1">
      <c r="A11" s="185"/>
      <c r="B11" s="188" t="s">
        <v>338</v>
      </c>
      <c r="C11" s="325">
        <v>0.95</v>
      </c>
      <c r="D11" s="163"/>
      <c r="E11" s="163"/>
      <c r="F11" s="163"/>
      <c r="G11" s="163"/>
      <c r="H11" s="163"/>
      <c r="I11" s="163"/>
      <c r="J11" s="163"/>
      <c r="K11" s="163"/>
      <c r="L11" s="163"/>
      <c r="M11" s="164"/>
      <c r="N11" s="164"/>
      <c r="O11" s="164"/>
      <c r="P11" s="164"/>
      <c r="Q11" s="164"/>
      <c r="R11" s="164"/>
      <c r="S11" s="164"/>
      <c r="T11" s="164"/>
      <c r="U11" s="164"/>
      <c r="V11" s="164"/>
      <c r="W11" s="165"/>
    </row>
    <row r="12" spans="1:23" ht="15.75">
      <c r="A12" s="185"/>
      <c r="B12" s="157"/>
      <c r="C12" s="157"/>
      <c r="D12" s="163"/>
      <c r="E12" s="163"/>
      <c r="F12" s="163"/>
      <c r="G12" s="163"/>
      <c r="H12" s="163"/>
      <c r="I12" s="163"/>
      <c r="J12" s="163"/>
      <c r="K12" s="163"/>
      <c r="L12" s="163"/>
      <c r="M12" s="164"/>
      <c r="N12" s="164"/>
      <c r="O12" s="164"/>
      <c r="P12" s="164"/>
      <c r="Q12" s="164"/>
      <c r="R12" s="164"/>
      <c r="S12" s="164"/>
      <c r="T12" s="164"/>
      <c r="U12" s="164"/>
      <c r="V12" s="164"/>
      <c r="W12" s="165"/>
    </row>
    <row r="13" spans="1:23">
      <c r="A13" s="156"/>
      <c r="B13" s="158" t="s">
        <v>1</v>
      </c>
      <c r="C13" s="159">
        <v>2016</v>
      </c>
      <c r="D13" s="159">
        <v>2017</v>
      </c>
      <c r="E13" s="159">
        <v>2018</v>
      </c>
      <c r="F13" s="159">
        <v>2019</v>
      </c>
      <c r="G13" s="159">
        <v>2020</v>
      </c>
      <c r="H13" s="159">
        <v>2021</v>
      </c>
      <c r="I13" s="159">
        <v>2022</v>
      </c>
      <c r="J13" s="159">
        <v>2023</v>
      </c>
      <c r="K13" s="159">
        <v>2024</v>
      </c>
      <c r="L13" s="159">
        <v>2025</v>
      </c>
      <c r="M13" s="159">
        <v>2026</v>
      </c>
      <c r="N13" s="159">
        <v>2027</v>
      </c>
      <c r="O13" s="159">
        <v>2028</v>
      </c>
      <c r="P13" s="159">
        <v>2029</v>
      </c>
      <c r="Q13" s="159">
        <v>2030</v>
      </c>
      <c r="R13" s="159">
        <v>2031</v>
      </c>
      <c r="S13" s="159">
        <v>2032</v>
      </c>
      <c r="T13" s="159">
        <v>2033</v>
      </c>
      <c r="U13" s="159">
        <v>2034</v>
      </c>
      <c r="V13" s="159">
        <v>2035</v>
      </c>
      <c r="W13" s="160"/>
    </row>
    <row r="14" spans="1:23">
      <c r="A14" s="156"/>
      <c r="B14" s="158" t="s">
        <v>227</v>
      </c>
      <c r="C14" s="324">
        <v>0.05</v>
      </c>
      <c r="D14" s="324">
        <v>0.2</v>
      </c>
      <c r="E14" s="324">
        <v>0.2</v>
      </c>
      <c r="F14" s="324">
        <v>0.2</v>
      </c>
      <c r="G14" s="324">
        <v>0.2</v>
      </c>
      <c r="H14" s="324">
        <v>0.15</v>
      </c>
      <c r="I14" s="324">
        <v>0</v>
      </c>
      <c r="J14" s="324">
        <v>0</v>
      </c>
      <c r="K14" s="324">
        <v>0</v>
      </c>
      <c r="L14" s="324">
        <v>0</v>
      </c>
      <c r="M14" s="324">
        <v>0</v>
      </c>
      <c r="N14" s="324">
        <v>0</v>
      </c>
      <c r="O14" s="324">
        <v>0</v>
      </c>
      <c r="P14" s="324">
        <v>0</v>
      </c>
      <c r="Q14" s="324">
        <v>0</v>
      </c>
      <c r="R14" s="324">
        <v>0</v>
      </c>
      <c r="S14" s="324">
        <v>0</v>
      </c>
      <c r="T14" s="324">
        <v>0</v>
      </c>
      <c r="U14" s="324">
        <v>0</v>
      </c>
      <c r="V14" s="324">
        <v>0</v>
      </c>
      <c r="W14" s="327"/>
    </row>
    <row r="15" spans="1:23">
      <c r="A15" s="156"/>
      <c r="B15" s="158" t="s">
        <v>233</v>
      </c>
      <c r="C15" s="174">
        <f>C14</f>
        <v>0.05</v>
      </c>
      <c r="D15" s="174">
        <f>C15+D14</f>
        <v>0.25</v>
      </c>
      <c r="E15" s="174">
        <f t="shared" ref="E15:V15" si="0">D15+E14</f>
        <v>0.45</v>
      </c>
      <c r="F15" s="174">
        <f t="shared" si="0"/>
        <v>0.65</v>
      </c>
      <c r="G15" s="174">
        <f t="shared" si="0"/>
        <v>0.85000000000000009</v>
      </c>
      <c r="H15" s="174">
        <f t="shared" si="0"/>
        <v>1</v>
      </c>
      <c r="I15" s="174">
        <f t="shared" si="0"/>
        <v>1</v>
      </c>
      <c r="J15" s="174">
        <f t="shared" si="0"/>
        <v>1</v>
      </c>
      <c r="K15" s="174">
        <f t="shared" si="0"/>
        <v>1</v>
      </c>
      <c r="L15" s="174">
        <f t="shared" si="0"/>
        <v>1</v>
      </c>
      <c r="M15" s="174">
        <f t="shared" si="0"/>
        <v>1</v>
      </c>
      <c r="N15" s="174">
        <f t="shared" si="0"/>
        <v>1</v>
      </c>
      <c r="O15" s="174">
        <f t="shared" si="0"/>
        <v>1</v>
      </c>
      <c r="P15" s="174">
        <f t="shared" si="0"/>
        <v>1</v>
      </c>
      <c r="Q15" s="174">
        <f t="shared" si="0"/>
        <v>1</v>
      </c>
      <c r="R15" s="174">
        <f t="shared" si="0"/>
        <v>1</v>
      </c>
      <c r="S15" s="174">
        <f t="shared" si="0"/>
        <v>1</v>
      </c>
      <c r="T15" s="174">
        <f t="shared" si="0"/>
        <v>1</v>
      </c>
      <c r="U15" s="174">
        <f t="shared" si="0"/>
        <v>1</v>
      </c>
      <c r="V15" s="174">
        <f t="shared" si="0"/>
        <v>1</v>
      </c>
      <c r="W15" s="216"/>
    </row>
    <row r="16" spans="1:23">
      <c r="A16" s="156"/>
      <c r="B16" s="158" t="s">
        <v>228</v>
      </c>
      <c r="C16" s="324">
        <v>0.01</v>
      </c>
      <c r="D16" s="324">
        <v>0.01</v>
      </c>
      <c r="E16" s="324">
        <v>0.01</v>
      </c>
      <c r="F16" s="324">
        <v>0.01</v>
      </c>
      <c r="G16" s="324">
        <v>0.01</v>
      </c>
      <c r="H16" s="324">
        <v>0.01</v>
      </c>
      <c r="I16" s="324">
        <v>0.01</v>
      </c>
      <c r="J16" s="324">
        <v>0.01</v>
      </c>
      <c r="K16" s="324">
        <v>0.01</v>
      </c>
      <c r="L16" s="324">
        <v>0.01</v>
      </c>
      <c r="M16" s="324">
        <v>0.01</v>
      </c>
      <c r="N16" s="324">
        <v>0.01</v>
      </c>
      <c r="O16" s="324">
        <v>0.01</v>
      </c>
      <c r="P16" s="324">
        <v>0.01</v>
      </c>
      <c r="Q16" s="324">
        <v>0.01</v>
      </c>
      <c r="R16" s="324">
        <v>0.01</v>
      </c>
      <c r="S16" s="324">
        <v>0.01</v>
      </c>
      <c r="T16" s="324">
        <v>0.01</v>
      </c>
      <c r="U16" s="324">
        <v>0.01</v>
      </c>
      <c r="V16" s="324">
        <v>0.01</v>
      </c>
      <c r="W16" s="327"/>
    </row>
    <row r="17" spans="1:23" ht="15" customHeight="1" thickBot="1">
      <c r="A17" s="161"/>
      <c r="B17" s="162" t="s">
        <v>232</v>
      </c>
      <c r="C17" s="328">
        <v>0.5</v>
      </c>
      <c r="D17" s="328">
        <f>C17-0.05</f>
        <v>0.45</v>
      </c>
      <c r="E17" s="328">
        <f>D17-0.05</f>
        <v>0.4</v>
      </c>
      <c r="F17" s="328">
        <f>E17-0.05</f>
        <v>0.35000000000000003</v>
      </c>
      <c r="G17" s="328">
        <f t="shared" ref="G17" si="1">F17-0.05</f>
        <v>0.30000000000000004</v>
      </c>
      <c r="H17" s="328">
        <v>0.3</v>
      </c>
      <c r="I17" s="328">
        <f>H17</f>
        <v>0.3</v>
      </c>
      <c r="J17" s="328">
        <f t="shared" ref="J17:V17" si="2">I17</f>
        <v>0.3</v>
      </c>
      <c r="K17" s="328">
        <f t="shared" si="2"/>
        <v>0.3</v>
      </c>
      <c r="L17" s="328">
        <f t="shared" si="2"/>
        <v>0.3</v>
      </c>
      <c r="M17" s="328">
        <f t="shared" si="2"/>
        <v>0.3</v>
      </c>
      <c r="N17" s="328">
        <f t="shared" si="2"/>
        <v>0.3</v>
      </c>
      <c r="O17" s="328">
        <f t="shared" si="2"/>
        <v>0.3</v>
      </c>
      <c r="P17" s="328">
        <f t="shared" si="2"/>
        <v>0.3</v>
      </c>
      <c r="Q17" s="328">
        <f t="shared" si="2"/>
        <v>0.3</v>
      </c>
      <c r="R17" s="328">
        <f t="shared" si="2"/>
        <v>0.3</v>
      </c>
      <c r="S17" s="328">
        <f t="shared" si="2"/>
        <v>0.3</v>
      </c>
      <c r="T17" s="328">
        <f t="shared" si="2"/>
        <v>0.3</v>
      </c>
      <c r="U17" s="328">
        <f t="shared" si="2"/>
        <v>0.3</v>
      </c>
      <c r="V17" s="328">
        <f t="shared" si="2"/>
        <v>0.3</v>
      </c>
      <c r="W17" s="329"/>
    </row>
    <row r="18" spans="1:23" s="221" customFormat="1" ht="16.5" thickBot="1">
      <c r="A18" s="228"/>
      <c r="B18" s="228"/>
      <c r="C18" s="228"/>
      <c r="D18" s="229"/>
      <c r="E18" s="229"/>
      <c r="F18" s="229"/>
      <c r="G18" s="229"/>
      <c r="H18" s="229"/>
      <c r="I18" s="229"/>
      <c r="J18" s="229"/>
      <c r="K18" s="229"/>
      <c r="L18" s="229"/>
      <c r="M18" s="78"/>
      <c r="N18" s="78"/>
      <c r="O18" s="78"/>
      <c r="P18" s="78"/>
      <c r="Q18" s="78"/>
      <c r="R18" s="78"/>
      <c r="S18" s="78"/>
      <c r="T18" s="78"/>
      <c r="U18" s="78"/>
      <c r="V18" s="78"/>
      <c r="W18" s="78"/>
    </row>
    <row r="19" spans="1:23" ht="15.75">
      <c r="A19" s="151" t="s">
        <v>287</v>
      </c>
      <c r="B19" s="152"/>
      <c r="C19" s="152"/>
      <c r="D19" s="153"/>
      <c r="E19" s="153"/>
      <c r="F19" s="153"/>
      <c r="G19" s="153"/>
      <c r="H19" s="153"/>
      <c r="I19" s="153"/>
      <c r="J19" s="153"/>
      <c r="K19" s="153"/>
      <c r="L19" s="153"/>
      <c r="M19" s="154"/>
      <c r="N19" s="154"/>
      <c r="O19" s="154"/>
      <c r="P19" s="154"/>
      <c r="Q19" s="154"/>
      <c r="R19" s="154"/>
      <c r="S19" s="154"/>
      <c r="T19" s="154"/>
      <c r="U19" s="154"/>
      <c r="V19" s="154"/>
      <c r="W19" s="155"/>
    </row>
    <row r="20" spans="1:23" ht="15.75">
      <c r="A20" s="185"/>
      <c r="B20" s="158" t="s">
        <v>237</v>
      </c>
      <c r="C20" s="330">
        <f>KeyAssumptions!N6</f>
        <v>0.35</v>
      </c>
      <c r="D20" s="163"/>
      <c r="E20" s="163"/>
      <c r="F20" s="163"/>
      <c r="G20" s="163"/>
      <c r="H20" s="163"/>
      <c r="I20" s="163"/>
      <c r="J20" s="163"/>
      <c r="K20" s="163"/>
      <c r="L20" s="163"/>
      <c r="M20" s="164"/>
      <c r="N20" s="164"/>
      <c r="O20" s="164"/>
      <c r="P20" s="164"/>
      <c r="Q20" s="164"/>
      <c r="R20" s="164"/>
      <c r="S20" s="164"/>
      <c r="T20" s="164"/>
      <c r="U20" s="164"/>
      <c r="V20" s="164"/>
      <c r="W20" s="165"/>
    </row>
    <row r="21" spans="1:23" ht="15.75">
      <c r="A21" s="185"/>
      <c r="B21" s="158" t="s">
        <v>203</v>
      </c>
      <c r="C21" s="325">
        <f>KeyAssumptions!O6</f>
        <v>0.25</v>
      </c>
      <c r="D21" s="163"/>
      <c r="E21" s="163"/>
      <c r="F21" s="163"/>
      <c r="G21" s="163"/>
      <c r="H21" s="163"/>
      <c r="I21" s="163"/>
      <c r="J21" s="163"/>
      <c r="K21" s="163"/>
      <c r="L21" s="163"/>
      <c r="M21" s="164"/>
      <c r="N21" s="164"/>
      <c r="O21" s="164"/>
      <c r="P21" s="164"/>
      <c r="Q21" s="164"/>
      <c r="R21" s="164"/>
      <c r="S21" s="164"/>
      <c r="T21" s="164"/>
      <c r="U21" s="164"/>
      <c r="V21" s="164"/>
      <c r="W21" s="165"/>
    </row>
    <row r="22" spans="1:23" ht="15.75" customHeight="1">
      <c r="A22" s="185"/>
      <c r="B22" s="188" t="s">
        <v>338</v>
      </c>
      <c r="C22" s="325">
        <v>0.95</v>
      </c>
      <c r="D22" s="163"/>
      <c r="E22" s="163"/>
      <c r="F22" s="163"/>
      <c r="G22" s="163"/>
      <c r="H22" s="163"/>
      <c r="I22" s="163"/>
      <c r="J22" s="163"/>
      <c r="K22" s="163"/>
      <c r="L22" s="163"/>
      <c r="M22" s="164"/>
      <c r="N22" s="164"/>
      <c r="O22" s="164"/>
      <c r="P22" s="164"/>
      <c r="Q22" s="164"/>
      <c r="R22" s="164"/>
      <c r="S22" s="164"/>
      <c r="T22" s="164"/>
      <c r="U22" s="164"/>
      <c r="V22" s="164"/>
      <c r="W22" s="165"/>
    </row>
    <row r="23" spans="1:23" ht="15.75">
      <c r="A23" s="185"/>
      <c r="B23" s="157"/>
      <c r="C23" s="157"/>
      <c r="D23" s="163"/>
      <c r="E23" s="163"/>
      <c r="F23" s="163"/>
      <c r="G23" s="163"/>
      <c r="H23" s="163"/>
      <c r="I23" s="163"/>
      <c r="J23" s="163"/>
      <c r="K23" s="163"/>
      <c r="L23" s="163"/>
      <c r="M23" s="164"/>
      <c r="N23" s="164"/>
      <c r="O23" s="164"/>
      <c r="P23" s="164"/>
      <c r="Q23" s="164"/>
      <c r="R23" s="164"/>
      <c r="S23" s="164"/>
      <c r="T23" s="164"/>
      <c r="U23" s="164"/>
      <c r="V23" s="164"/>
      <c r="W23" s="165"/>
    </row>
    <row r="24" spans="1:23">
      <c r="A24" s="156"/>
      <c r="B24" s="158" t="s">
        <v>1</v>
      </c>
      <c r="C24" s="159">
        <v>2016</v>
      </c>
      <c r="D24" s="159">
        <v>2017</v>
      </c>
      <c r="E24" s="159">
        <v>2018</v>
      </c>
      <c r="F24" s="159">
        <v>2019</v>
      </c>
      <c r="G24" s="159">
        <v>2020</v>
      </c>
      <c r="H24" s="159">
        <v>2021</v>
      </c>
      <c r="I24" s="159">
        <v>2022</v>
      </c>
      <c r="J24" s="159">
        <v>2023</v>
      </c>
      <c r="K24" s="159">
        <v>2024</v>
      </c>
      <c r="L24" s="159">
        <v>2025</v>
      </c>
      <c r="M24" s="159">
        <v>2026</v>
      </c>
      <c r="N24" s="159">
        <v>2027</v>
      </c>
      <c r="O24" s="159">
        <v>2028</v>
      </c>
      <c r="P24" s="159">
        <v>2029</v>
      </c>
      <c r="Q24" s="159">
        <v>2030</v>
      </c>
      <c r="R24" s="159">
        <v>2031</v>
      </c>
      <c r="S24" s="159">
        <v>2032</v>
      </c>
      <c r="T24" s="159">
        <v>2033</v>
      </c>
      <c r="U24" s="159">
        <v>2034</v>
      </c>
      <c r="V24" s="159">
        <v>2035</v>
      </c>
      <c r="W24" s="160"/>
    </row>
    <row r="25" spans="1:23">
      <c r="A25" s="156"/>
      <c r="B25" s="158" t="s">
        <v>227</v>
      </c>
      <c r="C25" s="324">
        <v>0.05</v>
      </c>
      <c r="D25" s="324">
        <v>0.2</v>
      </c>
      <c r="E25" s="324">
        <v>0.2</v>
      </c>
      <c r="F25" s="324">
        <v>0.2</v>
      </c>
      <c r="G25" s="324">
        <v>0.2</v>
      </c>
      <c r="H25" s="324">
        <v>0.15</v>
      </c>
      <c r="I25" s="324">
        <v>0</v>
      </c>
      <c r="J25" s="324">
        <v>0</v>
      </c>
      <c r="K25" s="324">
        <v>0</v>
      </c>
      <c r="L25" s="324">
        <v>0</v>
      </c>
      <c r="M25" s="324">
        <v>0</v>
      </c>
      <c r="N25" s="324">
        <v>0</v>
      </c>
      <c r="O25" s="324">
        <v>0</v>
      </c>
      <c r="P25" s="324">
        <v>0</v>
      </c>
      <c r="Q25" s="324">
        <v>0</v>
      </c>
      <c r="R25" s="324">
        <v>0</v>
      </c>
      <c r="S25" s="324">
        <v>0</v>
      </c>
      <c r="T25" s="324">
        <v>0</v>
      </c>
      <c r="U25" s="324">
        <v>0</v>
      </c>
      <c r="V25" s="324">
        <v>0</v>
      </c>
      <c r="W25" s="327"/>
    </row>
    <row r="26" spans="1:23">
      <c r="A26" s="156"/>
      <c r="B26" s="158" t="s">
        <v>233</v>
      </c>
      <c r="C26" s="174">
        <f>C25</f>
        <v>0.05</v>
      </c>
      <c r="D26" s="174">
        <f>C26+D25</f>
        <v>0.25</v>
      </c>
      <c r="E26" s="174">
        <f t="shared" ref="E26:V26" si="3">D26+E25</f>
        <v>0.45</v>
      </c>
      <c r="F26" s="174">
        <f t="shared" si="3"/>
        <v>0.65</v>
      </c>
      <c r="G26" s="174">
        <f t="shared" si="3"/>
        <v>0.85000000000000009</v>
      </c>
      <c r="H26" s="174">
        <f t="shared" si="3"/>
        <v>1</v>
      </c>
      <c r="I26" s="174">
        <f t="shared" si="3"/>
        <v>1</v>
      </c>
      <c r="J26" s="174">
        <f t="shared" si="3"/>
        <v>1</v>
      </c>
      <c r="K26" s="174">
        <f t="shared" si="3"/>
        <v>1</v>
      </c>
      <c r="L26" s="174">
        <f t="shared" si="3"/>
        <v>1</v>
      </c>
      <c r="M26" s="174">
        <f t="shared" si="3"/>
        <v>1</v>
      </c>
      <c r="N26" s="174">
        <f t="shared" si="3"/>
        <v>1</v>
      </c>
      <c r="O26" s="174">
        <f t="shared" si="3"/>
        <v>1</v>
      </c>
      <c r="P26" s="174">
        <f t="shared" si="3"/>
        <v>1</v>
      </c>
      <c r="Q26" s="174">
        <f t="shared" si="3"/>
        <v>1</v>
      </c>
      <c r="R26" s="174">
        <f t="shared" si="3"/>
        <v>1</v>
      </c>
      <c r="S26" s="174">
        <f t="shared" si="3"/>
        <v>1</v>
      </c>
      <c r="T26" s="174">
        <f t="shared" si="3"/>
        <v>1</v>
      </c>
      <c r="U26" s="174">
        <f t="shared" si="3"/>
        <v>1</v>
      </c>
      <c r="V26" s="174">
        <f t="shared" si="3"/>
        <v>1</v>
      </c>
      <c r="W26" s="216"/>
    </row>
    <row r="27" spans="1:23">
      <c r="A27" s="156"/>
      <c r="B27" s="158" t="s">
        <v>228</v>
      </c>
      <c r="C27" s="324">
        <v>0.01</v>
      </c>
      <c r="D27" s="324">
        <v>0.01</v>
      </c>
      <c r="E27" s="324">
        <v>0.01</v>
      </c>
      <c r="F27" s="324">
        <v>0.01</v>
      </c>
      <c r="G27" s="324">
        <v>0.01</v>
      </c>
      <c r="H27" s="324">
        <v>0.01</v>
      </c>
      <c r="I27" s="324">
        <v>0.01</v>
      </c>
      <c r="J27" s="324">
        <v>0.01</v>
      </c>
      <c r="K27" s="324">
        <v>0.01</v>
      </c>
      <c r="L27" s="324">
        <v>0.01</v>
      </c>
      <c r="M27" s="324">
        <v>0.01</v>
      </c>
      <c r="N27" s="324">
        <v>0.01</v>
      </c>
      <c r="O27" s="324">
        <v>0.01</v>
      </c>
      <c r="P27" s="324">
        <v>0.01</v>
      </c>
      <c r="Q27" s="324">
        <v>0.01</v>
      </c>
      <c r="R27" s="324">
        <v>0.01</v>
      </c>
      <c r="S27" s="324">
        <v>0.01</v>
      </c>
      <c r="T27" s="324">
        <v>0.01</v>
      </c>
      <c r="U27" s="324">
        <v>0.01</v>
      </c>
      <c r="V27" s="324">
        <v>0.01</v>
      </c>
      <c r="W27" s="327"/>
    </row>
    <row r="28" spans="1:23" ht="13.5" thickBot="1">
      <c r="A28" s="161"/>
      <c r="B28" s="162" t="s">
        <v>232</v>
      </c>
      <c r="C28" s="328">
        <v>0.5</v>
      </c>
      <c r="D28" s="328">
        <f>C28-0.05</f>
        <v>0.45</v>
      </c>
      <c r="E28" s="328">
        <f t="shared" ref="E28:G28" si="4">D28-0.05</f>
        <v>0.4</v>
      </c>
      <c r="F28" s="328">
        <f t="shared" si="4"/>
        <v>0.35000000000000003</v>
      </c>
      <c r="G28" s="328">
        <f t="shared" si="4"/>
        <v>0.30000000000000004</v>
      </c>
      <c r="H28" s="328">
        <v>0.3</v>
      </c>
      <c r="I28" s="328">
        <f>H28</f>
        <v>0.3</v>
      </c>
      <c r="J28" s="328">
        <f t="shared" ref="J28:V28" si="5">I28</f>
        <v>0.3</v>
      </c>
      <c r="K28" s="328">
        <f t="shared" si="5"/>
        <v>0.3</v>
      </c>
      <c r="L28" s="328">
        <f t="shared" si="5"/>
        <v>0.3</v>
      </c>
      <c r="M28" s="328">
        <f t="shared" si="5"/>
        <v>0.3</v>
      </c>
      <c r="N28" s="328">
        <f t="shared" si="5"/>
        <v>0.3</v>
      </c>
      <c r="O28" s="328">
        <f t="shared" si="5"/>
        <v>0.3</v>
      </c>
      <c r="P28" s="328">
        <f t="shared" si="5"/>
        <v>0.3</v>
      </c>
      <c r="Q28" s="328">
        <f t="shared" si="5"/>
        <v>0.3</v>
      </c>
      <c r="R28" s="328">
        <f t="shared" si="5"/>
        <v>0.3</v>
      </c>
      <c r="S28" s="328">
        <f t="shared" si="5"/>
        <v>0.3</v>
      </c>
      <c r="T28" s="328">
        <f t="shared" si="5"/>
        <v>0.3</v>
      </c>
      <c r="U28" s="328">
        <f t="shared" si="5"/>
        <v>0.3</v>
      </c>
      <c r="V28" s="328">
        <f t="shared" si="5"/>
        <v>0.3</v>
      </c>
      <c r="W28" s="329"/>
    </row>
    <row r="29" spans="1:23" s="221" customFormat="1" ht="16.5" thickBot="1">
      <c r="A29" s="228"/>
      <c r="B29" s="228"/>
      <c r="C29" s="228"/>
      <c r="D29" s="229"/>
      <c r="E29" s="229"/>
      <c r="F29" s="229"/>
      <c r="G29" s="229"/>
      <c r="H29" s="229"/>
      <c r="I29" s="229"/>
      <c r="J29" s="229"/>
      <c r="K29" s="229"/>
      <c r="L29" s="229"/>
      <c r="M29" s="78"/>
      <c r="N29" s="78"/>
      <c r="O29" s="78"/>
      <c r="P29" s="78"/>
      <c r="Q29" s="78"/>
      <c r="R29" s="78"/>
      <c r="S29" s="78"/>
      <c r="T29" s="78"/>
      <c r="U29" s="78"/>
      <c r="V29" s="78"/>
      <c r="W29" s="78"/>
    </row>
    <row r="30" spans="1:23" ht="15.75">
      <c r="A30" s="151" t="s">
        <v>288</v>
      </c>
      <c r="B30" s="152"/>
      <c r="C30" s="152"/>
      <c r="D30" s="153"/>
      <c r="E30" s="153"/>
      <c r="F30" s="153"/>
      <c r="G30" s="153"/>
      <c r="H30" s="153"/>
      <c r="I30" s="153"/>
      <c r="J30" s="153"/>
      <c r="K30" s="153"/>
      <c r="L30" s="153"/>
      <c r="M30" s="154"/>
      <c r="N30" s="154"/>
      <c r="O30" s="154"/>
      <c r="P30" s="154"/>
      <c r="Q30" s="154"/>
      <c r="R30" s="154"/>
      <c r="S30" s="154"/>
      <c r="T30" s="154"/>
      <c r="U30" s="154"/>
      <c r="V30" s="154"/>
      <c r="W30" s="155"/>
    </row>
    <row r="31" spans="1:23" ht="15.75">
      <c r="A31" s="185"/>
      <c r="B31" s="158" t="s">
        <v>237</v>
      </c>
      <c r="C31" s="330">
        <f>KeyAssumptions!N7</f>
        <v>0.17499999999999999</v>
      </c>
      <c r="D31" s="163"/>
      <c r="E31" s="163"/>
      <c r="F31" s="163"/>
      <c r="G31" s="163"/>
      <c r="H31" s="163"/>
      <c r="I31" s="163"/>
      <c r="J31" s="163"/>
      <c r="K31" s="163"/>
      <c r="L31" s="163"/>
      <c r="M31" s="164"/>
      <c r="N31" s="164"/>
      <c r="O31" s="164"/>
      <c r="P31" s="164"/>
      <c r="Q31" s="164"/>
      <c r="R31" s="164"/>
      <c r="S31" s="164"/>
      <c r="T31" s="164"/>
      <c r="U31" s="164"/>
      <c r="V31" s="164"/>
      <c r="W31" s="165"/>
    </row>
    <row r="32" spans="1:23" ht="15.75">
      <c r="A32" s="185"/>
      <c r="B32" s="158" t="s">
        <v>203</v>
      </c>
      <c r="C32" s="325">
        <f>KeyAssumptions!O7</f>
        <v>0.25</v>
      </c>
      <c r="D32" s="163"/>
      <c r="E32" s="163"/>
      <c r="F32" s="163"/>
      <c r="G32" s="163"/>
      <c r="H32" s="163"/>
      <c r="I32" s="163"/>
      <c r="J32" s="163"/>
      <c r="K32" s="163"/>
      <c r="L32" s="163"/>
      <c r="M32" s="164"/>
      <c r="N32" s="164"/>
      <c r="O32" s="164"/>
      <c r="P32" s="164"/>
      <c r="Q32" s="164"/>
      <c r="R32" s="164"/>
      <c r="S32" s="164"/>
      <c r="T32" s="164"/>
      <c r="U32" s="164"/>
      <c r="V32" s="164"/>
      <c r="W32" s="165"/>
    </row>
    <row r="33" spans="1:23" ht="15.75" customHeight="1">
      <c r="A33" s="185"/>
      <c r="B33" s="188" t="s">
        <v>338</v>
      </c>
      <c r="C33" s="325">
        <v>0.95</v>
      </c>
      <c r="D33" s="163"/>
      <c r="E33" s="163"/>
      <c r="F33" s="163"/>
      <c r="G33" s="163"/>
      <c r="H33" s="163"/>
      <c r="I33" s="163"/>
      <c r="J33" s="163"/>
      <c r="K33" s="163"/>
      <c r="L33" s="163"/>
      <c r="M33" s="164"/>
      <c r="N33" s="164"/>
      <c r="O33" s="164"/>
      <c r="P33" s="164"/>
      <c r="Q33" s="164"/>
      <c r="R33" s="164"/>
      <c r="S33" s="164"/>
      <c r="T33" s="164"/>
      <c r="U33" s="164"/>
      <c r="V33" s="164"/>
      <c r="W33" s="165"/>
    </row>
    <row r="34" spans="1:23" ht="15.75">
      <c r="A34" s="185"/>
      <c r="B34" s="157"/>
      <c r="C34" s="157"/>
      <c r="D34" s="163"/>
      <c r="E34" s="163"/>
      <c r="F34" s="163"/>
      <c r="G34" s="163"/>
      <c r="H34" s="163"/>
      <c r="I34" s="163"/>
      <c r="J34" s="163"/>
      <c r="K34" s="163"/>
      <c r="L34" s="163"/>
      <c r="M34" s="164"/>
      <c r="N34" s="164"/>
      <c r="O34" s="164"/>
      <c r="P34" s="164"/>
      <c r="Q34" s="164"/>
      <c r="R34" s="164"/>
      <c r="S34" s="164"/>
      <c r="T34" s="164"/>
      <c r="U34" s="164"/>
      <c r="V34" s="164"/>
      <c r="W34" s="165"/>
    </row>
    <row r="35" spans="1:23">
      <c r="A35" s="156"/>
      <c r="B35" s="158" t="s">
        <v>1</v>
      </c>
      <c r="C35" s="159">
        <v>2016</v>
      </c>
      <c r="D35" s="159">
        <v>2017</v>
      </c>
      <c r="E35" s="159">
        <v>2018</v>
      </c>
      <c r="F35" s="159">
        <v>2019</v>
      </c>
      <c r="G35" s="159">
        <v>2020</v>
      </c>
      <c r="H35" s="159">
        <v>2021</v>
      </c>
      <c r="I35" s="159">
        <v>2022</v>
      </c>
      <c r="J35" s="159">
        <v>2023</v>
      </c>
      <c r="K35" s="159">
        <v>2024</v>
      </c>
      <c r="L35" s="159">
        <v>2025</v>
      </c>
      <c r="M35" s="159">
        <v>2026</v>
      </c>
      <c r="N35" s="159">
        <v>2027</v>
      </c>
      <c r="O35" s="159">
        <v>2028</v>
      </c>
      <c r="P35" s="159">
        <v>2029</v>
      </c>
      <c r="Q35" s="159">
        <v>2030</v>
      </c>
      <c r="R35" s="159">
        <v>2031</v>
      </c>
      <c r="S35" s="159">
        <v>2032</v>
      </c>
      <c r="T35" s="159">
        <v>2033</v>
      </c>
      <c r="U35" s="159">
        <v>2034</v>
      </c>
      <c r="V35" s="159">
        <v>2035</v>
      </c>
      <c r="W35" s="160"/>
    </row>
    <row r="36" spans="1:23">
      <c r="A36" s="156"/>
      <c r="B36" s="158" t="s">
        <v>227</v>
      </c>
      <c r="C36" s="324">
        <v>0.05</v>
      </c>
      <c r="D36" s="324">
        <v>0.2</v>
      </c>
      <c r="E36" s="324">
        <v>0.2</v>
      </c>
      <c r="F36" s="324">
        <v>0.2</v>
      </c>
      <c r="G36" s="324">
        <v>0.2</v>
      </c>
      <c r="H36" s="324">
        <v>0.15</v>
      </c>
      <c r="I36" s="324">
        <v>0</v>
      </c>
      <c r="J36" s="324">
        <v>0</v>
      </c>
      <c r="K36" s="324">
        <v>0</v>
      </c>
      <c r="L36" s="324">
        <v>0</v>
      </c>
      <c r="M36" s="324">
        <v>0</v>
      </c>
      <c r="N36" s="324">
        <v>0</v>
      </c>
      <c r="O36" s="324">
        <v>0</v>
      </c>
      <c r="P36" s="324">
        <v>0</v>
      </c>
      <c r="Q36" s="324">
        <v>0</v>
      </c>
      <c r="R36" s="324">
        <v>0</v>
      </c>
      <c r="S36" s="324">
        <v>0</v>
      </c>
      <c r="T36" s="324">
        <v>0</v>
      </c>
      <c r="U36" s="324">
        <v>0</v>
      </c>
      <c r="V36" s="324">
        <v>0</v>
      </c>
      <c r="W36" s="327"/>
    </row>
    <row r="37" spans="1:23">
      <c r="A37" s="156"/>
      <c r="B37" s="158" t="s">
        <v>233</v>
      </c>
      <c r="C37" s="174">
        <f>C36</f>
        <v>0.05</v>
      </c>
      <c r="D37" s="174">
        <f>C37+D36</f>
        <v>0.25</v>
      </c>
      <c r="E37" s="174">
        <f t="shared" ref="E37:V37" si="6">D37+E36</f>
        <v>0.45</v>
      </c>
      <c r="F37" s="174">
        <f t="shared" si="6"/>
        <v>0.65</v>
      </c>
      <c r="G37" s="174">
        <f t="shared" si="6"/>
        <v>0.85000000000000009</v>
      </c>
      <c r="H37" s="174">
        <f t="shared" si="6"/>
        <v>1</v>
      </c>
      <c r="I37" s="174">
        <f t="shared" si="6"/>
        <v>1</v>
      </c>
      <c r="J37" s="174">
        <f t="shared" si="6"/>
        <v>1</v>
      </c>
      <c r="K37" s="174">
        <f t="shared" si="6"/>
        <v>1</v>
      </c>
      <c r="L37" s="174">
        <f t="shared" si="6"/>
        <v>1</v>
      </c>
      <c r="M37" s="174">
        <f t="shared" si="6"/>
        <v>1</v>
      </c>
      <c r="N37" s="174">
        <f t="shared" si="6"/>
        <v>1</v>
      </c>
      <c r="O37" s="174">
        <f t="shared" si="6"/>
        <v>1</v>
      </c>
      <c r="P37" s="174">
        <f t="shared" si="6"/>
        <v>1</v>
      </c>
      <c r="Q37" s="174">
        <f t="shared" si="6"/>
        <v>1</v>
      </c>
      <c r="R37" s="174">
        <f t="shared" si="6"/>
        <v>1</v>
      </c>
      <c r="S37" s="174">
        <f t="shared" si="6"/>
        <v>1</v>
      </c>
      <c r="T37" s="174">
        <f t="shared" si="6"/>
        <v>1</v>
      </c>
      <c r="U37" s="174">
        <f t="shared" si="6"/>
        <v>1</v>
      </c>
      <c r="V37" s="174">
        <f t="shared" si="6"/>
        <v>1</v>
      </c>
      <c r="W37" s="216"/>
    </row>
    <row r="38" spans="1:23">
      <c r="A38" s="156"/>
      <c r="B38" s="158" t="s">
        <v>228</v>
      </c>
      <c r="C38" s="324">
        <v>0.01</v>
      </c>
      <c r="D38" s="324">
        <v>0.01</v>
      </c>
      <c r="E38" s="324">
        <v>0.01</v>
      </c>
      <c r="F38" s="324">
        <v>0.01</v>
      </c>
      <c r="G38" s="324">
        <v>0.01</v>
      </c>
      <c r="H38" s="324">
        <v>0.01</v>
      </c>
      <c r="I38" s="324">
        <v>0.01</v>
      </c>
      <c r="J38" s="324">
        <v>0.01</v>
      </c>
      <c r="K38" s="324">
        <v>0.01</v>
      </c>
      <c r="L38" s="324">
        <v>0.01</v>
      </c>
      <c r="M38" s="324">
        <v>0.01</v>
      </c>
      <c r="N38" s="324">
        <v>0.01</v>
      </c>
      <c r="O38" s="324">
        <v>0.01</v>
      </c>
      <c r="P38" s="324">
        <v>0.01</v>
      </c>
      <c r="Q38" s="324">
        <v>0.01</v>
      </c>
      <c r="R38" s="324">
        <v>0.01</v>
      </c>
      <c r="S38" s="324">
        <v>0.01</v>
      </c>
      <c r="T38" s="324">
        <v>0.01</v>
      </c>
      <c r="U38" s="324">
        <v>0.01</v>
      </c>
      <c r="V38" s="324">
        <v>0.01</v>
      </c>
      <c r="W38" s="327"/>
    </row>
    <row r="39" spans="1:23" ht="13.5" thickBot="1">
      <c r="A39" s="161"/>
      <c r="B39" s="162" t="s">
        <v>232</v>
      </c>
      <c r="C39" s="328">
        <v>0.1</v>
      </c>
      <c r="D39" s="328">
        <f>C39-0.01</f>
        <v>9.0000000000000011E-2</v>
      </c>
      <c r="E39" s="328">
        <f t="shared" ref="E39:F39" si="7">D39-0.01</f>
        <v>8.0000000000000016E-2</v>
      </c>
      <c r="F39" s="328">
        <f t="shared" si="7"/>
        <v>7.0000000000000021E-2</v>
      </c>
      <c r="G39" s="328">
        <v>0.06</v>
      </c>
      <c r="H39" s="328">
        <v>0.06</v>
      </c>
      <c r="I39" s="328">
        <f>H39</f>
        <v>0.06</v>
      </c>
      <c r="J39" s="328">
        <f t="shared" ref="J39:V39" si="8">I39</f>
        <v>0.06</v>
      </c>
      <c r="K39" s="328">
        <f t="shared" si="8"/>
        <v>0.06</v>
      </c>
      <c r="L39" s="328">
        <f t="shared" si="8"/>
        <v>0.06</v>
      </c>
      <c r="M39" s="328">
        <f t="shared" si="8"/>
        <v>0.06</v>
      </c>
      <c r="N39" s="328">
        <f t="shared" si="8"/>
        <v>0.06</v>
      </c>
      <c r="O39" s="328">
        <f t="shared" si="8"/>
        <v>0.06</v>
      </c>
      <c r="P39" s="328">
        <f t="shared" si="8"/>
        <v>0.06</v>
      </c>
      <c r="Q39" s="328">
        <f t="shared" si="8"/>
        <v>0.06</v>
      </c>
      <c r="R39" s="328">
        <f t="shared" si="8"/>
        <v>0.06</v>
      </c>
      <c r="S39" s="328">
        <f t="shared" si="8"/>
        <v>0.06</v>
      </c>
      <c r="T39" s="328">
        <f t="shared" si="8"/>
        <v>0.06</v>
      </c>
      <c r="U39" s="328">
        <f t="shared" si="8"/>
        <v>0.06</v>
      </c>
      <c r="V39" s="328">
        <f t="shared" si="8"/>
        <v>0.06</v>
      </c>
      <c r="W39" s="329"/>
    </row>
    <row r="40" spans="1:23" s="221" customFormat="1" ht="16.5" thickBot="1">
      <c r="A40" s="228"/>
      <c r="B40" s="228"/>
      <c r="C40" s="228"/>
      <c r="D40" s="229"/>
      <c r="E40" s="229"/>
      <c r="F40" s="229"/>
      <c r="G40" s="229"/>
      <c r="H40" s="229"/>
      <c r="I40" s="229"/>
      <c r="J40" s="229"/>
      <c r="K40" s="229"/>
      <c r="L40" s="229"/>
      <c r="M40" s="78"/>
      <c r="N40" s="78"/>
      <c r="O40" s="78"/>
      <c r="P40" s="78"/>
      <c r="Q40" s="78"/>
      <c r="R40" s="78"/>
      <c r="S40" s="78"/>
      <c r="T40" s="78"/>
      <c r="U40" s="78"/>
      <c r="V40" s="78"/>
      <c r="W40" s="78"/>
    </row>
    <row r="41" spans="1:23" ht="15.75">
      <c r="A41" s="151" t="s">
        <v>289</v>
      </c>
      <c r="B41" s="152"/>
      <c r="C41" s="152"/>
      <c r="D41" s="153"/>
      <c r="E41" s="153"/>
      <c r="F41" s="153"/>
      <c r="G41" s="153"/>
      <c r="H41" s="153"/>
      <c r="I41" s="153"/>
      <c r="J41" s="153"/>
      <c r="K41" s="153"/>
      <c r="L41" s="153"/>
      <c r="M41" s="154"/>
      <c r="N41" s="154"/>
      <c r="O41" s="154"/>
      <c r="P41" s="154"/>
      <c r="Q41" s="154"/>
      <c r="R41" s="154"/>
      <c r="S41" s="154"/>
      <c r="T41" s="154"/>
      <c r="U41" s="154"/>
      <c r="V41" s="154"/>
      <c r="W41" s="155"/>
    </row>
    <row r="42" spans="1:23" ht="15.75">
      <c r="A42" s="185"/>
      <c r="B42" s="158" t="s">
        <v>237</v>
      </c>
      <c r="C42" s="330">
        <f>KeyAssumptions!N5</f>
        <v>0.56999999999999995</v>
      </c>
      <c r="D42" s="163"/>
      <c r="E42" s="163"/>
      <c r="F42" s="163"/>
      <c r="G42" s="163"/>
      <c r="H42" s="163"/>
      <c r="I42" s="163"/>
      <c r="J42" s="163"/>
      <c r="K42" s="163"/>
      <c r="L42" s="163"/>
      <c r="M42" s="164"/>
      <c r="N42" s="164"/>
      <c r="O42" s="164"/>
      <c r="P42" s="164"/>
      <c r="Q42" s="164"/>
      <c r="R42" s="164"/>
      <c r="S42" s="164"/>
      <c r="T42" s="164"/>
      <c r="U42" s="164"/>
      <c r="V42" s="164"/>
      <c r="W42" s="165"/>
    </row>
    <row r="43" spans="1:23" ht="15.75">
      <c r="A43" s="185"/>
      <c r="B43" s="158" t="s">
        <v>203</v>
      </c>
      <c r="C43" s="325">
        <f>KeyAssumptions!O5</f>
        <v>0.25</v>
      </c>
      <c r="D43" s="163"/>
      <c r="E43" s="163"/>
      <c r="F43" s="163"/>
      <c r="G43" s="163"/>
      <c r="H43" s="163"/>
      <c r="I43" s="163"/>
      <c r="J43" s="163"/>
      <c r="K43" s="163"/>
      <c r="L43" s="163"/>
      <c r="M43" s="164"/>
      <c r="N43" s="164"/>
      <c r="O43" s="164"/>
      <c r="P43" s="164"/>
      <c r="Q43" s="164"/>
      <c r="R43" s="164"/>
      <c r="S43" s="164"/>
      <c r="T43" s="164"/>
      <c r="U43" s="164"/>
      <c r="V43" s="164"/>
      <c r="W43" s="165"/>
    </row>
    <row r="44" spans="1:23" ht="15.75" customHeight="1">
      <c r="A44" s="185"/>
      <c r="B44" s="188" t="s">
        <v>338</v>
      </c>
      <c r="C44" s="325">
        <v>0.95</v>
      </c>
      <c r="D44" s="163"/>
      <c r="E44" s="163"/>
      <c r="F44" s="163"/>
      <c r="G44" s="163"/>
      <c r="H44" s="163"/>
      <c r="I44" s="163"/>
      <c r="J44" s="163"/>
      <c r="K44" s="163"/>
      <c r="L44" s="163"/>
      <c r="M44" s="164"/>
      <c r="N44" s="164"/>
      <c r="O44" s="164"/>
      <c r="P44" s="164"/>
      <c r="Q44" s="164"/>
      <c r="R44" s="164"/>
      <c r="S44" s="164"/>
      <c r="T44" s="164"/>
      <c r="U44" s="164"/>
      <c r="V44" s="164"/>
      <c r="W44" s="165"/>
    </row>
    <row r="45" spans="1:23" ht="15.75">
      <c r="A45" s="185"/>
      <c r="B45" s="157"/>
      <c r="C45" s="157"/>
      <c r="D45" s="163"/>
      <c r="E45" s="163"/>
      <c r="F45" s="163"/>
      <c r="G45" s="163"/>
      <c r="H45" s="163"/>
      <c r="I45" s="163"/>
      <c r="J45" s="163"/>
      <c r="K45" s="163"/>
      <c r="L45" s="163"/>
      <c r="M45" s="164"/>
      <c r="N45" s="164"/>
      <c r="O45" s="164"/>
      <c r="P45" s="164"/>
      <c r="Q45" s="164"/>
      <c r="R45" s="164"/>
      <c r="S45" s="164"/>
      <c r="T45" s="164"/>
      <c r="U45" s="164"/>
      <c r="V45" s="164"/>
      <c r="W45" s="165"/>
    </row>
    <row r="46" spans="1:23">
      <c r="A46" s="156"/>
      <c r="B46" s="158" t="s">
        <v>1</v>
      </c>
      <c r="C46" s="159">
        <v>2016</v>
      </c>
      <c r="D46" s="159">
        <v>2017</v>
      </c>
      <c r="E46" s="159">
        <v>2018</v>
      </c>
      <c r="F46" s="159">
        <v>2019</v>
      </c>
      <c r="G46" s="159">
        <v>2020</v>
      </c>
      <c r="H46" s="159">
        <v>2021</v>
      </c>
      <c r="I46" s="159">
        <v>2022</v>
      </c>
      <c r="J46" s="159">
        <v>2023</v>
      </c>
      <c r="K46" s="159">
        <v>2024</v>
      </c>
      <c r="L46" s="159">
        <v>2025</v>
      </c>
      <c r="M46" s="159">
        <v>2026</v>
      </c>
      <c r="N46" s="159">
        <v>2027</v>
      </c>
      <c r="O46" s="159">
        <v>2028</v>
      </c>
      <c r="P46" s="159">
        <v>2029</v>
      </c>
      <c r="Q46" s="159">
        <v>2030</v>
      </c>
      <c r="R46" s="159">
        <v>2031</v>
      </c>
      <c r="S46" s="159">
        <v>2032</v>
      </c>
      <c r="T46" s="159">
        <v>2033</v>
      </c>
      <c r="U46" s="159">
        <v>2034</v>
      </c>
      <c r="V46" s="159">
        <v>2035</v>
      </c>
      <c r="W46" s="160"/>
    </row>
    <row r="47" spans="1:23">
      <c r="A47" s="156"/>
      <c r="B47" s="158" t="s">
        <v>227</v>
      </c>
      <c r="C47" s="324">
        <v>0.05</v>
      </c>
      <c r="D47" s="324">
        <v>0.2</v>
      </c>
      <c r="E47" s="324">
        <v>0.2</v>
      </c>
      <c r="F47" s="324">
        <v>0.2</v>
      </c>
      <c r="G47" s="324">
        <v>0.2</v>
      </c>
      <c r="H47" s="324">
        <v>0.15</v>
      </c>
      <c r="I47" s="324">
        <v>0</v>
      </c>
      <c r="J47" s="324">
        <v>0</v>
      </c>
      <c r="K47" s="324">
        <v>0</v>
      </c>
      <c r="L47" s="324">
        <v>0</v>
      </c>
      <c r="M47" s="324">
        <v>0</v>
      </c>
      <c r="N47" s="324">
        <v>0</v>
      </c>
      <c r="O47" s="324">
        <v>0</v>
      </c>
      <c r="P47" s="324">
        <v>0</v>
      </c>
      <c r="Q47" s="324">
        <v>0</v>
      </c>
      <c r="R47" s="324">
        <v>0</v>
      </c>
      <c r="S47" s="324">
        <v>0</v>
      </c>
      <c r="T47" s="324">
        <v>0</v>
      </c>
      <c r="U47" s="324">
        <v>0</v>
      </c>
      <c r="V47" s="324">
        <v>0</v>
      </c>
      <c r="W47" s="327"/>
    </row>
    <row r="48" spans="1:23">
      <c r="A48" s="156"/>
      <c r="B48" s="158" t="s">
        <v>233</v>
      </c>
      <c r="C48" s="174">
        <f>C47</f>
        <v>0.05</v>
      </c>
      <c r="D48" s="174">
        <f>C48+D47</f>
        <v>0.25</v>
      </c>
      <c r="E48" s="174">
        <f t="shared" ref="E48:V48" si="9">D48+E47</f>
        <v>0.45</v>
      </c>
      <c r="F48" s="174">
        <f t="shared" si="9"/>
        <v>0.65</v>
      </c>
      <c r="G48" s="174">
        <f t="shared" si="9"/>
        <v>0.85000000000000009</v>
      </c>
      <c r="H48" s="174">
        <f t="shared" si="9"/>
        <v>1</v>
      </c>
      <c r="I48" s="174">
        <f t="shared" si="9"/>
        <v>1</v>
      </c>
      <c r="J48" s="174">
        <f t="shared" si="9"/>
        <v>1</v>
      </c>
      <c r="K48" s="174">
        <f t="shared" si="9"/>
        <v>1</v>
      </c>
      <c r="L48" s="174">
        <f t="shared" si="9"/>
        <v>1</v>
      </c>
      <c r="M48" s="174">
        <f t="shared" si="9"/>
        <v>1</v>
      </c>
      <c r="N48" s="174">
        <f t="shared" si="9"/>
        <v>1</v>
      </c>
      <c r="O48" s="174">
        <f t="shared" si="9"/>
        <v>1</v>
      </c>
      <c r="P48" s="174">
        <f t="shared" si="9"/>
        <v>1</v>
      </c>
      <c r="Q48" s="174">
        <f t="shared" si="9"/>
        <v>1</v>
      </c>
      <c r="R48" s="174">
        <f t="shared" si="9"/>
        <v>1</v>
      </c>
      <c r="S48" s="174">
        <f t="shared" si="9"/>
        <v>1</v>
      </c>
      <c r="T48" s="174">
        <f t="shared" si="9"/>
        <v>1</v>
      </c>
      <c r="U48" s="174">
        <f t="shared" si="9"/>
        <v>1</v>
      </c>
      <c r="V48" s="174">
        <f t="shared" si="9"/>
        <v>1</v>
      </c>
      <c r="W48" s="216"/>
    </row>
    <row r="49" spans="1:23">
      <c r="A49" s="156"/>
      <c r="B49" s="158" t="s">
        <v>228</v>
      </c>
      <c r="C49" s="324">
        <v>0.01</v>
      </c>
      <c r="D49" s="324">
        <v>0.01</v>
      </c>
      <c r="E49" s="324">
        <v>0.01</v>
      </c>
      <c r="F49" s="324">
        <v>0.01</v>
      </c>
      <c r="G49" s="324">
        <v>0.01</v>
      </c>
      <c r="H49" s="324">
        <v>0.01</v>
      </c>
      <c r="I49" s="324">
        <v>0.01</v>
      </c>
      <c r="J49" s="324">
        <v>0.01</v>
      </c>
      <c r="K49" s="324">
        <v>0.01</v>
      </c>
      <c r="L49" s="324">
        <v>0.01</v>
      </c>
      <c r="M49" s="324">
        <v>0.01</v>
      </c>
      <c r="N49" s="324">
        <v>0.01</v>
      </c>
      <c r="O49" s="324">
        <v>0.01</v>
      </c>
      <c r="P49" s="324">
        <v>0.01</v>
      </c>
      <c r="Q49" s="324">
        <v>0.01</v>
      </c>
      <c r="R49" s="324">
        <v>0.01</v>
      </c>
      <c r="S49" s="324">
        <v>0.01</v>
      </c>
      <c r="T49" s="324">
        <v>0.01</v>
      </c>
      <c r="U49" s="324">
        <v>0.01</v>
      </c>
      <c r="V49" s="324">
        <v>0.01</v>
      </c>
      <c r="W49" s="327"/>
    </row>
    <row r="50" spans="1:23" ht="13.5" thickBot="1">
      <c r="A50" s="161"/>
      <c r="B50" s="162" t="s">
        <v>232</v>
      </c>
      <c r="C50" s="328">
        <v>0.9</v>
      </c>
      <c r="D50" s="328">
        <v>0.9</v>
      </c>
      <c r="E50" s="328">
        <v>0.9</v>
      </c>
      <c r="F50" s="328">
        <v>0.9</v>
      </c>
      <c r="G50" s="328">
        <v>0.9</v>
      </c>
      <c r="H50" s="328">
        <v>0.9</v>
      </c>
      <c r="I50" s="328">
        <v>0.9</v>
      </c>
      <c r="J50" s="328">
        <v>0.9</v>
      </c>
      <c r="K50" s="328">
        <v>0.9</v>
      </c>
      <c r="L50" s="328">
        <v>0.9</v>
      </c>
      <c r="M50" s="328">
        <v>0.9</v>
      </c>
      <c r="N50" s="328">
        <v>0.9</v>
      </c>
      <c r="O50" s="328">
        <v>0.9</v>
      </c>
      <c r="P50" s="328">
        <v>0.9</v>
      </c>
      <c r="Q50" s="328">
        <v>0.9</v>
      </c>
      <c r="R50" s="328">
        <v>0.9</v>
      </c>
      <c r="S50" s="328">
        <v>0.9</v>
      </c>
      <c r="T50" s="328">
        <v>0.9</v>
      </c>
      <c r="U50" s="328">
        <v>0.9</v>
      </c>
      <c r="V50" s="328">
        <v>0.9</v>
      </c>
      <c r="W50" s="328"/>
    </row>
    <row r="51" spans="1:23" s="221" customFormat="1" ht="13.5" thickBot="1">
      <c r="A51" s="227"/>
      <c r="B51" s="227"/>
    </row>
    <row r="52" spans="1:23" ht="15.75" thickBot="1">
      <c r="A52" s="186" t="s">
        <v>236</v>
      </c>
      <c r="B52" s="187"/>
      <c r="C52" s="180"/>
      <c r="D52" s="180"/>
      <c r="E52" s="180"/>
      <c r="F52" s="180"/>
      <c r="G52" s="180"/>
      <c r="H52" s="180"/>
      <c r="I52" s="180"/>
      <c r="J52" s="180"/>
      <c r="K52" s="180"/>
      <c r="L52" s="180"/>
      <c r="M52" s="180"/>
      <c r="N52" s="180"/>
      <c r="O52" s="180"/>
      <c r="P52" s="180"/>
      <c r="Q52" s="180"/>
      <c r="R52" s="180"/>
      <c r="S52" s="180"/>
      <c r="T52" s="180"/>
      <c r="U52" s="180"/>
      <c r="V52" s="180"/>
      <c r="W52" s="181"/>
    </row>
    <row r="53" spans="1:23">
      <c r="A53" s="77" t="s">
        <v>208</v>
      </c>
      <c r="B53" s="77"/>
      <c r="F53" s="78"/>
      <c r="G53" s="78"/>
    </row>
    <row r="55" spans="1:23">
      <c r="A55" s="79"/>
      <c r="B55" s="317"/>
      <c r="C55" s="531" t="s">
        <v>209</v>
      </c>
      <c r="D55" s="531"/>
      <c r="E55" s="531"/>
      <c r="F55" s="531"/>
      <c r="G55" s="531"/>
      <c r="H55" s="531"/>
      <c r="I55" s="531"/>
      <c r="J55" s="531"/>
      <c r="K55" s="531"/>
      <c r="L55" s="531"/>
      <c r="M55" s="531"/>
      <c r="N55" s="531"/>
      <c r="O55" s="531"/>
      <c r="P55" s="531"/>
      <c r="Q55" s="531"/>
      <c r="R55" s="531"/>
      <c r="S55" s="531"/>
      <c r="T55" s="531"/>
      <c r="U55" s="531"/>
      <c r="V55" s="531"/>
      <c r="W55" s="531"/>
    </row>
    <row r="56" spans="1:23" ht="16.5" customHeight="1">
      <c r="A56" s="80" t="s">
        <v>210</v>
      </c>
      <c r="B56" s="81"/>
      <c r="C56" s="318">
        <v>2016</v>
      </c>
      <c r="D56" s="318">
        <v>2017</v>
      </c>
      <c r="E56" s="318">
        <v>2018</v>
      </c>
      <c r="F56" s="318">
        <v>2019</v>
      </c>
      <c r="G56" s="318">
        <v>2020</v>
      </c>
      <c r="H56" s="318">
        <v>2021</v>
      </c>
      <c r="I56" s="318">
        <v>2022</v>
      </c>
      <c r="J56" s="318">
        <v>2023</v>
      </c>
      <c r="K56" s="318">
        <v>2024</v>
      </c>
      <c r="L56" s="318">
        <v>2025</v>
      </c>
      <c r="M56" s="318">
        <v>2026</v>
      </c>
      <c r="N56" s="318">
        <v>2027</v>
      </c>
      <c r="O56" s="318">
        <v>2028</v>
      </c>
      <c r="P56" s="318">
        <v>2029</v>
      </c>
      <c r="Q56" s="318">
        <v>2030</v>
      </c>
      <c r="R56" s="318">
        <v>2031</v>
      </c>
      <c r="S56" s="318">
        <v>2032</v>
      </c>
      <c r="T56" s="318">
        <v>2033</v>
      </c>
      <c r="U56" s="318">
        <v>2034</v>
      </c>
      <c r="V56" s="318">
        <v>2035</v>
      </c>
      <c r="W56" s="318"/>
    </row>
    <row r="57" spans="1:23">
      <c r="A57" s="82"/>
      <c r="B57" s="83"/>
      <c r="C57" s="82"/>
      <c r="D57" s="82"/>
      <c r="E57" s="82"/>
      <c r="F57" s="82"/>
      <c r="G57" s="82"/>
      <c r="H57" s="84"/>
      <c r="I57" s="82"/>
      <c r="J57" s="82"/>
      <c r="K57" s="82"/>
      <c r="L57" s="82"/>
      <c r="M57" s="82"/>
      <c r="N57" s="82"/>
      <c r="O57" s="82"/>
      <c r="P57" s="82"/>
      <c r="Q57" s="82"/>
      <c r="R57" s="82"/>
      <c r="S57" s="82"/>
      <c r="T57" s="82"/>
      <c r="U57" s="82"/>
      <c r="V57" s="82"/>
      <c r="W57" s="82"/>
    </row>
    <row r="58" spans="1:23">
      <c r="A58" s="166" t="s">
        <v>281</v>
      </c>
      <c r="B58" s="83"/>
      <c r="C58" s="86">
        <f>C70</f>
        <v>13743.006440624999</v>
      </c>
      <c r="D58" s="86">
        <f t="shared" ref="D58:V58" si="10">D70-C70</f>
        <v>49031.004979687496</v>
      </c>
      <c r="E58" s="86">
        <f t="shared" si="10"/>
        <v>39142.045707187499</v>
      </c>
      <c r="F58" s="86">
        <f t="shared" si="10"/>
        <v>28750.932137812517</v>
      </c>
      <c r="G58" s="86">
        <f t="shared" si="10"/>
        <v>17866.297752187485</v>
      </c>
      <c r="H58" s="86">
        <f t="shared" si="10"/>
        <v>28601.567032499966</v>
      </c>
      <c r="I58" s="86">
        <f t="shared" si="10"/>
        <v>2374.1140500000038</v>
      </c>
      <c r="J58" s="86">
        <f t="shared" si="10"/>
        <v>2361.3801750000275</v>
      </c>
      <c r="K58" s="86">
        <f t="shared" si="10"/>
        <v>2338.797037500015</v>
      </c>
      <c r="L58" s="86">
        <f t="shared" si="10"/>
        <v>2327.1546374999743</v>
      </c>
      <c r="M58" s="86">
        <f t="shared" si="10"/>
        <v>2300.9852249999531</v>
      </c>
      <c r="N58" s="86">
        <f t="shared" si="10"/>
        <v>2261.5881750000408</v>
      </c>
      <c r="O58" s="86">
        <f t="shared" si="10"/>
        <v>2212.7836499999976</v>
      </c>
      <c r="P58" s="86">
        <f t="shared" si="10"/>
        <v>2175.3356625000015</v>
      </c>
      <c r="Q58" s="86">
        <f t="shared" si="10"/>
        <v>2155.8450374999957</v>
      </c>
      <c r="R58" s="86">
        <f t="shared" si="10"/>
        <v>2179.6198562867648</v>
      </c>
      <c r="S58" s="86">
        <f t="shared" si="10"/>
        <v>2203.6568655363808</v>
      </c>
      <c r="T58" s="86">
        <f t="shared" si="10"/>
        <v>2227.958956704766</v>
      </c>
      <c r="U58" s="86">
        <f t="shared" si="10"/>
        <v>2252.5290531349601</v>
      </c>
      <c r="V58" s="86">
        <f t="shared" si="10"/>
        <v>2277.3701104088104</v>
      </c>
      <c r="W58" s="86"/>
    </row>
    <row r="59" spans="1:23">
      <c r="A59" s="166" t="s">
        <v>282</v>
      </c>
      <c r="B59" s="83"/>
      <c r="C59" s="86">
        <f>C71</f>
        <v>1374.3006440624999</v>
      </c>
      <c r="D59" s="86">
        <f t="shared" ref="D59:V59" si="11">D71-C71</f>
        <v>4903.1004979687496</v>
      </c>
      <c r="E59" s="86">
        <f t="shared" si="11"/>
        <v>3914.2045707187535</v>
      </c>
      <c r="F59" s="86">
        <f t="shared" si="11"/>
        <v>2875.0932137812506</v>
      </c>
      <c r="G59" s="86">
        <f t="shared" si="11"/>
        <v>1786.6297752187475</v>
      </c>
      <c r="H59" s="86">
        <f t="shared" si="11"/>
        <v>2860.1567032499988</v>
      </c>
      <c r="I59" s="86">
        <f t="shared" si="11"/>
        <v>237.41140499999892</v>
      </c>
      <c r="J59" s="86">
        <f t="shared" si="11"/>
        <v>236.1380175000013</v>
      </c>
      <c r="K59" s="86">
        <f t="shared" si="11"/>
        <v>233.87970375000077</v>
      </c>
      <c r="L59" s="86">
        <f t="shared" si="11"/>
        <v>232.71546374999525</v>
      </c>
      <c r="M59" s="86">
        <f t="shared" si="11"/>
        <v>230.0985225000004</v>
      </c>
      <c r="N59" s="86">
        <f t="shared" si="11"/>
        <v>226.15881749999971</v>
      </c>
      <c r="O59" s="86">
        <f t="shared" si="11"/>
        <v>221.27836500000558</v>
      </c>
      <c r="P59" s="86">
        <f t="shared" si="11"/>
        <v>217.53356624999651</v>
      </c>
      <c r="Q59" s="86">
        <f t="shared" si="11"/>
        <v>215.58450375000029</v>
      </c>
      <c r="R59" s="86">
        <f t="shared" si="11"/>
        <v>217.96198562867721</v>
      </c>
      <c r="S59" s="86">
        <f t="shared" si="11"/>
        <v>220.3656865536359</v>
      </c>
      <c r="T59" s="86">
        <f t="shared" si="11"/>
        <v>222.79589567047515</v>
      </c>
      <c r="U59" s="86">
        <f t="shared" si="11"/>
        <v>225.25290531349674</v>
      </c>
      <c r="V59" s="86">
        <f t="shared" si="11"/>
        <v>227.73701104088468</v>
      </c>
      <c r="W59" s="86"/>
    </row>
    <row r="60" spans="1:23">
      <c r="A60" s="166" t="s">
        <v>235</v>
      </c>
      <c r="B60" s="83"/>
      <c r="C60" s="86">
        <f>C72</f>
        <v>12957.691786875002</v>
      </c>
      <c r="D60" s="86">
        <f t="shared" ref="D60:V60" si="12">D72-C72</f>
        <v>46229.2332665625</v>
      </c>
      <c r="E60" s="86">
        <f t="shared" si="12"/>
        <v>36905.357381062524</v>
      </c>
      <c r="F60" s="86">
        <f t="shared" si="12"/>
        <v>27108.021729937507</v>
      </c>
      <c r="G60" s="86">
        <f t="shared" si="12"/>
        <v>16845.366452062488</v>
      </c>
      <c r="H60" s="86">
        <f t="shared" si="12"/>
        <v>26967.191773499973</v>
      </c>
      <c r="I60" s="86">
        <f t="shared" si="12"/>
        <v>2238.4503899999836</v>
      </c>
      <c r="J60" s="86">
        <f t="shared" si="12"/>
        <v>2226.4441650000226</v>
      </c>
      <c r="K60" s="86">
        <f t="shared" si="12"/>
        <v>2205.1514925000083</v>
      </c>
      <c r="L60" s="86">
        <f t="shared" si="12"/>
        <v>2194.1743724999542</v>
      </c>
      <c r="M60" s="86">
        <f t="shared" si="12"/>
        <v>2169.5003550000547</v>
      </c>
      <c r="N60" s="86">
        <f t="shared" si="12"/>
        <v>2132.354565000016</v>
      </c>
      <c r="O60" s="86">
        <f t="shared" si="12"/>
        <v>2086.3388699999487</v>
      </c>
      <c r="P60" s="86">
        <f t="shared" si="12"/>
        <v>2051.0307675000222</v>
      </c>
      <c r="Q60" s="86">
        <f t="shared" si="12"/>
        <v>2032.6538925000059</v>
      </c>
      <c r="R60" s="86">
        <f t="shared" si="12"/>
        <v>2055.0701502131997</v>
      </c>
      <c r="S60" s="86">
        <f t="shared" si="12"/>
        <v>2077.7336160771956</v>
      </c>
      <c r="T60" s="86">
        <f t="shared" si="12"/>
        <v>2100.6470163215999</v>
      </c>
      <c r="U60" s="86">
        <f t="shared" si="12"/>
        <v>2123.8131072415563</v>
      </c>
      <c r="V60" s="86">
        <f t="shared" si="12"/>
        <v>2147.234675528307</v>
      </c>
      <c r="W60" s="86"/>
    </row>
    <row r="61" spans="1:23">
      <c r="A61" s="85" t="s">
        <v>211</v>
      </c>
      <c r="B61" s="83"/>
      <c r="C61" s="86">
        <f>C73</f>
        <v>40286.641737375001</v>
      </c>
      <c r="D61" s="86">
        <f t="shared" ref="D61:V61" si="13">D73-C73</f>
        <v>164177.28117449998</v>
      </c>
      <c r="E61" s="86">
        <f t="shared" si="13"/>
        <v>168985.62927675</v>
      </c>
      <c r="F61" s="86">
        <f t="shared" si="13"/>
        <v>173751.79877550004</v>
      </c>
      <c r="G61" s="86">
        <f t="shared" si="13"/>
        <v>178489.851321375</v>
      </c>
      <c r="H61" s="86">
        <f t="shared" si="13"/>
        <v>139739.08464449982</v>
      </c>
      <c r="I61" s="86">
        <f t="shared" si="13"/>
        <v>11599.242930000182</v>
      </c>
      <c r="J61" s="86">
        <f t="shared" si="13"/>
        <v>11537.028854999808</v>
      </c>
      <c r="K61" s="86">
        <f t="shared" si="13"/>
        <v>11426.694097500062</v>
      </c>
      <c r="L61" s="86">
        <f t="shared" si="13"/>
        <v>11369.812657500035</v>
      </c>
      <c r="M61" s="86">
        <f t="shared" si="13"/>
        <v>11241.956385000027</v>
      </c>
      <c r="N61" s="86">
        <f t="shared" si="13"/>
        <v>11049.47365499998</v>
      </c>
      <c r="O61" s="86">
        <f t="shared" si="13"/>
        <v>10811.028690000065</v>
      </c>
      <c r="P61" s="86">
        <f t="shared" si="13"/>
        <v>10628.068522499991</v>
      </c>
      <c r="Q61" s="86">
        <f t="shared" si="13"/>
        <v>10532.842897499911</v>
      </c>
      <c r="R61" s="86">
        <f t="shared" si="13"/>
        <v>10648.999869286548</v>
      </c>
      <c r="S61" s="86">
        <f t="shared" si="13"/>
        <v>10766.437828763621</v>
      </c>
      <c r="T61" s="86">
        <f t="shared" si="13"/>
        <v>10885.170902757556</v>
      </c>
      <c r="U61" s="86">
        <f t="shared" si="13"/>
        <v>11005.213373887935</v>
      </c>
      <c r="V61" s="86">
        <f t="shared" si="13"/>
        <v>11126.579682283336</v>
      </c>
      <c r="W61" s="86"/>
    </row>
    <row r="62" spans="1:23">
      <c r="A62" s="87"/>
      <c r="B62" s="88"/>
      <c r="C62" s="89"/>
      <c r="D62" s="90"/>
      <c r="E62" s="90"/>
      <c r="F62" s="90"/>
      <c r="G62" s="90"/>
      <c r="H62" s="90"/>
      <c r="I62" s="90"/>
      <c r="J62" s="90"/>
      <c r="K62" s="90"/>
      <c r="L62" s="90"/>
      <c r="M62" s="90"/>
      <c r="N62" s="90"/>
      <c r="O62" s="90"/>
      <c r="P62" s="90"/>
      <c r="Q62" s="90"/>
      <c r="R62" s="90"/>
      <c r="S62" s="90"/>
      <c r="T62" s="90"/>
      <c r="U62" s="90"/>
      <c r="V62" s="90"/>
      <c r="W62" s="90"/>
    </row>
    <row r="63" spans="1:23">
      <c r="A63" s="91" t="s">
        <v>212</v>
      </c>
      <c r="B63" s="92"/>
      <c r="C63" s="93">
        <f t="shared" ref="C63:V63" si="14">SUM(C58:C61)</f>
        <v>68361.640608937509</v>
      </c>
      <c r="D63" s="93">
        <f t="shared" si="14"/>
        <v>264340.6199187187</v>
      </c>
      <c r="E63" s="93">
        <f t="shared" si="14"/>
        <v>248947.23693571877</v>
      </c>
      <c r="F63" s="93">
        <f t="shared" si="14"/>
        <v>232485.84585703129</v>
      </c>
      <c r="G63" s="93">
        <f t="shared" si="14"/>
        <v>214988.14530084372</v>
      </c>
      <c r="H63" s="93">
        <f t="shared" si="14"/>
        <v>198168.00015374977</v>
      </c>
      <c r="I63" s="93">
        <f t="shared" si="14"/>
        <v>16449.218775000169</v>
      </c>
      <c r="J63" s="93">
        <f t="shared" si="14"/>
        <v>16360.991212499859</v>
      </c>
      <c r="K63" s="93">
        <f t="shared" si="14"/>
        <v>16204.522331250086</v>
      </c>
      <c r="L63" s="93">
        <f t="shared" si="14"/>
        <v>16123.857131249959</v>
      </c>
      <c r="M63" s="93">
        <f t="shared" si="14"/>
        <v>15942.540487500035</v>
      </c>
      <c r="N63" s="93">
        <f t="shared" si="14"/>
        <v>15669.575212500036</v>
      </c>
      <c r="O63" s="93">
        <f t="shared" si="14"/>
        <v>15331.429575000016</v>
      </c>
      <c r="P63" s="93">
        <f t="shared" si="14"/>
        <v>15071.968518750011</v>
      </c>
      <c r="Q63" s="93">
        <f t="shared" si="14"/>
        <v>14936.926331249913</v>
      </c>
      <c r="R63" s="93">
        <f t="shared" si="14"/>
        <v>15101.65186141519</v>
      </c>
      <c r="S63" s="93">
        <f t="shared" si="14"/>
        <v>15268.193996930833</v>
      </c>
      <c r="T63" s="93">
        <f t="shared" si="14"/>
        <v>15436.572771454397</v>
      </c>
      <c r="U63" s="93">
        <f t="shared" si="14"/>
        <v>15606.808439577948</v>
      </c>
      <c r="V63" s="93">
        <f t="shared" si="14"/>
        <v>15778.921479261338</v>
      </c>
      <c r="W63" s="93"/>
    </row>
    <row r="64" spans="1:23">
      <c r="A64" s="94"/>
      <c r="B64" s="94"/>
      <c r="C64" s="95"/>
      <c r="D64" s="95"/>
      <c r="E64" s="95"/>
      <c r="F64" s="95"/>
      <c r="G64" s="95"/>
      <c r="H64" s="95"/>
      <c r="I64" s="95"/>
      <c r="J64" s="94"/>
      <c r="K64" s="94"/>
      <c r="L64" s="94"/>
    </row>
    <row r="65" spans="1:23">
      <c r="A65" s="96" t="s">
        <v>213</v>
      </c>
      <c r="B65" s="96"/>
      <c r="C65" s="97"/>
      <c r="D65" s="97"/>
      <c r="E65" s="97"/>
      <c r="F65" s="97"/>
      <c r="G65" s="97"/>
      <c r="H65" s="97"/>
      <c r="I65" s="97"/>
      <c r="J65" s="98"/>
      <c r="K65" s="98"/>
      <c r="L65" s="98"/>
    </row>
    <row r="66" spans="1:23">
      <c r="A66" s="96"/>
      <c r="B66" s="96"/>
      <c r="C66" s="97"/>
      <c r="D66" s="97"/>
      <c r="E66" s="97"/>
      <c r="F66" s="97"/>
      <c r="G66" s="97"/>
      <c r="H66" s="97"/>
      <c r="I66" s="97"/>
      <c r="J66" s="98"/>
      <c r="K66" s="98"/>
      <c r="L66" s="98"/>
    </row>
    <row r="67" spans="1:23">
      <c r="A67" s="532" t="s">
        <v>210</v>
      </c>
      <c r="B67" s="534"/>
      <c r="C67" s="531" t="s">
        <v>214</v>
      </c>
      <c r="D67" s="531"/>
      <c r="E67" s="531"/>
      <c r="F67" s="531"/>
      <c r="G67" s="531"/>
      <c r="H67" s="531"/>
      <c r="I67" s="531"/>
      <c r="J67" s="531"/>
      <c r="K67" s="531"/>
      <c r="L67" s="531"/>
      <c r="M67" s="531"/>
      <c r="N67" s="531"/>
      <c r="O67" s="531"/>
      <c r="P67" s="531"/>
      <c r="Q67" s="531"/>
      <c r="R67" s="531"/>
      <c r="S67" s="531"/>
      <c r="T67" s="531"/>
      <c r="U67" s="531"/>
      <c r="V67" s="531"/>
      <c r="W67" s="531"/>
    </row>
    <row r="68" spans="1:23">
      <c r="A68" s="533"/>
      <c r="B68" s="535"/>
      <c r="C68" s="318">
        <v>2016</v>
      </c>
      <c r="D68" s="318">
        <v>2017</v>
      </c>
      <c r="E68" s="318">
        <v>2018</v>
      </c>
      <c r="F68" s="318">
        <v>2019</v>
      </c>
      <c r="G68" s="318">
        <v>2020</v>
      </c>
      <c r="H68" s="318">
        <v>2021</v>
      </c>
      <c r="I68" s="318">
        <v>2022</v>
      </c>
      <c r="J68" s="318">
        <v>2023</v>
      </c>
      <c r="K68" s="318">
        <v>2024</v>
      </c>
      <c r="L68" s="318">
        <v>2025</v>
      </c>
      <c r="M68" s="318">
        <v>2026</v>
      </c>
      <c r="N68" s="318">
        <v>2027</v>
      </c>
      <c r="O68" s="318">
        <v>2028</v>
      </c>
      <c r="P68" s="318">
        <v>2029</v>
      </c>
      <c r="Q68" s="318">
        <v>2030</v>
      </c>
      <c r="R68" s="318">
        <v>2031</v>
      </c>
      <c r="S68" s="318">
        <v>2032</v>
      </c>
      <c r="T68" s="318">
        <v>2033</v>
      </c>
      <c r="U68" s="318">
        <v>2034</v>
      </c>
      <c r="V68" s="318">
        <v>2035</v>
      </c>
      <c r="W68" s="318"/>
    </row>
    <row r="69" spans="1:23">
      <c r="A69" s="82"/>
      <c r="B69" s="85"/>
      <c r="C69" s="90"/>
      <c r="D69" s="90"/>
      <c r="E69" s="90"/>
      <c r="F69" s="90"/>
      <c r="G69" s="90"/>
      <c r="H69" s="90"/>
      <c r="I69" s="90"/>
      <c r="J69" s="90"/>
      <c r="K69" s="90"/>
      <c r="L69" s="90"/>
      <c r="M69" s="90"/>
      <c r="N69" s="90"/>
      <c r="O69" s="90"/>
      <c r="P69" s="90"/>
      <c r="Q69" s="90"/>
      <c r="R69" s="90"/>
      <c r="S69" s="90"/>
      <c r="T69" s="90"/>
      <c r="U69" s="90"/>
      <c r="V69" s="90"/>
      <c r="W69" s="90"/>
    </row>
    <row r="70" spans="1:23">
      <c r="A70" s="101" t="str">
        <f>+A58</f>
        <v>a. Space Cooling - CAC Switch</v>
      </c>
      <c r="B70" s="102"/>
      <c r="C70" s="90">
        <f>C6*$C$20*$C$21*C28*C26*(1-C27)</f>
        <v>13743.006440624999</v>
      </c>
      <c r="D70" s="90">
        <f>D6*$C$20*$C$21*D28*D26*(1-D27)</f>
        <v>62774.011420312498</v>
      </c>
      <c r="E70" s="90">
        <f t="shared" ref="E70:V70" si="15">E6*$C$20*$C$21*E28*E26*(1-E27)</f>
        <v>101916.0571275</v>
      </c>
      <c r="F70" s="90">
        <f t="shared" si="15"/>
        <v>130666.98926531251</v>
      </c>
      <c r="G70" s="90">
        <f t="shared" si="15"/>
        <v>148533.2870175</v>
      </c>
      <c r="H70" s="90">
        <f t="shared" si="15"/>
        <v>177134.85404999997</v>
      </c>
      <c r="I70" s="90">
        <f t="shared" si="15"/>
        <v>179508.96809999997</v>
      </c>
      <c r="J70" s="90">
        <f t="shared" si="15"/>
        <v>181870.348275</v>
      </c>
      <c r="K70" s="90">
        <f t="shared" si="15"/>
        <v>184209.14531250001</v>
      </c>
      <c r="L70" s="90">
        <f t="shared" si="15"/>
        <v>186536.29994999999</v>
      </c>
      <c r="M70" s="90">
        <f t="shared" si="15"/>
        <v>188837.28517499994</v>
      </c>
      <c r="N70" s="90">
        <f t="shared" si="15"/>
        <v>191098.87334999998</v>
      </c>
      <c r="O70" s="90">
        <f t="shared" si="15"/>
        <v>193311.65699999998</v>
      </c>
      <c r="P70" s="90">
        <f t="shared" si="15"/>
        <v>195486.99266249998</v>
      </c>
      <c r="Q70" s="90">
        <f t="shared" si="15"/>
        <v>197642.83769999997</v>
      </c>
      <c r="R70" s="90">
        <f t="shared" si="15"/>
        <v>199822.45755628674</v>
      </c>
      <c r="S70" s="90">
        <f t="shared" si="15"/>
        <v>202026.11442182312</v>
      </c>
      <c r="T70" s="90">
        <f t="shared" si="15"/>
        <v>204254.07337852789</v>
      </c>
      <c r="U70" s="90">
        <f t="shared" si="15"/>
        <v>206506.60243166285</v>
      </c>
      <c r="V70" s="90">
        <f t="shared" si="15"/>
        <v>208783.97254207166</v>
      </c>
      <c r="W70" s="90"/>
    </row>
    <row r="71" spans="1:23">
      <c r="A71" s="101" t="str">
        <f>+A59</f>
        <v>b. Space Cooling - RAC Switch</v>
      </c>
      <c r="B71" s="102"/>
      <c r="C71" s="90">
        <f>C6*$C$31*$C$32*C39*C37*(1-C38)</f>
        <v>1374.3006440624999</v>
      </c>
      <c r="D71" s="90">
        <f t="shared" ref="D71:V71" si="16">D6*$C$31*$C$32*D39*D37*(1-D38)</f>
        <v>6277.401142031249</v>
      </c>
      <c r="E71" s="90">
        <f t="shared" si="16"/>
        <v>10191.605712750003</v>
      </c>
      <c r="F71" s="90">
        <f t="shared" si="16"/>
        <v>13066.698926531253</v>
      </c>
      <c r="G71" s="90">
        <f t="shared" si="16"/>
        <v>14853.328701750001</v>
      </c>
      <c r="H71" s="90">
        <f t="shared" si="16"/>
        <v>17713.485404999999</v>
      </c>
      <c r="I71" s="90">
        <f t="shared" si="16"/>
        <v>17950.896809999998</v>
      </c>
      <c r="J71" s="90">
        <f t="shared" si="16"/>
        <v>18187.0348275</v>
      </c>
      <c r="K71" s="90">
        <f t="shared" si="16"/>
        <v>18420.91453125</v>
      </c>
      <c r="L71" s="90">
        <f t="shared" si="16"/>
        <v>18653.629994999996</v>
      </c>
      <c r="M71" s="90">
        <f t="shared" si="16"/>
        <v>18883.728517499996</v>
      </c>
      <c r="N71" s="90">
        <f t="shared" si="16"/>
        <v>19109.887334999996</v>
      </c>
      <c r="O71" s="90">
        <f t="shared" si="16"/>
        <v>19331.165700000001</v>
      </c>
      <c r="P71" s="90">
        <f t="shared" si="16"/>
        <v>19548.699266249998</v>
      </c>
      <c r="Q71" s="90">
        <f t="shared" si="16"/>
        <v>19764.283769999998</v>
      </c>
      <c r="R71" s="90">
        <f t="shared" si="16"/>
        <v>19982.245755628675</v>
      </c>
      <c r="S71" s="90">
        <f t="shared" si="16"/>
        <v>20202.611442182311</v>
      </c>
      <c r="T71" s="90">
        <f t="shared" si="16"/>
        <v>20425.407337852786</v>
      </c>
      <c r="U71" s="90">
        <f t="shared" si="16"/>
        <v>20650.660243166283</v>
      </c>
      <c r="V71" s="90">
        <f t="shared" si="16"/>
        <v>20878.397254207168</v>
      </c>
      <c r="W71" s="90"/>
    </row>
    <row r="72" spans="1:23">
      <c r="A72" s="101" t="str">
        <f>+A60</f>
        <v>c. Space Heating - Switch</v>
      </c>
      <c r="B72" s="102"/>
      <c r="C72" s="90">
        <f t="shared" ref="C72:V72" si="17">C6*$C$9*$C$10*C17*C15*(1-C16)</f>
        <v>12957.691786875002</v>
      </c>
      <c r="D72" s="90">
        <f>D6*$C$9*$C$10*D17*D15*(1-D16)</f>
        <v>59186.925053437502</v>
      </c>
      <c r="E72" s="90">
        <f t="shared" si="17"/>
        <v>96092.282434500026</v>
      </c>
      <c r="F72" s="90">
        <f t="shared" si="17"/>
        <v>123200.30416443753</v>
      </c>
      <c r="G72" s="90">
        <f t="shared" si="17"/>
        <v>140045.67061650002</v>
      </c>
      <c r="H72" s="90">
        <f t="shared" si="17"/>
        <v>167012.86238999999</v>
      </c>
      <c r="I72" s="90">
        <f t="shared" si="17"/>
        <v>169251.31277999998</v>
      </c>
      <c r="J72" s="90">
        <f t="shared" si="17"/>
        <v>171477.756945</v>
      </c>
      <c r="K72" s="90">
        <f t="shared" si="17"/>
        <v>173682.90843750001</v>
      </c>
      <c r="L72" s="90">
        <f t="shared" si="17"/>
        <v>175877.08280999996</v>
      </c>
      <c r="M72" s="90">
        <f t="shared" si="17"/>
        <v>178046.58316500002</v>
      </c>
      <c r="N72" s="90">
        <f t="shared" si="17"/>
        <v>180178.93773000003</v>
      </c>
      <c r="O72" s="90">
        <f t="shared" si="17"/>
        <v>182265.27659999998</v>
      </c>
      <c r="P72" s="90">
        <f t="shared" si="17"/>
        <v>184316.30736750001</v>
      </c>
      <c r="Q72" s="90">
        <f t="shared" si="17"/>
        <v>186348.96126000001</v>
      </c>
      <c r="R72" s="90">
        <f t="shared" si="17"/>
        <v>188404.03141021321</v>
      </c>
      <c r="S72" s="90">
        <f t="shared" si="17"/>
        <v>190481.76502629041</v>
      </c>
      <c r="T72" s="90">
        <f t="shared" si="17"/>
        <v>192582.41204261201</v>
      </c>
      <c r="U72" s="90">
        <f t="shared" si="17"/>
        <v>194706.22514985356</v>
      </c>
      <c r="V72" s="90">
        <f t="shared" si="17"/>
        <v>196853.45982538187</v>
      </c>
      <c r="W72" s="90"/>
    </row>
    <row r="73" spans="1:23">
      <c r="A73" s="101" t="str">
        <f>+A61</f>
        <v>d. Water Heating - Switch</v>
      </c>
      <c r="B73" s="102"/>
      <c r="C73" s="90">
        <f t="shared" ref="C73:V73" si="18">C6*$C$42*$C$43*C50*C48*(1-C49)</f>
        <v>40286.641737375001</v>
      </c>
      <c r="D73" s="90">
        <f>D6*$C$42*$C$43*D50*D48*(1-D49)</f>
        <v>204463.92291187498</v>
      </c>
      <c r="E73" s="90">
        <f t="shared" si="18"/>
        <v>373449.55218862498</v>
      </c>
      <c r="F73" s="90">
        <f t="shared" si="18"/>
        <v>547201.35096412501</v>
      </c>
      <c r="G73" s="90">
        <f t="shared" si="18"/>
        <v>725691.20228550001</v>
      </c>
      <c r="H73" s="90">
        <f t="shared" si="18"/>
        <v>865430.28692999983</v>
      </c>
      <c r="I73" s="90">
        <f t="shared" si="18"/>
        <v>877029.52986000001</v>
      </c>
      <c r="J73" s="90">
        <f t="shared" si="18"/>
        <v>888566.55871499982</v>
      </c>
      <c r="K73" s="90">
        <f t="shared" si="18"/>
        <v>899993.25281249988</v>
      </c>
      <c r="L73" s="90">
        <f t="shared" si="18"/>
        <v>911363.06546999991</v>
      </c>
      <c r="M73" s="90">
        <f t="shared" si="18"/>
        <v>922605.02185499994</v>
      </c>
      <c r="N73" s="90">
        <f t="shared" si="18"/>
        <v>933654.49550999992</v>
      </c>
      <c r="O73" s="90">
        <f t="shared" si="18"/>
        <v>944465.52419999999</v>
      </c>
      <c r="P73" s="90">
        <f t="shared" si="18"/>
        <v>955093.59272249998</v>
      </c>
      <c r="Q73" s="90">
        <f t="shared" si="18"/>
        <v>965626.43561999989</v>
      </c>
      <c r="R73" s="90">
        <f t="shared" si="18"/>
        <v>976275.43548928644</v>
      </c>
      <c r="S73" s="90">
        <f t="shared" si="18"/>
        <v>987041.87331805006</v>
      </c>
      <c r="T73" s="90">
        <f t="shared" si="18"/>
        <v>997927.04422080761</v>
      </c>
      <c r="U73" s="90">
        <f t="shared" si="18"/>
        <v>1008932.2575946955</v>
      </c>
      <c r="V73" s="90">
        <f t="shared" si="18"/>
        <v>1020058.8372769789</v>
      </c>
      <c r="W73" s="90"/>
    </row>
    <row r="74" spans="1:23">
      <c r="A74" s="85"/>
      <c r="B74" s="85"/>
      <c r="C74" s="103"/>
      <c r="D74" s="103"/>
      <c r="E74" s="103"/>
      <c r="F74" s="103"/>
      <c r="G74" s="103"/>
      <c r="H74" s="103"/>
      <c r="I74" s="103"/>
      <c r="J74" s="103"/>
      <c r="K74" s="103"/>
      <c r="L74" s="103"/>
      <c r="M74" s="103"/>
      <c r="N74" s="103"/>
      <c r="O74" s="103"/>
      <c r="P74" s="103"/>
      <c r="Q74" s="103"/>
      <c r="R74" s="103"/>
      <c r="S74" s="103"/>
      <c r="T74" s="103"/>
      <c r="U74" s="103"/>
      <c r="V74" s="103"/>
      <c r="W74" s="103"/>
    </row>
    <row r="75" spans="1:23">
      <c r="A75" s="91" t="s">
        <v>215</v>
      </c>
      <c r="B75" s="91"/>
      <c r="C75" s="93">
        <f t="shared" ref="C75:V75" si="19">SUM(C70:C73)</f>
        <v>68361.640608937509</v>
      </c>
      <c r="D75" s="93">
        <f t="shared" si="19"/>
        <v>332702.26052765624</v>
      </c>
      <c r="E75" s="93">
        <f t="shared" si="19"/>
        <v>581649.49746337498</v>
      </c>
      <c r="F75" s="93">
        <f t="shared" si="19"/>
        <v>814135.34332040627</v>
      </c>
      <c r="G75" s="93">
        <f t="shared" si="19"/>
        <v>1029123.48862125</v>
      </c>
      <c r="H75" s="93">
        <f t="shared" si="19"/>
        <v>1227291.4887749997</v>
      </c>
      <c r="I75" s="93">
        <f t="shared" si="19"/>
        <v>1243740.7075499999</v>
      </c>
      <c r="J75" s="93">
        <f t="shared" si="19"/>
        <v>1260101.6987624997</v>
      </c>
      <c r="K75" s="93">
        <f t="shared" si="19"/>
        <v>1276306.2210937499</v>
      </c>
      <c r="L75" s="93">
        <f t="shared" si="19"/>
        <v>1292430.0782249998</v>
      </c>
      <c r="M75" s="93">
        <f t="shared" si="19"/>
        <v>1308372.6187124997</v>
      </c>
      <c r="N75" s="93">
        <f t="shared" si="19"/>
        <v>1324042.1939249998</v>
      </c>
      <c r="O75" s="93">
        <f t="shared" si="19"/>
        <v>1339373.6235</v>
      </c>
      <c r="P75" s="93">
        <f t="shared" si="19"/>
        <v>1354445.59201875</v>
      </c>
      <c r="Q75" s="93">
        <f t="shared" si="19"/>
        <v>1369382.51835</v>
      </c>
      <c r="R75" s="93">
        <f t="shared" si="19"/>
        <v>1384484.170211415</v>
      </c>
      <c r="S75" s="93">
        <f t="shared" si="19"/>
        <v>1399752.3642083458</v>
      </c>
      <c r="T75" s="93">
        <f t="shared" si="19"/>
        <v>1415188.9369798002</v>
      </c>
      <c r="U75" s="93">
        <f t="shared" si="19"/>
        <v>1430795.7454193784</v>
      </c>
      <c r="V75" s="93">
        <f t="shared" si="19"/>
        <v>1446574.6668986396</v>
      </c>
      <c r="W75" s="93"/>
    </row>
    <row r="77" spans="1:23">
      <c r="A77" s="77" t="s">
        <v>216</v>
      </c>
      <c r="B77" s="77"/>
      <c r="D77" s="214"/>
      <c r="E77" s="78"/>
      <c r="F77" s="78"/>
      <c r="G77" s="215"/>
    </row>
    <row r="79" spans="1:23">
      <c r="A79" s="104"/>
      <c r="B79" s="477" t="s">
        <v>238</v>
      </c>
      <c r="C79" s="537" t="s">
        <v>217</v>
      </c>
      <c r="D79" s="538"/>
      <c r="E79" s="538"/>
      <c r="F79" s="538"/>
      <c r="G79" s="538"/>
      <c r="H79" s="538"/>
      <c r="I79" s="538"/>
      <c r="J79" s="538"/>
      <c r="K79" s="538"/>
      <c r="L79" s="538"/>
      <c r="M79" s="538"/>
      <c r="N79" s="538"/>
      <c r="O79" s="538"/>
      <c r="P79" s="538"/>
      <c r="Q79" s="538"/>
      <c r="R79" s="538"/>
      <c r="S79" s="538"/>
      <c r="T79" s="538"/>
      <c r="U79" s="538"/>
      <c r="V79" s="538"/>
      <c r="W79" s="538"/>
    </row>
    <row r="80" spans="1:23">
      <c r="A80" s="315" t="s">
        <v>210</v>
      </c>
      <c r="B80" s="536"/>
      <c r="C80" s="318">
        <v>2016</v>
      </c>
      <c r="D80" s="318">
        <v>2017</v>
      </c>
      <c r="E80" s="318">
        <v>2018</v>
      </c>
      <c r="F80" s="318">
        <v>2019</v>
      </c>
      <c r="G80" s="318">
        <v>2020</v>
      </c>
      <c r="H80" s="318">
        <v>2021</v>
      </c>
      <c r="I80" s="318">
        <v>2022</v>
      </c>
      <c r="J80" s="318">
        <v>2023</v>
      </c>
      <c r="K80" s="318">
        <v>2024</v>
      </c>
      <c r="L80" s="318">
        <v>2025</v>
      </c>
      <c r="M80" s="318">
        <v>2026</v>
      </c>
      <c r="N80" s="318">
        <v>2027</v>
      </c>
      <c r="O80" s="318">
        <v>2028</v>
      </c>
      <c r="P80" s="318">
        <v>2029</v>
      </c>
      <c r="Q80" s="318">
        <v>2030</v>
      </c>
      <c r="R80" s="318">
        <v>2031</v>
      </c>
      <c r="S80" s="318">
        <v>2032</v>
      </c>
      <c r="T80" s="318">
        <v>2033</v>
      </c>
      <c r="U80" s="318">
        <v>2034</v>
      </c>
      <c r="V80" s="318">
        <v>2035</v>
      </c>
      <c r="W80" s="318"/>
    </row>
    <row r="81" spans="1:23">
      <c r="A81" s="82"/>
      <c r="B81" s="82"/>
      <c r="C81" s="82"/>
      <c r="D81" s="105"/>
      <c r="E81" s="82"/>
      <c r="F81" s="82"/>
      <c r="G81" s="82"/>
      <c r="H81" s="82"/>
      <c r="I81" s="82"/>
      <c r="J81" s="82"/>
      <c r="K81" s="82"/>
      <c r="L81" s="82"/>
      <c r="M81" s="82"/>
      <c r="N81" s="82"/>
      <c r="O81" s="82"/>
      <c r="P81" s="82"/>
      <c r="Q81" s="82"/>
      <c r="R81" s="82"/>
      <c r="S81" s="82"/>
      <c r="T81" s="82"/>
      <c r="U81" s="82"/>
      <c r="V81" s="82"/>
      <c r="W81" s="82"/>
    </row>
    <row r="82" spans="1:23">
      <c r="A82" s="101" t="str">
        <f>+A58</f>
        <v>a. Space Cooling - CAC Switch</v>
      </c>
      <c r="B82" s="234">
        <f>KeyAssumptions!M6</f>
        <v>0.6</v>
      </c>
      <c r="C82" s="189">
        <f t="shared" ref="C82:V82" si="20">$B82/1000*C70*$C$11</f>
        <v>7.8335136711562487</v>
      </c>
      <c r="D82" s="189">
        <f t="shared" si="20"/>
        <v>35.78118650957812</v>
      </c>
      <c r="E82" s="189">
        <f t="shared" si="20"/>
        <v>58.09215256267499</v>
      </c>
      <c r="F82" s="189">
        <f t="shared" si="20"/>
        <v>74.480183881228115</v>
      </c>
      <c r="G82" s="189">
        <f t="shared" si="20"/>
        <v>84.663973599974994</v>
      </c>
      <c r="H82" s="189">
        <f t="shared" si="20"/>
        <v>100.96686680849997</v>
      </c>
      <c r="I82" s="189">
        <f t="shared" si="20"/>
        <v>102.32011181699997</v>
      </c>
      <c r="J82" s="189">
        <f t="shared" si="20"/>
        <v>103.66609851674998</v>
      </c>
      <c r="K82" s="189">
        <f t="shared" si="20"/>
        <v>104.99921282812498</v>
      </c>
      <c r="L82" s="189">
        <f t="shared" si="20"/>
        <v>106.32569097149998</v>
      </c>
      <c r="M82" s="189">
        <f t="shared" si="20"/>
        <v>107.63725254974995</v>
      </c>
      <c r="N82" s="189">
        <f t="shared" si="20"/>
        <v>108.92635780949998</v>
      </c>
      <c r="O82" s="189">
        <f t="shared" si="20"/>
        <v>110.18764448999997</v>
      </c>
      <c r="P82" s="189">
        <f t="shared" si="20"/>
        <v>111.42758581762497</v>
      </c>
      <c r="Q82" s="189">
        <f t="shared" si="20"/>
        <v>112.65641748899998</v>
      </c>
      <c r="R82" s="189">
        <f t="shared" si="20"/>
        <v>113.89880080708343</v>
      </c>
      <c r="S82" s="189">
        <f t="shared" si="20"/>
        <v>115.15488522043916</v>
      </c>
      <c r="T82" s="189">
        <f t="shared" si="20"/>
        <v>116.42482182576087</v>
      </c>
      <c r="U82" s="189">
        <f t="shared" si="20"/>
        <v>117.70876338604781</v>
      </c>
      <c r="V82" s="189">
        <f t="shared" si="20"/>
        <v>119.00686434898083</v>
      </c>
      <c r="W82" s="189"/>
    </row>
    <row r="83" spans="1:23">
      <c r="A83" s="101" t="str">
        <f>+A59</f>
        <v>b. Space Cooling - RAC Switch</v>
      </c>
      <c r="B83" s="234">
        <f>KeyAssumptions!M7</f>
        <v>0.27</v>
      </c>
      <c r="C83" s="189">
        <f t="shared" ref="C83:V83" si="21">$B83/1000*C71*$C$22</f>
        <v>0.35250811520203124</v>
      </c>
      <c r="D83" s="189">
        <f t="shared" si="21"/>
        <v>1.6101533929310152</v>
      </c>
      <c r="E83" s="189">
        <f t="shared" si="21"/>
        <v>2.6141468653203757</v>
      </c>
      <c r="F83" s="189">
        <f t="shared" si="21"/>
        <v>3.3516082746552662</v>
      </c>
      <c r="G83" s="189">
        <f t="shared" si="21"/>
        <v>3.8098788119988751</v>
      </c>
      <c r="H83" s="189">
        <f t="shared" si="21"/>
        <v>4.5435090063824992</v>
      </c>
      <c r="I83" s="189">
        <f t="shared" si="21"/>
        <v>4.6044050317649994</v>
      </c>
      <c r="J83" s="189">
        <f t="shared" si="21"/>
        <v>4.6649744332537493</v>
      </c>
      <c r="K83" s="189">
        <f t="shared" si="21"/>
        <v>4.7249645772656255</v>
      </c>
      <c r="L83" s="189">
        <f t="shared" si="21"/>
        <v>4.7846560937174987</v>
      </c>
      <c r="M83" s="189">
        <f t="shared" si="21"/>
        <v>4.8436763647387489</v>
      </c>
      <c r="N83" s="189">
        <f t="shared" si="21"/>
        <v>4.9016861014274991</v>
      </c>
      <c r="O83" s="189">
        <f t="shared" si="21"/>
        <v>4.9584440020500002</v>
      </c>
      <c r="P83" s="189">
        <f t="shared" si="21"/>
        <v>5.0142413617931245</v>
      </c>
      <c r="Q83" s="189">
        <f t="shared" si="21"/>
        <v>5.0695387870049995</v>
      </c>
      <c r="R83" s="189">
        <f t="shared" si="21"/>
        <v>5.1254460363187553</v>
      </c>
      <c r="S83" s="189">
        <f t="shared" si="21"/>
        <v>5.1819698349197623</v>
      </c>
      <c r="T83" s="189">
        <f t="shared" si="21"/>
        <v>5.2391169821592394</v>
      </c>
      <c r="U83" s="189">
        <f t="shared" si="21"/>
        <v>5.296894352372151</v>
      </c>
      <c r="V83" s="189">
        <f t="shared" si="21"/>
        <v>5.3553088957041384</v>
      </c>
      <c r="W83" s="189"/>
    </row>
    <row r="84" spans="1:23">
      <c r="A84" s="101" t="str">
        <f>+A60</f>
        <v>c. Space Heating - Switch</v>
      </c>
      <c r="B84" s="234">
        <f>KeyAssumptions!M4</f>
        <v>1.74</v>
      </c>
      <c r="C84" s="189">
        <f t="shared" ref="C84:V84" si="22">$B84/1000*C72*$C$33</f>
        <v>21.419064523704378</v>
      </c>
      <c r="D84" s="189">
        <f t="shared" si="22"/>
        <v>97.83598711333218</v>
      </c>
      <c r="E84" s="189">
        <f t="shared" si="22"/>
        <v>158.84054286422855</v>
      </c>
      <c r="F84" s="189">
        <f t="shared" si="22"/>
        <v>203.65010278381524</v>
      </c>
      <c r="G84" s="189">
        <f t="shared" si="22"/>
        <v>231.49549352907454</v>
      </c>
      <c r="H84" s="189">
        <f t="shared" si="22"/>
        <v>276.07226153066995</v>
      </c>
      <c r="I84" s="189">
        <f t="shared" si="22"/>
        <v>279.77242002533995</v>
      </c>
      <c r="J84" s="189">
        <f t="shared" si="22"/>
        <v>283.45273223008502</v>
      </c>
      <c r="K84" s="189">
        <f t="shared" si="22"/>
        <v>287.09784764718751</v>
      </c>
      <c r="L84" s="189">
        <f t="shared" si="22"/>
        <v>290.72481788492996</v>
      </c>
      <c r="M84" s="189">
        <f t="shared" si="22"/>
        <v>294.31100197174504</v>
      </c>
      <c r="N84" s="189">
        <f t="shared" si="22"/>
        <v>297.83578406769004</v>
      </c>
      <c r="O84" s="189">
        <f t="shared" si="22"/>
        <v>301.28450221979995</v>
      </c>
      <c r="P84" s="189">
        <f t="shared" si="22"/>
        <v>304.67485607847749</v>
      </c>
      <c r="Q84" s="189">
        <f t="shared" si="22"/>
        <v>308.03483296278</v>
      </c>
      <c r="R84" s="189">
        <f t="shared" si="22"/>
        <v>311.43186392108242</v>
      </c>
      <c r="S84" s="189">
        <f t="shared" si="22"/>
        <v>314.86635758845802</v>
      </c>
      <c r="T84" s="189">
        <f t="shared" si="22"/>
        <v>318.33872710643766</v>
      </c>
      <c r="U84" s="189">
        <f t="shared" si="22"/>
        <v>321.84939017270796</v>
      </c>
      <c r="V84" s="189">
        <f t="shared" si="22"/>
        <v>325.3987690913562</v>
      </c>
      <c r="W84" s="189"/>
    </row>
    <row r="85" spans="1:23">
      <c r="A85" s="101" t="str">
        <f>+A61</f>
        <v>d. Water Heating - Switch</v>
      </c>
      <c r="B85" s="234">
        <f>KeyAssumptions!M5</f>
        <v>0.57999999999999996</v>
      </c>
      <c r="C85" s="189">
        <f t="shared" ref="C85:V85" si="23">$B85/1000*C73*$C$44</f>
        <v>22.197939597293626</v>
      </c>
      <c r="D85" s="189">
        <f t="shared" si="23"/>
        <v>112.65962152444311</v>
      </c>
      <c r="E85" s="189">
        <f t="shared" si="23"/>
        <v>205.77070325593235</v>
      </c>
      <c r="F85" s="189">
        <f t="shared" si="23"/>
        <v>301.5079443812329</v>
      </c>
      <c r="G85" s="189">
        <f t="shared" si="23"/>
        <v>399.85585245931048</v>
      </c>
      <c r="H85" s="189">
        <f t="shared" si="23"/>
        <v>476.85208809842987</v>
      </c>
      <c r="I85" s="189">
        <f t="shared" si="23"/>
        <v>483.24327095285997</v>
      </c>
      <c r="J85" s="189">
        <f t="shared" si="23"/>
        <v>489.60017385196483</v>
      </c>
      <c r="K85" s="189">
        <f t="shared" si="23"/>
        <v>495.89628229968741</v>
      </c>
      <c r="L85" s="189">
        <f t="shared" si="23"/>
        <v>502.16104907396993</v>
      </c>
      <c r="M85" s="189">
        <f t="shared" si="23"/>
        <v>508.35536704210494</v>
      </c>
      <c r="N85" s="189">
        <f t="shared" si="23"/>
        <v>514.44362702600995</v>
      </c>
      <c r="O85" s="189">
        <f t="shared" si="23"/>
        <v>520.40050383419998</v>
      </c>
      <c r="P85" s="189">
        <f t="shared" si="23"/>
        <v>526.25656959009746</v>
      </c>
      <c r="Q85" s="189">
        <f t="shared" si="23"/>
        <v>532.06016602661998</v>
      </c>
      <c r="R85" s="189">
        <f t="shared" si="23"/>
        <v>537.9277649545968</v>
      </c>
      <c r="S85" s="189">
        <f t="shared" si="23"/>
        <v>543.86007219824546</v>
      </c>
      <c r="T85" s="189">
        <f t="shared" si="23"/>
        <v>549.85780136566495</v>
      </c>
      <c r="U85" s="189">
        <f t="shared" si="23"/>
        <v>555.92167393467719</v>
      </c>
      <c r="V85" s="189">
        <f t="shared" si="23"/>
        <v>562.05241933961531</v>
      </c>
      <c r="W85" s="189"/>
    </row>
    <row r="86" spans="1:23">
      <c r="A86" s="85"/>
      <c r="B86" s="85"/>
      <c r="C86" s="106"/>
      <c r="D86" s="106"/>
      <c r="E86" s="106"/>
      <c r="F86" s="106"/>
      <c r="G86" s="106"/>
      <c r="H86" s="106"/>
      <c r="I86" s="106"/>
      <c r="J86" s="106"/>
      <c r="K86" s="106"/>
      <c r="L86" s="106"/>
      <c r="M86" s="106"/>
      <c r="N86" s="106"/>
      <c r="O86" s="106"/>
      <c r="P86" s="106"/>
      <c r="Q86" s="106"/>
      <c r="R86" s="106"/>
      <c r="S86" s="106"/>
      <c r="T86" s="106"/>
      <c r="U86" s="106"/>
      <c r="V86" s="106"/>
      <c r="W86" s="106"/>
    </row>
    <row r="87" spans="1:23">
      <c r="A87" s="107" t="s">
        <v>265</v>
      </c>
      <c r="B87" s="108"/>
      <c r="C87" s="109">
        <f t="shared" ref="C87:V87" si="24">SUM(C82:C85)</f>
        <v>51.803025907356286</v>
      </c>
      <c r="D87" s="109">
        <f t="shared" si="24"/>
        <v>247.88694854028444</v>
      </c>
      <c r="E87" s="109">
        <f t="shared" si="24"/>
        <v>425.31754554815626</v>
      </c>
      <c r="F87" s="109">
        <f t="shared" si="24"/>
        <v>582.98983932093154</v>
      </c>
      <c r="G87" s="109">
        <f t="shared" si="24"/>
        <v>719.82519840035889</v>
      </c>
      <c r="H87" s="109">
        <f t="shared" si="24"/>
        <v>858.4347254439823</v>
      </c>
      <c r="I87" s="109">
        <f t="shared" si="24"/>
        <v>869.94020782696498</v>
      </c>
      <c r="J87" s="109">
        <f t="shared" si="24"/>
        <v>881.3839790320535</v>
      </c>
      <c r="K87" s="109">
        <f t="shared" si="24"/>
        <v>892.71830735226558</v>
      </c>
      <c r="L87" s="109">
        <f t="shared" si="24"/>
        <v>903.99621402411731</v>
      </c>
      <c r="M87" s="109">
        <f t="shared" si="24"/>
        <v>915.14729792833873</v>
      </c>
      <c r="N87" s="109">
        <f t="shared" si="24"/>
        <v>926.10745500462747</v>
      </c>
      <c r="O87" s="109">
        <f t="shared" si="24"/>
        <v>936.83109454604983</v>
      </c>
      <c r="P87" s="109">
        <f t="shared" si="24"/>
        <v>947.37325284799306</v>
      </c>
      <c r="Q87" s="109">
        <f t="shared" si="24"/>
        <v>957.82095526540502</v>
      </c>
      <c r="R87" s="109">
        <f t="shared" si="24"/>
        <v>968.3838757190814</v>
      </c>
      <c r="S87" s="109">
        <f t="shared" si="24"/>
        <v>979.06328484206233</v>
      </c>
      <c r="T87" s="109">
        <f t="shared" si="24"/>
        <v>989.8604672800227</v>
      </c>
      <c r="U87" s="109">
        <f t="shared" si="24"/>
        <v>1000.7767218458051</v>
      </c>
      <c r="V87" s="109">
        <f t="shared" si="24"/>
        <v>1011.8133616756566</v>
      </c>
      <c r="W87" s="109"/>
    </row>
    <row r="88" spans="1:23">
      <c r="A88" s="110"/>
      <c r="B88" s="110"/>
      <c r="C88" s="111"/>
      <c r="D88" s="111"/>
      <c r="E88" s="112"/>
      <c r="F88" s="112"/>
      <c r="G88" s="112"/>
      <c r="H88" s="112"/>
      <c r="I88" s="112"/>
      <c r="J88" s="112"/>
      <c r="K88" s="112"/>
      <c r="L88" s="112"/>
      <c r="M88" s="112"/>
      <c r="N88" s="112"/>
      <c r="O88" s="112"/>
      <c r="P88" s="112"/>
      <c r="Q88" s="112"/>
      <c r="R88" s="112"/>
      <c r="S88" s="112"/>
      <c r="T88" s="112"/>
      <c r="U88" s="112"/>
      <c r="V88" s="112"/>
      <c r="W88" s="112"/>
    </row>
    <row r="89" spans="1:23">
      <c r="A89" s="77" t="s">
        <v>272</v>
      </c>
      <c r="B89" s="110"/>
      <c r="C89" s="98"/>
      <c r="D89" s="122"/>
      <c r="E89" s="121"/>
      <c r="F89" s="121"/>
      <c r="G89" s="121"/>
      <c r="H89" s="121"/>
      <c r="I89" s="121"/>
      <c r="J89" s="121"/>
      <c r="K89" s="121"/>
      <c r="L89" s="121"/>
      <c r="M89" s="121"/>
      <c r="N89" s="121"/>
      <c r="O89" s="121"/>
      <c r="P89" s="121"/>
      <c r="Q89" s="121"/>
      <c r="R89" s="121"/>
      <c r="S89" s="121"/>
      <c r="T89" s="121"/>
      <c r="U89" s="121"/>
      <c r="V89" s="121"/>
      <c r="W89" s="121"/>
    </row>
    <row r="90" spans="1:23">
      <c r="A90" s="113"/>
      <c r="B90" s="110"/>
      <c r="C90" s="98"/>
      <c r="D90" s="121"/>
      <c r="E90" s="121"/>
      <c r="F90" s="121"/>
      <c r="G90" s="121"/>
      <c r="H90" s="121"/>
      <c r="I90" s="121"/>
      <c r="J90" s="121"/>
      <c r="K90" s="121"/>
      <c r="L90" s="121"/>
      <c r="M90" s="121"/>
      <c r="N90" s="121"/>
      <c r="O90" s="121"/>
      <c r="P90" s="121"/>
      <c r="Q90" s="121"/>
      <c r="R90" s="121"/>
      <c r="S90" s="121"/>
      <c r="T90" s="121"/>
      <c r="U90" s="121"/>
      <c r="V90" s="121"/>
      <c r="W90" s="121"/>
    </row>
    <row r="91" spans="1:23">
      <c r="A91" s="474" t="s">
        <v>210</v>
      </c>
      <c r="B91" s="477" t="s">
        <v>300</v>
      </c>
      <c r="C91" s="531" t="s">
        <v>218</v>
      </c>
      <c r="D91" s="531"/>
      <c r="E91" s="531"/>
      <c r="F91" s="531"/>
      <c r="G91" s="531"/>
      <c r="H91" s="531"/>
      <c r="I91" s="531"/>
      <c r="J91" s="531"/>
      <c r="K91" s="531"/>
      <c r="L91" s="531"/>
      <c r="M91" s="531"/>
      <c r="N91" s="531"/>
      <c r="O91" s="531"/>
      <c r="P91" s="531"/>
      <c r="Q91" s="531"/>
      <c r="R91" s="531"/>
      <c r="S91" s="531"/>
      <c r="T91" s="531"/>
      <c r="U91" s="531"/>
      <c r="V91" s="531"/>
      <c r="W91" s="531"/>
    </row>
    <row r="92" spans="1:23">
      <c r="A92" s="475"/>
      <c r="B92" s="478"/>
      <c r="C92" s="318">
        <v>2016</v>
      </c>
      <c r="D92" s="318">
        <v>2017</v>
      </c>
      <c r="E92" s="318">
        <v>2018</v>
      </c>
      <c r="F92" s="318">
        <v>2019</v>
      </c>
      <c r="G92" s="318">
        <v>2020</v>
      </c>
      <c r="H92" s="318">
        <v>2021</v>
      </c>
      <c r="I92" s="318">
        <v>2022</v>
      </c>
      <c r="J92" s="318">
        <v>2023</v>
      </c>
      <c r="K92" s="318">
        <v>2024</v>
      </c>
      <c r="L92" s="318">
        <v>2025</v>
      </c>
      <c r="M92" s="318">
        <v>2026</v>
      </c>
      <c r="N92" s="318">
        <v>2027</v>
      </c>
      <c r="O92" s="318">
        <v>2028</v>
      </c>
      <c r="P92" s="318">
        <v>2029</v>
      </c>
      <c r="Q92" s="318">
        <v>2030</v>
      </c>
      <c r="R92" s="318">
        <v>2031</v>
      </c>
      <c r="S92" s="318">
        <v>2032</v>
      </c>
      <c r="T92" s="318">
        <v>2033</v>
      </c>
      <c r="U92" s="318">
        <v>2034</v>
      </c>
      <c r="V92" s="318">
        <v>2035</v>
      </c>
      <c r="W92" s="318"/>
    </row>
    <row r="93" spans="1:23">
      <c r="A93" s="123"/>
      <c r="B93" s="124"/>
      <c r="C93" s="78"/>
      <c r="D93" s="82"/>
      <c r="E93" s="82"/>
      <c r="F93" s="82"/>
      <c r="G93" s="82"/>
      <c r="H93" s="82"/>
      <c r="I93" s="82"/>
      <c r="J93" s="82"/>
      <c r="K93" s="82"/>
      <c r="L93" s="82"/>
      <c r="M93" s="82"/>
      <c r="N93" s="82"/>
      <c r="O93" s="82"/>
      <c r="P93" s="82"/>
      <c r="Q93" s="82"/>
      <c r="R93" s="82"/>
      <c r="S93" s="82"/>
      <c r="T93" s="82"/>
      <c r="U93" s="82"/>
      <c r="V93" s="82"/>
      <c r="W93" s="82"/>
    </row>
    <row r="94" spans="1:23">
      <c r="A94" s="85" t="str">
        <f>+A58</f>
        <v>a. Space Cooling - CAC Switch</v>
      </c>
      <c r="B94" s="223">
        <f>SUM(KeyAssumptions!F6:H6)</f>
        <v>108</v>
      </c>
      <c r="C94" s="116">
        <f t="shared" ref="C94:V94" si="25">MAX(0,($B$94*C58))</f>
        <v>1484244.6955874998</v>
      </c>
      <c r="D94" s="116">
        <f t="shared" si="25"/>
        <v>5295348.5378062492</v>
      </c>
      <c r="E94" s="116">
        <f t="shared" si="25"/>
        <v>4227340.9363762494</v>
      </c>
      <c r="F94" s="116">
        <f t="shared" si="25"/>
        <v>3105100.6708837519</v>
      </c>
      <c r="G94" s="116">
        <f t="shared" si="25"/>
        <v>1929560.1572362485</v>
      </c>
      <c r="H94" s="116">
        <f t="shared" si="25"/>
        <v>3088969.2395099965</v>
      </c>
      <c r="I94" s="116">
        <f t="shared" si="25"/>
        <v>256404.31740000041</v>
      </c>
      <c r="J94" s="116">
        <f t="shared" si="25"/>
        <v>255029.05890000297</v>
      </c>
      <c r="K94" s="116">
        <f t="shared" si="25"/>
        <v>252590.08005000162</v>
      </c>
      <c r="L94" s="116">
        <f t="shared" si="25"/>
        <v>251332.70084999723</v>
      </c>
      <c r="M94" s="116">
        <f t="shared" si="25"/>
        <v>248506.40429999493</v>
      </c>
      <c r="N94" s="116">
        <f t="shared" si="25"/>
        <v>244251.52290000441</v>
      </c>
      <c r="O94" s="116">
        <f t="shared" si="25"/>
        <v>238980.63419999974</v>
      </c>
      <c r="P94" s="116">
        <f t="shared" si="25"/>
        <v>234936.25155000016</v>
      </c>
      <c r="Q94" s="116">
        <f t="shared" si="25"/>
        <v>232831.26404999953</v>
      </c>
      <c r="R94" s="116">
        <f t="shared" si="25"/>
        <v>235398.9444789706</v>
      </c>
      <c r="S94" s="116">
        <f t="shared" si="25"/>
        <v>237994.94147792913</v>
      </c>
      <c r="T94" s="116">
        <f t="shared" si="25"/>
        <v>240619.56732411473</v>
      </c>
      <c r="U94" s="116">
        <f t="shared" si="25"/>
        <v>243273.13773857569</v>
      </c>
      <c r="V94" s="116">
        <f t="shared" si="25"/>
        <v>245955.97192415153</v>
      </c>
      <c r="W94" s="116"/>
    </row>
    <row r="95" spans="1:23">
      <c r="A95" s="85" t="str">
        <f>+A59</f>
        <v>b. Space Cooling - RAC Switch</v>
      </c>
      <c r="B95" s="223">
        <f>SUM(KeyAssumptions!F7:H7)</f>
        <v>61.6</v>
      </c>
      <c r="C95" s="116">
        <f t="shared" ref="C95:V95" si="26">MAX(0,($B$95*C59))</f>
        <v>84656.919674249992</v>
      </c>
      <c r="D95" s="116">
        <f t="shared" si="26"/>
        <v>302030.99067487498</v>
      </c>
      <c r="E95" s="116">
        <f t="shared" si="26"/>
        <v>241115.00155627521</v>
      </c>
      <c r="F95" s="116">
        <f t="shared" si="26"/>
        <v>177105.74196892505</v>
      </c>
      <c r="G95" s="116">
        <f t="shared" si="26"/>
        <v>110056.39415347484</v>
      </c>
      <c r="H95" s="116">
        <f t="shared" si="26"/>
        <v>176185.65292019994</v>
      </c>
      <c r="I95" s="116">
        <f t="shared" si="26"/>
        <v>14624.542547999934</v>
      </c>
      <c r="J95" s="116">
        <f t="shared" si="26"/>
        <v>14546.10187800008</v>
      </c>
      <c r="K95" s="116">
        <f t="shared" si="26"/>
        <v>14406.989751000048</v>
      </c>
      <c r="L95" s="116">
        <f t="shared" si="26"/>
        <v>14335.272566999707</v>
      </c>
      <c r="M95" s="116">
        <f t="shared" si="26"/>
        <v>14174.068986000026</v>
      </c>
      <c r="N95" s="116">
        <f t="shared" si="26"/>
        <v>13931.383157999982</v>
      </c>
      <c r="O95" s="116">
        <f t="shared" si="26"/>
        <v>13630.747284000345</v>
      </c>
      <c r="P95" s="116">
        <f t="shared" si="26"/>
        <v>13400.067680999786</v>
      </c>
      <c r="Q95" s="116">
        <f t="shared" si="26"/>
        <v>13280.005431000018</v>
      </c>
      <c r="R95" s="116">
        <f t="shared" si="26"/>
        <v>13426.458314726517</v>
      </c>
      <c r="S95" s="116">
        <f t="shared" si="26"/>
        <v>13574.526291703971</v>
      </c>
      <c r="T95" s="116">
        <f t="shared" si="26"/>
        <v>13724.227173301269</v>
      </c>
      <c r="U95" s="116">
        <f t="shared" si="26"/>
        <v>13875.5789673114</v>
      </c>
      <c r="V95" s="116">
        <f t="shared" si="26"/>
        <v>14028.599880118496</v>
      </c>
      <c r="W95" s="116"/>
    </row>
    <row r="96" spans="1:23">
      <c r="A96" s="166" t="s">
        <v>235</v>
      </c>
      <c r="B96" s="223">
        <f>SUM(KeyAssumptions!F4:H4)</f>
        <v>260</v>
      </c>
      <c r="C96" s="116">
        <f t="shared" ref="C96:V96" si="27">MAX(0,($B$96*C60))</f>
        <v>3368999.8645875007</v>
      </c>
      <c r="D96" s="116">
        <f t="shared" si="27"/>
        <v>12019600.649306251</v>
      </c>
      <c r="E96" s="116">
        <f t="shared" si="27"/>
        <v>9595392.9190762565</v>
      </c>
      <c r="F96" s="116">
        <f t="shared" si="27"/>
        <v>7048085.6497837519</v>
      </c>
      <c r="G96" s="116">
        <f t="shared" si="27"/>
        <v>4379795.2775362469</v>
      </c>
      <c r="H96" s="116">
        <f t="shared" si="27"/>
        <v>7011469.8611099934</v>
      </c>
      <c r="I96" s="116">
        <f t="shared" si="27"/>
        <v>581997.10139999574</v>
      </c>
      <c r="J96" s="116">
        <f t="shared" si="27"/>
        <v>578875.48290000588</v>
      </c>
      <c r="K96" s="116">
        <f t="shared" si="27"/>
        <v>573339.38805000216</v>
      </c>
      <c r="L96" s="116">
        <f t="shared" si="27"/>
        <v>570485.33684998809</v>
      </c>
      <c r="M96" s="116">
        <f t="shared" si="27"/>
        <v>564070.09230001422</v>
      </c>
      <c r="N96" s="116">
        <f t="shared" si="27"/>
        <v>554412.18690000416</v>
      </c>
      <c r="O96" s="116">
        <f t="shared" si="27"/>
        <v>542448.10619998665</v>
      </c>
      <c r="P96" s="116">
        <f t="shared" si="27"/>
        <v>533267.99955000577</v>
      </c>
      <c r="Q96" s="116">
        <f t="shared" si="27"/>
        <v>528490.01205000153</v>
      </c>
      <c r="R96" s="116">
        <f t="shared" si="27"/>
        <v>534318.23905543191</v>
      </c>
      <c r="S96" s="116">
        <f t="shared" si="27"/>
        <v>540210.74018007086</v>
      </c>
      <c r="T96" s="116">
        <f t="shared" si="27"/>
        <v>546168.22424361599</v>
      </c>
      <c r="U96" s="116">
        <f t="shared" si="27"/>
        <v>552191.40788280463</v>
      </c>
      <c r="V96" s="116">
        <f t="shared" si="27"/>
        <v>558281.01563735981</v>
      </c>
      <c r="W96" s="116"/>
    </row>
    <row r="97" spans="1:23">
      <c r="A97" s="85" t="str">
        <f>+A61</f>
        <v>d. Water Heating - Switch</v>
      </c>
      <c r="B97" s="223">
        <f>SUM(KeyAssumptions!F5:H5)</f>
        <v>106.4</v>
      </c>
      <c r="C97" s="116">
        <f t="shared" ref="C97:V97" si="28">MAX(0,($B$97*C61))</f>
        <v>4286498.6808567001</v>
      </c>
      <c r="D97" s="116">
        <f t="shared" si="28"/>
        <v>17468462.7169668</v>
      </c>
      <c r="E97" s="116">
        <f t="shared" si="28"/>
        <v>17980070.955046199</v>
      </c>
      <c r="F97" s="116">
        <f t="shared" si="28"/>
        <v>18487191.389713205</v>
      </c>
      <c r="G97" s="116">
        <f t="shared" si="28"/>
        <v>18991320.180594299</v>
      </c>
      <c r="H97" s="116">
        <f t="shared" si="28"/>
        <v>14868238.606174782</v>
      </c>
      <c r="I97" s="116">
        <f t="shared" si="28"/>
        <v>1234159.4477520194</v>
      </c>
      <c r="J97" s="116">
        <f t="shared" si="28"/>
        <v>1227539.8701719795</v>
      </c>
      <c r="K97" s="116">
        <f t="shared" si="28"/>
        <v>1215800.2519740066</v>
      </c>
      <c r="L97" s="116">
        <f t="shared" si="28"/>
        <v>1209748.0667580038</v>
      </c>
      <c r="M97" s="116">
        <f t="shared" si="28"/>
        <v>1196144.159364003</v>
      </c>
      <c r="N97" s="116">
        <f t="shared" si="28"/>
        <v>1175663.996891998</v>
      </c>
      <c r="O97" s="116">
        <f t="shared" si="28"/>
        <v>1150293.4526160068</v>
      </c>
      <c r="P97" s="116">
        <f t="shared" si="28"/>
        <v>1130826.4907939991</v>
      </c>
      <c r="Q97" s="116">
        <f t="shared" si="28"/>
        <v>1120694.4842939905</v>
      </c>
      <c r="R97" s="116">
        <f t="shared" si="28"/>
        <v>1133053.5860920888</v>
      </c>
      <c r="S97" s="116">
        <f t="shared" si="28"/>
        <v>1145548.9849804493</v>
      </c>
      <c r="T97" s="116">
        <f t="shared" si="28"/>
        <v>1158182.184053404</v>
      </c>
      <c r="U97" s="116">
        <f t="shared" si="28"/>
        <v>1170954.7029816762</v>
      </c>
      <c r="V97" s="116">
        <f t="shared" si="28"/>
        <v>1183868.078194947</v>
      </c>
      <c r="W97" s="116"/>
    </row>
    <row r="98" spans="1:23">
      <c r="A98" s="85"/>
      <c r="B98" s="125"/>
      <c r="C98" s="116"/>
      <c r="D98" s="116"/>
      <c r="E98" s="116"/>
      <c r="F98" s="116"/>
      <c r="G98" s="116"/>
      <c r="H98" s="116"/>
      <c r="I98" s="116"/>
      <c r="J98" s="116"/>
      <c r="K98" s="116"/>
      <c r="L98" s="116"/>
      <c r="M98" s="116"/>
      <c r="N98" s="116"/>
      <c r="O98" s="116"/>
      <c r="P98" s="116"/>
      <c r="Q98" s="116"/>
      <c r="R98" s="116"/>
      <c r="S98" s="116"/>
      <c r="T98" s="116"/>
      <c r="U98" s="116"/>
      <c r="V98" s="116"/>
      <c r="W98" s="116"/>
    </row>
    <row r="99" spans="1:23">
      <c r="A99" s="126" t="s">
        <v>274</v>
      </c>
      <c r="B99" s="107"/>
      <c r="C99" s="119">
        <f t="shared" ref="C99:V99" si="29">SUM(C94:C97)</f>
        <v>9224400.1607059501</v>
      </c>
      <c r="D99" s="119">
        <f t="shared" si="29"/>
        <v>35085442.894754171</v>
      </c>
      <c r="E99" s="119">
        <f t="shared" si="29"/>
        <v>32043919.812054981</v>
      </c>
      <c r="F99" s="119">
        <f t="shared" si="29"/>
        <v>28817483.452349633</v>
      </c>
      <c r="G99" s="119">
        <f t="shared" si="29"/>
        <v>25410732.00952027</v>
      </c>
      <c r="H99" s="119">
        <f t="shared" si="29"/>
        <v>25144863.35971497</v>
      </c>
      <c r="I99" s="119">
        <f t="shared" si="29"/>
        <v>2087185.4091000154</v>
      </c>
      <c r="J99" s="119">
        <f t="shared" si="29"/>
        <v>2075990.5138499886</v>
      </c>
      <c r="K99" s="119">
        <f t="shared" si="29"/>
        <v>2056136.7098250105</v>
      </c>
      <c r="L99" s="119">
        <f t="shared" si="29"/>
        <v>2045901.3770249889</v>
      </c>
      <c r="M99" s="119">
        <f t="shared" si="29"/>
        <v>2022894.7249500123</v>
      </c>
      <c r="N99" s="119">
        <f t="shared" si="29"/>
        <v>1988259.0898500066</v>
      </c>
      <c r="O99" s="119">
        <f t="shared" si="29"/>
        <v>1945352.9402999936</v>
      </c>
      <c r="P99" s="119">
        <f t="shared" si="29"/>
        <v>1912430.8095750047</v>
      </c>
      <c r="Q99" s="119">
        <f t="shared" si="29"/>
        <v>1895295.7658249917</v>
      </c>
      <c r="R99" s="119">
        <f t="shared" si="29"/>
        <v>1916197.2279412178</v>
      </c>
      <c r="S99" s="119">
        <f t="shared" si="29"/>
        <v>1937329.1929301533</v>
      </c>
      <c r="T99" s="119">
        <f t="shared" si="29"/>
        <v>1958694.2027944359</v>
      </c>
      <c r="U99" s="119">
        <f t="shared" si="29"/>
        <v>1980294.8275703681</v>
      </c>
      <c r="V99" s="119">
        <f t="shared" si="29"/>
        <v>2002133.6656365767</v>
      </c>
      <c r="W99" s="119"/>
    </row>
    <row r="100" spans="1:23">
      <c r="A100" s="110"/>
      <c r="B100" s="110"/>
      <c r="C100" s="121"/>
      <c r="D100" s="121"/>
      <c r="E100" s="121"/>
      <c r="F100" s="121"/>
      <c r="G100" s="121"/>
      <c r="H100" s="121"/>
      <c r="I100" s="121"/>
      <c r="J100" s="121"/>
      <c r="K100" s="121"/>
      <c r="L100" s="121"/>
      <c r="M100" s="121"/>
      <c r="N100" s="121"/>
      <c r="O100" s="121"/>
      <c r="P100" s="121"/>
      <c r="Q100" s="121"/>
      <c r="R100" s="121"/>
      <c r="S100" s="121"/>
      <c r="T100" s="121"/>
      <c r="U100" s="121"/>
      <c r="V100" s="121"/>
      <c r="W100" s="121"/>
    </row>
    <row r="101" spans="1:23">
      <c r="A101" s="96" t="s">
        <v>273</v>
      </c>
      <c r="B101" s="96"/>
      <c r="C101" s="111"/>
      <c r="D101" s="127"/>
      <c r="E101" s="128"/>
      <c r="F101" s="129"/>
      <c r="G101" s="120"/>
      <c r="H101" s="130"/>
      <c r="I101" s="120"/>
      <c r="J101" s="78"/>
      <c r="L101" s="78"/>
    </row>
    <row r="102" spans="1:23">
      <c r="A102" s="110"/>
      <c r="B102" s="110"/>
      <c r="C102" s="111"/>
      <c r="D102" s="127"/>
      <c r="E102" s="128"/>
      <c r="F102" s="129"/>
      <c r="G102" s="120"/>
      <c r="H102" s="130"/>
      <c r="I102" s="120"/>
      <c r="J102" s="78"/>
      <c r="L102" s="78"/>
    </row>
    <row r="103" spans="1:23">
      <c r="A103" s="525" t="s">
        <v>210</v>
      </c>
      <c r="B103" s="525" t="s">
        <v>339</v>
      </c>
      <c r="C103" s="476" t="s">
        <v>219</v>
      </c>
      <c r="D103" s="476"/>
      <c r="E103" s="476"/>
      <c r="F103" s="476"/>
      <c r="G103" s="476"/>
      <c r="H103" s="476"/>
      <c r="I103" s="476"/>
      <c r="J103" s="476"/>
      <c r="K103" s="476"/>
      <c r="L103" s="476"/>
      <c r="M103" s="476"/>
      <c r="N103" s="476"/>
      <c r="O103" s="476"/>
      <c r="P103" s="476"/>
      <c r="Q103" s="476"/>
      <c r="R103" s="476"/>
      <c r="S103" s="476"/>
      <c r="T103" s="476"/>
      <c r="U103" s="476"/>
      <c r="V103" s="476"/>
      <c r="W103" s="476"/>
    </row>
    <row r="104" spans="1:23">
      <c r="A104" s="525"/>
      <c r="B104" s="525"/>
      <c r="C104" s="318">
        <v>2016</v>
      </c>
      <c r="D104" s="318">
        <v>2017</v>
      </c>
      <c r="E104" s="318">
        <v>2018</v>
      </c>
      <c r="F104" s="318">
        <v>2019</v>
      </c>
      <c r="G104" s="318">
        <v>2020</v>
      </c>
      <c r="H104" s="318">
        <v>2021</v>
      </c>
      <c r="I104" s="318">
        <v>2022</v>
      </c>
      <c r="J104" s="318">
        <v>2023</v>
      </c>
      <c r="K104" s="318">
        <v>2024</v>
      </c>
      <c r="L104" s="318">
        <v>2025</v>
      </c>
      <c r="M104" s="318">
        <v>2026</v>
      </c>
      <c r="N104" s="318">
        <v>2027</v>
      </c>
      <c r="O104" s="318">
        <v>2028</v>
      </c>
      <c r="P104" s="318">
        <v>2029</v>
      </c>
      <c r="Q104" s="318">
        <v>2030</v>
      </c>
      <c r="R104" s="318">
        <v>2031</v>
      </c>
      <c r="S104" s="318">
        <v>2032</v>
      </c>
      <c r="T104" s="318">
        <v>2033</v>
      </c>
      <c r="U104" s="318">
        <v>2034</v>
      </c>
      <c r="V104" s="318">
        <v>2035</v>
      </c>
      <c r="W104" s="318"/>
    </row>
    <row r="105" spans="1:23">
      <c r="A105" s="131"/>
      <c r="B105" s="132"/>
      <c r="C105" s="132"/>
      <c r="D105" s="133"/>
      <c r="E105" s="133"/>
      <c r="F105" s="133"/>
      <c r="G105" s="133"/>
      <c r="H105" s="133"/>
      <c r="I105" s="133"/>
      <c r="J105" s="133"/>
      <c r="K105" s="133"/>
      <c r="L105" s="133"/>
      <c r="M105" s="133"/>
      <c r="N105" s="133"/>
      <c r="O105" s="133"/>
      <c r="P105" s="133"/>
      <c r="Q105" s="133"/>
      <c r="R105" s="133"/>
      <c r="S105" s="133"/>
      <c r="T105" s="133"/>
      <c r="U105" s="133"/>
      <c r="V105" s="133"/>
      <c r="W105" s="133"/>
    </row>
    <row r="106" spans="1:23">
      <c r="A106" s="135" t="str">
        <f>A58</f>
        <v>a. Space Cooling - CAC Switch</v>
      </c>
      <c r="B106" s="136">
        <f>KeyAssumptions!J6</f>
        <v>40</v>
      </c>
      <c r="C106" s="137">
        <f>($B106-IF('7thPlanAssumptions'!$D$14=1,'7thPlanAssumptions'!$B$14,0))*C82*1000</f>
        <v>109669.19139618748</v>
      </c>
      <c r="D106" s="137">
        <f>($B106-IF('7thPlanAssumptions'!$D$14=1,'7thPlanAssumptions'!$B$14,0))*D82*1000</f>
        <v>500936.61113409372</v>
      </c>
      <c r="E106" s="137">
        <f>($B106-IF('7thPlanAssumptions'!$D$14=1,'7thPlanAssumptions'!$B$14,0))*E82*1000</f>
        <v>813290.13587744988</v>
      </c>
      <c r="F106" s="137">
        <f>($B106-IF('7thPlanAssumptions'!$D$14=1,'7thPlanAssumptions'!$B$14,0))*F82*1000</f>
        <v>1042722.5743371937</v>
      </c>
      <c r="G106" s="137">
        <f>($B106-IF('7thPlanAssumptions'!$D$14=1,'7thPlanAssumptions'!$B$14,0))*G82*1000</f>
        <v>1185295.63039965</v>
      </c>
      <c r="H106" s="137">
        <f>($B106-IF('7thPlanAssumptions'!$D$14=1,'7thPlanAssumptions'!$B$14,0))*H82*1000</f>
        <v>1413536.1353189996</v>
      </c>
      <c r="I106" s="137">
        <f>($B106-IF('7thPlanAssumptions'!$D$14=1,'7thPlanAssumptions'!$B$14,0))*I82*1000</f>
        <v>1432481.5654379996</v>
      </c>
      <c r="J106" s="137">
        <f>($B106-IF('7thPlanAssumptions'!$D$14=1,'7thPlanAssumptions'!$B$14,0))*J82*1000</f>
        <v>1451325.3792344998</v>
      </c>
      <c r="K106" s="137">
        <f>($B106-IF('7thPlanAssumptions'!$D$14=1,'7thPlanAssumptions'!$B$14,0))*K82*1000</f>
        <v>1469988.9795937496</v>
      </c>
      <c r="L106" s="137">
        <f>($B106-IF('7thPlanAssumptions'!$D$14=1,'7thPlanAssumptions'!$B$14,0))*L82*1000</f>
        <v>1488559.6736009999</v>
      </c>
      <c r="M106" s="137">
        <f>($B106-IF('7thPlanAssumptions'!$D$14=1,'7thPlanAssumptions'!$B$14,0))*M82*1000</f>
        <v>1506921.5356964993</v>
      </c>
      <c r="N106" s="137">
        <f>($B106-IF('7thPlanAssumptions'!$D$14=1,'7thPlanAssumptions'!$B$14,0))*N82*1000</f>
        <v>1524969.0093329996</v>
      </c>
      <c r="O106" s="137">
        <f>($B106-IF('7thPlanAssumptions'!$D$14=1,'7thPlanAssumptions'!$B$14,0))*O82*1000</f>
        <v>1542627.0228599997</v>
      </c>
      <c r="P106" s="137">
        <f>($B106-IF('7thPlanAssumptions'!$D$14=1,'7thPlanAssumptions'!$B$14,0))*P82*1000</f>
        <v>1559986.2014467497</v>
      </c>
      <c r="Q106" s="137">
        <f>($B106-IF('7thPlanAssumptions'!$D$14=1,'7thPlanAssumptions'!$B$14,0))*Q82*1000</f>
        <v>1577189.8448459997</v>
      </c>
      <c r="R106" s="137">
        <f>($B106-IF('7thPlanAssumptions'!$D$14=1,'7thPlanAssumptions'!$B$14,0))*R82*1000</f>
        <v>1594583.2112991679</v>
      </c>
      <c r="S106" s="137">
        <f>($B106-IF('7thPlanAssumptions'!$D$14=1,'7thPlanAssumptions'!$B$14,0))*S82*1000</f>
        <v>1612168.3930861482</v>
      </c>
      <c r="T106" s="137">
        <f>($B106-IF('7thPlanAssumptions'!$D$14=1,'7thPlanAssumptions'!$B$14,0))*T82*1000</f>
        <v>1629947.5055606521</v>
      </c>
      <c r="U106" s="137">
        <f>($B106-IF('7thPlanAssumptions'!$D$14=1,'7thPlanAssumptions'!$B$14,0))*U82*1000</f>
        <v>1647922.6874046691</v>
      </c>
      <c r="V106" s="137">
        <f>($B106-IF('7thPlanAssumptions'!$D$14=1,'7thPlanAssumptions'!$B$14,0))*V82*1000</f>
        <v>1666096.1008857316</v>
      </c>
      <c r="W106" s="137"/>
    </row>
    <row r="107" spans="1:23">
      <c r="A107" s="135" t="str">
        <f>A59</f>
        <v>b. Space Cooling - RAC Switch</v>
      </c>
      <c r="B107" s="136">
        <f>KeyAssumptions!J7</f>
        <v>40</v>
      </c>
      <c r="C107" s="137">
        <f>($B107-IF('7thPlanAssumptions'!$D$14=1,'7thPlanAssumptions'!$B$14,0))*C83*1000</f>
        <v>4935.113612828437</v>
      </c>
      <c r="D107" s="137">
        <f>($B107-IF('7thPlanAssumptions'!$D$14=1,'7thPlanAssumptions'!$B$14,0))*D83*1000</f>
        <v>22542.147501034215</v>
      </c>
      <c r="E107" s="137">
        <f>($B107-IF('7thPlanAssumptions'!$D$14=1,'7thPlanAssumptions'!$B$14,0))*E83*1000</f>
        <v>36598.056114485262</v>
      </c>
      <c r="F107" s="137">
        <f>($B107-IF('7thPlanAssumptions'!$D$14=1,'7thPlanAssumptions'!$B$14,0))*F83*1000</f>
        <v>46922.51584517373</v>
      </c>
      <c r="G107" s="137">
        <f>($B107-IF('7thPlanAssumptions'!$D$14=1,'7thPlanAssumptions'!$B$14,0))*G83*1000</f>
        <v>53338.303367984256</v>
      </c>
      <c r="H107" s="137">
        <f>($B107-IF('7thPlanAssumptions'!$D$14=1,'7thPlanAssumptions'!$B$14,0))*H83*1000</f>
        <v>63609.126089354984</v>
      </c>
      <c r="I107" s="137">
        <f>($B107-IF('7thPlanAssumptions'!$D$14=1,'7thPlanAssumptions'!$B$14,0))*I83*1000</f>
        <v>64461.670444709998</v>
      </c>
      <c r="J107" s="137">
        <f>($B107-IF('7thPlanAssumptions'!$D$14=1,'7thPlanAssumptions'!$B$14,0))*J83*1000</f>
        <v>65309.642065552493</v>
      </c>
      <c r="K107" s="137">
        <f>($B107-IF('7thPlanAssumptions'!$D$14=1,'7thPlanAssumptions'!$B$14,0))*K83*1000</f>
        <v>66149.504081718755</v>
      </c>
      <c r="L107" s="137">
        <f>($B107-IF('7thPlanAssumptions'!$D$14=1,'7thPlanAssumptions'!$B$14,0))*L83*1000</f>
        <v>66985.185312044981</v>
      </c>
      <c r="M107" s="137">
        <f>($B107-IF('7thPlanAssumptions'!$D$14=1,'7thPlanAssumptions'!$B$14,0))*M83*1000</f>
        <v>67811.469106342483</v>
      </c>
      <c r="N107" s="137">
        <f>($B107-IF('7thPlanAssumptions'!$D$14=1,'7thPlanAssumptions'!$B$14,0))*N83*1000</f>
        <v>68623.60541998499</v>
      </c>
      <c r="O107" s="137">
        <f>($B107-IF('7thPlanAssumptions'!$D$14=1,'7thPlanAssumptions'!$B$14,0))*O83*1000</f>
        <v>69418.216028700001</v>
      </c>
      <c r="P107" s="137">
        <f>($B107-IF('7thPlanAssumptions'!$D$14=1,'7thPlanAssumptions'!$B$14,0))*P83*1000</f>
        <v>70199.379065103742</v>
      </c>
      <c r="Q107" s="137">
        <f>($B107-IF('7thPlanAssumptions'!$D$14=1,'7thPlanAssumptions'!$B$14,0))*Q83*1000</f>
        <v>70973.543018069991</v>
      </c>
      <c r="R107" s="137">
        <f>($B107-IF('7thPlanAssumptions'!$D$14=1,'7thPlanAssumptions'!$B$14,0))*R83*1000</f>
        <v>71756.244508462565</v>
      </c>
      <c r="S107" s="137">
        <f>($B107-IF('7thPlanAssumptions'!$D$14=1,'7thPlanAssumptions'!$B$14,0))*S83*1000</f>
        <v>72547.57768887667</v>
      </c>
      <c r="T107" s="137">
        <f>($B107-IF('7thPlanAssumptions'!$D$14=1,'7thPlanAssumptions'!$B$14,0))*T83*1000</f>
        <v>73347.637750229347</v>
      </c>
      <c r="U107" s="137">
        <f>($B107-IF('7thPlanAssumptions'!$D$14=1,'7thPlanAssumptions'!$B$14,0))*U83*1000</f>
        <v>74156.520933210122</v>
      </c>
      <c r="V107" s="137">
        <f>($B107-IF('7thPlanAssumptions'!$D$14=1,'7thPlanAssumptions'!$B$14,0))*V83*1000</f>
        <v>74974.324539857931</v>
      </c>
      <c r="W107" s="137"/>
    </row>
    <row r="108" spans="1:23">
      <c r="A108" s="135" t="str">
        <f>A60</f>
        <v>c. Space Heating - Switch</v>
      </c>
      <c r="B108" s="136">
        <f>KeyAssumptions!J4</f>
        <v>38</v>
      </c>
      <c r="C108" s="137">
        <f>($B108-IF('7thPlanAssumptions'!$D$14=1,'7thPlanAssumptions'!$B$14,0))*C84*1000</f>
        <v>257028.77428445255</v>
      </c>
      <c r="D108" s="137">
        <f>($B108-IF('7thPlanAssumptions'!$D$14=1,'7thPlanAssumptions'!$B$14,0))*D84*1000</f>
        <v>1174031.8453599862</v>
      </c>
      <c r="E108" s="137">
        <f>($B108-IF('7thPlanAssumptions'!$D$14=1,'7thPlanAssumptions'!$B$14,0))*E84*1000</f>
        <v>1906086.5143707427</v>
      </c>
      <c r="F108" s="137">
        <f>($B108-IF('7thPlanAssumptions'!$D$14=1,'7thPlanAssumptions'!$B$14,0))*F84*1000</f>
        <v>2443801.2334057828</v>
      </c>
      <c r="G108" s="137">
        <f>($B108-IF('7thPlanAssumptions'!$D$14=1,'7thPlanAssumptions'!$B$14,0))*G84*1000</f>
        <v>2777945.9223488942</v>
      </c>
      <c r="H108" s="137">
        <f>($B108-IF('7thPlanAssumptions'!$D$14=1,'7thPlanAssumptions'!$B$14,0))*H84*1000</f>
        <v>3312867.1383680394</v>
      </c>
      <c r="I108" s="137">
        <f>($B108-IF('7thPlanAssumptions'!$D$14=1,'7thPlanAssumptions'!$B$14,0))*I84*1000</f>
        <v>3357269.0403040797</v>
      </c>
      <c r="J108" s="137">
        <f>($B108-IF('7thPlanAssumptions'!$D$14=1,'7thPlanAssumptions'!$B$14,0))*J84*1000</f>
        <v>3401432.7867610198</v>
      </c>
      <c r="K108" s="137">
        <f>($B108-IF('7thPlanAssumptions'!$D$14=1,'7thPlanAssumptions'!$B$14,0))*K84*1000</f>
        <v>3445174.1717662499</v>
      </c>
      <c r="L108" s="137">
        <f>($B108-IF('7thPlanAssumptions'!$D$14=1,'7thPlanAssumptions'!$B$14,0))*L84*1000</f>
        <v>3488697.8146191593</v>
      </c>
      <c r="M108" s="137">
        <f>($B108-IF('7thPlanAssumptions'!$D$14=1,'7thPlanAssumptions'!$B$14,0))*M84*1000</f>
        <v>3531732.0236609401</v>
      </c>
      <c r="N108" s="137">
        <f>($B108-IF('7thPlanAssumptions'!$D$14=1,'7thPlanAssumptions'!$B$14,0))*N84*1000</f>
        <v>3574029.4088122803</v>
      </c>
      <c r="O108" s="137">
        <f>($B108-IF('7thPlanAssumptions'!$D$14=1,'7thPlanAssumptions'!$B$14,0))*O84*1000</f>
        <v>3615414.0266375993</v>
      </c>
      <c r="P108" s="137">
        <f>($B108-IF('7thPlanAssumptions'!$D$14=1,'7thPlanAssumptions'!$B$14,0))*P84*1000</f>
        <v>3656098.27294173</v>
      </c>
      <c r="Q108" s="137">
        <f>($B108-IF('7thPlanAssumptions'!$D$14=1,'7thPlanAssumptions'!$B$14,0))*Q84*1000</f>
        <v>3696417.9955533599</v>
      </c>
      <c r="R108" s="137">
        <f>($B108-IF('7thPlanAssumptions'!$D$14=1,'7thPlanAssumptions'!$B$14,0))*R84*1000</f>
        <v>3737182.3670529895</v>
      </c>
      <c r="S108" s="137">
        <f>($B108-IF('7thPlanAssumptions'!$D$14=1,'7thPlanAssumptions'!$B$14,0))*S84*1000</f>
        <v>3778396.2910614964</v>
      </c>
      <c r="T108" s="137">
        <f>($B108-IF('7thPlanAssumptions'!$D$14=1,'7thPlanAssumptions'!$B$14,0))*T84*1000</f>
        <v>3820064.725277252</v>
      </c>
      <c r="U108" s="137">
        <f>($B108-IF('7thPlanAssumptions'!$D$14=1,'7thPlanAssumptions'!$B$14,0))*U84*1000</f>
        <v>3862192.6820724956</v>
      </c>
      <c r="V108" s="137">
        <f>($B108-IF('7thPlanAssumptions'!$D$14=1,'7thPlanAssumptions'!$B$14,0))*V84*1000</f>
        <v>3904785.2290962748</v>
      </c>
      <c r="W108" s="137"/>
    </row>
    <row r="109" spans="1:23">
      <c r="A109" s="135" t="str">
        <f>A61</f>
        <v>d. Water Heating - Switch</v>
      </c>
      <c r="B109" s="136">
        <f>KeyAssumptions!J5</f>
        <v>33.793103448275865</v>
      </c>
      <c r="C109" s="137">
        <f>($B109-IF('7thPlanAssumptions'!$D$14=1,'7thPlanAssumptions'!$B$14,0))*C85*1000</f>
        <v>172990.83962028832</v>
      </c>
      <c r="D109" s="137">
        <f>($B109-IF('7thPlanAssumptions'!$D$14=1,'7thPlanAssumptions'!$B$14,0))*D85*1000</f>
        <v>877968.08498359146</v>
      </c>
      <c r="E109" s="137">
        <f>($B109-IF('7thPlanAssumptions'!$D$14=1,'7thPlanAssumptions'!$B$14,0))*E85*1000</f>
        <v>1603592.3770979561</v>
      </c>
      <c r="F109" s="137">
        <f>($B109-IF('7thPlanAssumptions'!$D$14=1,'7thPlanAssumptions'!$B$14,0))*F85*1000</f>
        <v>2349682.6010399535</v>
      </c>
      <c r="G109" s="137">
        <f>($B109-IF('7thPlanAssumptions'!$D$14=1,'7thPlanAssumptions'!$B$14,0))*G85*1000</f>
        <v>3116118.022613938</v>
      </c>
      <c r="H109" s="137">
        <f>($B109-IF('7thPlanAssumptions'!$D$14=1,'7thPlanAssumptions'!$B$14,0))*H85*1000</f>
        <v>3716157.6520774201</v>
      </c>
      <c r="I109" s="137">
        <f>($B109-IF('7thPlanAssumptions'!$D$14=1,'7thPlanAssumptions'!$B$14,0))*I85*1000</f>
        <v>3765964.8012188408</v>
      </c>
      <c r="J109" s="137">
        <f>($B109-IF('7thPlanAssumptions'!$D$14=1,'7thPlanAssumptions'!$B$14,0))*J85*1000</f>
        <v>3815504.8031222099</v>
      </c>
      <c r="K109" s="137">
        <f>($B109-IF('7thPlanAssumptions'!$D$14=1,'7thPlanAssumptions'!$B$14,0))*K85*1000</f>
        <v>3864571.0275768754</v>
      </c>
      <c r="L109" s="137">
        <f>($B109-IF('7thPlanAssumptions'!$D$14=1,'7thPlanAssumptions'!$B$14,0))*L85*1000</f>
        <v>3913393.0031281807</v>
      </c>
      <c r="M109" s="137">
        <f>($B109-IF('7thPlanAssumptions'!$D$14=1,'7thPlanAssumptions'!$B$14,0))*M85*1000</f>
        <v>3961665.9638453713</v>
      </c>
      <c r="N109" s="137">
        <f>($B109-IF('7thPlanAssumptions'!$D$14=1,'7thPlanAssumptions'!$B$14,0))*N85*1000</f>
        <v>4009112.4037199412</v>
      </c>
      <c r="O109" s="137">
        <f>($B109-IF('7thPlanAssumptions'!$D$14=1,'7thPlanAssumptions'!$B$14,0))*O85*1000</f>
        <v>4055534.9609148009</v>
      </c>
      <c r="P109" s="137">
        <f>($B109-IF('7thPlanAssumptions'!$D$14=1,'7thPlanAssumptions'!$B$14,0))*P85*1000</f>
        <v>4101171.8871504162</v>
      </c>
      <c r="Q109" s="137">
        <f>($B109-IF('7thPlanAssumptions'!$D$14=1,'7thPlanAssumptions'!$B$14,0))*Q85*1000</f>
        <v>4146399.9145522811</v>
      </c>
      <c r="R109" s="137">
        <f>($B109-IF('7thPlanAssumptions'!$D$14=1,'7thPlanAssumptions'!$B$14,0))*R85*1000</f>
        <v>4192126.7199909971</v>
      </c>
      <c r="S109" s="137">
        <f>($B109-IF('7thPlanAssumptions'!$D$14=1,'7thPlanAssumptions'!$B$14,0))*S85*1000</f>
        <v>4238357.8040277073</v>
      </c>
      <c r="T109" s="137">
        <f>($B109-IF('7thPlanAssumptions'!$D$14=1,'7thPlanAssumptions'!$B$14,0))*T85*1000</f>
        <v>4285098.7278841492</v>
      </c>
      <c r="U109" s="137">
        <f>($B109-IF('7thPlanAssumptions'!$D$14=1,'7thPlanAssumptions'!$B$14,0))*U85*1000</f>
        <v>4332355.1141116237</v>
      </c>
      <c r="V109" s="137">
        <f>($B109-IF('7thPlanAssumptions'!$D$14=1,'7thPlanAssumptions'!$B$14,0))*V85*1000</f>
        <v>4380132.6472673481</v>
      </c>
      <c r="W109" s="137"/>
    </row>
    <row r="110" spans="1:23">
      <c r="A110" s="135"/>
      <c r="B110" s="136"/>
      <c r="C110" s="137"/>
      <c r="D110" s="137"/>
      <c r="E110" s="137"/>
      <c r="F110" s="137"/>
      <c r="G110" s="137"/>
      <c r="H110" s="137"/>
      <c r="I110" s="137"/>
      <c r="J110" s="137"/>
      <c r="K110" s="137"/>
      <c r="L110" s="137"/>
      <c r="M110" s="137"/>
      <c r="N110" s="137"/>
      <c r="O110" s="137"/>
      <c r="P110" s="137"/>
      <c r="Q110" s="137"/>
      <c r="R110" s="137"/>
      <c r="S110" s="137"/>
      <c r="T110" s="137"/>
      <c r="U110" s="137"/>
      <c r="V110" s="137"/>
      <c r="W110" s="137"/>
    </row>
    <row r="111" spans="1:23">
      <c r="A111" s="143" t="s">
        <v>220</v>
      </c>
      <c r="B111" s="144"/>
      <c r="C111" s="145">
        <f t="shared" ref="C111:V111" si="30">SUM(C106:C109)</f>
        <v>544623.91891375685</v>
      </c>
      <c r="D111" s="145">
        <f t="shared" si="30"/>
        <v>2575478.6889787056</v>
      </c>
      <c r="E111" s="145">
        <f t="shared" si="30"/>
        <v>4359567.0834606336</v>
      </c>
      <c r="F111" s="145">
        <f t="shared" si="30"/>
        <v>5883128.9246281041</v>
      </c>
      <c r="G111" s="145">
        <f t="shared" si="30"/>
        <v>7132697.8787304666</v>
      </c>
      <c r="H111" s="145">
        <f t="shared" si="30"/>
        <v>8506170.0518538132</v>
      </c>
      <c r="I111" s="145">
        <f t="shared" si="30"/>
        <v>8620177.0774056297</v>
      </c>
      <c r="J111" s="145">
        <f t="shared" si="30"/>
        <v>8733572.611183282</v>
      </c>
      <c r="K111" s="145">
        <f t="shared" si="30"/>
        <v>8845883.6830185931</v>
      </c>
      <c r="L111" s="145">
        <f t="shared" si="30"/>
        <v>8957635.676660385</v>
      </c>
      <c r="M111" s="145">
        <f t="shared" si="30"/>
        <v>9068130.9923091531</v>
      </c>
      <c r="N111" s="145">
        <f t="shared" si="30"/>
        <v>9176734.4272852056</v>
      </c>
      <c r="O111" s="145">
        <f t="shared" si="30"/>
        <v>9282994.2264411002</v>
      </c>
      <c r="P111" s="145">
        <f t="shared" si="30"/>
        <v>9387455.7406040002</v>
      </c>
      <c r="Q111" s="145">
        <f t="shared" si="30"/>
        <v>9490981.2979697101</v>
      </c>
      <c r="R111" s="145">
        <f t="shared" si="30"/>
        <v>9595648.5428516176</v>
      </c>
      <c r="S111" s="145">
        <f t="shared" si="30"/>
        <v>9701470.0658642277</v>
      </c>
      <c r="T111" s="145">
        <f t="shared" si="30"/>
        <v>9808458.596472282</v>
      </c>
      <c r="U111" s="145">
        <f t="shared" si="30"/>
        <v>9916627.0045219995</v>
      </c>
      <c r="V111" s="145">
        <f t="shared" si="30"/>
        <v>10025988.301789213</v>
      </c>
      <c r="W111" s="145"/>
    </row>
    <row r="112" spans="1:23">
      <c r="A112" s="120"/>
      <c r="B112" s="120"/>
      <c r="C112" s="319">
        <f>NPV(4%,'Res-Capacity-Base'!$C$106:$W$106)/NPV(4%,C82:W82)/1000</f>
        <v>14.000000000000002</v>
      </c>
      <c r="D112" s="146"/>
      <c r="E112" s="146"/>
      <c r="F112" s="146"/>
      <c r="G112" s="146"/>
      <c r="H112" s="146"/>
      <c r="I112" s="146"/>
      <c r="J112" s="146"/>
      <c r="K112" s="146"/>
      <c r="L112" s="146"/>
      <c r="M112" s="146"/>
      <c r="N112" s="146"/>
      <c r="O112" s="146"/>
      <c r="P112" s="146"/>
      <c r="Q112" s="146"/>
      <c r="R112" s="146"/>
      <c r="S112" s="146"/>
      <c r="T112" s="146"/>
      <c r="U112" s="146"/>
      <c r="V112" s="146"/>
      <c r="W112" s="146"/>
    </row>
    <row r="113" spans="1:23">
      <c r="A113" s="96" t="s">
        <v>304</v>
      </c>
      <c r="B113" s="96"/>
      <c r="C113" s="111"/>
      <c r="D113" s="127"/>
      <c r="E113" s="128"/>
      <c r="F113" s="190"/>
      <c r="G113" s="120"/>
      <c r="H113" s="130"/>
      <c r="I113" s="120"/>
      <c r="J113" s="78"/>
      <c r="L113" s="78"/>
    </row>
    <row r="114" spans="1:23">
      <c r="A114" s="110"/>
      <c r="B114" s="110"/>
      <c r="C114" s="111"/>
      <c r="D114" s="127"/>
      <c r="E114" s="128"/>
      <c r="F114" s="129"/>
      <c r="G114" s="120"/>
      <c r="H114" s="130"/>
      <c r="I114" s="120"/>
      <c r="J114" s="78"/>
      <c r="L114" s="78"/>
    </row>
    <row r="115" spans="1:23">
      <c r="A115" s="525" t="s">
        <v>210</v>
      </c>
      <c r="B115" s="525"/>
      <c r="C115" s="316">
        <v>2016</v>
      </c>
      <c r="D115" s="316">
        <v>2017</v>
      </c>
      <c r="E115" s="316">
        <v>2018</v>
      </c>
      <c r="F115" s="316">
        <v>2019</v>
      </c>
      <c r="G115" s="316">
        <v>2020</v>
      </c>
      <c r="H115" s="316">
        <v>2021</v>
      </c>
      <c r="I115" s="316">
        <v>2022</v>
      </c>
      <c r="J115" s="316">
        <v>2023</v>
      </c>
      <c r="K115" s="316">
        <v>2024</v>
      </c>
      <c r="L115" s="316">
        <v>2025</v>
      </c>
      <c r="M115" s="316">
        <v>2026</v>
      </c>
      <c r="N115" s="316">
        <v>2027</v>
      </c>
      <c r="O115" s="316">
        <v>2028</v>
      </c>
      <c r="P115" s="316">
        <v>2029</v>
      </c>
      <c r="Q115" s="316">
        <v>2030</v>
      </c>
      <c r="R115" s="316">
        <v>2031</v>
      </c>
      <c r="S115" s="316">
        <v>2032</v>
      </c>
      <c r="T115" s="316">
        <v>2033</v>
      </c>
      <c r="U115" s="316">
        <v>2034</v>
      </c>
      <c r="V115" s="316">
        <v>2035</v>
      </c>
      <c r="W115" s="316"/>
    </row>
    <row r="116" spans="1:23">
      <c r="A116" s="118" t="s">
        <v>274</v>
      </c>
      <c r="B116" s="226"/>
      <c r="C116" s="148">
        <f t="shared" ref="C116:V116" si="31">C99</f>
        <v>9224400.1607059501</v>
      </c>
      <c r="D116" s="148">
        <f t="shared" si="31"/>
        <v>35085442.894754171</v>
      </c>
      <c r="E116" s="148">
        <f t="shared" si="31"/>
        <v>32043919.812054981</v>
      </c>
      <c r="F116" s="148">
        <f t="shared" si="31"/>
        <v>28817483.452349633</v>
      </c>
      <c r="G116" s="148">
        <f t="shared" si="31"/>
        <v>25410732.00952027</v>
      </c>
      <c r="H116" s="148">
        <f t="shared" si="31"/>
        <v>25144863.35971497</v>
      </c>
      <c r="I116" s="148">
        <f t="shared" si="31"/>
        <v>2087185.4091000154</v>
      </c>
      <c r="J116" s="148">
        <f t="shared" si="31"/>
        <v>2075990.5138499886</v>
      </c>
      <c r="K116" s="148">
        <f t="shared" si="31"/>
        <v>2056136.7098250105</v>
      </c>
      <c r="L116" s="148">
        <f t="shared" si="31"/>
        <v>2045901.3770249889</v>
      </c>
      <c r="M116" s="148">
        <f t="shared" si="31"/>
        <v>2022894.7249500123</v>
      </c>
      <c r="N116" s="148">
        <f t="shared" si="31"/>
        <v>1988259.0898500066</v>
      </c>
      <c r="O116" s="148">
        <f t="shared" si="31"/>
        <v>1945352.9402999936</v>
      </c>
      <c r="P116" s="148">
        <f t="shared" si="31"/>
        <v>1912430.8095750047</v>
      </c>
      <c r="Q116" s="148">
        <f t="shared" si="31"/>
        <v>1895295.7658249917</v>
      </c>
      <c r="R116" s="148">
        <f t="shared" si="31"/>
        <v>1916197.2279412178</v>
      </c>
      <c r="S116" s="148">
        <f t="shared" si="31"/>
        <v>1937329.1929301533</v>
      </c>
      <c r="T116" s="148">
        <f t="shared" si="31"/>
        <v>1958694.2027944359</v>
      </c>
      <c r="U116" s="148">
        <f t="shared" si="31"/>
        <v>1980294.8275703681</v>
      </c>
      <c r="V116" s="148">
        <f t="shared" si="31"/>
        <v>2002133.6656365767</v>
      </c>
      <c r="W116" s="148"/>
    </row>
    <row r="117" spans="1:23">
      <c r="A117" s="118" t="str">
        <f>A111</f>
        <v>TOTAL IMPLEMENTATION COST</v>
      </c>
      <c r="B117" s="226"/>
      <c r="C117" s="148">
        <f t="shared" ref="C117:V117" si="32">C111</f>
        <v>544623.91891375685</v>
      </c>
      <c r="D117" s="148">
        <f t="shared" si="32"/>
        <v>2575478.6889787056</v>
      </c>
      <c r="E117" s="148">
        <f t="shared" si="32"/>
        <v>4359567.0834606336</v>
      </c>
      <c r="F117" s="148">
        <f t="shared" si="32"/>
        <v>5883128.9246281041</v>
      </c>
      <c r="G117" s="148">
        <f t="shared" si="32"/>
        <v>7132697.8787304666</v>
      </c>
      <c r="H117" s="148">
        <f t="shared" si="32"/>
        <v>8506170.0518538132</v>
      </c>
      <c r="I117" s="148">
        <f t="shared" si="32"/>
        <v>8620177.0774056297</v>
      </c>
      <c r="J117" s="148">
        <f t="shared" si="32"/>
        <v>8733572.611183282</v>
      </c>
      <c r="K117" s="148">
        <f t="shared" si="32"/>
        <v>8845883.6830185931</v>
      </c>
      <c r="L117" s="148">
        <f t="shared" si="32"/>
        <v>8957635.676660385</v>
      </c>
      <c r="M117" s="148">
        <f t="shared" si="32"/>
        <v>9068130.9923091531</v>
      </c>
      <c r="N117" s="148">
        <f t="shared" si="32"/>
        <v>9176734.4272852056</v>
      </c>
      <c r="O117" s="148">
        <f t="shared" si="32"/>
        <v>9282994.2264411002</v>
      </c>
      <c r="P117" s="148">
        <f t="shared" si="32"/>
        <v>9387455.7406040002</v>
      </c>
      <c r="Q117" s="148">
        <f t="shared" si="32"/>
        <v>9490981.2979697101</v>
      </c>
      <c r="R117" s="148">
        <f t="shared" si="32"/>
        <v>9595648.5428516176</v>
      </c>
      <c r="S117" s="148">
        <f t="shared" si="32"/>
        <v>9701470.0658642277</v>
      </c>
      <c r="T117" s="148">
        <f t="shared" si="32"/>
        <v>9808458.596472282</v>
      </c>
      <c r="U117" s="148">
        <f t="shared" si="32"/>
        <v>9916627.0045219995</v>
      </c>
      <c r="V117" s="148">
        <f t="shared" si="32"/>
        <v>10025988.301789213</v>
      </c>
      <c r="W117" s="148"/>
    </row>
    <row r="118" spans="1:23">
      <c r="A118" s="226" t="s">
        <v>222</v>
      </c>
      <c r="B118" s="226"/>
      <c r="C118" s="150">
        <f t="shared" ref="C118:V118" si="33">SUM(C116:C117)</f>
        <v>9769024.0796197075</v>
      </c>
      <c r="D118" s="150">
        <f t="shared" si="33"/>
        <v>37660921.583732873</v>
      </c>
      <c r="E118" s="150">
        <f t="shared" si="33"/>
        <v>36403486.895515613</v>
      </c>
      <c r="F118" s="150">
        <f t="shared" si="33"/>
        <v>34700612.376977734</v>
      </c>
      <c r="G118" s="150">
        <f t="shared" si="33"/>
        <v>32543429.888250738</v>
      </c>
      <c r="H118" s="150">
        <f t="shared" si="33"/>
        <v>33651033.411568783</v>
      </c>
      <c r="I118" s="150">
        <f t="shared" si="33"/>
        <v>10707362.486505644</v>
      </c>
      <c r="J118" s="150">
        <f t="shared" si="33"/>
        <v>10809563.125033271</v>
      </c>
      <c r="K118" s="150">
        <f t="shared" si="33"/>
        <v>10902020.392843604</v>
      </c>
      <c r="L118" s="150">
        <f t="shared" si="33"/>
        <v>11003537.053685375</v>
      </c>
      <c r="M118" s="150">
        <f t="shared" si="33"/>
        <v>11091025.717259165</v>
      </c>
      <c r="N118" s="150">
        <f t="shared" si="33"/>
        <v>11164993.517135212</v>
      </c>
      <c r="O118" s="150">
        <f t="shared" si="33"/>
        <v>11228347.166741094</v>
      </c>
      <c r="P118" s="150">
        <f t="shared" si="33"/>
        <v>11299886.550179005</v>
      </c>
      <c r="Q118" s="150">
        <f t="shared" si="33"/>
        <v>11386277.063794702</v>
      </c>
      <c r="R118" s="150">
        <f t="shared" si="33"/>
        <v>11511845.770792834</v>
      </c>
      <c r="S118" s="150">
        <f t="shared" si="33"/>
        <v>11638799.25879438</v>
      </c>
      <c r="T118" s="150">
        <f t="shared" si="33"/>
        <v>11767152.799266718</v>
      </c>
      <c r="U118" s="150">
        <f t="shared" si="33"/>
        <v>11896921.832092367</v>
      </c>
      <c r="V118" s="150">
        <f t="shared" si="33"/>
        <v>12028121.96742579</v>
      </c>
      <c r="W118" s="150"/>
    </row>
  </sheetData>
  <mergeCells count="15">
    <mergeCell ref="A103:A104"/>
    <mergeCell ref="B103:B104"/>
    <mergeCell ref="C103:W103"/>
    <mergeCell ref="A115:B115"/>
    <mergeCell ref="A1:W1"/>
    <mergeCell ref="C4:W4"/>
    <mergeCell ref="C55:W55"/>
    <mergeCell ref="A67:A68"/>
    <mergeCell ref="B67:B68"/>
    <mergeCell ref="C67:W67"/>
    <mergeCell ref="B79:B80"/>
    <mergeCell ref="C79:W79"/>
    <mergeCell ref="A91:A92"/>
    <mergeCell ref="B91:B92"/>
    <mergeCell ref="C91:W91"/>
  </mergeCells>
  <pageMargins left="0.75" right="0.75" top="1" bottom="1" header="0.5" footer="0.5"/>
  <pageSetup orientation="portrait" r:id="rId1"/>
  <headerFooter alignWithMargins="0"/>
</worksheet>
</file>

<file path=xl/worksheets/sheet14.xml><?xml version="1.0" encoding="utf-8"?>
<worksheet xmlns="http://schemas.openxmlformats.org/spreadsheetml/2006/main" xmlns:r="http://schemas.openxmlformats.org/officeDocument/2006/relationships">
  <sheetPr>
    <tabColor theme="5" tint="0.39997558519241921"/>
  </sheetPr>
  <dimension ref="A1:W86"/>
  <sheetViews>
    <sheetView topLeftCell="B1" workbookViewId="0">
      <selection activeCell="C6" sqref="C6"/>
    </sheetView>
  </sheetViews>
  <sheetFormatPr defaultRowHeight="12.75"/>
  <cols>
    <col min="1" max="1" width="35.85546875" style="76" customWidth="1"/>
    <col min="2" max="2" width="34.7109375" style="76" bestFit="1" customWidth="1"/>
    <col min="3" max="3" width="20.28515625" style="76" customWidth="1"/>
    <col min="4" max="4" width="15" style="76" customWidth="1"/>
    <col min="5" max="5" width="17" style="76" bestFit="1" customWidth="1"/>
    <col min="6" max="7" width="12.85546875" style="76" customWidth="1"/>
    <col min="8" max="8" width="13.7109375" style="76" customWidth="1"/>
    <col min="9" max="23" width="12.85546875" style="76" customWidth="1"/>
    <col min="24" max="255" width="9.140625" style="76"/>
    <col min="256" max="256" width="33.85546875" style="76" customWidth="1"/>
    <col min="257" max="257" width="19.28515625" style="76" customWidth="1"/>
    <col min="258" max="279" width="12.85546875" style="76" customWidth="1"/>
    <col min="280" max="511" width="9.140625" style="76"/>
    <col min="512" max="512" width="33.85546875" style="76" customWidth="1"/>
    <col min="513" max="513" width="19.28515625" style="76" customWidth="1"/>
    <col min="514" max="535" width="12.85546875" style="76" customWidth="1"/>
    <col min="536" max="767" width="9.140625" style="76"/>
    <col min="768" max="768" width="33.85546875" style="76" customWidth="1"/>
    <col min="769" max="769" width="19.28515625" style="76" customWidth="1"/>
    <col min="770" max="791" width="12.85546875" style="76" customWidth="1"/>
    <col min="792" max="1023" width="9.140625" style="76"/>
    <col min="1024" max="1024" width="33.85546875" style="76" customWidth="1"/>
    <col min="1025" max="1025" width="19.28515625" style="76" customWidth="1"/>
    <col min="1026" max="1047" width="12.85546875" style="76" customWidth="1"/>
    <col min="1048" max="1279" width="9.140625" style="76"/>
    <col min="1280" max="1280" width="33.85546875" style="76" customWidth="1"/>
    <col min="1281" max="1281" width="19.28515625" style="76" customWidth="1"/>
    <col min="1282" max="1303" width="12.85546875" style="76" customWidth="1"/>
    <col min="1304" max="1535" width="9.140625" style="76"/>
    <col min="1536" max="1536" width="33.85546875" style="76" customWidth="1"/>
    <col min="1537" max="1537" width="19.28515625" style="76" customWidth="1"/>
    <col min="1538" max="1559" width="12.85546875" style="76" customWidth="1"/>
    <col min="1560" max="1791" width="9.140625" style="76"/>
    <col min="1792" max="1792" width="33.85546875" style="76" customWidth="1"/>
    <col min="1793" max="1793" width="19.28515625" style="76" customWidth="1"/>
    <col min="1794" max="1815" width="12.85546875" style="76" customWidth="1"/>
    <col min="1816" max="2047" width="9.140625" style="76"/>
    <col min="2048" max="2048" width="33.85546875" style="76" customWidth="1"/>
    <col min="2049" max="2049" width="19.28515625" style="76" customWidth="1"/>
    <col min="2050" max="2071" width="12.85546875" style="76" customWidth="1"/>
    <col min="2072" max="2303" width="9.140625" style="76"/>
    <col min="2304" max="2304" width="33.85546875" style="76" customWidth="1"/>
    <col min="2305" max="2305" width="19.28515625" style="76" customWidth="1"/>
    <col min="2306" max="2327" width="12.85546875" style="76" customWidth="1"/>
    <col min="2328" max="2559" width="9.140625" style="76"/>
    <col min="2560" max="2560" width="33.85546875" style="76" customWidth="1"/>
    <col min="2561" max="2561" width="19.28515625" style="76" customWidth="1"/>
    <col min="2562" max="2583" width="12.85546875" style="76" customWidth="1"/>
    <col min="2584" max="2815" width="9.140625" style="76"/>
    <col min="2816" max="2816" width="33.85546875" style="76" customWidth="1"/>
    <col min="2817" max="2817" width="19.28515625" style="76" customWidth="1"/>
    <col min="2818" max="2839" width="12.85546875" style="76" customWidth="1"/>
    <col min="2840" max="3071" width="9.140625" style="76"/>
    <col min="3072" max="3072" width="33.85546875" style="76" customWidth="1"/>
    <col min="3073" max="3073" width="19.28515625" style="76" customWidth="1"/>
    <col min="3074" max="3095" width="12.85546875" style="76" customWidth="1"/>
    <col min="3096" max="3327" width="9.140625" style="76"/>
    <col min="3328" max="3328" width="33.85546875" style="76" customWidth="1"/>
    <col min="3329" max="3329" width="19.28515625" style="76" customWidth="1"/>
    <col min="3330" max="3351" width="12.85546875" style="76" customWidth="1"/>
    <col min="3352" max="3583" width="9.140625" style="76"/>
    <col min="3584" max="3584" width="33.85546875" style="76" customWidth="1"/>
    <col min="3585" max="3585" width="19.28515625" style="76" customWidth="1"/>
    <col min="3586" max="3607" width="12.85546875" style="76" customWidth="1"/>
    <col min="3608" max="3839" width="9.140625" style="76"/>
    <col min="3840" max="3840" width="33.85546875" style="76" customWidth="1"/>
    <col min="3841" max="3841" width="19.28515625" style="76" customWidth="1"/>
    <col min="3842" max="3863" width="12.85546875" style="76" customWidth="1"/>
    <col min="3864" max="4095" width="9.140625" style="76"/>
    <col min="4096" max="4096" width="33.85546875" style="76" customWidth="1"/>
    <col min="4097" max="4097" width="19.28515625" style="76" customWidth="1"/>
    <col min="4098" max="4119" width="12.85546875" style="76" customWidth="1"/>
    <col min="4120" max="4351" width="9.140625" style="76"/>
    <col min="4352" max="4352" width="33.85546875" style="76" customWidth="1"/>
    <col min="4353" max="4353" width="19.28515625" style="76" customWidth="1"/>
    <col min="4354" max="4375" width="12.85546875" style="76" customWidth="1"/>
    <col min="4376" max="4607" width="9.140625" style="76"/>
    <col min="4608" max="4608" width="33.85546875" style="76" customWidth="1"/>
    <col min="4609" max="4609" width="19.28515625" style="76" customWidth="1"/>
    <col min="4610" max="4631" width="12.85546875" style="76" customWidth="1"/>
    <col min="4632" max="4863" width="9.140625" style="76"/>
    <col min="4864" max="4864" width="33.85546875" style="76" customWidth="1"/>
    <col min="4865" max="4865" width="19.28515625" style="76" customWidth="1"/>
    <col min="4866" max="4887" width="12.85546875" style="76" customWidth="1"/>
    <col min="4888" max="5119" width="9.140625" style="76"/>
    <col min="5120" max="5120" width="33.85546875" style="76" customWidth="1"/>
    <col min="5121" max="5121" width="19.28515625" style="76" customWidth="1"/>
    <col min="5122" max="5143" width="12.85546875" style="76" customWidth="1"/>
    <col min="5144" max="5375" width="9.140625" style="76"/>
    <col min="5376" max="5376" width="33.85546875" style="76" customWidth="1"/>
    <col min="5377" max="5377" width="19.28515625" style="76" customWidth="1"/>
    <col min="5378" max="5399" width="12.85546875" style="76" customWidth="1"/>
    <col min="5400" max="5631" width="9.140625" style="76"/>
    <col min="5632" max="5632" width="33.85546875" style="76" customWidth="1"/>
    <col min="5633" max="5633" width="19.28515625" style="76" customWidth="1"/>
    <col min="5634" max="5655" width="12.85546875" style="76" customWidth="1"/>
    <col min="5656" max="5887" width="9.140625" style="76"/>
    <col min="5888" max="5888" width="33.85546875" style="76" customWidth="1"/>
    <col min="5889" max="5889" width="19.28515625" style="76" customWidth="1"/>
    <col min="5890" max="5911" width="12.85546875" style="76" customWidth="1"/>
    <col min="5912" max="6143" width="9.140625" style="76"/>
    <col min="6144" max="6144" width="33.85546875" style="76" customWidth="1"/>
    <col min="6145" max="6145" width="19.28515625" style="76" customWidth="1"/>
    <col min="6146" max="6167" width="12.85546875" style="76" customWidth="1"/>
    <col min="6168" max="6399" width="9.140625" style="76"/>
    <col min="6400" max="6400" width="33.85546875" style="76" customWidth="1"/>
    <col min="6401" max="6401" width="19.28515625" style="76" customWidth="1"/>
    <col min="6402" max="6423" width="12.85546875" style="76" customWidth="1"/>
    <col min="6424" max="6655" width="9.140625" style="76"/>
    <col min="6656" max="6656" width="33.85546875" style="76" customWidth="1"/>
    <col min="6657" max="6657" width="19.28515625" style="76" customWidth="1"/>
    <col min="6658" max="6679" width="12.85546875" style="76" customWidth="1"/>
    <col min="6680" max="6911" width="9.140625" style="76"/>
    <col min="6912" max="6912" width="33.85546875" style="76" customWidth="1"/>
    <col min="6913" max="6913" width="19.28515625" style="76" customWidth="1"/>
    <col min="6914" max="6935" width="12.85546875" style="76" customWidth="1"/>
    <col min="6936" max="7167" width="9.140625" style="76"/>
    <col min="7168" max="7168" width="33.85546875" style="76" customWidth="1"/>
    <col min="7169" max="7169" width="19.28515625" style="76" customWidth="1"/>
    <col min="7170" max="7191" width="12.85546875" style="76" customWidth="1"/>
    <col min="7192" max="7423" width="9.140625" style="76"/>
    <col min="7424" max="7424" width="33.85546875" style="76" customWidth="1"/>
    <col min="7425" max="7425" width="19.28515625" style="76" customWidth="1"/>
    <col min="7426" max="7447" width="12.85546875" style="76" customWidth="1"/>
    <col min="7448" max="7679" width="9.140625" style="76"/>
    <col min="7680" max="7680" width="33.85546875" style="76" customWidth="1"/>
    <col min="7681" max="7681" width="19.28515625" style="76" customWidth="1"/>
    <col min="7682" max="7703" width="12.85546875" style="76" customWidth="1"/>
    <col min="7704" max="7935" width="9.140625" style="76"/>
    <col min="7936" max="7936" width="33.85546875" style="76" customWidth="1"/>
    <col min="7937" max="7937" width="19.28515625" style="76" customWidth="1"/>
    <col min="7938" max="7959" width="12.85546875" style="76" customWidth="1"/>
    <col min="7960" max="8191" width="9.140625" style="76"/>
    <col min="8192" max="8192" width="33.85546875" style="76" customWidth="1"/>
    <col min="8193" max="8193" width="19.28515625" style="76" customWidth="1"/>
    <col min="8194" max="8215" width="12.85546875" style="76" customWidth="1"/>
    <col min="8216" max="8447" width="9.140625" style="76"/>
    <col min="8448" max="8448" width="33.85546875" style="76" customWidth="1"/>
    <col min="8449" max="8449" width="19.28515625" style="76" customWidth="1"/>
    <col min="8450" max="8471" width="12.85546875" style="76" customWidth="1"/>
    <col min="8472" max="8703" width="9.140625" style="76"/>
    <col min="8704" max="8704" width="33.85546875" style="76" customWidth="1"/>
    <col min="8705" max="8705" width="19.28515625" style="76" customWidth="1"/>
    <col min="8706" max="8727" width="12.85546875" style="76" customWidth="1"/>
    <col min="8728" max="8959" width="9.140625" style="76"/>
    <col min="8960" max="8960" width="33.85546875" style="76" customWidth="1"/>
    <col min="8961" max="8961" width="19.28515625" style="76" customWidth="1"/>
    <col min="8962" max="8983" width="12.85546875" style="76" customWidth="1"/>
    <col min="8984" max="9215" width="9.140625" style="76"/>
    <col min="9216" max="9216" width="33.85546875" style="76" customWidth="1"/>
    <col min="9217" max="9217" width="19.28515625" style="76" customWidth="1"/>
    <col min="9218" max="9239" width="12.85546875" style="76" customWidth="1"/>
    <col min="9240" max="9471" width="9.140625" style="76"/>
    <col min="9472" max="9472" width="33.85546875" style="76" customWidth="1"/>
    <col min="9473" max="9473" width="19.28515625" style="76" customWidth="1"/>
    <col min="9474" max="9495" width="12.85546875" style="76" customWidth="1"/>
    <col min="9496" max="9727" width="9.140625" style="76"/>
    <col min="9728" max="9728" width="33.85546875" style="76" customWidth="1"/>
    <col min="9729" max="9729" width="19.28515625" style="76" customWidth="1"/>
    <col min="9730" max="9751" width="12.85546875" style="76" customWidth="1"/>
    <col min="9752" max="9983" width="9.140625" style="76"/>
    <col min="9984" max="9984" width="33.85546875" style="76" customWidth="1"/>
    <col min="9985" max="9985" width="19.28515625" style="76" customWidth="1"/>
    <col min="9986" max="10007" width="12.85546875" style="76" customWidth="1"/>
    <col min="10008" max="10239" width="9.140625" style="76"/>
    <col min="10240" max="10240" width="33.85546875" style="76" customWidth="1"/>
    <col min="10241" max="10241" width="19.28515625" style="76" customWidth="1"/>
    <col min="10242" max="10263" width="12.85546875" style="76" customWidth="1"/>
    <col min="10264" max="10495" width="9.140625" style="76"/>
    <col min="10496" max="10496" width="33.85546875" style="76" customWidth="1"/>
    <col min="10497" max="10497" width="19.28515625" style="76" customWidth="1"/>
    <col min="10498" max="10519" width="12.85546875" style="76" customWidth="1"/>
    <col min="10520" max="10751" width="9.140625" style="76"/>
    <col min="10752" max="10752" width="33.85546875" style="76" customWidth="1"/>
    <col min="10753" max="10753" width="19.28515625" style="76" customWidth="1"/>
    <col min="10754" max="10775" width="12.85546875" style="76" customWidth="1"/>
    <col min="10776" max="11007" width="9.140625" style="76"/>
    <col min="11008" max="11008" width="33.85546875" style="76" customWidth="1"/>
    <col min="11009" max="11009" width="19.28515625" style="76" customWidth="1"/>
    <col min="11010" max="11031" width="12.85546875" style="76" customWidth="1"/>
    <col min="11032" max="11263" width="9.140625" style="76"/>
    <col min="11264" max="11264" width="33.85546875" style="76" customWidth="1"/>
    <col min="11265" max="11265" width="19.28515625" style="76" customWidth="1"/>
    <col min="11266" max="11287" width="12.85546875" style="76" customWidth="1"/>
    <col min="11288" max="11519" width="9.140625" style="76"/>
    <col min="11520" max="11520" width="33.85546875" style="76" customWidth="1"/>
    <col min="11521" max="11521" width="19.28515625" style="76" customWidth="1"/>
    <col min="11522" max="11543" width="12.85546875" style="76" customWidth="1"/>
    <col min="11544" max="11775" width="9.140625" style="76"/>
    <col min="11776" max="11776" width="33.85546875" style="76" customWidth="1"/>
    <col min="11777" max="11777" width="19.28515625" style="76" customWidth="1"/>
    <col min="11778" max="11799" width="12.85546875" style="76" customWidth="1"/>
    <col min="11800" max="12031" width="9.140625" style="76"/>
    <col min="12032" max="12032" width="33.85546875" style="76" customWidth="1"/>
    <col min="12033" max="12033" width="19.28515625" style="76" customWidth="1"/>
    <col min="12034" max="12055" width="12.85546875" style="76" customWidth="1"/>
    <col min="12056" max="12287" width="9.140625" style="76"/>
    <col min="12288" max="12288" width="33.85546875" style="76" customWidth="1"/>
    <col min="12289" max="12289" width="19.28515625" style="76" customWidth="1"/>
    <col min="12290" max="12311" width="12.85546875" style="76" customWidth="1"/>
    <col min="12312" max="12543" width="9.140625" style="76"/>
    <col min="12544" max="12544" width="33.85546875" style="76" customWidth="1"/>
    <col min="12545" max="12545" width="19.28515625" style="76" customWidth="1"/>
    <col min="12546" max="12567" width="12.85546875" style="76" customWidth="1"/>
    <col min="12568" max="12799" width="9.140625" style="76"/>
    <col min="12800" max="12800" width="33.85546875" style="76" customWidth="1"/>
    <col min="12801" max="12801" width="19.28515625" style="76" customWidth="1"/>
    <col min="12802" max="12823" width="12.85546875" style="76" customWidth="1"/>
    <col min="12824" max="13055" width="9.140625" style="76"/>
    <col min="13056" max="13056" width="33.85546875" style="76" customWidth="1"/>
    <col min="13057" max="13057" width="19.28515625" style="76" customWidth="1"/>
    <col min="13058" max="13079" width="12.85546875" style="76" customWidth="1"/>
    <col min="13080" max="13311" width="9.140625" style="76"/>
    <col min="13312" max="13312" width="33.85546875" style="76" customWidth="1"/>
    <col min="13313" max="13313" width="19.28515625" style="76" customWidth="1"/>
    <col min="13314" max="13335" width="12.85546875" style="76" customWidth="1"/>
    <col min="13336" max="13567" width="9.140625" style="76"/>
    <col min="13568" max="13568" width="33.85546875" style="76" customWidth="1"/>
    <col min="13569" max="13569" width="19.28515625" style="76" customWidth="1"/>
    <col min="13570" max="13591" width="12.85546875" style="76" customWidth="1"/>
    <col min="13592" max="13823" width="9.140625" style="76"/>
    <col min="13824" max="13824" width="33.85546875" style="76" customWidth="1"/>
    <col min="13825" max="13825" width="19.28515625" style="76" customWidth="1"/>
    <col min="13826" max="13847" width="12.85546875" style="76" customWidth="1"/>
    <col min="13848" max="14079" width="9.140625" style="76"/>
    <col min="14080" max="14080" width="33.85546875" style="76" customWidth="1"/>
    <col min="14081" max="14081" width="19.28515625" style="76" customWidth="1"/>
    <col min="14082" max="14103" width="12.85546875" style="76" customWidth="1"/>
    <col min="14104" max="14335" width="9.140625" style="76"/>
    <col min="14336" max="14336" width="33.85546875" style="76" customWidth="1"/>
    <col min="14337" max="14337" width="19.28515625" style="76" customWidth="1"/>
    <col min="14338" max="14359" width="12.85546875" style="76" customWidth="1"/>
    <col min="14360" max="14591" width="9.140625" style="76"/>
    <col min="14592" max="14592" width="33.85546875" style="76" customWidth="1"/>
    <col min="14593" max="14593" width="19.28515625" style="76" customWidth="1"/>
    <col min="14594" max="14615" width="12.85546875" style="76" customWidth="1"/>
    <col min="14616" max="14847" width="9.140625" style="76"/>
    <col min="14848" max="14848" width="33.85546875" style="76" customWidth="1"/>
    <col min="14849" max="14849" width="19.28515625" style="76" customWidth="1"/>
    <col min="14850" max="14871" width="12.85546875" style="76" customWidth="1"/>
    <col min="14872" max="15103" width="9.140625" style="76"/>
    <col min="15104" max="15104" width="33.85546875" style="76" customWidth="1"/>
    <col min="15105" max="15105" width="19.28515625" style="76" customWidth="1"/>
    <col min="15106" max="15127" width="12.85546875" style="76" customWidth="1"/>
    <col min="15128" max="15359" width="9.140625" style="76"/>
    <col min="15360" max="15360" width="33.85546875" style="76" customWidth="1"/>
    <col min="15361" max="15361" width="19.28515625" style="76" customWidth="1"/>
    <col min="15362" max="15383" width="12.85546875" style="76" customWidth="1"/>
    <col min="15384" max="15615" width="9.140625" style="76"/>
    <col min="15616" max="15616" width="33.85546875" style="76" customWidth="1"/>
    <col min="15617" max="15617" width="19.28515625" style="76" customWidth="1"/>
    <col min="15618" max="15639" width="12.85546875" style="76" customWidth="1"/>
    <col min="15640" max="15871" width="9.140625" style="76"/>
    <col min="15872" max="15872" width="33.85546875" style="76" customWidth="1"/>
    <col min="15873" max="15873" width="19.28515625" style="76" customWidth="1"/>
    <col min="15874" max="15895" width="12.85546875" style="76" customWidth="1"/>
    <col min="15896" max="16127" width="9.140625" style="76"/>
    <col min="16128" max="16128" width="33.85546875" style="76" customWidth="1"/>
    <col min="16129" max="16129" width="19.28515625" style="76" customWidth="1"/>
    <col min="16130" max="16151" width="12.85546875" style="76" customWidth="1"/>
    <col min="16152" max="16384" width="9.140625" style="76"/>
  </cols>
  <sheetData>
    <row r="1" spans="1:23" ht="16.5" thickBot="1">
      <c r="A1" s="526" t="s">
        <v>298</v>
      </c>
      <c r="B1" s="527"/>
      <c r="C1" s="527"/>
      <c r="D1" s="527"/>
      <c r="E1" s="527"/>
      <c r="F1" s="527"/>
      <c r="G1" s="527"/>
      <c r="H1" s="527"/>
      <c r="I1" s="527"/>
      <c r="J1" s="527"/>
      <c r="K1" s="527"/>
      <c r="L1" s="527"/>
      <c r="M1" s="527"/>
      <c r="N1" s="527"/>
      <c r="O1" s="527"/>
      <c r="P1" s="527"/>
      <c r="Q1" s="527"/>
      <c r="R1" s="527"/>
      <c r="S1" s="527"/>
      <c r="T1" s="527"/>
      <c r="U1" s="527"/>
      <c r="V1" s="527"/>
      <c r="W1" s="528"/>
    </row>
    <row r="2" spans="1:23" ht="16.5" thickBot="1">
      <c r="A2" s="178" t="s">
        <v>231</v>
      </c>
      <c r="B2" s="179"/>
      <c r="C2" s="179"/>
      <c r="D2" s="179"/>
      <c r="E2" s="179"/>
      <c r="F2" s="179"/>
      <c r="G2" s="179"/>
      <c r="H2" s="179"/>
      <c r="I2" s="179"/>
      <c r="J2" s="179"/>
      <c r="K2" s="179"/>
      <c r="L2" s="179"/>
      <c r="M2" s="180"/>
      <c r="N2" s="180"/>
      <c r="O2" s="180"/>
      <c r="P2" s="180"/>
      <c r="Q2" s="180"/>
      <c r="R2" s="180"/>
      <c r="S2" s="180"/>
      <c r="T2" s="180"/>
      <c r="U2" s="180"/>
      <c r="V2" s="180"/>
      <c r="W2" s="181"/>
    </row>
    <row r="3" spans="1:23" ht="15.75">
      <c r="A3" s="151" t="s">
        <v>229</v>
      </c>
      <c r="B3" s="152"/>
      <c r="C3" s="152"/>
      <c r="D3" s="153"/>
      <c r="E3" s="153"/>
      <c r="F3" s="153"/>
      <c r="G3" s="153"/>
      <c r="H3" s="153"/>
      <c r="I3" s="153"/>
      <c r="J3" s="153"/>
      <c r="K3" s="153"/>
      <c r="L3" s="153"/>
      <c r="M3" s="154"/>
      <c r="N3" s="154"/>
      <c r="O3" s="154"/>
      <c r="P3" s="154"/>
      <c r="Q3" s="154"/>
      <c r="R3" s="154"/>
      <c r="S3" s="154"/>
      <c r="T3" s="154"/>
      <c r="U3" s="154"/>
      <c r="V3" s="154"/>
      <c r="W3" s="155"/>
    </row>
    <row r="4" spans="1:23">
      <c r="A4" s="156"/>
      <c r="B4" s="157"/>
      <c r="C4" s="539" t="s">
        <v>226</v>
      </c>
      <c r="D4" s="540"/>
      <c r="E4" s="540"/>
      <c r="F4" s="540"/>
      <c r="G4" s="540"/>
      <c r="H4" s="540"/>
      <c r="I4" s="540"/>
      <c r="J4" s="540"/>
      <c r="K4" s="540"/>
      <c r="L4" s="540"/>
      <c r="M4" s="540"/>
      <c r="N4" s="540"/>
      <c r="O4" s="540"/>
      <c r="P4" s="540"/>
      <c r="Q4" s="540"/>
      <c r="R4" s="540"/>
      <c r="S4" s="540"/>
      <c r="T4" s="540"/>
      <c r="U4" s="540"/>
      <c r="V4" s="540"/>
      <c r="W4" s="541"/>
    </row>
    <row r="5" spans="1:23">
      <c r="A5" s="156"/>
      <c r="B5" s="158" t="s">
        <v>1</v>
      </c>
      <c r="C5" s="159">
        <v>2016</v>
      </c>
      <c r="D5" s="159">
        <v>2017</v>
      </c>
      <c r="E5" s="159">
        <v>2018</v>
      </c>
      <c r="F5" s="159">
        <v>2019</v>
      </c>
      <c r="G5" s="159">
        <v>2020</v>
      </c>
      <c r="H5" s="159">
        <v>2021</v>
      </c>
      <c r="I5" s="159">
        <v>2022</v>
      </c>
      <c r="J5" s="159">
        <v>2023</v>
      </c>
      <c r="K5" s="159">
        <v>2024</v>
      </c>
      <c r="L5" s="159">
        <v>2025</v>
      </c>
      <c r="M5" s="159">
        <v>2026</v>
      </c>
      <c r="N5" s="159">
        <v>2027</v>
      </c>
      <c r="O5" s="159">
        <v>2028</v>
      </c>
      <c r="P5" s="159">
        <v>2029</v>
      </c>
      <c r="Q5" s="159">
        <v>2030</v>
      </c>
      <c r="R5" s="159">
        <v>2031</v>
      </c>
      <c r="S5" s="159">
        <v>2032</v>
      </c>
      <c r="T5" s="159">
        <v>2033</v>
      </c>
      <c r="U5" s="159">
        <v>2034</v>
      </c>
      <c r="V5" s="160">
        <v>2035</v>
      </c>
      <c r="W5" s="160"/>
    </row>
    <row r="6" spans="1:23" ht="13.5" thickBot="1">
      <c r="A6" s="161"/>
      <c r="B6" s="162" t="s">
        <v>240</v>
      </c>
      <c r="C6" s="326">
        <f>HLOOKUP('Res-Capacity-Base'!C$5,'NW Customers'!$B$2:$AO$5,3)</f>
        <v>394176.6962072298</v>
      </c>
      <c r="D6" s="326">
        <f>HLOOKUP('Res-Capacity-Base'!D$5,'NW Customers'!$B$2:$AO$5,3)</f>
        <v>398910.99371926603</v>
      </c>
      <c r="E6" s="326">
        <f>HLOOKUP('Res-Capacity-Base'!E$5,'NW Customers'!$B$2:$AO$5,3)</f>
        <v>404211.04209112196</v>
      </c>
      <c r="F6" s="326">
        <f>HLOOKUP('Res-Capacity-Base'!F$5,'NW Customers'!$B$2:$AO$5,3)</f>
        <v>409461.45527194545</v>
      </c>
      <c r="G6" s="326">
        <f>HLOOKUP('Res-Capacity-Base'!G$5,'NW Customers'!$B$2:$AO$5,3)</f>
        <v>414973.96221003355</v>
      </c>
      <c r="H6" s="326">
        <f>HLOOKUP('Res-Capacity-Base'!H$5,'NW Customers'!$B$2:$AO$5,3)</f>
        <v>420270.55792898097</v>
      </c>
      <c r="I6" s="326">
        <f>HLOOKUP('Res-Capacity-Base'!I$5,'NW Customers'!$B$2:$AO$5,3)</f>
        <v>425475.03615722148</v>
      </c>
      <c r="J6" s="326">
        <f>HLOOKUP('Res-Capacity-Base'!J$5,'NW Customers'!$B$2:$AO$5,3)</f>
        <v>430609.97963586426</v>
      </c>
      <c r="K6" s="326">
        <f>HLOOKUP('Res-Capacity-Base'!K$5,'NW Customers'!$B$2:$AO$5,3)</f>
        <v>435727.19666466326</v>
      </c>
      <c r="L6" s="326">
        <f>HLOOKUP('Res-Capacity-Base'!L$5,'NW Customers'!$B$2:$AO$5,3)</f>
        <v>440815.13833749207</v>
      </c>
      <c r="M6" s="326">
        <f>HLOOKUP('Res-Capacity-Base'!M$5,'NW Customers'!$B$2:$AO$5,3)</f>
        <v>445687.17196607753</v>
      </c>
      <c r="N6" s="326">
        <f>HLOOKUP('Res-Capacity-Base'!N$5,'NW Customers'!$B$2:$AO$5,3)</f>
        <v>450729.45878165902</v>
      </c>
      <c r="O6" s="326">
        <f>HLOOKUP('Res-Capacity-Base'!O$5,'NW Customers'!$B$2:$AO$5,3)</f>
        <v>455977.8439503425</v>
      </c>
      <c r="P6" s="326">
        <f>HLOOKUP('Res-Capacity-Base'!P$5,'NW Customers'!$B$2:$AO$5,3)</f>
        <v>461256.43179383531</v>
      </c>
      <c r="Q6" s="326">
        <f>HLOOKUP('Res-Capacity-Base'!Q$5,'NW Customers'!$B$2:$AO$5,3)</f>
        <v>466415.471809601</v>
      </c>
      <c r="R6" s="326">
        <f>HLOOKUP('Res-Capacity-Base'!R$5,'NW Customers'!$B$2:$AO$5,3)</f>
        <v>471632.21442212129</v>
      </c>
      <c r="S6" s="326">
        <f>HLOOKUP('Res-Capacity-Base'!S$5,'NW Customers'!$B$2:$AO$5,3)</f>
        <v>476907.30502078304</v>
      </c>
      <c r="T6" s="326">
        <f>HLOOKUP('Res-Capacity-Base'!T$5,'NW Customers'!$B$2:$AO$5,3)</f>
        <v>482241.39621349488</v>
      </c>
      <c r="U6" s="326">
        <f>HLOOKUP('Res-Capacity-Base'!U$5,'NW Customers'!$B$2:$AO$5,3)</f>
        <v>487635.14790742495</v>
      </c>
      <c r="V6" s="326">
        <f>HLOOKUP('Res-Capacity-Base'!V$5,'NW Customers'!$B$2:$AO$5,3)</f>
        <v>493089.22739064106</v>
      </c>
      <c r="W6" s="168"/>
    </row>
    <row r="7" spans="1:23" s="221" customFormat="1" ht="16.5" thickBot="1">
      <c r="A7" s="230"/>
      <c r="B7" s="230"/>
      <c r="C7" s="230"/>
      <c r="D7" s="231"/>
      <c r="E7" s="231"/>
      <c r="F7" s="231"/>
      <c r="G7" s="231"/>
      <c r="H7" s="231"/>
      <c r="I7" s="231"/>
      <c r="J7" s="231"/>
      <c r="K7" s="231"/>
      <c r="L7" s="231"/>
    </row>
    <row r="8" spans="1:23" ht="15.75">
      <c r="A8" s="151" t="s">
        <v>303</v>
      </c>
      <c r="B8" s="152"/>
      <c r="C8" s="152"/>
      <c r="D8" s="153"/>
      <c r="E8" s="153"/>
      <c r="F8" s="153"/>
      <c r="G8" s="153"/>
      <c r="H8" s="153"/>
      <c r="I8" s="153"/>
      <c r="J8" s="153"/>
      <c r="K8" s="153"/>
      <c r="L8" s="153"/>
      <c r="M8" s="154"/>
      <c r="N8" s="154"/>
      <c r="O8" s="154"/>
      <c r="P8" s="154"/>
      <c r="Q8" s="154"/>
      <c r="R8" s="154"/>
      <c r="S8" s="154"/>
      <c r="T8" s="154"/>
      <c r="U8" s="154"/>
      <c r="V8" s="154"/>
      <c r="W8" s="155"/>
    </row>
    <row r="9" spans="1:23" ht="15.75">
      <c r="A9" s="185"/>
      <c r="B9" s="158" t="s">
        <v>237</v>
      </c>
      <c r="C9" s="174">
        <f>KeyAssumptions!N8</f>
        <v>0.34799999999999998</v>
      </c>
      <c r="D9" s="163"/>
      <c r="E9" s="163"/>
      <c r="F9" s="163"/>
      <c r="G9" s="163"/>
      <c r="H9" s="163"/>
      <c r="I9" s="163"/>
      <c r="J9" s="163"/>
      <c r="K9" s="163"/>
      <c r="L9" s="163"/>
      <c r="M9" s="164"/>
      <c r="N9" s="164"/>
      <c r="O9" s="164"/>
      <c r="P9" s="164"/>
      <c r="Q9" s="164"/>
      <c r="R9" s="164"/>
      <c r="S9" s="164"/>
      <c r="T9" s="164"/>
      <c r="U9" s="164"/>
      <c r="V9" s="164"/>
      <c r="W9" s="165"/>
    </row>
    <row r="10" spans="1:23" ht="15.75">
      <c r="A10" s="185"/>
      <c r="B10" s="158" t="s">
        <v>203</v>
      </c>
      <c r="C10" s="174">
        <f>KeyAssumptions!O8</f>
        <v>0.15</v>
      </c>
      <c r="D10" s="163"/>
      <c r="E10" s="163"/>
      <c r="F10" s="163"/>
      <c r="G10" s="163"/>
      <c r="H10" s="163"/>
      <c r="I10" s="163"/>
      <c r="J10" s="163"/>
      <c r="K10" s="163"/>
      <c r="L10" s="163"/>
      <c r="M10" s="164"/>
      <c r="N10" s="164"/>
      <c r="O10" s="164"/>
      <c r="P10" s="164"/>
      <c r="Q10" s="164"/>
      <c r="R10" s="164"/>
      <c r="S10" s="164"/>
      <c r="T10" s="164"/>
      <c r="U10" s="164"/>
      <c r="V10" s="164"/>
      <c r="W10" s="165"/>
    </row>
    <row r="11" spans="1:23" ht="15.75" customHeight="1">
      <c r="A11" s="185"/>
      <c r="B11" s="188" t="s">
        <v>338</v>
      </c>
      <c r="C11" s="174">
        <v>0.95</v>
      </c>
      <c r="D11" s="163"/>
      <c r="E11" s="163"/>
      <c r="F11" s="163"/>
      <c r="G11" s="163"/>
      <c r="H11" s="163"/>
      <c r="I11" s="163"/>
      <c r="J11" s="163"/>
      <c r="K11" s="163"/>
      <c r="L11" s="163"/>
      <c r="M11" s="164"/>
      <c r="N11" s="164"/>
      <c r="O11" s="164"/>
      <c r="P11" s="164"/>
      <c r="Q11" s="164"/>
      <c r="R11" s="164"/>
      <c r="S11" s="164"/>
      <c r="T11" s="164"/>
      <c r="U11" s="164"/>
      <c r="V11" s="164"/>
      <c r="W11" s="165"/>
    </row>
    <row r="12" spans="1:23" ht="15.75">
      <c r="A12" s="185"/>
      <c r="B12" s="157"/>
      <c r="C12" s="157"/>
      <c r="D12" s="163"/>
      <c r="E12" s="163"/>
      <c r="F12" s="163"/>
      <c r="G12" s="163"/>
      <c r="H12" s="163"/>
      <c r="I12" s="163"/>
      <c r="J12" s="163"/>
      <c r="K12" s="163"/>
      <c r="L12" s="163"/>
      <c r="M12" s="164"/>
      <c r="N12" s="164"/>
      <c r="O12" s="164"/>
      <c r="P12" s="164"/>
      <c r="Q12" s="164"/>
      <c r="R12" s="164"/>
      <c r="S12" s="164"/>
      <c r="T12" s="164"/>
      <c r="U12" s="164"/>
      <c r="V12" s="164"/>
      <c r="W12" s="165"/>
    </row>
    <row r="13" spans="1:23">
      <c r="A13" s="156"/>
      <c r="B13" s="158" t="s">
        <v>1</v>
      </c>
      <c r="C13" s="159">
        <v>2016</v>
      </c>
      <c r="D13" s="159">
        <v>2017</v>
      </c>
      <c r="E13" s="159">
        <v>2018</v>
      </c>
      <c r="F13" s="159">
        <v>2019</v>
      </c>
      <c r="G13" s="159">
        <v>2020</v>
      </c>
      <c r="H13" s="159">
        <v>2021</v>
      </c>
      <c r="I13" s="159">
        <v>2022</v>
      </c>
      <c r="J13" s="159">
        <v>2023</v>
      </c>
      <c r="K13" s="159">
        <v>2024</v>
      </c>
      <c r="L13" s="159">
        <v>2025</v>
      </c>
      <c r="M13" s="159">
        <v>2026</v>
      </c>
      <c r="N13" s="159">
        <v>2027</v>
      </c>
      <c r="O13" s="159">
        <v>2028</v>
      </c>
      <c r="P13" s="159">
        <v>2029</v>
      </c>
      <c r="Q13" s="159">
        <v>2030</v>
      </c>
      <c r="R13" s="159">
        <v>2031</v>
      </c>
      <c r="S13" s="159">
        <v>2032</v>
      </c>
      <c r="T13" s="159">
        <v>2033</v>
      </c>
      <c r="U13" s="159">
        <v>2034</v>
      </c>
      <c r="V13" s="159">
        <v>2035</v>
      </c>
      <c r="W13" s="160"/>
    </row>
    <row r="14" spans="1:23">
      <c r="A14" s="156"/>
      <c r="B14" s="158" t="s">
        <v>227</v>
      </c>
      <c r="C14" s="174">
        <v>0.05</v>
      </c>
      <c r="D14" s="174">
        <v>0.2</v>
      </c>
      <c r="E14" s="174">
        <v>0.2</v>
      </c>
      <c r="F14" s="174">
        <v>0.2</v>
      </c>
      <c r="G14" s="174">
        <v>0.2</v>
      </c>
      <c r="H14" s="174">
        <v>0.15</v>
      </c>
      <c r="I14" s="174">
        <v>0</v>
      </c>
      <c r="J14" s="174">
        <v>0</v>
      </c>
      <c r="K14" s="174">
        <v>0</v>
      </c>
      <c r="L14" s="174">
        <v>0</v>
      </c>
      <c r="M14" s="174">
        <v>0</v>
      </c>
      <c r="N14" s="174">
        <v>0</v>
      </c>
      <c r="O14" s="174">
        <v>0</v>
      </c>
      <c r="P14" s="174">
        <v>0</v>
      </c>
      <c r="Q14" s="174">
        <v>0</v>
      </c>
      <c r="R14" s="174">
        <v>0</v>
      </c>
      <c r="S14" s="174">
        <v>0</v>
      </c>
      <c r="T14" s="174">
        <v>0</v>
      </c>
      <c r="U14" s="174">
        <v>0</v>
      </c>
      <c r="V14" s="174">
        <v>0</v>
      </c>
      <c r="W14" s="216"/>
    </row>
    <row r="15" spans="1:23">
      <c r="A15" s="156"/>
      <c r="B15" s="158" t="s">
        <v>233</v>
      </c>
      <c r="C15" s="174">
        <f>C14</f>
        <v>0.05</v>
      </c>
      <c r="D15" s="174">
        <f>C15+D14</f>
        <v>0.25</v>
      </c>
      <c r="E15" s="174">
        <f t="shared" ref="E15:V15" si="0">D15+E14</f>
        <v>0.45</v>
      </c>
      <c r="F15" s="174">
        <f t="shared" si="0"/>
        <v>0.65</v>
      </c>
      <c r="G15" s="174">
        <f t="shared" si="0"/>
        <v>0.85000000000000009</v>
      </c>
      <c r="H15" s="174">
        <f t="shared" si="0"/>
        <v>1</v>
      </c>
      <c r="I15" s="174">
        <f t="shared" si="0"/>
        <v>1</v>
      </c>
      <c r="J15" s="174">
        <f t="shared" si="0"/>
        <v>1</v>
      </c>
      <c r="K15" s="174">
        <f t="shared" si="0"/>
        <v>1</v>
      </c>
      <c r="L15" s="174">
        <f t="shared" si="0"/>
        <v>1</v>
      </c>
      <c r="M15" s="174">
        <f t="shared" si="0"/>
        <v>1</v>
      </c>
      <c r="N15" s="174">
        <f t="shared" si="0"/>
        <v>1</v>
      </c>
      <c r="O15" s="174">
        <f t="shared" si="0"/>
        <v>1</v>
      </c>
      <c r="P15" s="174">
        <f t="shared" si="0"/>
        <v>1</v>
      </c>
      <c r="Q15" s="174">
        <f t="shared" si="0"/>
        <v>1</v>
      </c>
      <c r="R15" s="174">
        <f t="shared" si="0"/>
        <v>1</v>
      </c>
      <c r="S15" s="174">
        <f t="shared" si="0"/>
        <v>1</v>
      </c>
      <c r="T15" s="174">
        <f t="shared" si="0"/>
        <v>1</v>
      </c>
      <c r="U15" s="174">
        <f t="shared" si="0"/>
        <v>1</v>
      </c>
      <c r="V15" s="174">
        <f t="shared" si="0"/>
        <v>1</v>
      </c>
      <c r="W15" s="216"/>
    </row>
    <row r="16" spans="1:23">
      <c r="A16" s="156"/>
      <c r="B16" s="158" t="s">
        <v>228</v>
      </c>
      <c r="C16" s="174">
        <v>0.01</v>
      </c>
      <c r="D16" s="174">
        <v>0.01</v>
      </c>
      <c r="E16" s="174">
        <v>0.01</v>
      </c>
      <c r="F16" s="174">
        <v>0.01</v>
      </c>
      <c r="G16" s="174">
        <v>0.01</v>
      </c>
      <c r="H16" s="174">
        <v>0.01</v>
      </c>
      <c r="I16" s="174">
        <v>0.01</v>
      </c>
      <c r="J16" s="174">
        <v>0.01</v>
      </c>
      <c r="K16" s="174">
        <v>0.01</v>
      </c>
      <c r="L16" s="174">
        <v>0.01</v>
      </c>
      <c r="M16" s="174">
        <v>0.01</v>
      </c>
      <c r="N16" s="174">
        <v>0.01</v>
      </c>
      <c r="O16" s="174">
        <v>0.01</v>
      </c>
      <c r="P16" s="174">
        <v>0.01</v>
      </c>
      <c r="Q16" s="174">
        <v>0.01</v>
      </c>
      <c r="R16" s="174">
        <v>0.01</v>
      </c>
      <c r="S16" s="174">
        <v>0.01</v>
      </c>
      <c r="T16" s="174">
        <v>0.01</v>
      </c>
      <c r="U16" s="174">
        <v>0.01</v>
      </c>
      <c r="V16" s="174">
        <v>0.01</v>
      </c>
      <c r="W16" s="216"/>
    </row>
    <row r="17" spans="1:23" ht="15" customHeight="1" thickBot="1">
      <c r="A17" s="161"/>
      <c r="B17" s="162" t="s">
        <v>239</v>
      </c>
      <c r="C17" s="217">
        <v>0.5</v>
      </c>
      <c r="D17" s="217">
        <f>C17-0.05</f>
        <v>0.45</v>
      </c>
      <c r="E17" s="217">
        <f>D17-0.05</f>
        <v>0.4</v>
      </c>
      <c r="F17" s="217">
        <f t="shared" ref="F17:G17" si="1">E17-0.05</f>
        <v>0.35000000000000003</v>
      </c>
      <c r="G17" s="217">
        <f t="shared" si="1"/>
        <v>0.30000000000000004</v>
      </c>
      <c r="H17" s="217">
        <v>0.3</v>
      </c>
      <c r="I17" s="217">
        <f>H17</f>
        <v>0.3</v>
      </c>
      <c r="J17" s="217">
        <f t="shared" ref="J17:V17" si="2">I17</f>
        <v>0.3</v>
      </c>
      <c r="K17" s="217">
        <f t="shared" si="2"/>
        <v>0.3</v>
      </c>
      <c r="L17" s="217">
        <f t="shared" si="2"/>
        <v>0.3</v>
      </c>
      <c r="M17" s="217">
        <f t="shared" si="2"/>
        <v>0.3</v>
      </c>
      <c r="N17" s="217">
        <f t="shared" si="2"/>
        <v>0.3</v>
      </c>
      <c r="O17" s="217">
        <f t="shared" si="2"/>
        <v>0.3</v>
      </c>
      <c r="P17" s="217">
        <f t="shared" si="2"/>
        <v>0.3</v>
      </c>
      <c r="Q17" s="217">
        <f t="shared" si="2"/>
        <v>0.3</v>
      </c>
      <c r="R17" s="217">
        <f t="shared" si="2"/>
        <v>0.3</v>
      </c>
      <c r="S17" s="217">
        <f t="shared" si="2"/>
        <v>0.3</v>
      </c>
      <c r="T17" s="217">
        <f t="shared" si="2"/>
        <v>0.3</v>
      </c>
      <c r="U17" s="217">
        <f t="shared" si="2"/>
        <v>0.3</v>
      </c>
      <c r="V17" s="217">
        <f t="shared" si="2"/>
        <v>0.3</v>
      </c>
      <c r="W17" s="218"/>
    </row>
    <row r="18" spans="1:23" s="221" customFormat="1" ht="16.5" thickBot="1">
      <c r="A18" s="228"/>
      <c r="B18" s="228"/>
      <c r="C18" s="228"/>
      <c r="D18" s="229"/>
      <c r="E18" s="229"/>
      <c r="F18" s="229"/>
      <c r="G18" s="229"/>
      <c r="H18" s="229"/>
      <c r="I18" s="229"/>
      <c r="J18" s="229"/>
      <c r="K18" s="229"/>
      <c r="L18" s="229"/>
      <c r="M18" s="78"/>
      <c r="N18" s="78"/>
      <c r="O18" s="78"/>
      <c r="P18" s="78"/>
      <c r="Q18" s="78"/>
      <c r="R18" s="78"/>
      <c r="S18" s="78"/>
      <c r="T18" s="78"/>
      <c r="U18" s="78"/>
      <c r="V18" s="78"/>
      <c r="W18" s="78"/>
    </row>
    <row r="19" spans="1:23" ht="15.75">
      <c r="A19" s="151" t="s">
        <v>285</v>
      </c>
      <c r="B19" s="152"/>
      <c r="C19" s="152"/>
      <c r="D19" s="153"/>
      <c r="E19" s="153"/>
      <c r="F19" s="153"/>
      <c r="G19" s="153"/>
      <c r="H19" s="153"/>
      <c r="I19" s="153"/>
      <c r="J19" s="153"/>
      <c r="K19" s="153"/>
      <c r="L19" s="153"/>
      <c r="M19" s="154"/>
      <c r="N19" s="154"/>
      <c r="O19" s="154"/>
      <c r="P19" s="154"/>
      <c r="Q19" s="154"/>
      <c r="R19" s="154"/>
      <c r="S19" s="154"/>
      <c r="T19" s="154"/>
      <c r="U19" s="154"/>
      <c r="V19" s="154"/>
      <c r="W19" s="155"/>
    </row>
    <row r="20" spans="1:23" ht="15.75">
      <c r="A20" s="185"/>
      <c r="B20" s="158" t="s">
        <v>237</v>
      </c>
      <c r="C20" s="173">
        <f>KeyAssumptions!N9</f>
        <v>0.17399999999999999</v>
      </c>
      <c r="D20" s="163"/>
      <c r="E20" s="163"/>
      <c r="F20" s="163"/>
      <c r="G20" s="163"/>
      <c r="H20" s="163"/>
      <c r="I20" s="163"/>
      <c r="J20" s="163"/>
      <c r="K20" s="163"/>
      <c r="L20" s="163"/>
      <c r="M20" s="164"/>
      <c r="N20" s="164"/>
      <c r="O20" s="164"/>
      <c r="P20" s="164"/>
      <c r="Q20" s="164"/>
      <c r="R20" s="164"/>
      <c r="S20" s="164"/>
      <c r="T20" s="164"/>
      <c r="U20" s="164"/>
      <c r="V20" s="164"/>
      <c r="W20" s="165"/>
    </row>
    <row r="21" spans="1:23" ht="15.75">
      <c r="A21" s="185"/>
      <c r="B21" s="158" t="s">
        <v>203</v>
      </c>
      <c r="C21" s="174">
        <f>KeyAssumptions!O9</f>
        <v>0.15</v>
      </c>
      <c r="D21" s="163"/>
      <c r="E21" s="163"/>
      <c r="F21" s="163"/>
      <c r="G21" s="163"/>
      <c r="H21" s="163"/>
      <c r="I21" s="163"/>
      <c r="J21" s="163"/>
      <c r="K21" s="163"/>
      <c r="L21" s="163"/>
      <c r="M21" s="164"/>
      <c r="N21" s="164"/>
      <c r="O21" s="164"/>
      <c r="P21" s="164"/>
      <c r="Q21" s="164"/>
      <c r="R21" s="164"/>
      <c r="S21" s="164"/>
      <c r="T21" s="164"/>
      <c r="U21" s="164"/>
      <c r="V21" s="164"/>
      <c r="W21" s="165"/>
    </row>
    <row r="22" spans="1:23" ht="15.75" customHeight="1">
      <c r="A22" s="185"/>
      <c r="B22" s="188" t="s">
        <v>338</v>
      </c>
      <c r="C22" s="174">
        <v>0.95</v>
      </c>
      <c r="D22" s="163"/>
      <c r="E22" s="163"/>
      <c r="F22" s="163"/>
      <c r="G22" s="163"/>
      <c r="H22" s="163"/>
      <c r="I22" s="163"/>
      <c r="J22" s="163"/>
      <c r="K22" s="163"/>
      <c r="L22" s="163"/>
      <c r="M22" s="164"/>
      <c r="N22" s="164"/>
      <c r="O22" s="164"/>
      <c r="P22" s="164"/>
      <c r="Q22" s="164"/>
      <c r="R22" s="164"/>
      <c r="S22" s="164"/>
      <c r="T22" s="164"/>
      <c r="U22" s="164"/>
      <c r="V22" s="164"/>
      <c r="W22" s="165"/>
    </row>
    <row r="23" spans="1:23" ht="15.75">
      <c r="A23" s="185"/>
      <c r="B23" s="157"/>
      <c r="C23" s="157"/>
      <c r="D23" s="163"/>
      <c r="E23" s="163"/>
      <c r="F23" s="163"/>
      <c r="G23" s="163"/>
      <c r="H23" s="163"/>
      <c r="I23" s="163"/>
      <c r="J23" s="163"/>
      <c r="K23" s="163"/>
      <c r="L23" s="163"/>
      <c r="M23" s="164"/>
      <c r="N23" s="164"/>
      <c r="O23" s="164"/>
      <c r="P23" s="164"/>
      <c r="Q23" s="164"/>
      <c r="R23" s="164"/>
      <c r="S23" s="164"/>
      <c r="T23" s="164"/>
      <c r="U23" s="164"/>
      <c r="V23" s="164"/>
      <c r="W23" s="165"/>
    </row>
    <row r="24" spans="1:23">
      <c r="A24" s="156"/>
      <c r="B24" s="158" t="s">
        <v>1</v>
      </c>
      <c r="C24" s="159">
        <v>2016</v>
      </c>
      <c r="D24" s="159">
        <v>2017</v>
      </c>
      <c r="E24" s="159">
        <v>2018</v>
      </c>
      <c r="F24" s="159">
        <v>2019</v>
      </c>
      <c r="G24" s="159">
        <v>2020</v>
      </c>
      <c r="H24" s="159">
        <v>2021</v>
      </c>
      <c r="I24" s="159">
        <v>2022</v>
      </c>
      <c r="J24" s="159">
        <v>2023</v>
      </c>
      <c r="K24" s="159">
        <v>2024</v>
      </c>
      <c r="L24" s="159">
        <v>2025</v>
      </c>
      <c r="M24" s="159">
        <v>2026</v>
      </c>
      <c r="N24" s="159">
        <v>2027</v>
      </c>
      <c r="O24" s="159">
        <v>2028</v>
      </c>
      <c r="P24" s="159">
        <v>2029</v>
      </c>
      <c r="Q24" s="159">
        <v>2030</v>
      </c>
      <c r="R24" s="159">
        <v>2031</v>
      </c>
      <c r="S24" s="159">
        <v>2032</v>
      </c>
      <c r="T24" s="159">
        <v>2033</v>
      </c>
      <c r="U24" s="159">
        <v>2034</v>
      </c>
      <c r="V24" s="159">
        <v>2035</v>
      </c>
      <c r="W24" s="160"/>
    </row>
    <row r="25" spans="1:23">
      <c r="A25" s="156"/>
      <c r="B25" s="158" t="s">
        <v>227</v>
      </c>
      <c r="C25" s="174">
        <v>0.05</v>
      </c>
      <c r="D25" s="174">
        <v>0.2</v>
      </c>
      <c r="E25" s="174">
        <v>0.2</v>
      </c>
      <c r="F25" s="174">
        <v>0.2</v>
      </c>
      <c r="G25" s="174">
        <v>0.2</v>
      </c>
      <c r="H25" s="174">
        <v>0.15</v>
      </c>
      <c r="I25" s="174">
        <v>0</v>
      </c>
      <c r="J25" s="174">
        <v>0</v>
      </c>
      <c r="K25" s="174">
        <v>0</v>
      </c>
      <c r="L25" s="174">
        <v>0</v>
      </c>
      <c r="M25" s="174">
        <v>0</v>
      </c>
      <c r="N25" s="174">
        <v>0</v>
      </c>
      <c r="O25" s="174">
        <v>0</v>
      </c>
      <c r="P25" s="174">
        <v>0</v>
      </c>
      <c r="Q25" s="174">
        <v>0</v>
      </c>
      <c r="R25" s="174">
        <v>0</v>
      </c>
      <c r="S25" s="174">
        <v>0</v>
      </c>
      <c r="T25" s="174">
        <v>0</v>
      </c>
      <c r="U25" s="174">
        <v>0</v>
      </c>
      <c r="V25" s="174">
        <v>0</v>
      </c>
      <c r="W25" s="216"/>
    </row>
    <row r="26" spans="1:23">
      <c r="A26" s="156"/>
      <c r="B26" s="158" t="s">
        <v>233</v>
      </c>
      <c r="C26" s="174">
        <f>C25</f>
        <v>0.05</v>
      </c>
      <c r="D26" s="174">
        <f>C26+D25</f>
        <v>0.25</v>
      </c>
      <c r="E26" s="174">
        <f t="shared" ref="E26:V26" si="3">D26+E25</f>
        <v>0.45</v>
      </c>
      <c r="F26" s="174">
        <f t="shared" si="3"/>
        <v>0.65</v>
      </c>
      <c r="G26" s="174">
        <f t="shared" si="3"/>
        <v>0.85000000000000009</v>
      </c>
      <c r="H26" s="174">
        <f t="shared" si="3"/>
        <v>1</v>
      </c>
      <c r="I26" s="174">
        <f t="shared" si="3"/>
        <v>1</v>
      </c>
      <c r="J26" s="174">
        <f t="shared" si="3"/>
        <v>1</v>
      </c>
      <c r="K26" s="174">
        <f t="shared" si="3"/>
        <v>1</v>
      </c>
      <c r="L26" s="174">
        <f t="shared" si="3"/>
        <v>1</v>
      </c>
      <c r="M26" s="174">
        <f t="shared" si="3"/>
        <v>1</v>
      </c>
      <c r="N26" s="174">
        <f t="shared" si="3"/>
        <v>1</v>
      </c>
      <c r="O26" s="174">
        <f t="shared" si="3"/>
        <v>1</v>
      </c>
      <c r="P26" s="174">
        <f t="shared" si="3"/>
        <v>1</v>
      </c>
      <c r="Q26" s="174">
        <f t="shared" si="3"/>
        <v>1</v>
      </c>
      <c r="R26" s="174">
        <f t="shared" si="3"/>
        <v>1</v>
      </c>
      <c r="S26" s="174">
        <f t="shared" si="3"/>
        <v>1</v>
      </c>
      <c r="T26" s="174">
        <f t="shared" si="3"/>
        <v>1</v>
      </c>
      <c r="U26" s="174">
        <f t="shared" si="3"/>
        <v>1</v>
      </c>
      <c r="V26" s="174">
        <f t="shared" si="3"/>
        <v>1</v>
      </c>
      <c r="W26" s="216"/>
    </row>
    <row r="27" spans="1:23">
      <c r="A27" s="156"/>
      <c r="B27" s="158" t="s">
        <v>228</v>
      </c>
      <c r="C27" s="174">
        <v>0.01</v>
      </c>
      <c r="D27" s="174">
        <v>0.01</v>
      </c>
      <c r="E27" s="174">
        <v>0.01</v>
      </c>
      <c r="F27" s="174">
        <v>0.01</v>
      </c>
      <c r="G27" s="174">
        <v>0.01</v>
      </c>
      <c r="H27" s="174">
        <v>0.01</v>
      </c>
      <c r="I27" s="174">
        <v>0.01</v>
      </c>
      <c r="J27" s="174">
        <v>0.01</v>
      </c>
      <c r="K27" s="174">
        <v>0.01</v>
      </c>
      <c r="L27" s="174">
        <v>0.01</v>
      </c>
      <c r="M27" s="174">
        <v>0.01</v>
      </c>
      <c r="N27" s="174">
        <v>0.01</v>
      </c>
      <c r="O27" s="174">
        <v>0.01</v>
      </c>
      <c r="P27" s="174">
        <v>0.01</v>
      </c>
      <c r="Q27" s="174">
        <v>0.01</v>
      </c>
      <c r="R27" s="174">
        <v>0.01</v>
      </c>
      <c r="S27" s="174">
        <v>0.01</v>
      </c>
      <c r="T27" s="174">
        <v>0.01</v>
      </c>
      <c r="U27" s="174">
        <v>0.01</v>
      </c>
      <c r="V27" s="174">
        <v>0.01</v>
      </c>
      <c r="W27" s="216"/>
    </row>
    <row r="28" spans="1:23" ht="13.5" thickBot="1">
      <c r="A28" s="161"/>
      <c r="B28" s="162" t="s">
        <v>239</v>
      </c>
      <c r="C28" s="217">
        <v>0.5</v>
      </c>
      <c r="D28" s="217">
        <f>C28-0.05</f>
        <v>0.45</v>
      </c>
      <c r="E28" s="217">
        <f>D28-0.05</f>
        <v>0.4</v>
      </c>
      <c r="F28" s="217">
        <f t="shared" ref="F28" si="4">E28-0.05</f>
        <v>0.35000000000000003</v>
      </c>
      <c r="G28" s="217">
        <f t="shared" ref="G28" si="5">F28-0.05</f>
        <v>0.30000000000000004</v>
      </c>
      <c r="H28" s="217">
        <v>0.3</v>
      </c>
      <c r="I28" s="217">
        <f>H28</f>
        <v>0.3</v>
      </c>
      <c r="J28" s="217">
        <f t="shared" ref="J28" si="6">I28</f>
        <v>0.3</v>
      </c>
      <c r="K28" s="217">
        <f t="shared" ref="K28" si="7">J28</f>
        <v>0.3</v>
      </c>
      <c r="L28" s="217">
        <f t="shared" ref="L28" si="8">K28</f>
        <v>0.3</v>
      </c>
      <c r="M28" s="217">
        <f t="shared" ref="M28" si="9">L28</f>
        <v>0.3</v>
      </c>
      <c r="N28" s="217">
        <f t="shared" ref="N28" si="10">M28</f>
        <v>0.3</v>
      </c>
      <c r="O28" s="217">
        <f t="shared" ref="O28" si="11">N28</f>
        <v>0.3</v>
      </c>
      <c r="P28" s="217">
        <f t="shared" ref="P28" si="12">O28</f>
        <v>0.3</v>
      </c>
      <c r="Q28" s="217">
        <f t="shared" ref="Q28" si="13">P28</f>
        <v>0.3</v>
      </c>
      <c r="R28" s="217">
        <f t="shared" ref="R28" si="14">Q28</f>
        <v>0.3</v>
      </c>
      <c r="S28" s="217">
        <f t="shared" ref="S28" si="15">R28</f>
        <v>0.3</v>
      </c>
      <c r="T28" s="217">
        <f t="shared" ref="T28" si="16">S28</f>
        <v>0.3</v>
      </c>
      <c r="U28" s="217">
        <f t="shared" ref="U28" si="17">T28</f>
        <v>0.3</v>
      </c>
      <c r="V28" s="217">
        <f t="shared" ref="V28" si="18">U28</f>
        <v>0.3</v>
      </c>
      <c r="W28" s="218"/>
    </row>
    <row r="29" spans="1:23" s="221" customFormat="1" ht="16.5" thickBot="1">
      <c r="A29" s="228"/>
      <c r="B29" s="228"/>
      <c r="C29" s="228"/>
      <c r="D29" s="229"/>
      <c r="E29" s="229"/>
      <c r="F29" s="229"/>
      <c r="G29" s="229"/>
      <c r="H29" s="229"/>
      <c r="I29" s="229"/>
      <c r="J29" s="229"/>
      <c r="K29" s="229"/>
      <c r="L29" s="229"/>
      <c r="M29" s="78"/>
      <c r="N29" s="78"/>
      <c r="O29" s="78"/>
      <c r="P29" s="78"/>
      <c r="Q29" s="78"/>
      <c r="R29" s="78"/>
      <c r="S29" s="78"/>
      <c r="T29" s="78"/>
      <c r="U29" s="78"/>
      <c r="V29" s="78"/>
      <c r="W29" s="78"/>
    </row>
    <row r="30" spans="1:23" ht="15.75" thickBot="1">
      <c r="A30" s="186" t="s">
        <v>236</v>
      </c>
      <c r="B30" s="187"/>
      <c r="C30" s="180"/>
      <c r="D30" s="180"/>
      <c r="E30" s="180"/>
      <c r="F30" s="180"/>
      <c r="G30" s="180"/>
      <c r="H30" s="180"/>
      <c r="I30" s="180"/>
      <c r="J30" s="180"/>
      <c r="K30" s="180"/>
      <c r="L30" s="180"/>
      <c r="M30" s="180"/>
      <c r="N30" s="180"/>
      <c r="O30" s="180"/>
      <c r="P30" s="180"/>
      <c r="Q30" s="180"/>
      <c r="R30" s="180"/>
      <c r="S30" s="180"/>
      <c r="T30" s="180"/>
      <c r="U30" s="180"/>
      <c r="V30" s="180"/>
      <c r="W30" s="181"/>
    </row>
    <row r="31" spans="1:23">
      <c r="A31" s="77" t="s">
        <v>208</v>
      </c>
      <c r="B31" s="77"/>
      <c r="F31" s="78"/>
      <c r="G31" s="78"/>
    </row>
    <row r="33" spans="1:23">
      <c r="A33" s="79"/>
      <c r="B33" s="207"/>
      <c r="C33" s="542" t="s">
        <v>209</v>
      </c>
      <c r="D33" s="543"/>
      <c r="E33" s="543"/>
      <c r="F33" s="543"/>
      <c r="G33" s="543"/>
      <c r="H33" s="543"/>
      <c r="I33" s="543"/>
      <c r="J33" s="543"/>
      <c r="K33" s="543"/>
      <c r="L33" s="543"/>
      <c r="M33" s="543"/>
      <c r="N33" s="543"/>
      <c r="O33" s="543"/>
      <c r="P33" s="543"/>
      <c r="Q33" s="543"/>
      <c r="R33" s="543"/>
      <c r="S33" s="543"/>
      <c r="T33" s="543"/>
      <c r="U33" s="543"/>
      <c r="V33" s="543"/>
      <c r="W33" s="544"/>
    </row>
    <row r="34" spans="1:23" ht="16.5" customHeight="1">
      <c r="A34" s="80" t="s">
        <v>210</v>
      </c>
      <c r="B34" s="81"/>
      <c r="C34" s="322">
        <v>2016</v>
      </c>
      <c r="D34" s="208">
        <v>2017</v>
      </c>
      <c r="E34" s="208">
        <v>2018</v>
      </c>
      <c r="F34" s="208">
        <v>2019</v>
      </c>
      <c r="G34" s="208">
        <v>2020</v>
      </c>
      <c r="H34" s="208">
        <v>2021</v>
      </c>
      <c r="I34" s="208">
        <v>2022</v>
      </c>
      <c r="J34" s="208">
        <v>2023</v>
      </c>
      <c r="K34" s="208">
        <v>2024</v>
      </c>
      <c r="L34" s="208">
        <v>2025</v>
      </c>
      <c r="M34" s="208">
        <v>2026</v>
      </c>
      <c r="N34" s="208">
        <v>2027</v>
      </c>
      <c r="O34" s="208">
        <v>2028</v>
      </c>
      <c r="P34" s="208">
        <v>2029</v>
      </c>
      <c r="Q34" s="208">
        <v>2030</v>
      </c>
      <c r="R34" s="208">
        <v>2031</v>
      </c>
      <c r="S34" s="208">
        <v>2032</v>
      </c>
      <c r="T34" s="208">
        <v>2033</v>
      </c>
      <c r="U34" s="208">
        <v>2034</v>
      </c>
      <c r="V34" s="208">
        <v>2035</v>
      </c>
      <c r="W34" s="208"/>
    </row>
    <row r="35" spans="1:23">
      <c r="A35" s="82"/>
      <c r="B35" s="83"/>
      <c r="C35" s="82"/>
      <c r="D35" s="82"/>
      <c r="E35" s="82"/>
      <c r="F35" s="82"/>
      <c r="G35" s="82"/>
      <c r="H35" s="84"/>
      <c r="I35" s="82"/>
      <c r="J35" s="82"/>
      <c r="K35" s="82"/>
      <c r="L35" s="82"/>
      <c r="M35" s="82"/>
      <c r="N35" s="82"/>
      <c r="O35" s="82"/>
      <c r="P35" s="82"/>
      <c r="Q35" s="82"/>
      <c r="R35" s="82"/>
      <c r="S35" s="82"/>
      <c r="T35" s="82"/>
      <c r="U35" s="82"/>
      <c r="V35" s="82"/>
      <c r="W35" s="82"/>
    </row>
    <row r="36" spans="1:23">
      <c r="A36" s="166" t="s">
        <v>301</v>
      </c>
      <c r="B36" s="83"/>
      <c r="C36" s="86">
        <f>C46</f>
        <v>509.25658266493059</v>
      </c>
      <c r="D36" s="86">
        <f>D46-C46</f>
        <v>1809.9221798452954</v>
      </c>
      <c r="E36" s="86">
        <f>E46-D46</f>
        <v>1440.8085194630744</v>
      </c>
      <c r="F36" s="86">
        <f t="shared" ref="F36:V36" si="19">F46-E46</f>
        <v>1053.9466349878689</v>
      </c>
      <c r="G36" s="86">
        <f t="shared" si="19"/>
        <v>654.54730990681128</v>
      </c>
      <c r="H36" s="86">
        <f t="shared" si="19"/>
        <v>1047.1413409281822</v>
      </c>
      <c r="I36" s="86">
        <f t="shared" si="19"/>
        <v>80.687107763703352</v>
      </c>
      <c r="J36" s="86">
        <f t="shared" si="19"/>
        <v>79.609082726790803</v>
      </c>
      <c r="K36" s="86">
        <f t="shared" si="19"/>
        <v>79.334262484283499</v>
      </c>
      <c r="L36" s="86">
        <f t="shared" si="19"/>
        <v>78.880394930534749</v>
      </c>
      <c r="M36" s="86">
        <f t="shared" si="19"/>
        <v>75.533086157410253</v>
      </c>
      <c r="N36" s="86">
        <f t="shared" si="19"/>
        <v>78.172589416686606</v>
      </c>
      <c r="O36" s="86">
        <f t="shared" si="19"/>
        <v>81.367814624166385</v>
      </c>
      <c r="P36" s="86">
        <f t="shared" si="19"/>
        <v>81.836058772807519</v>
      </c>
      <c r="Q36" s="86">
        <f t="shared" si="19"/>
        <v>79.982660980422224</v>
      </c>
      <c r="R36" s="86">
        <f t="shared" si="19"/>
        <v>80.877247418945444</v>
      </c>
      <c r="S36" s="86">
        <f t="shared" si="19"/>
        <v>81.781839587292779</v>
      </c>
      <c r="T36" s="86">
        <f t="shared" si="19"/>
        <v>82.696549397089257</v>
      </c>
      <c r="U36" s="86">
        <f t="shared" si="19"/>
        <v>83.621490011675633</v>
      </c>
      <c r="V36" s="86">
        <f t="shared" si="19"/>
        <v>84.556775860091875</v>
      </c>
      <c r="W36" s="86"/>
    </row>
    <row r="37" spans="1:23">
      <c r="A37" s="166" t="s">
        <v>302</v>
      </c>
      <c r="B37" s="83"/>
      <c r="C37" s="86">
        <f>C47</f>
        <v>254.6282913324653</v>
      </c>
      <c r="D37" s="86">
        <f>D47-C47</f>
        <v>904.96108992264772</v>
      </c>
      <c r="E37" s="86">
        <f>E47-D47</f>
        <v>720.40425973153719</v>
      </c>
      <c r="F37" s="86">
        <f t="shared" ref="F37:V37" si="20">F47-E47</f>
        <v>526.97331749393447</v>
      </c>
      <c r="G37" s="86">
        <f t="shared" si="20"/>
        <v>327.27365495340564</v>
      </c>
      <c r="H37" s="86">
        <f t="shared" si="20"/>
        <v>523.57067046409111</v>
      </c>
      <c r="I37" s="86">
        <f t="shared" si="20"/>
        <v>40.343553881851676</v>
      </c>
      <c r="J37" s="86">
        <f t="shared" si="20"/>
        <v>39.804541363395401</v>
      </c>
      <c r="K37" s="86">
        <f t="shared" si="20"/>
        <v>39.66713124214175</v>
      </c>
      <c r="L37" s="86">
        <f t="shared" si="20"/>
        <v>39.440197465267374</v>
      </c>
      <c r="M37" s="86">
        <f t="shared" si="20"/>
        <v>37.766543078705126</v>
      </c>
      <c r="N37" s="86">
        <f t="shared" si="20"/>
        <v>39.086294708343303</v>
      </c>
      <c r="O37" s="86">
        <f t="shared" si="20"/>
        <v>40.683907312083193</v>
      </c>
      <c r="P37" s="86">
        <f t="shared" si="20"/>
        <v>40.918029386403759</v>
      </c>
      <c r="Q37" s="86">
        <f t="shared" si="20"/>
        <v>39.991330490211112</v>
      </c>
      <c r="R37" s="86">
        <f t="shared" si="20"/>
        <v>40.438623709472722</v>
      </c>
      <c r="S37" s="86">
        <f t="shared" si="20"/>
        <v>40.89091979364639</v>
      </c>
      <c r="T37" s="86">
        <f t="shared" si="20"/>
        <v>41.348274698544628</v>
      </c>
      <c r="U37" s="86">
        <f t="shared" si="20"/>
        <v>41.810745005837816</v>
      </c>
      <c r="V37" s="86">
        <f t="shared" si="20"/>
        <v>42.278387930045938</v>
      </c>
      <c r="W37" s="86"/>
    </row>
    <row r="38" spans="1:23">
      <c r="A38" s="87"/>
      <c r="B38" s="88"/>
      <c r="C38" s="89"/>
      <c r="D38" s="90"/>
      <c r="E38" s="90"/>
      <c r="F38" s="90"/>
      <c r="G38" s="90"/>
      <c r="H38" s="90"/>
      <c r="I38" s="90"/>
      <c r="J38" s="90"/>
      <c r="K38" s="90"/>
      <c r="L38" s="90"/>
      <c r="M38" s="90"/>
      <c r="N38" s="90"/>
      <c r="O38" s="90"/>
      <c r="P38" s="90"/>
      <c r="Q38" s="90"/>
      <c r="R38" s="90"/>
      <c r="S38" s="90"/>
      <c r="T38" s="90"/>
      <c r="U38" s="90"/>
      <c r="V38" s="90"/>
      <c r="W38" s="90"/>
    </row>
    <row r="39" spans="1:23">
      <c r="A39" s="91" t="s">
        <v>212</v>
      </c>
      <c r="B39" s="92"/>
      <c r="C39" s="93">
        <f t="shared" ref="C39:V39" si="21">SUM(C36:C37)</f>
        <v>763.88487399739586</v>
      </c>
      <c r="D39" s="93">
        <f t="shared" si="21"/>
        <v>2714.8832697679431</v>
      </c>
      <c r="E39" s="93">
        <f t="shared" si="21"/>
        <v>2161.2127791946114</v>
      </c>
      <c r="F39" s="93">
        <f t="shared" si="21"/>
        <v>1580.9199524818034</v>
      </c>
      <c r="G39" s="93">
        <f t="shared" si="21"/>
        <v>981.82096486021692</v>
      </c>
      <c r="H39" s="93">
        <f t="shared" si="21"/>
        <v>1570.7120113922733</v>
      </c>
      <c r="I39" s="93">
        <f t="shared" si="21"/>
        <v>121.03066164555503</v>
      </c>
      <c r="J39" s="93">
        <f t="shared" si="21"/>
        <v>119.4136240901862</v>
      </c>
      <c r="K39" s="93">
        <f t="shared" si="21"/>
        <v>119.00139372642525</v>
      </c>
      <c r="L39" s="93">
        <f t="shared" si="21"/>
        <v>118.32059239580212</v>
      </c>
      <c r="M39" s="93">
        <f t="shared" si="21"/>
        <v>113.29962923611538</v>
      </c>
      <c r="N39" s="93">
        <f t="shared" si="21"/>
        <v>117.25888412502991</v>
      </c>
      <c r="O39" s="93">
        <f t="shared" si="21"/>
        <v>122.05172193624958</v>
      </c>
      <c r="P39" s="93">
        <f t="shared" si="21"/>
        <v>122.75408815921128</v>
      </c>
      <c r="Q39" s="93">
        <f t="shared" si="21"/>
        <v>119.97399147063334</v>
      </c>
      <c r="R39" s="93">
        <f t="shared" si="21"/>
        <v>121.31587112841817</v>
      </c>
      <c r="S39" s="93">
        <f t="shared" si="21"/>
        <v>122.67275938093917</v>
      </c>
      <c r="T39" s="93">
        <f t="shared" si="21"/>
        <v>124.04482409563389</v>
      </c>
      <c r="U39" s="93">
        <f t="shared" si="21"/>
        <v>125.43223501751345</v>
      </c>
      <c r="V39" s="93">
        <f t="shared" si="21"/>
        <v>126.83516379013781</v>
      </c>
      <c r="W39" s="93"/>
    </row>
    <row r="40" spans="1:23">
      <c r="A40" s="94"/>
      <c r="B40" s="94"/>
      <c r="C40" s="95"/>
      <c r="D40" s="95"/>
      <c r="E40" s="95"/>
      <c r="F40" s="95"/>
      <c r="G40" s="95"/>
      <c r="H40" s="95"/>
      <c r="I40" s="95"/>
      <c r="J40" s="94"/>
      <c r="K40" s="94"/>
      <c r="L40" s="94"/>
    </row>
    <row r="41" spans="1:23">
      <c r="A41" s="96" t="s">
        <v>213</v>
      </c>
      <c r="B41" s="96"/>
      <c r="C41" s="97"/>
      <c r="D41" s="97"/>
      <c r="E41" s="97"/>
      <c r="F41" s="97"/>
      <c r="G41" s="97"/>
      <c r="H41" s="97"/>
      <c r="I41" s="97"/>
      <c r="J41" s="98"/>
      <c r="K41" s="98"/>
      <c r="L41" s="98"/>
    </row>
    <row r="42" spans="1:23">
      <c r="A42" s="96"/>
      <c r="B42" s="96"/>
      <c r="C42" s="97"/>
      <c r="D42" s="97"/>
      <c r="E42" s="97"/>
      <c r="F42" s="97"/>
      <c r="G42" s="97"/>
      <c r="H42" s="97"/>
      <c r="I42" s="97"/>
      <c r="J42" s="98"/>
      <c r="K42" s="98"/>
      <c r="L42" s="98"/>
    </row>
    <row r="43" spans="1:23">
      <c r="A43" s="532" t="s">
        <v>210</v>
      </c>
      <c r="B43" s="534"/>
      <c r="C43" s="542" t="s">
        <v>214</v>
      </c>
      <c r="D43" s="543"/>
      <c r="E43" s="543"/>
      <c r="F43" s="543"/>
      <c r="G43" s="543"/>
      <c r="H43" s="543"/>
      <c r="I43" s="543"/>
      <c r="J43" s="543"/>
      <c r="K43" s="543"/>
      <c r="L43" s="543"/>
      <c r="M43" s="543"/>
      <c r="N43" s="543"/>
      <c r="O43" s="543"/>
      <c r="P43" s="543"/>
      <c r="Q43" s="543"/>
      <c r="R43" s="543"/>
      <c r="S43" s="543"/>
      <c r="T43" s="543"/>
      <c r="U43" s="543"/>
      <c r="V43" s="543"/>
      <c r="W43" s="544"/>
    </row>
    <row r="44" spans="1:23">
      <c r="A44" s="533"/>
      <c r="B44" s="535"/>
      <c r="C44" s="208">
        <v>2016</v>
      </c>
      <c r="D44" s="208">
        <v>2017</v>
      </c>
      <c r="E44" s="208">
        <v>2018</v>
      </c>
      <c r="F44" s="208">
        <v>2019</v>
      </c>
      <c r="G44" s="208">
        <v>2020</v>
      </c>
      <c r="H44" s="208">
        <v>2021</v>
      </c>
      <c r="I44" s="208">
        <v>2022</v>
      </c>
      <c r="J44" s="208">
        <v>2023</v>
      </c>
      <c r="K44" s="208">
        <v>2024</v>
      </c>
      <c r="L44" s="208">
        <v>2025</v>
      </c>
      <c r="M44" s="208">
        <v>2026</v>
      </c>
      <c r="N44" s="208">
        <v>2027</v>
      </c>
      <c r="O44" s="208">
        <v>2028</v>
      </c>
      <c r="P44" s="208">
        <v>2029</v>
      </c>
      <c r="Q44" s="208">
        <v>2030</v>
      </c>
      <c r="R44" s="208">
        <v>2031</v>
      </c>
      <c r="S44" s="208">
        <v>2032</v>
      </c>
      <c r="T44" s="208">
        <v>2033</v>
      </c>
      <c r="U44" s="208">
        <v>2034</v>
      </c>
      <c r="V44" s="208">
        <v>2035</v>
      </c>
      <c r="W44" s="208"/>
    </row>
    <row r="45" spans="1:23">
      <c r="A45" s="82"/>
      <c r="B45" s="85"/>
      <c r="C45" s="90"/>
      <c r="D45" s="90"/>
      <c r="E45" s="90"/>
      <c r="F45" s="90"/>
      <c r="G45" s="90"/>
      <c r="H45" s="90"/>
      <c r="I45" s="90"/>
      <c r="J45" s="90"/>
      <c r="K45" s="90"/>
      <c r="L45" s="90"/>
      <c r="M45" s="90"/>
      <c r="N45" s="90"/>
      <c r="O45" s="90"/>
      <c r="P45" s="90"/>
      <c r="Q45" s="90"/>
      <c r="R45" s="90"/>
      <c r="S45" s="90"/>
      <c r="T45" s="90"/>
      <c r="U45" s="90"/>
      <c r="V45" s="90"/>
      <c r="W45" s="90"/>
    </row>
    <row r="46" spans="1:23">
      <c r="A46" s="101" t="str">
        <f>+A36</f>
        <v>a. Space Cooling, Small - Switch</v>
      </c>
      <c r="B46" s="102"/>
      <c r="C46" s="90">
        <f t="shared" ref="C46:V46" si="22">C6*$C$9*$C$10*C17*C15*(1-C16)</f>
        <v>509.25658266493059</v>
      </c>
      <c r="D46" s="90">
        <f t="shared" si="22"/>
        <v>2319.1787625102261</v>
      </c>
      <c r="E46" s="90">
        <f t="shared" si="22"/>
        <v>3759.9872819733005</v>
      </c>
      <c r="F46" s="90">
        <f t="shared" si="22"/>
        <v>4813.9339169611694</v>
      </c>
      <c r="G46" s="90">
        <f t="shared" si="22"/>
        <v>5468.4812268679807</v>
      </c>
      <c r="H46" s="90">
        <f t="shared" si="22"/>
        <v>6515.6225677961629</v>
      </c>
      <c r="I46" s="90">
        <f t="shared" si="22"/>
        <v>6596.3096755598663</v>
      </c>
      <c r="J46" s="90">
        <f t="shared" si="22"/>
        <v>6675.9187582866571</v>
      </c>
      <c r="K46" s="90">
        <f t="shared" si="22"/>
        <v>6755.2530207709406</v>
      </c>
      <c r="L46" s="90">
        <f t="shared" si="22"/>
        <v>6834.1334157014753</v>
      </c>
      <c r="M46" s="90">
        <f t="shared" si="22"/>
        <v>6909.6665018588856</v>
      </c>
      <c r="N46" s="90">
        <f t="shared" si="22"/>
        <v>6987.8390912755722</v>
      </c>
      <c r="O46" s="90">
        <f t="shared" si="22"/>
        <v>7069.2069058997386</v>
      </c>
      <c r="P46" s="90">
        <f t="shared" si="22"/>
        <v>7151.0429646725461</v>
      </c>
      <c r="Q46" s="90">
        <f t="shared" si="22"/>
        <v>7231.0256256529683</v>
      </c>
      <c r="R46" s="90">
        <f t="shared" si="22"/>
        <v>7311.9028730719137</v>
      </c>
      <c r="S46" s="90">
        <f t="shared" si="22"/>
        <v>7393.6847126592065</v>
      </c>
      <c r="T46" s="90">
        <f t="shared" si="22"/>
        <v>7476.3812620562958</v>
      </c>
      <c r="U46" s="90">
        <f t="shared" si="22"/>
        <v>7560.0027520679714</v>
      </c>
      <c r="V46" s="90">
        <f t="shared" si="22"/>
        <v>7644.5595279280633</v>
      </c>
      <c r="W46" s="90"/>
    </row>
    <row r="47" spans="1:23">
      <c r="A47" s="101" t="str">
        <f>+A37</f>
        <v>b. Space Cooling, Medium - Switch</v>
      </c>
      <c r="B47" s="102"/>
      <c r="C47" s="90">
        <f>C6*$C$20*$C$21*C28*C26*(1-C27)</f>
        <v>254.6282913324653</v>
      </c>
      <c r="D47" s="90">
        <f t="shared" ref="D47:V47" si="23">D6*$C$20*$C$21*D28*D26*(1-D27)</f>
        <v>1159.589381255113</v>
      </c>
      <c r="E47" s="90">
        <f t="shared" si="23"/>
        <v>1879.9936409866502</v>
      </c>
      <c r="F47" s="90">
        <f t="shared" si="23"/>
        <v>2406.9669584805847</v>
      </c>
      <c r="G47" s="90">
        <f t="shared" si="23"/>
        <v>2734.2406134339903</v>
      </c>
      <c r="H47" s="90">
        <f t="shared" si="23"/>
        <v>3257.8112838980815</v>
      </c>
      <c r="I47" s="90">
        <f t="shared" si="23"/>
        <v>3298.1548377799331</v>
      </c>
      <c r="J47" s="90">
        <f t="shared" si="23"/>
        <v>3337.9593791433285</v>
      </c>
      <c r="K47" s="90">
        <f t="shared" si="23"/>
        <v>3377.6265103854703</v>
      </c>
      <c r="L47" s="90">
        <f t="shared" si="23"/>
        <v>3417.0667078507377</v>
      </c>
      <c r="M47" s="90">
        <f t="shared" si="23"/>
        <v>3454.8332509294428</v>
      </c>
      <c r="N47" s="90">
        <f t="shared" si="23"/>
        <v>3493.9195456377861</v>
      </c>
      <c r="O47" s="90">
        <f t="shared" si="23"/>
        <v>3534.6034529498693</v>
      </c>
      <c r="P47" s="90">
        <f t="shared" si="23"/>
        <v>3575.521482336273</v>
      </c>
      <c r="Q47" s="90">
        <f t="shared" si="23"/>
        <v>3615.5128128264842</v>
      </c>
      <c r="R47" s="90">
        <f t="shared" si="23"/>
        <v>3655.9514365359569</v>
      </c>
      <c r="S47" s="90">
        <f t="shared" si="23"/>
        <v>3696.8423563296033</v>
      </c>
      <c r="T47" s="90">
        <f t="shared" si="23"/>
        <v>3738.1906310281479</v>
      </c>
      <c r="U47" s="90">
        <f t="shared" si="23"/>
        <v>3780.0013760339857</v>
      </c>
      <c r="V47" s="90">
        <f t="shared" si="23"/>
        <v>3822.2797639640316</v>
      </c>
      <c r="W47" s="90"/>
    </row>
    <row r="48" spans="1:23">
      <c r="A48" s="85"/>
      <c r="B48" s="85"/>
      <c r="C48" s="103"/>
      <c r="D48" s="103"/>
      <c r="E48" s="103"/>
      <c r="F48" s="103"/>
      <c r="G48" s="103"/>
      <c r="H48" s="103"/>
      <c r="I48" s="103"/>
      <c r="J48" s="103"/>
      <c r="K48" s="103"/>
      <c r="L48" s="103"/>
      <c r="M48" s="103"/>
      <c r="N48" s="103"/>
      <c r="O48" s="103"/>
      <c r="P48" s="103"/>
      <c r="Q48" s="103"/>
      <c r="R48" s="103"/>
      <c r="S48" s="103"/>
      <c r="T48" s="103"/>
      <c r="U48" s="103"/>
      <c r="V48" s="103"/>
      <c r="W48" s="103"/>
    </row>
    <row r="49" spans="1:23">
      <c r="A49" s="91" t="s">
        <v>215</v>
      </c>
      <c r="B49" s="91"/>
      <c r="C49" s="93">
        <f t="shared" ref="C49:V49" si="24">SUM(C46:C47)</f>
        <v>763.88487399739586</v>
      </c>
      <c r="D49" s="93">
        <f t="shared" si="24"/>
        <v>3478.7681437653391</v>
      </c>
      <c r="E49" s="93">
        <f t="shared" si="24"/>
        <v>5639.9809229599505</v>
      </c>
      <c r="F49" s="93">
        <f t="shared" si="24"/>
        <v>7220.9008754417537</v>
      </c>
      <c r="G49" s="93">
        <f t="shared" si="24"/>
        <v>8202.7218403019706</v>
      </c>
      <c r="H49" s="93">
        <f t="shared" si="24"/>
        <v>9773.4338516942444</v>
      </c>
      <c r="I49" s="93">
        <f t="shared" si="24"/>
        <v>9894.4645133397989</v>
      </c>
      <c r="J49" s="93">
        <f t="shared" si="24"/>
        <v>10013.878137429985</v>
      </c>
      <c r="K49" s="93">
        <f t="shared" si="24"/>
        <v>10132.87953115641</v>
      </c>
      <c r="L49" s="93">
        <f t="shared" si="24"/>
        <v>10251.200123552213</v>
      </c>
      <c r="M49" s="93">
        <f t="shared" si="24"/>
        <v>10364.499752788328</v>
      </c>
      <c r="N49" s="93">
        <f t="shared" si="24"/>
        <v>10481.758636913359</v>
      </c>
      <c r="O49" s="93">
        <f t="shared" si="24"/>
        <v>10603.810358849609</v>
      </c>
      <c r="P49" s="93">
        <f t="shared" si="24"/>
        <v>10726.564447008819</v>
      </c>
      <c r="Q49" s="93">
        <f t="shared" si="24"/>
        <v>10846.538438479452</v>
      </c>
      <c r="R49" s="93">
        <f t="shared" si="24"/>
        <v>10967.85430960787</v>
      </c>
      <c r="S49" s="93">
        <f t="shared" si="24"/>
        <v>11090.527068988809</v>
      </c>
      <c r="T49" s="93">
        <f t="shared" si="24"/>
        <v>11214.571893084443</v>
      </c>
      <c r="U49" s="93">
        <f t="shared" si="24"/>
        <v>11340.004128101957</v>
      </c>
      <c r="V49" s="93">
        <f t="shared" si="24"/>
        <v>11466.839291892094</v>
      </c>
      <c r="W49" s="93"/>
    </row>
    <row r="51" spans="1:23">
      <c r="A51" s="77" t="s">
        <v>216</v>
      </c>
      <c r="B51" s="77"/>
      <c r="D51" s="214"/>
      <c r="E51" s="78"/>
      <c r="F51" s="78"/>
      <c r="G51" s="215"/>
    </row>
    <row r="52" spans="1:23">
      <c r="A52" s="77"/>
      <c r="B52" s="77"/>
      <c r="D52" s="214"/>
      <c r="E52" s="78"/>
      <c r="F52" s="78"/>
      <c r="G52" s="219"/>
    </row>
    <row r="53" spans="1:23" ht="12.75" customHeight="1">
      <c r="A53" s="104"/>
      <c r="B53" s="477" t="s">
        <v>238</v>
      </c>
      <c r="C53" s="537" t="s">
        <v>217</v>
      </c>
      <c r="D53" s="538"/>
      <c r="E53" s="538"/>
      <c r="F53" s="538"/>
      <c r="G53" s="538"/>
      <c r="H53" s="538"/>
      <c r="I53" s="538"/>
      <c r="J53" s="538"/>
      <c r="K53" s="538"/>
      <c r="L53" s="538"/>
      <c r="M53" s="538"/>
      <c r="N53" s="538"/>
      <c r="O53" s="538"/>
      <c r="P53" s="538"/>
      <c r="Q53" s="538"/>
      <c r="R53" s="538"/>
      <c r="S53" s="538"/>
      <c r="T53" s="538"/>
      <c r="U53" s="538"/>
      <c r="V53" s="538"/>
      <c r="W53" s="538"/>
    </row>
    <row r="54" spans="1:23">
      <c r="A54" s="209" t="s">
        <v>210</v>
      </c>
      <c r="B54" s="478"/>
      <c r="C54" s="208">
        <v>2016</v>
      </c>
      <c r="D54" s="208">
        <v>2017</v>
      </c>
      <c r="E54" s="208">
        <v>2018</v>
      </c>
      <c r="F54" s="208">
        <v>2019</v>
      </c>
      <c r="G54" s="208">
        <v>2020</v>
      </c>
      <c r="H54" s="208">
        <v>2021</v>
      </c>
      <c r="I54" s="208">
        <v>2022</v>
      </c>
      <c r="J54" s="208">
        <v>2023</v>
      </c>
      <c r="K54" s="208">
        <v>2024</v>
      </c>
      <c r="L54" s="208">
        <v>2025</v>
      </c>
      <c r="M54" s="208">
        <v>2026</v>
      </c>
      <c r="N54" s="208">
        <v>2027</v>
      </c>
      <c r="O54" s="208">
        <v>2028</v>
      </c>
      <c r="P54" s="208">
        <v>2029</v>
      </c>
      <c r="Q54" s="208">
        <v>2030</v>
      </c>
      <c r="R54" s="208">
        <v>2031</v>
      </c>
      <c r="S54" s="208">
        <v>2032</v>
      </c>
      <c r="T54" s="208">
        <v>2033</v>
      </c>
      <c r="U54" s="208">
        <v>2034</v>
      </c>
      <c r="V54" s="208">
        <v>2035</v>
      </c>
      <c r="W54" s="208"/>
    </row>
    <row r="55" spans="1:23">
      <c r="A55" s="82"/>
      <c r="B55" s="82"/>
      <c r="C55" s="82"/>
      <c r="D55" s="105"/>
      <c r="E55" s="82"/>
      <c r="F55" s="82"/>
      <c r="G55" s="82"/>
      <c r="H55" s="82"/>
      <c r="I55" s="82"/>
      <c r="J55" s="82"/>
      <c r="K55" s="82"/>
      <c r="L55" s="82"/>
      <c r="M55" s="82"/>
      <c r="N55" s="82"/>
      <c r="O55" s="82"/>
      <c r="P55" s="82"/>
      <c r="Q55" s="82"/>
      <c r="R55" s="82"/>
      <c r="S55" s="82"/>
      <c r="T55" s="82"/>
      <c r="U55" s="82"/>
      <c r="V55" s="82"/>
      <c r="W55" s="82"/>
    </row>
    <row r="56" spans="1:23">
      <c r="A56" s="101" t="str">
        <f>+A36</f>
        <v>a. Space Cooling, Small - Switch</v>
      </c>
      <c r="B56" s="232">
        <f>KeyAssumptions!$M$8</f>
        <v>2.8</v>
      </c>
      <c r="C56" s="189">
        <f>$B56/1000*C46*$C$11</f>
        <v>1.3546225098887152</v>
      </c>
      <c r="D56" s="189">
        <f t="shared" ref="D56:V56" si="25">$B56/1000*D46*$C$11</f>
        <v>6.1690155082772007</v>
      </c>
      <c r="E56" s="189">
        <f t="shared" si="25"/>
        <v>10.001566170048978</v>
      </c>
      <c r="F56" s="189">
        <f t="shared" si="25"/>
        <v>12.80506421911671</v>
      </c>
      <c r="G56" s="189">
        <f t="shared" si="25"/>
        <v>14.546160063468829</v>
      </c>
      <c r="H56" s="189">
        <f t="shared" si="25"/>
        <v>17.331556030337794</v>
      </c>
      <c r="I56" s="189">
        <f t="shared" si="25"/>
        <v>17.546183736989242</v>
      </c>
      <c r="J56" s="189">
        <f t="shared" si="25"/>
        <v>17.757943897042505</v>
      </c>
      <c r="K56" s="189">
        <f t="shared" si="25"/>
        <v>17.968973035250698</v>
      </c>
      <c r="L56" s="189">
        <f t="shared" si="25"/>
        <v>18.178794885765921</v>
      </c>
      <c r="M56" s="189">
        <f t="shared" si="25"/>
        <v>18.379712894944635</v>
      </c>
      <c r="N56" s="189">
        <f t="shared" si="25"/>
        <v>18.58765198279302</v>
      </c>
      <c r="O56" s="189">
        <f t="shared" si="25"/>
        <v>18.804090369693306</v>
      </c>
      <c r="P56" s="189">
        <f t="shared" si="25"/>
        <v>19.021774286028972</v>
      </c>
      <c r="Q56" s="189">
        <f t="shared" si="25"/>
        <v>19.234528164236895</v>
      </c>
      <c r="R56" s="189">
        <f t="shared" si="25"/>
        <v>19.449661642371289</v>
      </c>
      <c r="S56" s="189">
        <f t="shared" si="25"/>
        <v>19.667201335673489</v>
      </c>
      <c r="T56" s="189">
        <f t="shared" si="25"/>
        <v>19.887174157069744</v>
      </c>
      <c r="U56" s="189">
        <f t="shared" si="25"/>
        <v>20.109607320500803</v>
      </c>
      <c r="V56" s="189">
        <f t="shared" si="25"/>
        <v>20.334528344288646</v>
      </c>
      <c r="W56" s="189"/>
    </row>
    <row r="57" spans="1:23">
      <c r="A57" s="101" t="str">
        <f>+A37</f>
        <v>b. Space Cooling, Medium - Switch</v>
      </c>
      <c r="B57" s="232">
        <f>KeyAssumptions!$M$9</f>
        <v>15</v>
      </c>
      <c r="C57" s="189">
        <f>$B57/1000*C47*$C$22</f>
        <v>3.6284531514876304</v>
      </c>
      <c r="D57" s="189">
        <f t="shared" ref="D57:V57" si="26">$B57/1000*D47*$C$22</f>
        <v>16.524148682885361</v>
      </c>
      <c r="E57" s="189">
        <f t="shared" si="26"/>
        <v>26.789909384059765</v>
      </c>
      <c r="F57" s="189">
        <f t="shared" si="26"/>
        <v>34.299279158348327</v>
      </c>
      <c r="G57" s="189">
        <f t="shared" si="26"/>
        <v>38.962928741434354</v>
      </c>
      <c r="H57" s="189">
        <f t="shared" si="26"/>
        <v>46.423810795547659</v>
      </c>
      <c r="I57" s="189">
        <f t="shared" si="26"/>
        <v>46.998706438364039</v>
      </c>
      <c r="J57" s="189">
        <f t="shared" si="26"/>
        <v>47.565921152792427</v>
      </c>
      <c r="K57" s="189">
        <f t="shared" si="26"/>
        <v>48.131177772992949</v>
      </c>
      <c r="L57" s="189">
        <f t="shared" si="26"/>
        <v>48.693200586873004</v>
      </c>
      <c r="M57" s="189">
        <f t="shared" si="26"/>
        <v>49.231373825744555</v>
      </c>
      <c r="N57" s="189">
        <f t="shared" si="26"/>
        <v>49.788353525338451</v>
      </c>
      <c r="O57" s="189">
        <f t="shared" si="26"/>
        <v>50.368099204535632</v>
      </c>
      <c r="P57" s="189">
        <f t="shared" si="26"/>
        <v>50.951181123291889</v>
      </c>
      <c r="Q57" s="189">
        <f t="shared" si="26"/>
        <v>51.521057582777395</v>
      </c>
      <c r="R57" s="189">
        <f t="shared" si="26"/>
        <v>52.097307970637381</v>
      </c>
      <c r="S57" s="189">
        <f t="shared" si="26"/>
        <v>52.680003577696844</v>
      </c>
      <c r="T57" s="189">
        <f t="shared" si="26"/>
        <v>53.269216492151102</v>
      </c>
      <c r="U57" s="189">
        <f t="shared" si="26"/>
        <v>53.865019608484289</v>
      </c>
      <c r="V57" s="189">
        <f t="shared" si="26"/>
        <v>54.467486636487443</v>
      </c>
      <c r="W57" s="189"/>
    </row>
    <row r="58" spans="1:23">
      <c r="A58" s="85"/>
      <c r="B58" s="85"/>
      <c r="C58" s="106"/>
      <c r="D58" s="106"/>
      <c r="E58" s="106"/>
      <c r="F58" s="106"/>
      <c r="G58" s="106"/>
      <c r="H58" s="106"/>
      <c r="I58" s="106"/>
      <c r="J58" s="106"/>
      <c r="K58" s="106"/>
      <c r="L58" s="106"/>
      <c r="M58" s="106"/>
      <c r="N58" s="106"/>
      <c r="O58" s="106"/>
      <c r="P58" s="106"/>
      <c r="Q58" s="106"/>
      <c r="R58" s="106"/>
      <c r="S58" s="106"/>
      <c r="T58" s="106"/>
      <c r="U58" s="106"/>
      <c r="V58" s="106"/>
      <c r="W58" s="106"/>
    </row>
    <row r="59" spans="1:23">
      <c r="A59" s="107" t="s">
        <v>265</v>
      </c>
      <c r="B59" s="108"/>
      <c r="C59" s="109">
        <f>SUM(C56:C57)</f>
        <v>4.9830756613763452</v>
      </c>
      <c r="D59" s="109">
        <f t="shared" ref="D59:V59" si="27">SUM(D56:D57)</f>
        <v>22.693164191162563</v>
      </c>
      <c r="E59" s="109">
        <f t="shared" si="27"/>
        <v>36.791475554108743</v>
      </c>
      <c r="F59" s="109">
        <f t="shared" si="27"/>
        <v>47.104343377465035</v>
      </c>
      <c r="G59" s="109">
        <f t="shared" si="27"/>
        <v>53.509088804903186</v>
      </c>
      <c r="H59" s="109">
        <f t="shared" si="27"/>
        <v>63.755366825885453</v>
      </c>
      <c r="I59" s="109">
        <f t="shared" si="27"/>
        <v>64.544890175353288</v>
      </c>
      <c r="J59" s="109">
        <f t="shared" si="27"/>
        <v>65.323865049834936</v>
      </c>
      <c r="K59" s="109">
        <f t="shared" si="27"/>
        <v>66.100150808243654</v>
      </c>
      <c r="L59" s="109">
        <f t="shared" si="27"/>
        <v>66.871995472638929</v>
      </c>
      <c r="M59" s="109">
        <f t="shared" si="27"/>
        <v>67.611086720689187</v>
      </c>
      <c r="N59" s="109">
        <f t="shared" si="27"/>
        <v>68.37600550813147</v>
      </c>
      <c r="O59" s="109">
        <f t="shared" si="27"/>
        <v>69.172189574228938</v>
      </c>
      <c r="P59" s="109">
        <f t="shared" si="27"/>
        <v>69.972955409320861</v>
      </c>
      <c r="Q59" s="109">
        <f t="shared" si="27"/>
        <v>70.755585747014294</v>
      </c>
      <c r="R59" s="109">
        <f t="shared" si="27"/>
        <v>71.54696961300867</v>
      </c>
      <c r="S59" s="109">
        <f t="shared" si="27"/>
        <v>72.347204913370334</v>
      </c>
      <c r="T59" s="109">
        <f t="shared" si="27"/>
        <v>73.156390649220839</v>
      </c>
      <c r="U59" s="109">
        <f t="shared" si="27"/>
        <v>73.974626928985089</v>
      </c>
      <c r="V59" s="109">
        <f t="shared" si="27"/>
        <v>74.802014980776093</v>
      </c>
      <c r="W59" s="109"/>
    </row>
    <row r="60" spans="1:23">
      <c r="A60" s="110"/>
      <c r="B60" s="110"/>
      <c r="C60" s="111"/>
      <c r="D60" s="111"/>
      <c r="E60" s="112"/>
      <c r="F60" s="112"/>
      <c r="G60" s="112"/>
      <c r="H60" s="112"/>
      <c r="I60" s="112"/>
      <c r="J60" s="112"/>
      <c r="K60" s="112"/>
      <c r="L60" s="112"/>
      <c r="M60" s="112"/>
      <c r="N60" s="112"/>
      <c r="O60" s="112"/>
      <c r="P60" s="112"/>
      <c r="Q60" s="112"/>
      <c r="R60" s="112"/>
      <c r="S60" s="112"/>
      <c r="T60" s="112"/>
      <c r="U60" s="112"/>
      <c r="V60" s="112"/>
      <c r="W60" s="112"/>
    </row>
    <row r="61" spans="1:23">
      <c r="A61" s="77" t="s">
        <v>272</v>
      </c>
      <c r="B61" s="110"/>
      <c r="C61" s="98"/>
      <c r="D61" s="122"/>
      <c r="E61" s="121"/>
      <c r="F61" s="121"/>
      <c r="G61" s="121"/>
      <c r="H61" s="121"/>
      <c r="I61" s="121"/>
      <c r="J61" s="121"/>
      <c r="K61" s="121"/>
      <c r="L61" s="121"/>
      <c r="M61" s="121"/>
      <c r="N61" s="121"/>
      <c r="O61" s="121"/>
      <c r="P61" s="121"/>
      <c r="Q61" s="121"/>
      <c r="R61" s="121"/>
      <c r="S61" s="121"/>
      <c r="T61" s="121"/>
      <c r="U61" s="121"/>
      <c r="V61" s="121"/>
      <c r="W61" s="121"/>
    </row>
    <row r="62" spans="1:23">
      <c r="A62" s="113"/>
      <c r="B62" s="110"/>
      <c r="C62" s="98"/>
      <c r="D62" s="121"/>
      <c r="E62" s="121"/>
      <c r="F62" s="121"/>
      <c r="G62" s="121"/>
      <c r="H62" s="121"/>
      <c r="I62" s="121"/>
      <c r="J62" s="121"/>
      <c r="K62" s="121"/>
      <c r="L62" s="121"/>
      <c r="M62" s="121"/>
      <c r="N62" s="121"/>
      <c r="O62" s="121"/>
      <c r="P62" s="121"/>
      <c r="Q62" s="121"/>
      <c r="R62" s="121"/>
      <c r="S62" s="121"/>
      <c r="T62" s="121"/>
      <c r="U62" s="121"/>
      <c r="V62" s="121"/>
      <c r="W62" s="121"/>
    </row>
    <row r="63" spans="1:23">
      <c r="A63" s="474" t="s">
        <v>210</v>
      </c>
      <c r="B63" s="477" t="s">
        <v>300</v>
      </c>
      <c r="C63" s="531" t="s">
        <v>218</v>
      </c>
      <c r="D63" s="531"/>
      <c r="E63" s="531"/>
      <c r="F63" s="531"/>
      <c r="G63" s="531"/>
      <c r="H63" s="531"/>
      <c r="I63" s="531"/>
      <c r="J63" s="531"/>
      <c r="K63" s="531"/>
      <c r="L63" s="531"/>
      <c r="M63" s="531"/>
      <c r="N63" s="531"/>
      <c r="O63" s="531"/>
      <c r="P63" s="531"/>
      <c r="Q63" s="531"/>
      <c r="R63" s="531"/>
      <c r="S63" s="531"/>
      <c r="T63" s="531"/>
      <c r="U63" s="531"/>
      <c r="V63" s="531"/>
      <c r="W63" s="531"/>
    </row>
    <row r="64" spans="1:23">
      <c r="A64" s="475"/>
      <c r="B64" s="478"/>
      <c r="C64" s="100">
        <v>2016</v>
      </c>
      <c r="D64" s="100">
        <v>2017</v>
      </c>
      <c r="E64" s="100">
        <v>2018</v>
      </c>
      <c r="F64" s="100">
        <v>2019</v>
      </c>
      <c r="G64" s="100">
        <v>2020</v>
      </c>
      <c r="H64" s="100">
        <v>2021</v>
      </c>
      <c r="I64" s="100">
        <v>2022</v>
      </c>
      <c r="J64" s="100">
        <v>2023</v>
      </c>
      <c r="K64" s="100">
        <v>2024</v>
      </c>
      <c r="L64" s="100">
        <v>2025</v>
      </c>
      <c r="M64" s="100">
        <v>2026</v>
      </c>
      <c r="N64" s="100">
        <v>2027</v>
      </c>
      <c r="O64" s="100">
        <v>2028</v>
      </c>
      <c r="P64" s="100">
        <v>2029</v>
      </c>
      <c r="Q64" s="100">
        <v>2030</v>
      </c>
      <c r="R64" s="100">
        <v>2031</v>
      </c>
      <c r="S64" s="100">
        <v>2032</v>
      </c>
      <c r="T64" s="100">
        <v>2033</v>
      </c>
      <c r="U64" s="100">
        <v>2034</v>
      </c>
      <c r="V64" s="100">
        <v>2035</v>
      </c>
      <c r="W64" s="100"/>
    </row>
    <row r="65" spans="1:23">
      <c r="A65" s="123"/>
      <c r="B65" s="124"/>
      <c r="C65" s="78"/>
      <c r="D65" s="82"/>
      <c r="E65" s="82"/>
      <c r="F65" s="82"/>
      <c r="G65" s="82"/>
      <c r="H65" s="82"/>
      <c r="I65" s="82"/>
      <c r="J65" s="82"/>
      <c r="K65" s="82"/>
      <c r="L65" s="82"/>
      <c r="M65" s="82"/>
      <c r="N65" s="82"/>
      <c r="O65" s="82"/>
      <c r="P65" s="82"/>
      <c r="Q65" s="82"/>
      <c r="R65" s="82"/>
      <c r="S65" s="82"/>
      <c r="T65" s="82"/>
      <c r="U65" s="82"/>
      <c r="V65" s="82"/>
      <c r="W65" s="82"/>
    </row>
    <row r="66" spans="1:23">
      <c r="A66" s="85" t="str">
        <f>+A36</f>
        <v>a. Space Cooling, Small - Switch</v>
      </c>
      <c r="B66" s="223">
        <f>SUM(KeyAssumptions!F8:H8)</f>
        <v>268</v>
      </c>
      <c r="C66" s="116">
        <f t="shared" ref="C66:V66" si="28">MAX(0,($B$66*C36))</f>
        <v>136480.7641542014</v>
      </c>
      <c r="D66" s="116">
        <f t="shared" si="28"/>
        <v>485059.1441985392</v>
      </c>
      <c r="E66" s="116">
        <f t="shared" si="28"/>
        <v>386136.68321610393</v>
      </c>
      <c r="F66" s="116">
        <f t="shared" si="28"/>
        <v>282457.69817674888</v>
      </c>
      <c r="G66" s="116">
        <f t="shared" si="28"/>
        <v>175418.67905502542</v>
      </c>
      <c r="H66" s="116">
        <f t="shared" si="28"/>
        <v>280633.87936875282</v>
      </c>
      <c r="I66" s="116">
        <f t="shared" si="28"/>
        <v>21624.144880672498</v>
      </c>
      <c r="J66" s="116">
        <f t="shared" si="28"/>
        <v>21335.234170779935</v>
      </c>
      <c r="K66" s="116">
        <f t="shared" si="28"/>
        <v>21261.582345787978</v>
      </c>
      <c r="L66" s="116">
        <f t="shared" si="28"/>
        <v>21139.945841383313</v>
      </c>
      <c r="M66" s="116">
        <f t="shared" si="28"/>
        <v>20242.867090185948</v>
      </c>
      <c r="N66" s="116">
        <f t="shared" si="28"/>
        <v>20950.25396367201</v>
      </c>
      <c r="O66" s="116">
        <f t="shared" si="28"/>
        <v>21806.574319276591</v>
      </c>
      <c r="P66" s="116">
        <f t="shared" si="28"/>
        <v>21932.063751112415</v>
      </c>
      <c r="Q66" s="116">
        <f t="shared" si="28"/>
        <v>21435.353142753156</v>
      </c>
      <c r="R66" s="116">
        <f t="shared" si="28"/>
        <v>21675.102308277379</v>
      </c>
      <c r="S66" s="116">
        <f t="shared" si="28"/>
        <v>21917.533009394465</v>
      </c>
      <c r="T66" s="116">
        <f t="shared" si="28"/>
        <v>22162.675238419921</v>
      </c>
      <c r="U66" s="116">
        <f t="shared" si="28"/>
        <v>22410.55932312907</v>
      </c>
      <c r="V66" s="116">
        <f t="shared" si="28"/>
        <v>22661.215930504623</v>
      </c>
      <c r="W66" s="116"/>
    </row>
    <row r="67" spans="1:23">
      <c r="A67" s="85" t="str">
        <f>A37</f>
        <v>b. Space Cooling, Medium - Switch</v>
      </c>
      <c r="B67" s="223">
        <f>SUM(KeyAssumptions!F9:H9)</f>
        <v>1000</v>
      </c>
      <c r="C67" s="116">
        <f t="shared" ref="C67:V67" si="29">MAX(0,($B$67*C37))</f>
        <v>254628.29133246531</v>
      </c>
      <c r="D67" s="116">
        <f t="shared" si="29"/>
        <v>904961.08992264769</v>
      </c>
      <c r="E67" s="116">
        <f t="shared" si="29"/>
        <v>720404.2597315372</v>
      </c>
      <c r="F67" s="116">
        <f t="shared" si="29"/>
        <v>526973.31749393442</v>
      </c>
      <c r="G67" s="116">
        <f t="shared" si="29"/>
        <v>327273.65495340561</v>
      </c>
      <c r="H67" s="116">
        <f t="shared" si="29"/>
        <v>523570.67046409112</v>
      </c>
      <c r="I67" s="116">
        <f t="shared" si="29"/>
        <v>40343.55388185168</v>
      </c>
      <c r="J67" s="116">
        <f t="shared" si="29"/>
        <v>39804.541363395401</v>
      </c>
      <c r="K67" s="116">
        <f t="shared" si="29"/>
        <v>39667.131242141753</v>
      </c>
      <c r="L67" s="116">
        <f t="shared" si="29"/>
        <v>39440.197465267374</v>
      </c>
      <c r="M67" s="116">
        <f t="shared" si="29"/>
        <v>37766.54307870513</v>
      </c>
      <c r="N67" s="116">
        <f t="shared" si="29"/>
        <v>39086.294708343303</v>
      </c>
      <c r="O67" s="116">
        <f t="shared" si="29"/>
        <v>40683.907312083189</v>
      </c>
      <c r="P67" s="116">
        <f t="shared" si="29"/>
        <v>40918.029386403759</v>
      </c>
      <c r="Q67" s="116">
        <f t="shared" si="29"/>
        <v>39991.330490211112</v>
      </c>
      <c r="R67" s="116">
        <f t="shared" si="29"/>
        <v>40438.623709472726</v>
      </c>
      <c r="S67" s="116">
        <f t="shared" si="29"/>
        <v>40890.91979364639</v>
      </c>
      <c r="T67" s="116">
        <f t="shared" si="29"/>
        <v>41348.274698544628</v>
      </c>
      <c r="U67" s="116">
        <f t="shared" si="29"/>
        <v>41810.745005837816</v>
      </c>
      <c r="V67" s="116">
        <f t="shared" si="29"/>
        <v>42278.387930045938</v>
      </c>
      <c r="W67" s="116"/>
    </row>
    <row r="68" spans="1:23">
      <c r="A68" s="85"/>
      <c r="B68" s="125"/>
      <c r="C68" s="116"/>
      <c r="D68" s="116"/>
      <c r="E68" s="116"/>
      <c r="F68" s="116"/>
      <c r="G68" s="116"/>
      <c r="H68" s="116"/>
      <c r="I68" s="116"/>
      <c r="J68" s="116"/>
      <c r="K68" s="116"/>
      <c r="L68" s="116"/>
      <c r="M68" s="116"/>
      <c r="N68" s="116"/>
      <c r="O68" s="116"/>
      <c r="P68" s="116"/>
      <c r="Q68" s="116"/>
      <c r="R68" s="116"/>
      <c r="S68" s="116"/>
      <c r="T68" s="116"/>
      <c r="U68" s="116"/>
      <c r="V68" s="116"/>
      <c r="W68" s="116"/>
    </row>
    <row r="69" spans="1:23">
      <c r="A69" s="126" t="s">
        <v>274</v>
      </c>
      <c r="B69" s="107"/>
      <c r="C69" s="119">
        <f t="shared" ref="C69:V69" si="30">SUM(C66:C67)</f>
        <v>391109.05548666674</v>
      </c>
      <c r="D69" s="119">
        <f t="shared" si="30"/>
        <v>1390020.2341211869</v>
      </c>
      <c r="E69" s="119">
        <f t="shared" si="30"/>
        <v>1106540.942947641</v>
      </c>
      <c r="F69" s="119">
        <f t="shared" si="30"/>
        <v>809431.01567068323</v>
      </c>
      <c r="G69" s="119">
        <f t="shared" si="30"/>
        <v>502692.33400843106</v>
      </c>
      <c r="H69" s="119">
        <f t="shared" si="30"/>
        <v>804204.54983284394</v>
      </c>
      <c r="I69" s="119">
        <f t="shared" si="30"/>
        <v>61967.698762524175</v>
      </c>
      <c r="J69" s="119">
        <f t="shared" si="30"/>
        <v>61139.775534175336</v>
      </c>
      <c r="K69" s="119">
        <f t="shared" si="30"/>
        <v>60928.713587929728</v>
      </c>
      <c r="L69" s="119">
        <f t="shared" si="30"/>
        <v>60580.143306650687</v>
      </c>
      <c r="M69" s="119">
        <f t="shared" si="30"/>
        <v>58009.410168891074</v>
      </c>
      <c r="N69" s="119">
        <f t="shared" si="30"/>
        <v>60036.548672015313</v>
      </c>
      <c r="O69" s="119">
        <f t="shared" si="30"/>
        <v>62490.481631359784</v>
      </c>
      <c r="P69" s="119">
        <f t="shared" si="30"/>
        <v>62850.093137516174</v>
      </c>
      <c r="Q69" s="119">
        <f t="shared" si="30"/>
        <v>61426.683632964268</v>
      </c>
      <c r="R69" s="119">
        <f t="shared" si="30"/>
        <v>62113.726017750101</v>
      </c>
      <c r="S69" s="119">
        <f t="shared" si="30"/>
        <v>62808.452803040855</v>
      </c>
      <c r="T69" s="119">
        <f t="shared" si="30"/>
        <v>63510.949936964549</v>
      </c>
      <c r="U69" s="119">
        <f t="shared" si="30"/>
        <v>64221.304328966886</v>
      </c>
      <c r="V69" s="119">
        <f t="shared" si="30"/>
        <v>64939.60386055056</v>
      </c>
      <c r="W69" s="119"/>
    </row>
    <row r="70" spans="1:23">
      <c r="A70" s="110"/>
      <c r="B70" s="110"/>
      <c r="C70" s="121"/>
      <c r="D70" s="121"/>
      <c r="E70" s="121"/>
      <c r="F70" s="121"/>
      <c r="G70" s="121"/>
      <c r="H70" s="121"/>
      <c r="I70" s="121"/>
      <c r="J70" s="121"/>
      <c r="K70" s="121"/>
      <c r="L70" s="121"/>
      <c r="M70" s="121"/>
      <c r="N70" s="121"/>
      <c r="O70" s="121"/>
      <c r="P70" s="121"/>
      <c r="Q70" s="121"/>
      <c r="R70" s="121"/>
      <c r="S70" s="121"/>
      <c r="T70" s="121"/>
      <c r="U70" s="121"/>
      <c r="V70" s="121"/>
      <c r="W70" s="121"/>
    </row>
    <row r="71" spans="1:23">
      <c r="A71" s="96" t="s">
        <v>273</v>
      </c>
      <c r="B71" s="96"/>
      <c r="C71" s="111"/>
      <c r="D71" s="127"/>
      <c r="E71" s="128"/>
      <c r="F71" s="129"/>
      <c r="G71" s="120"/>
      <c r="H71" s="130"/>
      <c r="I71" s="120"/>
      <c r="J71" s="78"/>
      <c r="L71" s="78"/>
    </row>
    <row r="72" spans="1:23">
      <c r="A72" s="110"/>
      <c r="B72" s="110"/>
      <c r="C72" s="111"/>
      <c r="D72" s="127"/>
      <c r="E72" s="128"/>
      <c r="F72" s="129"/>
      <c r="G72" s="120"/>
      <c r="H72" s="130"/>
      <c r="I72" s="120"/>
      <c r="J72" s="78"/>
      <c r="L72" s="78"/>
    </row>
    <row r="73" spans="1:23">
      <c r="A73" s="549" t="s">
        <v>210</v>
      </c>
      <c r="B73" s="525" t="s">
        <v>339</v>
      </c>
      <c r="C73" s="545" t="s">
        <v>219</v>
      </c>
      <c r="D73" s="546"/>
      <c r="E73" s="546"/>
      <c r="F73" s="546"/>
      <c r="G73" s="546"/>
      <c r="H73" s="546"/>
      <c r="I73" s="546"/>
      <c r="J73" s="546"/>
      <c r="K73" s="546"/>
      <c r="L73" s="546"/>
      <c r="M73" s="546"/>
      <c r="N73" s="546"/>
      <c r="O73" s="546"/>
      <c r="P73" s="546"/>
      <c r="Q73" s="546"/>
      <c r="R73" s="546"/>
      <c r="S73" s="546"/>
      <c r="T73" s="546"/>
      <c r="U73" s="546"/>
      <c r="V73" s="546"/>
      <c r="W73" s="479"/>
    </row>
    <row r="74" spans="1:23">
      <c r="A74" s="462"/>
      <c r="B74" s="525"/>
      <c r="C74" s="100">
        <v>2016</v>
      </c>
      <c r="D74" s="100">
        <v>2017</v>
      </c>
      <c r="E74" s="100">
        <v>2018</v>
      </c>
      <c r="F74" s="100">
        <v>2019</v>
      </c>
      <c r="G74" s="100">
        <v>2020</v>
      </c>
      <c r="H74" s="100">
        <v>2021</v>
      </c>
      <c r="I74" s="100">
        <v>2022</v>
      </c>
      <c r="J74" s="100">
        <v>2023</v>
      </c>
      <c r="K74" s="100">
        <v>2024</v>
      </c>
      <c r="L74" s="100">
        <v>2025</v>
      </c>
      <c r="M74" s="100">
        <v>2026</v>
      </c>
      <c r="N74" s="100">
        <v>2027</v>
      </c>
      <c r="O74" s="100">
        <v>2028</v>
      </c>
      <c r="P74" s="100">
        <v>2029</v>
      </c>
      <c r="Q74" s="100">
        <v>2030</v>
      </c>
      <c r="R74" s="100">
        <v>2031</v>
      </c>
      <c r="S74" s="100">
        <v>2032</v>
      </c>
      <c r="T74" s="100">
        <v>2033</v>
      </c>
      <c r="U74" s="100">
        <v>2034</v>
      </c>
      <c r="V74" s="100">
        <v>2035</v>
      </c>
      <c r="W74" s="100"/>
    </row>
    <row r="75" spans="1:23">
      <c r="A75" s="131"/>
      <c r="B75" s="132"/>
      <c r="C75" s="132"/>
      <c r="D75" s="133"/>
      <c r="E75" s="133"/>
      <c r="F75" s="133"/>
      <c r="G75" s="133"/>
      <c r="H75" s="133"/>
      <c r="I75" s="133"/>
      <c r="J75" s="133"/>
      <c r="K75" s="133"/>
      <c r="L75" s="133"/>
      <c r="M75" s="133"/>
      <c r="N75" s="133"/>
      <c r="O75" s="133"/>
      <c r="P75" s="133"/>
      <c r="Q75" s="133"/>
      <c r="R75" s="133"/>
      <c r="S75" s="133"/>
      <c r="T75" s="133"/>
      <c r="U75" s="133"/>
      <c r="V75" s="133"/>
      <c r="W75" s="133"/>
    </row>
    <row r="76" spans="1:23">
      <c r="A76" s="135" t="str">
        <f>A36</f>
        <v>a. Space Cooling, Small - Switch</v>
      </c>
      <c r="B76" s="136">
        <f>KeyAssumptions!$J$8</f>
        <v>40</v>
      </c>
      <c r="C76" s="137">
        <f>($B76-IF('7thPlanAssumptions'!$D$14=1,'7thPlanAssumptions'!$B$14,0))*C56*1000</f>
        <v>18964.715138442014</v>
      </c>
      <c r="D76" s="137">
        <f>($B76-IF('7thPlanAssumptions'!$D$14=1,'7thPlanAssumptions'!$B$14,0))*D56*1000</f>
        <v>86366.21711588082</v>
      </c>
      <c r="E76" s="137">
        <f>($B76-IF('7thPlanAssumptions'!$D$14=1,'7thPlanAssumptions'!$B$14,0))*E56*1000</f>
        <v>140021.92638068571</v>
      </c>
      <c r="F76" s="137">
        <f>($B76-IF('7thPlanAssumptions'!$D$14=1,'7thPlanAssumptions'!$B$14,0))*F56*1000</f>
        <v>179270.89906763393</v>
      </c>
      <c r="G76" s="137">
        <f>($B76-IF('7thPlanAssumptions'!$D$14=1,'7thPlanAssumptions'!$B$14,0))*G56*1000</f>
        <v>203646.2408885636</v>
      </c>
      <c r="H76" s="137">
        <f>($B76-IF('7thPlanAssumptions'!$D$14=1,'7thPlanAssumptions'!$B$14,0))*H56*1000</f>
        <v>242641.78442472912</v>
      </c>
      <c r="I76" s="137">
        <f>($B76-IF('7thPlanAssumptions'!$D$14=1,'7thPlanAssumptions'!$B$14,0))*I56*1000</f>
        <v>245646.57231784941</v>
      </c>
      <c r="J76" s="137">
        <f>($B76-IF('7thPlanAssumptions'!$D$14=1,'7thPlanAssumptions'!$B$14,0))*J56*1000</f>
        <v>248611.21455859506</v>
      </c>
      <c r="K76" s="137">
        <f>($B76-IF('7thPlanAssumptions'!$D$14=1,'7thPlanAssumptions'!$B$14,0))*K56*1000</f>
        <v>251565.62249350979</v>
      </c>
      <c r="L76" s="137">
        <f>($B76-IF('7thPlanAssumptions'!$D$14=1,'7thPlanAssumptions'!$B$14,0))*L56*1000</f>
        <v>254503.1284007229</v>
      </c>
      <c r="M76" s="137">
        <f>($B76-IF('7thPlanAssumptions'!$D$14=1,'7thPlanAssumptions'!$B$14,0))*M56*1000</f>
        <v>257315.98052922488</v>
      </c>
      <c r="N76" s="137">
        <f>($B76-IF('7thPlanAssumptions'!$D$14=1,'7thPlanAssumptions'!$B$14,0))*N56*1000</f>
        <v>260227.12775910224</v>
      </c>
      <c r="O76" s="137">
        <f>($B76-IF('7thPlanAssumptions'!$D$14=1,'7thPlanAssumptions'!$B$14,0))*O56*1000</f>
        <v>263257.26517570624</v>
      </c>
      <c r="P76" s="137">
        <f>($B76-IF('7thPlanAssumptions'!$D$14=1,'7thPlanAssumptions'!$B$14,0))*P56*1000</f>
        <v>266304.84000440559</v>
      </c>
      <c r="Q76" s="137">
        <f>($B76-IF('7thPlanAssumptions'!$D$14=1,'7thPlanAssumptions'!$B$14,0))*Q56*1000</f>
        <v>269283.39429931651</v>
      </c>
      <c r="R76" s="137">
        <f>($B76-IF('7thPlanAssumptions'!$D$14=1,'7thPlanAssumptions'!$B$14,0))*R56*1000</f>
        <v>272295.26299319806</v>
      </c>
      <c r="S76" s="137">
        <f>($B76-IF('7thPlanAssumptions'!$D$14=1,'7thPlanAssumptions'!$B$14,0))*S56*1000</f>
        <v>275340.81869942881</v>
      </c>
      <c r="T76" s="137">
        <f>($B76-IF('7thPlanAssumptions'!$D$14=1,'7thPlanAssumptions'!$B$14,0))*T56*1000</f>
        <v>278420.43819897639</v>
      </c>
      <c r="U76" s="137">
        <f>($B76-IF('7thPlanAssumptions'!$D$14=1,'7thPlanAssumptions'!$B$14,0))*U56*1000</f>
        <v>281534.50248701125</v>
      </c>
      <c r="V76" s="137">
        <f>($B76-IF('7thPlanAssumptions'!$D$14=1,'7thPlanAssumptions'!$B$14,0))*V56*1000</f>
        <v>284683.396820041</v>
      </c>
      <c r="W76" s="137"/>
    </row>
    <row r="77" spans="1:23">
      <c r="A77" s="135" t="str">
        <f>A37</f>
        <v>b. Space Cooling, Medium - Switch</v>
      </c>
      <c r="B77" s="136">
        <f>KeyAssumptions!$J$9</f>
        <v>40</v>
      </c>
      <c r="C77" s="137">
        <f>($B77-IF('7thPlanAssumptions'!$D$14=1,'7thPlanAssumptions'!$B$14,0))*C57*1000</f>
        <v>50798.344120826827</v>
      </c>
      <c r="D77" s="137">
        <f>($B77-IF('7thPlanAssumptions'!$D$14=1,'7thPlanAssumptions'!$B$14,0))*D57*1000</f>
        <v>231338.08156039505</v>
      </c>
      <c r="E77" s="137">
        <f>($B77-IF('7thPlanAssumptions'!$D$14=1,'7thPlanAssumptions'!$B$14,0))*E57*1000</f>
        <v>375058.73137683672</v>
      </c>
      <c r="F77" s="137">
        <f>($B77-IF('7thPlanAssumptions'!$D$14=1,'7thPlanAssumptions'!$B$14,0))*F57*1000</f>
        <v>480189.90821687656</v>
      </c>
      <c r="G77" s="137">
        <f>($B77-IF('7thPlanAssumptions'!$D$14=1,'7thPlanAssumptions'!$B$14,0))*G57*1000</f>
        <v>545481.00238008099</v>
      </c>
      <c r="H77" s="137">
        <f>($B77-IF('7thPlanAssumptions'!$D$14=1,'7thPlanAssumptions'!$B$14,0))*H57*1000</f>
        <v>649933.35113766731</v>
      </c>
      <c r="I77" s="137">
        <f>($B77-IF('7thPlanAssumptions'!$D$14=1,'7thPlanAssumptions'!$B$14,0))*I57*1000</f>
        <v>657981.89013709652</v>
      </c>
      <c r="J77" s="137">
        <f>($B77-IF('7thPlanAssumptions'!$D$14=1,'7thPlanAssumptions'!$B$14,0))*J57*1000</f>
        <v>665922.89613909391</v>
      </c>
      <c r="K77" s="137">
        <f>($B77-IF('7thPlanAssumptions'!$D$14=1,'7thPlanAssumptions'!$B$14,0))*K57*1000</f>
        <v>673836.48882190126</v>
      </c>
      <c r="L77" s="137">
        <f>($B77-IF('7thPlanAssumptions'!$D$14=1,'7thPlanAssumptions'!$B$14,0))*L57*1000</f>
        <v>681704.8082162221</v>
      </c>
      <c r="M77" s="137">
        <f>($B77-IF('7thPlanAssumptions'!$D$14=1,'7thPlanAssumptions'!$B$14,0))*M57*1000</f>
        <v>689239.23356042383</v>
      </c>
      <c r="N77" s="137">
        <f>($B77-IF('7thPlanAssumptions'!$D$14=1,'7thPlanAssumptions'!$B$14,0))*N57*1000</f>
        <v>697036.94935473835</v>
      </c>
      <c r="O77" s="137">
        <f>($B77-IF('7thPlanAssumptions'!$D$14=1,'7thPlanAssumptions'!$B$14,0))*O57*1000</f>
        <v>705153.38886349893</v>
      </c>
      <c r="P77" s="137">
        <f>($B77-IF('7thPlanAssumptions'!$D$14=1,'7thPlanAssumptions'!$B$14,0))*P57*1000</f>
        <v>713316.53572608635</v>
      </c>
      <c r="Q77" s="137">
        <f>($B77-IF('7thPlanAssumptions'!$D$14=1,'7thPlanAssumptions'!$B$14,0))*Q57*1000</f>
        <v>721294.8061588835</v>
      </c>
      <c r="R77" s="137">
        <f>($B77-IF('7thPlanAssumptions'!$D$14=1,'7thPlanAssumptions'!$B$14,0))*R57*1000</f>
        <v>729362.31158892333</v>
      </c>
      <c r="S77" s="137">
        <f>($B77-IF('7thPlanAssumptions'!$D$14=1,'7thPlanAssumptions'!$B$14,0))*S57*1000</f>
        <v>737520.0500877559</v>
      </c>
      <c r="T77" s="137">
        <f>($B77-IF('7thPlanAssumptions'!$D$14=1,'7thPlanAssumptions'!$B$14,0))*T57*1000</f>
        <v>745769.03089011542</v>
      </c>
      <c r="U77" s="137">
        <f>($B77-IF('7thPlanAssumptions'!$D$14=1,'7thPlanAssumptions'!$B$14,0))*U57*1000</f>
        <v>754110.27451877994</v>
      </c>
      <c r="V77" s="137">
        <f>($B77-IF('7thPlanAssumptions'!$D$14=1,'7thPlanAssumptions'!$B$14,0))*V57*1000</f>
        <v>762544.8129108242</v>
      </c>
      <c r="W77" s="137"/>
    </row>
    <row r="78" spans="1:23">
      <c r="A78" s="135"/>
      <c r="B78" s="138"/>
      <c r="C78" s="137"/>
      <c r="D78" s="137"/>
      <c r="E78" s="139"/>
      <c r="F78" s="140"/>
      <c r="G78" s="140"/>
      <c r="H78" s="140"/>
      <c r="I78" s="140"/>
      <c r="J78" s="140"/>
      <c r="K78" s="140"/>
      <c r="L78" s="140"/>
      <c r="M78" s="140"/>
      <c r="N78" s="140"/>
      <c r="O78" s="140"/>
      <c r="P78" s="140"/>
      <c r="Q78" s="140"/>
      <c r="R78" s="137"/>
      <c r="S78" s="137"/>
      <c r="T78" s="137"/>
      <c r="U78" s="137"/>
      <c r="V78" s="137"/>
      <c r="W78" s="137"/>
    </row>
    <row r="79" spans="1:23">
      <c r="A79" s="143" t="s">
        <v>220</v>
      </c>
      <c r="B79" s="144"/>
      <c r="C79" s="145">
        <f t="shared" ref="C79:V79" si="31">SUM(C76:C77)</f>
        <v>69763.059259268834</v>
      </c>
      <c r="D79" s="145">
        <f t="shared" si="31"/>
        <v>317704.29867627588</v>
      </c>
      <c r="E79" s="145">
        <f t="shared" si="31"/>
        <v>515080.65775752242</v>
      </c>
      <c r="F79" s="145">
        <f t="shared" si="31"/>
        <v>659460.80728451046</v>
      </c>
      <c r="G79" s="145">
        <f t="shared" si="31"/>
        <v>749127.24326864455</v>
      </c>
      <c r="H79" s="145">
        <f t="shared" si="31"/>
        <v>892575.13556239638</v>
      </c>
      <c r="I79" s="145">
        <f t="shared" si="31"/>
        <v>903628.4624549459</v>
      </c>
      <c r="J79" s="145">
        <f t="shared" si="31"/>
        <v>914534.110697689</v>
      </c>
      <c r="K79" s="145">
        <f t="shared" si="31"/>
        <v>925402.11131541105</v>
      </c>
      <c r="L79" s="145">
        <f t="shared" si="31"/>
        <v>936207.93661694496</v>
      </c>
      <c r="M79" s="145">
        <f t="shared" si="31"/>
        <v>946555.21408964868</v>
      </c>
      <c r="N79" s="145">
        <f t="shared" si="31"/>
        <v>957264.07711384061</v>
      </c>
      <c r="O79" s="145">
        <f t="shared" si="31"/>
        <v>968410.65403920517</v>
      </c>
      <c r="P79" s="145">
        <f t="shared" si="31"/>
        <v>979621.37573049194</v>
      </c>
      <c r="Q79" s="145">
        <f t="shared" si="31"/>
        <v>990578.20045819995</v>
      </c>
      <c r="R79" s="145">
        <f t="shared" si="31"/>
        <v>1001657.5745821213</v>
      </c>
      <c r="S79" s="145">
        <f t="shared" si="31"/>
        <v>1012860.8687871847</v>
      </c>
      <c r="T79" s="145">
        <f t="shared" si="31"/>
        <v>1024189.4690890918</v>
      </c>
      <c r="U79" s="145">
        <f t="shared" si="31"/>
        <v>1035644.7770057912</v>
      </c>
      <c r="V79" s="145">
        <f t="shared" si="31"/>
        <v>1047228.2097308652</v>
      </c>
      <c r="W79" s="145"/>
    </row>
    <row r="80" spans="1:23">
      <c r="A80" s="120"/>
      <c r="B80" s="120"/>
      <c r="C80" s="146"/>
      <c r="D80" s="146"/>
      <c r="E80" s="146"/>
      <c r="F80" s="146"/>
      <c r="G80" s="146"/>
      <c r="H80" s="146"/>
      <c r="I80" s="146"/>
      <c r="J80" s="146"/>
      <c r="K80" s="146"/>
      <c r="L80" s="146"/>
      <c r="M80" s="146"/>
      <c r="N80" s="146"/>
      <c r="O80" s="146"/>
      <c r="P80" s="146"/>
      <c r="Q80" s="146"/>
      <c r="R80" s="146"/>
      <c r="S80" s="146"/>
      <c r="T80" s="146"/>
      <c r="U80" s="146"/>
      <c r="V80" s="146"/>
      <c r="W80" s="146"/>
    </row>
    <row r="81" spans="1:23">
      <c r="A81" s="96" t="s">
        <v>304</v>
      </c>
      <c r="B81" s="96"/>
      <c r="C81" s="111"/>
      <c r="D81" s="127"/>
      <c r="E81" s="128"/>
      <c r="F81" s="190"/>
      <c r="G81" s="120"/>
      <c r="H81" s="130"/>
      <c r="I81" s="120"/>
      <c r="J81" s="78"/>
      <c r="L81" s="78"/>
    </row>
    <row r="82" spans="1:23">
      <c r="A82" s="110"/>
      <c r="B82" s="110"/>
      <c r="C82" s="111"/>
      <c r="D82" s="127"/>
      <c r="E82" s="128"/>
      <c r="F82" s="129"/>
      <c r="G82" s="120"/>
      <c r="H82" s="130"/>
      <c r="I82" s="120"/>
      <c r="J82" s="78"/>
      <c r="L82" s="78"/>
    </row>
    <row r="83" spans="1:23">
      <c r="A83" s="547" t="s">
        <v>210</v>
      </c>
      <c r="B83" s="548"/>
      <c r="C83" s="206">
        <v>2016</v>
      </c>
      <c r="D83" s="206">
        <v>2017</v>
      </c>
      <c r="E83" s="206">
        <v>2018</v>
      </c>
      <c r="F83" s="206">
        <v>2019</v>
      </c>
      <c r="G83" s="206">
        <v>2020</v>
      </c>
      <c r="H83" s="206">
        <v>2021</v>
      </c>
      <c r="I83" s="206">
        <v>2022</v>
      </c>
      <c r="J83" s="206">
        <v>2023</v>
      </c>
      <c r="K83" s="206">
        <v>2024</v>
      </c>
      <c r="L83" s="206">
        <v>2025</v>
      </c>
      <c r="M83" s="206">
        <v>2026</v>
      </c>
      <c r="N83" s="206">
        <v>2027</v>
      </c>
      <c r="O83" s="206">
        <v>2028</v>
      </c>
      <c r="P83" s="206">
        <v>2029</v>
      </c>
      <c r="Q83" s="206">
        <v>2030</v>
      </c>
      <c r="R83" s="206">
        <v>2031</v>
      </c>
      <c r="S83" s="206">
        <v>2032</v>
      </c>
      <c r="T83" s="206">
        <v>2033</v>
      </c>
      <c r="U83" s="206">
        <v>2034</v>
      </c>
      <c r="V83" s="206">
        <v>2035</v>
      </c>
      <c r="W83" s="206"/>
    </row>
    <row r="84" spans="1:23">
      <c r="A84" s="143" t="s">
        <v>221</v>
      </c>
      <c r="B84" s="226"/>
      <c r="C84" s="148">
        <f t="shared" ref="C84:V84" si="32">C69</f>
        <v>391109.05548666674</v>
      </c>
      <c r="D84" s="148">
        <f t="shared" si="32"/>
        <v>1390020.2341211869</v>
      </c>
      <c r="E84" s="148">
        <f t="shared" si="32"/>
        <v>1106540.942947641</v>
      </c>
      <c r="F84" s="148">
        <f t="shared" si="32"/>
        <v>809431.01567068323</v>
      </c>
      <c r="G84" s="148">
        <f t="shared" si="32"/>
        <v>502692.33400843106</v>
      </c>
      <c r="H84" s="148">
        <f t="shared" si="32"/>
        <v>804204.54983284394</v>
      </c>
      <c r="I84" s="148">
        <f t="shared" si="32"/>
        <v>61967.698762524175</v>
      </c>
      <c r="J84" s="148">
        <f t="shared" si="32"/>
        <v>61139.775534175336</v>
      </c>
      <c r="K84" s="148">
        <f t="shared" si="32"/>
        <v>60928.713587929728</v>
      </c>
      <c r="L84" s="148">
        <f t="shared" si="32"/>
        <v>60580.143306650687</v>
      </c>
      <c r="M84" s="148">
        <f t="shared" si="32"/>
        <v>58009.410168891074</v>
      </c>
      <c r="N84" s="148">
        <f t="shared" si="32"/>
        <v>60036.548672015313</v>
      </c>
      <c r="O84" s="148">
        <f t="shared" si="32"/>
        <v>62490.481631359784</v>
      </c>
      <c r="P84" s="148">
        <f t="shared" si="32"/>
        <v>62850.093137516174</v>
      </c>
      <c r="Q84" s="148">
        <f t="shared" si="32"/>
        <v>61426.683632964268</v>
      </c>
      <c r="R84" s="148">
        <f t="shared" si="32"/>
        <v>62113.726017750101</v>
      </c>
      <c r="S84" s="148">
        <f t="shared" si="32"/>
        <v>62808.452803040855</v>
      </c>
      <c r="T84" s="148">
        <f t="shared" si="32"/>
        <v>63510.949936964549</v>
      </c>
      <c r="U84" s="148">
        <f t="shared" si="32"/>
        <v>64221.304328966886</v>
      </c>
      <c r="V84" s="148">
        <f t="shared" si="32"/>
        <v>64939.60386055056</v>
      </c>
      <c r="W84" s="148"/>
    </row>
    <row r="85" spans="1:23">
      <c r="A85" s="143" t="s">
        <v>220</v>
      </c>
      <c r="B85" s="226"/>
      <c r="C85" s="148">
        <f t="shared" ref="C85:V85" si="33">C79</f>
        <v>69763.059259268834</v>
      </c>
      <c r="D85" s="148">
        <f t="shared" si="33"/>
        <v>317704.29867627588</v>
      </c>
      <c r="E85" s="148">
        <f t="shared" si="33"/>
        <v>515080.65775752242</v>
      </c>
      <c r="F85" s="148">
        <f t="shared" si="33"/>
        <v>659460.80728451046</v>
      </c>
      <c r="G85" s="148">
        <f t="shared" si="33"/>
        <v>749127.24326864455</v>
      </c>
      <c r="H85" s="148">
        <f t="shared" si="33"/>
        <v>892575.13556239638</v>
      </c>
      <c r="I85" s="148">
        <f t="shared" si="33"/>
        <v>903628.4624549459</v>
      </c>
      <c r="J85" s="148">
        <f t="shared" si="33"/>
        <v>914534.110697689</v>
      </c>
      <c r="K85" s="148">
        <f t="shared" si="33"/>
        <v>925402.11131541105</v>
      </c>
      <c r="L85" s="148">
        <f t="shared" si="33"/>
        <v>936207.93661694496</v>
      </c>
      <c r="M85" s="148">
        <f t="shared" si="33"/>
        <v>946555.21408964868</v>
      </c>
      <c r="N85" s="148">
        <f t="shared" si="33"/>
        <v>957264.07711384061</v>
      </c>
      <c r="O85" s="148">
        <f t="shared" si="33"/>
        <v>968410.65403920517</v>
      </c>
      <c r="P85" s="148">
        <f t="shared" si="33"/>
        <v>979621.37573049194</v>
      </c>
      <c r="Q85" s="148">
        <f t="shared" si="33"/>
        <v>990578.20045819995</v>
      </c>
      <c r="R85" s="148">
        <f t="shared" si="33"/>
        <v>1001657.5745821213</v>
      </c>
      <c r="S85" s="148">
        <f t="shared" si="33"/>
        <v>1012860.8687871847</v>
      </c>
      <c r="T85" s="148">
        <f t="shared" si="33"/>
        <v>1024189.4690890918</v>
      </c>
      <c r="U85" s="148">
        <f t="shared" si="33"/>
        <v>1035644.7770057912</v>
      </c>
      <c r="V85" s="148">
        <f t="shared" si="33"/>
        <v>1047228.2097308652</v>
      </c>
      <c r="W85" s="148"/>
    </row>
    <row r="86" spans="1:23">
      <c r="A86" s="149" t="s">
        <v>222</v>
      </c>
      <c r="B86" s="226"/>
      <c r="C86" s="150">
        <f t="shared" ref="C86:V86" si="34">SUM(C84:C85)</f>
        <v>460872.11474593554</v>
      </c>
      <c r="D86" s="150">
        <f t="shared" si="34"/>
        <v>1707724.5327974628</v>
      </c>
      <c r="E86" s="150">
        <f t="shared" si="34"/>
        <v>1621621.6007051636</v>
      </c>
      <c r="F86" s="150">
        <f t="shared" si="34"/>
        <v>1468891.8229551937</v>
      </c>
      <c r="G86" s="150">
        <f t="shared" si="34"/>
        <v>1251819.5772770755</v>
      </c>
      <c r="H86" s="150">
        <f t="shared" si="34"/>
        <v>1696779.6853952403</v>
      </c>
      <c r="I86" s="150">
        <f t="shared" si="34"/>
        <v>965596.16121747007</v>
      </c>
      <c r="J86" s="150">
        <f t="shared" si="34"/>
        <v>975673.88623186434</v>
      </c>
      <c r="K86" s="150">
        <f t="shared" si="34"/>
        <v>986330.82490334078</v>
      </c>
      <c r="L86" s="150">
        <f t="shared" si="34"/>
        <v>996788.07992359565</v>
      </c>
      <c r="M86" s="150">
        <f t="shared" si="34"/>
        <v>1004564.6242585398</v>
      </c>
      <c r="N86" s="150">
        <f t="shared" si="34"/>
        <v>1017300.6257858559</v>
      </c>
      <c r="O86" s="150">
        <f t="shared" si="34"/>
        <v>1030901.135670565</v>
      </c>
      <c r="P86" s="150">
        <f t="shared" si="34"/>
        <v>1042471.4688680081</v>
      </c>
      <c r="Q86" s="150">
        <f t="shared" si="34"/>
        <v>1052004.8840911642</v>
      </c>
      <c r="R86" s="150">
        <f t="shared" si="34"/>
        <v>1063771.3005998714</v>
      </c>
      <c r="S86" s="150">
        <f t="shared" si="34"/>
        <v>1075669.3215902257</v>
      </c>
      <c r="T86" s="150">
        <f t="shared" si="34"/>
        <v>1087700.4190260563</v>
      </c>
      <c r="U86" s="150">
        <f t="shared" si="34"/>
        <v>1099866.0813347581</v>
      </c>
      <c r="V86" s="150">
        <f t="shared" si="34"/>
        <v>1112167.8135914158</v>
      </c>
      <c r="W86" s="150"/>
    </row>
  </sheetData>
  <mergeCells count="15">
    <mergeCell ref="A83:B83"/>
    <mergeCell ref="C43:W43"/>
    <mergeCell ref="B43:B44"/>
    <mergeCell ref="A43:A44"/>
    <mergeCell ref="B73:B74"/>
    <mergeCell ref="A73:A74"/>
    <mergeCell ref="A63:A64"/>
    <mergeCell ref="A1:W1"/>
    <mergeCell ref="C4:W4"/>
    <mergeCell ref="C33:W33"/>
    <mergeCell ref="C63:W63"/>
    <mergeCell ref="C73:W73"/>
    <mergeCell ref="B63:B64"/>
    <mergeCell ref="B53:B54"/>
    <mergeCell ref="C53:W53"/>
  </mergeCells>
  <pageMargins left="0.75" right="0.75" top="1" bottom="1" header="0.5" footer="0.5"/>
  <pageSetup orientation="portrait" r:id="rId1"/>
  <headerFooter alignWithMargins="0"/>
</worksheet>
</file>

<file path=xl/worksheets/sheet15.xml><?xml version="1.0" encoding="utf-8"?>
<worksheet xmlns="http://schemas.openxmlformats.org/spreadsheetml/2006/main" xmlns:r="http://schemas.openxmlformats.org/officeDocument/2006/relationships">
  <sheetPr>
    <tabColor theme="5" tint="0.39997558519241921"/>
  </sheetPr>
  <dimension ref="A1:W101"/>
  <sheetViews>
    <sheetView topLeftCell="A50" zoomScaleNormal="100" workbookViewId="0">
      <selection activeCell="B78" sqref="B78"/>
    </sheetView>
  </sheetViews>
  <sheetFormatPr defaultRowHeight="12.75"/>
  <cols>
    <col min="1" max="1" width="39.42578125" style="76" customWidth="1"/>
    <col min="2" max="2" width="32.140625" style="76" customWidth="1"/>
    <col min="3" max="3" width="19.85546875" style="76" bestFit="1" customWidth="1"/>
    <col min="4" max="4" width="15" style="76" customWidth="1"/>
    <col min="5" max="5" width="17" style="76" bestFit="1" customWidth="1"/>
    <col min="6" max="7" width="13.85546875" style="76" bestFit="1" customWidth="1"/>
    <col min="8" max="8" width="13.7109375" style="76" customWidth="1"/>
    <col min="9" max="23" width="14.42578125" style="76" customWidth="1"/>
    <col min="24" max="255" width="9.140625" style="76"/>
    <col min="256" max="256" width="33.85546875" style="76" customWidth="1"/>
    <col min="257" max="257" width="19.28515625" style="76" customWidth="1"/>
    <col min="258" max="279" width="12.85546875" style="76" customWidth="1"/>
    <col min="280" max="511" width="9.140625" style="76"/>
    <col min="512" max="512" width="33.85546875" style="76" customWidth="1"/>
    <col min="513" max="513" width="19.28515625" style="76" customWidth="1"/>
    <col min="514" max="535" width="12.85546875" style="76" customWidth="1"/>
    <col min="536" max="767" width="9.140625" style="76"/>
    <col min="768" max="768" width="33.85546875" style="76" customWidth="1"/>
    <col min="769" max="769" width="19.28515625" style="76" customWidth="1"/>
    <col min="770" max="791" width="12.85546875" style="76" customWidth="1"/>
    <col min="792" max="1023" width="9.140625" style="76"/>
    <col min="1024" max="1024" width="33.85546875" style="76" customWidth="1"/>
    <col min="1025" max="1025" width="19.28515625" style="76" customWidth="1"/>
    <col min="1026" max="1047" width="12.85546875" style="76" customWidth="1"/>
    <col min="1048" max="1279" width="9.140625" style="76"/>
    <col min="1280" max="1280" width="33.85546875" style="76" customWidth="1"/>
    <col min="1281" max="1281" width="19.28515625" style="76" customWidth="1"/>
    <col min="1282" max="1303" width="12.85546875" style="76" customWidth="1"/>
    <col min="1304" max="1535" width="9.140625" style="76"/>
    <col min="1536" max="1536" width="33.85546875" style="76" customWidth="1"/>
    <col min="1537" max="1537" width="19.28515625" style="76" customWidth="1"/>
    <col min="1538" max="1559" width="12.85546875" style="76" customWidth="1"/>
    <col min="1560" max="1791" width="9.140625" style="76"/>
    <col min="1792" max="1792" width="33.85546875" style="76" customWidth="1"/>
    <col min="1793" max="1793" width="19.28515625" style="76" customWidth="1"/>
    <col min="1794" max="1815" width="12.85546875" style="76" customWidth="1"/>
    <col min="1816" max="2047" width="9.140625" style="76"/>
    <col min="2048" max="2048" width="33.85546875" style="76" customWidth="1"/>
    <col min="2049" max="2049" width="19.28515625" style="76" customWidth="1"/>
    <col min="2050" max="2071" width="12.85546875" style="76" customWidth="1"/>
    <col min="2072" max="2303" width="9.140625" style="76"/>
    <col min="2304" max="2304" width="33.85546875" style="76" customWidth="1"/>
    <col min="2305" max="2305" width="19.28515625" style="76" customWidth="1"/>
    <col min="2306" max="2327" width="12.85546875" style="76" customWidth="1"/>
    <col min="2328" max="2559" width="9.140625" style="76"/>
    <col min="2560" max="2560" width="33.85546875" style="76" customWidth="1"/>
    <col min="2561" max="2561" width="19.28515625" style="76" customWidth="1"/>
    <col min="2562" max="2583" width="12.85546875" style="76" customWidth="1"/>
    <col min="2584" max="2815" width="9.140625" style="76"/>
    <col min="2816" max="2816" width="33.85546875" style="76" customWidth="1"/>
    <col min="2817" max="2817" width="19.28515625" style="76" customWidth="1"/>
    <col min="2818" max="2839" width="12.85546875" style="76" customWidth="1"/>
    <col min="2840" max="3071" width="9.140625" style="76"/>
    <col min="3072" max="3072" width="33.85546875" style="76" customWidth="1"/>
    <col min="3073" max="3073" width="19.28515625" style="76" customWidth="1"/>
    <col min="3074" max="3095" width="12.85546875" style="76" customWidth="1"/>
    <col min="3096" max="3327" width="9.140625" style="76"/>
    <col min="3328" max="3328" width="33.85546875" style="76" customWidth="1"/>
    <col min="3329" max="3329" width="19.28515625" style="76" customWidth="1"/>
    <col min="3330" max="3351" width="12.85546875" style="76" customWidth="1"/>
    <col min="3352" max="3583" width="9.140625" style="76"/>
    <col min="3584" max="3584" width="33.85546875" style="76" customWidth="1"/>
    <col min="3585" max="3585" width="19.28515625" style="76" customWidth="1"/>
    <col min="3586" max="3607" width="12.85546875" style="76" customWidth="1"/>
    <col min="3608" max="3839" width="9.140625" style="76"/>
    <col min="3840" max="3840" width="33.85546875" style="76" customWidth="1"/>
    <col min="3841" max="3841" width="19.28515625" style="76" customWidth="1"/>
    <col min="3842" max="3863" width="12.85546875" style="76" customWidth="1"/>
    <col min="3864" max="4095" width="9.140625" style="76"/>
    <col min="4096" max="4096" width="33.85546875" style="76" customWidth="1"/>
    <col min="4097" max="4097" width="19.28515625" style="76" customWidth="1"/>
    <col min="4098" max="4119" width="12.85546875" style="76" customWidth="1"/>
    <col min="4120" max="4351" width="9.140625" style="76"/>
    <col min="4352" max="4352" width="33.85546875" style="76" customWidth="1"/>
    <col min="4353" max="4353" width="19.28515625" style="76" customWidth="1"/>
    <col min="4354" max="4375" width="12.85546875" style="76" customWidth="1"/>
    <col min="4376" max="4607" width="9.140625" style="76"/>
    <col min="4608" max="4608" width="33.85546875" style="76" customWidth="1"/>
    <col min="4609" max="4609" width="19.28515625" style="76" customWidth="1"/>
    <col min="4610" max="4631" width="12.85546875" style="76" customWidth="1"/>
    <col min="4632" max="4863" width="9.140625" style="76"/>
    <col min="4864" max="4864" width="33.85546875" style="76" customWidth="1"/>
    <col min="4865" max="4865" width="19.28515625" style="76" customWidth="1"/>
    <col min="4866" max="4887" width="12.85546875" style="76" customWidth="1"/>
    <col min="4888" max="5119" width="9.140625" style="76"/>
    <col min="5120" max="5120" width="33.85546875" style="76" customWidth="1"/>
    <col min="5121" max="5121" width="19.28515625" style="76" customWidth="1"/>
    <col min="5122" max="5143" width="12.85546875" style="76" customWidth="1"/>
    <col min="5144" max="5375" width="9.140625" style="76"/>
    <col min="5376" max="5376" width="33.85546875" style="76" customWidth="1"/>
    <col min="5377" max="5377" width="19.28515625" style="76" customWidth="1"/>
    <col min="5378" max="5399" width="12.85546875" style="76" customWidth="1"/>
    <col min="5400" max="5631" width="9.140625" style="76"/>
    <col min="5632" max="5632" width="33.85546875" style="76" customWidth="1"/>
    <col min="5633" max="5633" width="19.28515625" style="76" customWidth="1"/>
    <col min="5634" max="5655" width="12.85546875" style="76" customWidth="1"/>
    <col min="5656" max="5887" width="9.140625" style="76"/>
    <col min="5888" max="5888" width="33.85546875" style="76" customWidth="1"/>
    <col min="5889" max="5889" width="19.28515625" style="76" customWidth="1"/>
    <col min="5890" max="5911" width="12.85546875" style="76" customWidth="1"/>
    <col min="5912" max="6143" width="9.140625" style="76"/>
    <col min="6144" max="6144" width="33.85546875" style="76" customWidth="1"/>
    <col min="6145" max="6145" width="19.28515625" style="76" customWidth="1"/>
    <col min="6146" max="6167" width="12.85546875" style="76" customWidth="1"/>
    <col min="6168" max="6399" width="9.140625" style="76"/>
    <col min="6400" max="6400" width="33.85546875" style="76" customWidth="1"/>
    <col min="6401" max="6401" width="19.28515625" style="76" customWidth="1"/>
    <col min="6402" max="6423" width="12.85546875" style="76" customWidth="1"/>
    <col min="6424" max="6655" width="9.140625" style="76"/>
    <col min="6656" max="6656" width="33.85546875" style="76" customWidth="1"/>
    <col min="6657" max="6657" width="19.28515625" style="76" customWidth="1"/>
    <col min="6658" max="6679" width="12.85546875" style="76" customWidth="1"/>
    <col min="6680" max="6911" width="9.140625" style="76"/>
    <col min="6912" max="6912" width="33.85546875" style="76" customWidth="1"/>
    <col min="6913" max="6913" width="19.28515625" style="76" customWidth="1"/>
    <col min="6914" max="6935" width="12.85546875" style="76" customWidth="1"/>
    <col min="6936" max="7167" width="9.140625" style="76"/>
    <col min="7168" max="7168" width="33.85546875" style="76" customWidth="1"/>
    <col min="7169" max="7169" width="19.28515625" style="76" customWidth="1"/>
    <col min="7170" max="7191" width="12.85546875" style="76" customWidth="1"/>
    <col min="7192" max="7423" width="9.140625" style="76"/>
    <col min="7424" max="7424" width="33.85546875" style="76" customWidth="1"/>
    <col min="7425" max="7425" width="19.28515625" style="76" customWidth="1"/>
    <col min="7426" max="7447" width="12.85546875" style="76" customWidth="1"/>
    <col min="7448" max="7679" width="9.140625" style="76"/>
    <col min="7680" max="7680" width="33.85546875" style="76" customWidth="1"/>
    <col min="7681" max="7681" width="19.28515625" style="76" customWidth="1"/>
    <col min="7682" max="7703" width="12.85546875" style="76" customWidth="1"/>
    <col min="7704" max="7935" width="9.140625" style="76"/>
    <col min="7936" max="7936" width="33.85546875" style="76" customWidth="1"/>
    <col min="7937" max="7937" width="19.28515625" style="76" customWidth="1"/>
    <col min="7938" max="7959" width="12.85546875" style="76" customWidth="1"/>
    <col min="7960" max="8191" width="9.140625" style="76"/>
    <col min="8192" max="8192" width="33.85546875" style="76" customWidth="1"/>
    <col min="8193" max="8193" width="19.28515625" style="76" customWidth="1"/>
    <col min="8194" max="8215" width="12.85546875" style="76" customWidth="1"/>
    <col min="8216" max="8447" width="9.140625" style="76"/>
    <col min="8448" max="8448" width="33.85546875" style="76" customWidth="1"/>
    <col min="8449" max="8449" width="19.28515625" style="76" customWidth="1"/>
    <col min="8450" max="8471" width="12.85546875" style="76" customWidth="1"/>
    <col min="8472" max="8703" width="9.140625" style="76"/>
    <col min="8704" max="8704" width="33.85546875" style="76" customWidth="1"/>
    <col min="8705" max="8705" width="19.28515625" style="76" customWidth="1"/>
    <col min="8706" max="8727" width="12.85546875" style="76" customWidth="1"/>
    <col min="8728" max="8959" width="9.140625" style="76"/>
    <col min="8960" max="8960" width="33.85546875" style="76" customWidth="1"/>
    <col min="8961" max="8961" width="19.28515625" style="76" customWidth="1"/>
    <col min="8962" max="8983" width="12.85546875" style="76" customWidth="1"/>
    <col min="8984" max="9215" width="9.140625" style="76"/>
    <col min="9216" max="9216" width="33.85546875" style="76" customWidth="1"/>
    <col min="9217" max="9217" width="19.28515625" style="76" customWidth="1"/>
    <col min="9218" max="9239" width="12.85546875" style="76" customWidth="1"/>
    <col min="9240" max="9471" width="9.140625" style="76"/>
    <col min="9472" max="9472" width="33.85546875" style="76" customWidth="1"/>
    <col min="9473" max="9473" width="19.28515625" style="76" customWidth="1"/>
    <col min="9474" max="9495" width="12.85546875" style="76" customWidth="1"/>
    <col min="9496" max="9727" width="9.140625" style="76"/>
    <col min="9728" max="9728" width="33.85546875" style="76" customWidth="1"/>
    <col min="9729" max="9729" width="19.28515625" style="76" customWidth="1"/>
    <col min="9730" max="9751" width="12.85546875" style="76" customWidth="1"/>
    <col min="9752" max="9983" width="9.140625" style="76"/>
    <col min="9984" max="9984" width="33.85546875" style="76" customWidth="1"/>
    <col min="9985" max="9985" width="19.28515625" style="76" customWidth="1"/>
    <col min="9986" max="10007" width="12.85546875" style="76" customWidth="1"/>
    <col min="10008" max="10239" width="9.140625" style="76"/>
    <col min="10240" max="10240" width="33.85546875" style="76" customWidth="1"/>
    <col min="10241" max="10241" width="19.28515625" style="76" customWidth="1"/>
    <col min="10242" max="10263" width="12.85546875" style="76" customWidth="1"/>
    <col min="10264" max="10495" width="9.140625" style="76"/>
    <col min="10496" max="10496" width="33.85546875" style="76" customWidth="1"/>
    <col min="10497" max="10497" width="19.28515625" style="76" customWidth="1"/>
    <col min="10498" max="10519" width="12.85546875" style="76" customWidth="1"/>
    <col min="10520" max="10751" width="9.140625" style="76"/>
    <col min="10752" max="10752" width="33.85546875" style="76" customWidth="1"/>
    <col min="10753" max="10753" width="19.28515625" style="76" customWidth="1"/>
    <col min="10754" max="10775" width="12.85546875" style="76" customWidth="1"/>
    <col min="10776" max="11007" width="9.140625" style="76"/>
    <col min="11008" max="11008" width="33.85546875" style="76" customWidth="1"/>
    <col min="11009" max="11009" width="19.28515625" style="76" customWidth="1"/>
    <col min="11010" max="11031" width="12.85546875" style="76" customWidth="1"/>
    <col min="11032" max="11263" width="9.140625" style="76"/>
    <col min="11264" max="11264" width="33.85546875" style="76" customWidth="1"/>
    <col min="11265" max="11265" width="19.28515625" style="76" customWidth="1"/>
    <col min="11266" max="11287" width="12.85546875" style="76" customWidth="1"/>
    <col min="11288" max="11519" width="9.140625" style="76"/>
    <col min="11520" max="11520" width="33.85546875" style="76" customWidth="1"/>
    <col min="11521" max="11521" width="19.28515625" style="76" customWidth="1"/>
    <col min="11522" max="11543" width="12.85546875" style="76" customWidth="1"/>
    <col min="11544" max="11775" width="9.140625" style="76"/>
    <col min="11776" max="11776" width="33.85546875" style="76" customWidth="1"/>
    <col min="11777" max="11777" width="19.28515625" style="76" customWidth="1"/>
    <col min="11778" max="11799" width="12.85546875" style="76" customWidth="1"/>
    <col min="11800" max="12031" width="9.140625" style="76"/>
    <col min="12032" max="12032" width="33.85546875" style="76" customWidth="1"/>
    <col min="12033" max="12033" width="19.28515625" style="76" customWidth="1"/>
    <col min="12034" max="12055" width="12.85546875" style="76" customWidth="1"/>
    <col min="12056" max="12287" width="9.140625" style="76"/>
    <col min="12288" max="12288" width="33.85546875" style="76" customWidth="1"/>
    <col min="12289" max="12289" width="19.28515625" style="76" customWidth="1"/>
    <col min="12290" max="12311" width="12.85546875" style="76" customWidth="1"/>
    <col min="12312" max="12543" width="9.140625" style="76"/>
    <col min="12544" max="12544" width="33.85546875" style="76" customWidth="1"/>
    <col min="12545" max="12545" width="19.28515625" style="76" customWidth="1"/>
    <col min="12546" max="12567" width="12.85546875" style="76" customWidth="1"/>
    <col min="12568" max="12799" width="9.140625" style="76"/>
    <col min="12800" max="12800" width="33.85546875" style="76" customWidth="1"/>
    <col min="12801" max="12801" width="19.28515625" style="76" customWidth="1"/>
    <col min="12802" max="12823" width="12.85546875" style="76" customWidth="1"/>
    <col min="12824" max="13055" width="9.140625" style="76"/>
    <col min="13056" max="13056" width="33.85546875" style="76" customWidth="1"/>
    <col min="13057" max="13057" width="19.28515625" style="76" customWidth="1"/>
    <col min="13058" max="13079" width="12.85546875" style="76" customWidth="1"/>
    <col min="13080" max="13311" width="9.140625" style="76"/>
    <col min="13312" max="13312" width="33.85546875" style="76" customWidth="1"/>
    <col min="13313" max="13313" width="19.28515625" style="76" customWidth="1"/>
    <col min="13314" max="13335" width="12.85546875" style="76" customWidth="1"/>
    <col min="13336" max="13567" width="9.140625" style="76"/>
    <col min="13568" max="13568" width="33.85546875" style="76" customWidth="1"/>
    <col min="13569" max="13569" width="19.28515625" style="76" customWidth="1"/>
    <col min="13570" max="13591" width="12.85546875" style="76" customWidth="1"/>
    <col min="13592" max="13823" width="9.140625" style="76"/>
    <col min="13824" max="13824" width="33.85546875" style="76" customWidth="1"/>
    <col min="13825" max="13825" width="19.28515625" style="76" customWidth="1"/>
    <col min="13826" max="13847" width="12.85546875" style="76" customWidth="1"/>
    <col min="13848" max="14079" width="9.140625" style="76"/>
    <col min="14080" max="14080" width="33.85546875" style="76" customWidth="1"/>
    <col min="14081" max="14081" width="19.28515625" style="76" customWidth="1"/>
    <col min="14082" max="14103" width="12.85546875" style="76" customWidth="1"/>
    <col min="14104" max="14335" width="9.140625" style="76"/>
    <col min="14336" max="14336" width="33.85546875" style="76" customWidth="1"/>
    <col min="14337" max="14337" width="19.28515625" style="76" customWidth="1"/>
    <col min="14338" max="14359" width="12.85546875" style="76" customWidth="1"/>
    <col min="14360" max="14591" width="9.140625" style="76"/>
    <col min="14592" max="14592" width="33.85546875" style="76" customWidth="1"/>
    <col min="14593" max="14593" width="19.28515625" style="76" customWidth="1"/>
    <col min="14594" max="14615" width="12.85546875" style="76" customWidth="1"/>
    <col min="14616" max="14847" width="9.140625" style="76"/>
    <col min="14848" max="14848" width="33.85546875" style="76" customWidth="1"/>
    <col min="14849" max="14849" width="19.28515625" style="76" customWidth="1"/>
    <col min="14850" max="14871" width="12.85546875" style="76" customWidth="1"/>
    <col min="14872" max="15103" width="9.140625" style="76"/>
    <col min="15104" max="15104" width="33.85546875" style="76" customWidth="1"/>
    <col min="15105" max="15105" width="19.28515625" style="76" customWidth="1"/>
    <col min="15106" max="15127" width="12.85546875" style="76" customWidth="1"/>
    <col min="15128" max="15359" width="9.140625" style="76"/>
    <col min="15360" max="15360" width="33.85546875" style="76" customWidth="1"/>
    <col min="15361" max="15361" width="19.28515625" style="76" customWidth="1"/>
    <col min="15362" max="15383" width="12.85546875" style="76" customWidth="1"/>
    <col min="15384" max="15615" width="9.140625" style="76"/>
    <col min="15616" max="15616" width="33.85546875" style="76" customWidth="1"/>
    <col min="15617" max="15617" width="19.28515625" style="76" customWidth="1"/>
    <col min="15618" max="15639" width="12.85546875" style="76" customWidth="1"/>
    <col min="15640" max="15871" width="9.140625" style="76"/>
    <col min="15872" max="15872" width="33.85546875" style="76" customWidth="1"/>
    <col min="15873" max="15873" width="19.28515625" style="76" customWidth="1"/>
    <col min="15874" max="15895" width="12.85546875" style="76" customWidth="1"/>
    <col min="15896" max="16127" width="9.140625" style="76"/>
    <col min="16128" max="16128" width="33.85546875" style="76" customWidth="1"/>
    <col min="16129" max="16129" width="19.28515625" style="76" customWidth="1"/>
    <col min="16130" max="16151" width="12.85546875" style="76" customWidth="1"/>
    <col min="16152" max="16384" width="9.140625" style="76"/>
  </cols>
  <sheetData>
    <row r="1" spans="1:23" ht="16.5" thickBot="1">
      <c r="A1" s="526" t="s">
        <v>311</v>
      </c>
      <c r="B1" s="527"/>
      <c r="C1" s="527"/>
      <c r="D1" s="527"/>
      <c r="E1" s="527"/>
      <c r="F1" s="527"/>
      <c r="G1" s="527"/>
      <c r="H1" s="527"/>
      <c r="I1" s="527"/>
      <c r="J1" s="527"/>
      <c r="K1" s="527"/>
      <c r="L1" s="527"/>
      <c r="M1" s="527"/>
      <c r="N1" s="527"/>
      <c r="O1" s="527"/>
      <c r="P1" s="527"/>
      <c r="Q1" s="527"/>
      <c r="R1" s="527"/>
      <c r="S1" s="527"/>
      <c r="T1" s="527"/>
      <c r="U1" s="527"/>
      <c r="V1" s="527"/>
      <c r="W1" s="528"/>
    </row>
    <row r="2" spans="1:23" ht="16.5" thickBot="1">
      <c r="A2" s="178" t="s">
        <v>231</v>
      </c>
      <c r="B2" s="179"/>
      <c r="C2" s="179"/>
      <c r="D2" s="179"/>
      <c r="E2" s="179"/>
      <c r="F2" s="179"/>
      <c r="G2" s="179"/>
      <c r="H2" s="179"/>
      <c r="I2" s="179"/>
      <c r="J2" s="179"/>
      <c r="K2" s="179"/>
      <c r="L2" s="179"/>
      <c r="M2" s="180"/>
      <c r="N2" s="180"/>
      <c r="O2" s="180"/>
      <c r="P2" s="180"/>
      <c r="Q2" s="180"/>
      <c r="R2" s="180"/>
      <c r="S2" s="180"/>
      <c r="T2" s="180"/>
      <c r="U2" s="180"/>
      <c r="V2" s="180"/>
      <c r="W2" s="181"/>
    </row>
    <row r="3" spans="1:23" ht="15.75">
      <c r="A3" s="151" t="s">
        <v>229</v>
      </c>
      <c r="B3" s="152"/>
      <c r="C3" s="152"/>
      <c r="D3" s="153"/>
      <c r="E3" s="153"/>
      <c r="F3" s="153"/>
      <c r="G3" s="153"/>
      <c r="H3" s="153"/>
      <c r="I3" s="153"/>
      <c r="J3" s="153"/>
      <c r="K3" s="153"/>
      <c r="L3" s="153"/>
      <c r="M3" s="154"/>
      <c r="N3" s="154"/>
      <c r="O3" s="154"/>
      <c r="P3" s="154"/>
      <c r="Q3" s="154"/>
      <c r="R3" s="154"/>
      <c r="S3" s="154"/>
      <c r="T3" s="154"/>
      <c r="U3" s="154"/>
      <c r="V3" s="154"/>
      <c r="W3" s="155"/>
    </row>
    <row r="4" spans="1:23">
      <c r="A4" s="156"/>
      <c r="B4" s="157"/>
      <c r="C4" s="529" t="s">
        <v>226</v>
      </c>
      <c r="D4" s="529"/>
      <c r="E4" s="529"/>
      <c r="F4" s="529"/>
      <c r="G4" s="529"/>
      <c r="H4" s="529"/>
      <c r="I4" s="529"/>
      <c r="J4" s="529"/>
      <c r="K4" s="529"/>
      <c r="L4" s="529"/>
      <c r="M4" s="529"/>
      <c r="N4" s="529"/>
      <c r="O4" s="529"/>
      <c r="P4" s="529"/>
      <c r="Q4" s="529"/>
      <c r="R4" s="529"/>
      <c r="S4" s="529"/>
      <c r="T4" s="529"/>
      <c r="U4" s="529"/>
      <c r="V4" s="529"/>
      <c r="W4" s="530"/>
    </row>
    <row r="5" spans="1:23">
      <c r="A5" s="156"/>
      <c r="B5" s="158" t="s">
        <v>1</v>
      </c>
      <c r="C5" s="159">
        <v>2016</v>
      </c>
      <c r="D5" s="159">
        <v>2017</v>
      </c>
      <c r="E5" s="159">
        <v>2018</v>
      </c>
      <c r="F5" s="159">
        <v>2019</v>
      </c>
      <c r="G5" s="159">
        <v>2020</v>
      </c>
      <c r="H5" s="159">
        <v>2021</v>
      </c>
      <c r="I5" s="159">
        <v>2022</v>
      </c>
      <c r="J5" s="159">
        <v>2023</v>
      </c>
      <c r="K5" s="159">
        <v>2024</v>
      </c>
      <c r="L5" s="159">
        <v>2025</v>
      </c>
      <c r="M5" s="159">
        <v>2026</v>
      </c>
      <c r="N5" s="159">
        <v>2027</v>
      </c>
      <c r="O5" s="159">
        <v>2028</v>
      </c>
      <c r="P5" s="159">
        <v>2029</v>
      </c>
      <c r="Q5" s="159">
        <v>2030</v>
      </c>
      <c r="R5" s="159">
        <v>2031</v>
      </c>
      <c r="S5" s="159">
        <v>2032</v>
      </c>
      <c r="T5" s="159">
        <v>2033</v>
      </c>
      <c r="U5" s="159">
        <v>2034</v>
      </c>
      <c r="V5" s="160">
        <v>2035</v>
      </c>
      <c r="W5" s="160"/>
    </row>
    <row r="6" spans="1:23" s="98" customFormat="1" ht="13.5" thickBot="1">
      <c r="A6" s="156"/>
      <c r="B6" s="158" t="s">
        <v>316</v>
      </c>
      <c r="C6" s="326">
        <f>HLOOKUP('Res-Capacity-Base'!C$5,'NW Customers'!$B$2:$AO$5,4)-C7</f>
        <v>31353.145008649793</v>
      </c>
      <c r="D6" s="326">
        <f>HLOOKUP('Res-Capacity-Base'!D$5,'NW Customers'!$B$2:$AO$5,4)-D7</f>
        <v>31729.715003368419</v>
      </c>
      <c r="E6" s="326">
        <f>HLOOKUP('Res-Capacity-Base'!E$5,'NW Customers'!$B$2:$AO$5,4)-E7</f>
        <v>32151.285295967089</v>
      </c>
      <c r="F6" s="326">
        <f>HLOOKUP('Res-Capacity-Base'!F$5,'NW Customers'!$B$2:$AO$5,4)-F7</f>
        <v>32568.907563842458</v>
      </c>
      <c r="G6" s="326">
        <f>HLOOKUP('Res-Capacity-Base'!G$5,'NW Customers'!$B$2:$AO$5,4)-G7</f>
        <v>33007.376988986252</v>
      </c>
      <c r="H6" s="326">
        <f>HLOOKUP('Res-Capacity-Base'!H$5,'NW Customers'!$B$2:$AO$5,4)-H7</f>
        <v>33428.672654676862</v>
      </c>
      <c r="I6" s="326">
        <f>HLOOKUP('Res-Capacity-Base'!I$5,'NW Customers'!$B$2:$AO$5,4)-I7</f>
        <v>33842.64121789857</v>
      </c>
      <c r="J6" s="326">
        <f>HLOOKUP('Res-Capacity-Base'!J$5,'NW Customers'!$B$2:$AO$5,4)-J7</f>
        <v>34251.07892881913</v>
      </c>
      <c r="K6" s="326">
        <f>HLOOKUP('Res-Capacity-Base'!K$5,'NW Customers'!$B$2:$AO$5,4)-K7</f>
        <v>34658.106663052095</v>
      </c>
      <c r="L6" s="326">
        <f>HLOOKUP('Res-Capacity-Base'!L$5,'NW Customers'!$B$2:$AO$5,4)-L7</f>
        <v>35062.805810918224</v>
      </c>
      <c r="M6" s="326">
        <f>HLOOKUP('Res-Capacity-Base'!M$5,'NW Customers'!$B$2:$AO$5,4)-M7</f>
        <v>35450.331451865175</v>
      </c>
      <c r="N6" s="326">
        <f>HLOOKUP('Res-Capacity-Base'!N$5,'NW Customers'!$B$2:$AO$5,4)-N7</f>
        <v>35851.399174095553</v>
      </c>
      <c r="O6" s="326">
        <f>HLOOKUP('Res-Capacity-Base'!O$5,'NW Customers'!$B$2:$AO$5,4)-O7</f>
        <v>36268.860132184433</v>
      </c>
      <c r="P6" s="326">
        <f>HLOOKUP('Res-Capacity-Base'!P$5,'NW Customers'!$B$2:$AO$5,4)-P7</f>
        <v>36688.723436358341</v>
      </c>
      <c r="Q6" s="326">
        <f>HLOOKUP('Res-Capacity-Base'!Q$5,'NW Customers'!$B$2:$AO$5,4)-Q7</f>
        <v>37099.077806051202</v>
      </c>
      <c r="R6" s="326">
        <f>HLOOKUP('Res-Capacity-Base'!R$5,'NW Customers'!$B$2:$AO$5,4)-R7</f>
        <v>37514.021888684547</v>
      </c>
      <c r="S6" s="326">
        <f>HLOOKUP('Res-Capacity-Base'!S$5,'NW Customers'!$B$2:$AO$5,4)-S7</f>
        <v>37933.607019071489</v>
      </c>
      <c r="T6" s="326">
        <f>HLOOKUP('Res-Capacity-Base'!T$5,'NW Customers'!$B$2:$AO$5,4)-T7</f>
        <v>38357.885106192436</v>
      </c>
      <c r="U6" s="326">
        <f>HLOOKUP('Res-Capacity-Base'!U$5,'NW Customers'!$B$2:$AO$5,4)-U7</f>
        <v>38786.908639616981</v>
      </c>
      <c r="V6" s="326">
        <f>HLOOKUP('Res-Capacity-Base'!V$5,'NW Customers'!$B$2:$AO$5,4)-V7</f>
        <v>39220.730695997692</v>
      </c>
      <c r="W6" s="242"/>
    </row>
    <row r="7" spans="1:23" ht="13.5" thickBot="1">
      <c r="A7" s="156"/>
      <c r="B7" s="241" t="s">
        <v>315</v>
      </c>
      <c r="C7" s="243">
        <f>C8*0.15</f>
        <v>5532.9079427029046</v>
      </c>
      <c r="D7" s="243">
        <f t="shared" ref="D7:V7" si="0">D8*0.15</f>
        <v>5599.3614711826622</v>
      </c>
      <c r="E7" s="243">
        <f t="shared" si="0"/>
        <v>5673.7562287000737</v>
      </c>
      <c r="F7" s="243">
        <f t="shared" si="0"/>
        <v>5747.454275972198</v>
      </c>
      <c r="G7" s="243">
        <f t="shared" si="0"/>
        <v>5824.8312333505155</v>
      </c>
      <c r="H7" s="243">
        <f t="shared" si="0"/>
        <v>5899.1775272959176</v>
      </c>
      <c r="I7" s="243">
        <f t="shared" si="0"/>
        <v>5972.2308031585708</v>
      </c>
      <c r="J7" s="243">
        <f t="shared" si="0"/>
        <v>6044.3080462621983</v>
      </c>
      <c r="K7" s="243">
        <f t="shared" si="0"/>
        <v>6116.1364699503692</v>
      </c>
      <c r="L7" s="243">
        <f t="shared" si="0"/>
        <v>6187.5539666326276</v>
      </c>
      <c r="M7" s="243">
        <f t="shared" si="0"/>
        <v>6255.9408444467945</v>
      </c>
      <c r="N7" s="243">
        <f t="shared" si="0"/>
        <v>6326.71750131098</v>
      </c>
      <c r="O7" s="243">
        <f t="shared" si="0"/>
        <v>6400.3870821501932</v>
      </c>
      <c r="P7" s="243">
        <f t="shared" si="0"/>
        <v>6474.4806064161785</v>
      </c>
      <c r="Q7" s="243">
        <f t="shared" si="0"/>
        <v>6546.8960834208001</v>
      </c>
      <c r="R7" s="243">
        <f t="shared" si="0"/>
        <v>6620.1215097678605</v>
      </c>
      <c r="S7" s="243">
        <f t="shared" si="0"/>
        <v>6694.1659445420273</v>
      </c>
      <c r="T7" s="243">
        <f t="shared" si="0"/>
        <v>6769.0385481516059</v>
      </c>
      <c r="U7" s="243">
        <f t="shared" si="0"/>
        <v>6844.7485834618201</v>
      </c>
      <c r="V7" s="243">
        <f t="shared" si="0"/>
        <v>6921.3054169407687</v>
      </c>
      <c r="W7" s="243"/>
    </row>
    <row r="8" spans="1:23" ht="13.5" thickBot="1">
      <c r="A8" s="244"/>
      <c r="B8" s="246" t="s">
        <v>314</v>
      </c>
      <c r="C8" s="326">
        <f>HLOOKUP('Res-Capacity-Base'!C$5,'NW Customers'!$B$2:$AO$5,4)</f>
        <v>36886.0529513527</v>
      </c>
      <c r="D8" s="326">
        <f>HLOOKUP('Res-Capacity-Base'!D$5,'NW Customers'!$B$2:$AO$5,4)</f>
        <v>37329.076474551082</v>
      </c>
      <c r="E8" s="326">
        <f>HLOOKUP('Res-Capacity-Base'!E$5,'NW Customers'!$B$2:$AO$5,4)</f>
        <v>37825.041524667162</v>
      </c>
      <c r="F8" s="326">
        <f>HLOOKUP('Res-Capacity-Base'!F$5,'NW Customers'!$B$2:$AO$5,4)</f>
        <v>38316.361839814657</v>
      </c>
      <c r="G8" s="326">
        <f>HLOOKUP('Res-Capacity-Base'!G$5,'NW Customers'!$B$2:$AO$5,4)</f>
        <v>38832.208222336769</v>
      </c>
      <c r="H8" s="326">
        <f>HLOOKUP('Res-Capacity-Base'!H$5,'NW Customers'!$B$2:$AO$5,4)</f>
        <v>39327.850181972783</v>
      </c>
      <c r="I8" s="326">
        <f>HLOOKUP('Res-Capacity-Base'!I$5,'NW Customers'!$B$2:$AO$5,4)</f>
        <v>39814.872021057141</v>
      </c>
      <c r="J8" s="326">
        <f>HLOOKUP('Res-Capacity-Base'!J$5,'NW Customers'!$B$2:$AO$5,4)</f>
        <v>40295.386975081325</v>
      </c>
      <c r="K8" s="326">
        <f>HLOOKUP('Res-Capacity-Base'!K$5,'NW Customers'!$B$2:$AO$5,4)</f>
        <v>40774.243133002463</v>
      </c>
      <c r="L8" s="326">
        <f>HLOOKUP('Res-Capacity-Base'!L$5,'NW Customers'!$B$2:$AO$5,4)</f>
        <v>41250.359777550853</v>
      </c>
      <c r="M8" s="326">
        <f>HLOOKUP('Res-Capacity-Base'!M$5,'NW Customers'!$B$2:$AO$5,4)</f>
        <v>41706.272296311967</v>
      </c>
      <c r="N8" s="326">
        <f>HLOOKUP('Res-Capacity-Base'!N$5,'NW Customers'!$B$2:$AO$5,4)</f>
        <v>42178.116675406534</v>
      </c>
      <c r="O8" s="326">
        <f>HLOOKUP('Res-Capacity-Base'!O$5,'NW Customers'!$B$2:$AO$5,4)</f>
        <v>42669.247214334624</v>
      </c>
      <c r="P8" s="326">
        <f>HLOOKUP('Res-Capacity-Base'!P$5,'NW Customers'!$B$2:$AO$5,4)</f>
        <v>43163.204042774523</v>
      </c>
      <c r="Q8" s="326">
        <f>HLOOKUP('Res-Capacity-Base'!Q$5,'NW Customers'!$B$2:$AO$5,4)</f>
        <v>43645.973889471999</v>
      </c>
      <c r="R8" s="326">
        <f>HLOOKUP('Res-Capacity-Base'!R$5,'NW Customers'!$B$2:$AO$5,4)</f>
        <v>44134.143398452405</v>
      </c>
      <c r="S8" s="326">
        <f>HLOOKUP('Res-Capacity-Base'!S$5,'NW Customers'!$B$2:$AO$5,4)</f>
        <v>44627.772963613519</v>
      </c>
      <c r="T8" s="326">
        <f>HLOOKUP('Res-Capacity-Base'!T$5,'NW Customers'!$B$2:$AO$5,4)</f>
        <v>45126.923654344042</v>
      </c>
      <c r="U8" s="326">
        <f>HLOOKUP('Res-Capacity-Base'!U$5,'NW Customers'!$B$2:$AO$5,4)</f>
        <v>45631.657223078801</v>
      </c>
      <c r="V8" s="326">
        <f>HLOOKUP('Res-Capacity-Base'!V$5,'NW Customers'!$B$2:$AO$5,4)</f>
        <v>46142.036112938462</v>
      </c>
      <c r="W8" s="245"/>
    </row>
    <row r="9" spans="1:23" s="221" customFormat="1" ht="16.5" thickBot="1">
      <c r="A9" s="230"/>
      <c r="B9" s="230"/>
      <c r="C9" s="230"/>
      <c r="D9" s="231"/>
      <c r="E9" s="231"/>
      <c r="F9" s="231"/>
      <c r="G9" s="231"/>
      <c r="H9" s="231"/>
      <c r="I9" s="231"/>
      <c r="J9" s="231"/>
      <c r="K9" s="231"/>
      <c r="L9" s="231"/>
    </row>
    <row r="10" spans="1:23" ht="15.75">
      <c r="A10" s="151" t="s">
        <v>305</v>
      </c>
      <c r="B10" s="152"/>
      <c r="C10" s="152"/>
      <c r="D10" s="153"/>
      <c r="E10" s="153"/>
      <c r="F10" s="153"/>
      <c r="G10" s="153"/>
      <c r="H10" s="153"/>
      <c r="I10" s="153"/>
      <c r="J10" s="153"/>
      <c r="K10" s="153"/>
      <c r="L10" s="153"/>
      <c r="M10" s="154"/>
      <c r="N10" s="154"/>
      <c r="O10" s="154"/>
      <c r="P10" s="154"/>
      <c r="Q10" s="154"/>
      <c r="R10" s="154"/>
      <c r="S10" s="154"/>
      <c r="T10" s="154"/>
      <c r="U10" s="154"/>
      <c r="V10" s="154"/>
      <c r="W10" s="155"/>
    </row>
    <row r="11" spans="1:23" ht="15.75">
      <c r="A11" s="185"/>
      <c r="B11" s="158" t="s">
        <v>237</v>
      </c>
      <c r="C11" s="174">
        <f>KeyAssumptions!N11</f>
        <v>0.7</v>
      </c>
      <c r="D11" s="163"/>
      <c r="E11" s="163"/>
      <c r="F11" s="163"/>
      <c r="G11" s="163"/>
      <c r="H11" s="163"/>
      <c r="I11" s="163"/>
      <c r="J11" s="163"/>
      <c r="K11" s="163"/>
      <c r="L11" s="163"/>
      <c r="M11" s="164"/>
      <c r="N11" s="164"/>
      <c r="O11" s="164"/>
      <c r="P11" s="164"/>
      <c r="Q11" s="164"/>
      <c r="R11" s="164"/>
      <c r="S11" s="164"/>
      <c r="T11" s="164"/>
      <c r="U11" s="164"/>
      <c r="V11" s="164"/>
      <c r="W11" s="165"/>
    </row>
    <row r="12" spans="1:23" ht="15.75">
      <c r="A12" s="185"/>
      <c r="B12" s="158" t="s">
        <v>203</v>
      </c>
      <c r="C12" s="174">
        <f>KeyAssumptions!O11</f>
        <v>0.2</v>
      </c>
      <c r="D12" s="163"/>
      <c r="E12" s="163"/>
      <c r="F12" s="163"/>
      <c r="G12" s="163"/>
      <c r="H12" s="163"/>
      <c r="I12" s="163"/>
      <c r="J12" s="163"/>
      <c r="K12" s="163"/>
      <c r="L12" s="163"/>
      <c r="M12" s="164"/>
      <c r="N12" s="164"/>
      <c r="O12" s="164"/>
      <c r="P12" s="164"/>
      <c r="Q12" s="164"/>
      <c r="R12" s="164"/>
      <c r="S12" s="164"/>
      <c r="T12" s="164"/>
      <c r="U12" s="164"/>
      <c r="V12" s="164"/>
      <c r="W12" s="165"/>
    </row>
    <row r="13" spans="1:23" ht="15.75" customHeight="1">
      <c r="A13" s="185"/>
      <c r="B13" s="188" t="s">
        <v>338</v>
      </c>
      <c r="C13" s="174">
        <v>0.95</v>
      </c>
      <c r="D13" s="163"/>
      <c r="E13" s="163"/>
      <c r="F13" s="163"/>
      <c r="G13" s="163"/>
      <c r="H13" s="163"/>
      <c r="I13" s="163"/>
      <c r="J13" s="163"/>
      <c r="K13" s="163"/>
      <c r="L13" s="163"/>
      <c r="M13" s="164"/>
      <c r="N13" s="164"/>
      <c r="O13" s="164"/>
      <c r="P13" s="164"/>
      <c r="Q13" s="164"/>
      <c r="R13" s="164"/>
      <c r="S13" s="164"/>
      <c r="T13" s="164"/>
      <c r="U13" s="164"/>
      <c r="V13" s="164"/>
      <c r="W13" s="165"/>
    </row>
    <row r="14" spans="1:23" ht="15.75">
      <c r="A14" s="185"/>
      <c r="B14" s="157"/>
      <c r="C14" s="157"/>
      <c r="D14" s="163"/>
      <c r="E14" s="163"/>
      <c r="F14" s="163"/>
      <c r="G14" s="163"/>
      <c r="H14" s="163"/>
      <c r="I14" s="163"/>
      <c r="J14" s="163"/>
      <c r="K14" s="163"/>
      <c r="L14" s="163"/>
      <c r="M14" s="164"/>
      <c r="N14" s="164"/>
      <c r="O14" s="164"/>
      <c r="P14" s="164"/>
      <c r="Q14" s="164"/>
      <c r="R14" s="164"/>
      <c r="S14" s="164"/>
      <c r="T14" s="164"/>
      <c r="U14" s="164"/>
      <c r="V14" s="164"/>
      <c r="W14" s="165"/>
    </row>
    <row r="15" spans="1:23">
      <c r="A15" s="156"/>
      <c r="B15" s="158" t="s">
        <v>1</v>
      </c>
      <c r="C15" s="159">
        <f>C5</f>
        <v>2016</v>
      </c>
      <c r="D15" s="159">
        <f t="shared" ref="D15:V15" si="1">D5</f>
        <v>2017</v>
      </c>
      <c r="E15" s="159">
        <f t="shared" si="1"/>
        <v>2018</v>
      </c>
      <c r="F15" s="159">
        <f t="shared" si="1"/>
        <v>2019</v>
      </c>
      <c r="G15" s="159">
        <f t="shared" si="1"/>
        <v>2020</v>
      </c>
      <c r="H15" s="159">
        <f t="shared" si="1"/>
        <v>2021</v>
      </c>
      <c r="I15" s="159">
        <f t="shared" si="1"/>
        <v>2022</v>
      </c>
      <c r="J15" s="159">
        <f t="shared" si="1"/>
        <v>2023</v>
      </c>
      <c r="K15" s="159">
        <f t="shared" si="1"/>
        <v>2024</v>
      </c>
      <c r="L15" s="159">
        <f t="shared" si="1"/>
        <v>2025</v>
      </c>
      <c r="M15" s="159">
        <f t="shared" si="1"/>
        <v>2026</v>
      </c>
      <c r="N15" s="159">
        <f t="shared" si="1"/>
        <v>2027</v>
      </c>
      <c r="O15" s="159">
        <f t="shared" si="1"/>
        <v>2028</v>
      </c>
      <c r="P15" s="159">
        <f t="shared" si="1"/>
        <v>2029</v>
      </c>
      <c r="Q15" s="159">
        <f t="shared" si="1"/>
        <v>2030</v>
      </c>
      <c r="R15" s="159">
        <f t="shared" si="1"/>
        <v>2031</v>
      </c>
      <c r="S15" s="159">
        <f t="shared" si="1"/>
        <v>2032</v>
      </c>
      <c r="T15" s="159">
        <f t="shared" si="1"/>
        <v>2033</v>
      </c>
      <c r="U15" s="159">
        <f t="shared" si="1"/>
        <v>2034</v>
      </c>
      <c r="V15" s="159">
        <f t="shared" si="1"/>
        <v>2035</v>
      </c>
      <c r="W15" s="160"/>
    </row>
    <row r="16" spans="1:23">
      <c r="A16" s="156"/>
      <c r="B16" s="158" t="s">
        <v>227</v>
      </c>
      <c r="C16" s="174">
        <v>0.05</v>
      </c>
      <c r="D16" s="174">
        <v>0.2</v>
      </c>
      <c r="E16" s="174">
        <v>0.2</v>
      </c>
      <c r="F16" s="174">
        <v>0.2</v>
      </c>
      <c r="G16" s="174">
        <v>0.2</v>
      </c>
      <c r="H16" s="174">
        <v>0.15</v>
      </c>
      <c r="I16" s="174">
        <v>0</v>
      </c>
      <c r="J16" s="174">
        <v>0</v>
      </c>
      <c r="K16" s="174">
        <v>0</v>
      </c>
      <c r="L16" s="174">
        <v>0</v>
      </c>
      <c r="M16" s="174">
        <v>0</v>
      </c>
      <c r="N16" s="174">
        <v>0</v>
      </c>
      <c r="O16" s="174">
        <v>0</v>
      </c>
      <c r="P16" s="174">
        <v>0</v>
      </c>
      <c r="Q16" s="174">
        <v>0</v>
      </c>
      <c r="R16" s="174">
        <v>0</v>
      </c>
      <c r="S16" s="174">
        <v>0</v>
      </c>
      <c r="T16" s="174">
        <v>0</v>
      </c>
      <c r="U16" s="174">
        <v>0</v>
      </c>
      <c r="V16" s="174">
        <v>0</v>
      </c>
      <c r="W16" s="216"/>
    </row>
    <row r="17" spans="1:23">
      <c r="A17" s="156"/>
      <c r="B17" s="158" t="s">
        <v>233</v>
      </c>
      <c r="C17" s="174">
        <f>C16</f>
        <v>0.05</v>
      </c>
      <c r="D17" s="174">
        <f>C17+D16</f>
        <v>0.25</v>
      </c>
      <c r="E17" s="174">
        <f t="shared" ref="E17:V17" si="2">D17+E16</f>
        <v>0.45</v>
      </c>
      <c r="F17" s="174">
        <f t="shared" si="2"/>
        <v>0.65</v>
      </c>
      <c r="G17" s="174">
        <f t="shared" si="2"/>
        <v>0.85000000000000009</v>
      </c>
      <c r="H17" s="174">
        <f t="shared" si="2"/>
        <v>1</v>
      </c>
      <c r="I17" s="174">
        <f t="shared" si="2"/>
        <v>1</v>
      </c>
      <c r="J17" s="174">
        <f t="shared" si="2"/>
        <v>1</v>
      </c>
      <c r="K17" s="174">
        <f t="shared" si="2"/>
        <v>1</v>
      </c>
      <c r="L17" s="174">
        <f t="shared" si="2"/>
        <v>1</v>
      </c>
      <c r="M17" s="174">
        <f t="shared" si="2"/>
        <v>1</v>
      </c>
      <c r="N17" s="174">
        <f t="shared" si="2"/>
        <v>1</v>
      </c>
      <c r="O17" s="174">
        <f t="shared" si="2"/>
        <v>1</v>
      </c>
      <c r="P17" s="174">
        <f t="shared" si="2"/>
        <v>1</v>
      </c>
      <c r="Q17" s="174">
        <f t="shared" si="2"/>
        <v>1</v>
      </c>
      <c r="R17" s="174">
        <f t="shared" si="2"/>
        <v>1</v>
      </c>
      <c r="S17" s="174">
        <f t="shared" si="2"/>
        <v>1</v>
      </c>
      <c r="T17" s="174">
        <f t="shared" si="2"/>
        <v>1</v>
      </c>
      <c r="U17" s="174">
        <f t="shared" si="2"/>
        <v>1</v>
      </c>
      <c r="V17" s="174">
        <f t="shared" si="2"/>
        <v>1</v>
      </c>
      <c r="W17" s="216"/>
    </row>
    <row r="18" spans="1:23">
      <c r="A18" s="156"/>
      <c r="B18" s="158" t="s">
        <v>228</v>
      </c>
      <c r="C18" s="174">
        <v>0.01</v>
      </c>
      <c r="D18" s="174">
        <v>0.01</v>
      </c>
      <c r="E18" s="174">
        <v>0.01</v>
      </c>
      <c r="F18" s="174">
        <v>0.01</v>
      </c>
      <c r="G18" s="174">
        <v>0.01</v>
      </c>
      <c r="H18" s="174">
        <v>0.01</v>
      </c>
      <c r="I18" s="174">
        <v>0.01</v>
      </c>
      <c r="J18" s="174">
        <v>0.01</v>
      </c>
      <c r="K18" s="174">
        <v>0.01</v>
      </c>
      <c r="L18" s="174">
        <v>0.01</v>
      </c>
      <c r="M18" s="174">
        <v>0.01</v>
      </c>
      <c r="N18" s="174">
        <v>0.01</v>
      </c>
      <c r="O18" s="174">
        <v>0.01</v>
      </c>
      <c r="P18" s="174">
        <v>0.01</v>
      </c>
      <c r="Q18" s="174">
        <v>0.01</v>
      </c>
      <c r="R18" s="174">
        <v>0.01</v>
      </c>
      <c r="S18" s="174">
        <v>0.01</v>
      </c>
      <c r="T18" s="174">
        <v>0.01</v>
      </c>
      <c r="U18" s="174">
        <v>0.01</v>
      </c>
      <c r="V18" s="174">
        <v>0.01</v>
      </c>
      <c r="W18" s="216"/>
    </row>
    <row r="19" spans="1:23" ht="13.5" thickBot="1">
      <c r="A19" s="161"/>
      <c r="B19" s="162" t="s">
        <v>243</v>
      </c>
      <c r="C19" s="217">
        <v>0.5</v>
      </c>
      <c r="D19" s="217">
        <v>0.5</v>
      </c>
      <c r="E19" s="217">
        <v>0.5</v>
      </c>
      <c r="F19" s="217">
        <v>0.5</v>
      </c>
      <c r="G19" s="217">
        <v>0.5</v>
      </c>
      <c r="H19" s="217">
        <v>0.5</v>
      </c>
      <c r="I19" s="217">
        <v>0.5</v>
      </c>
      <c r="J19" s="217">
        <v>0.5</v>
      </c>
      <c r="K19" s="217">
        <v>0.5</v>
      </c>
      <c r="L19" s="217">
        <v>0.5</v>
      </c>
      <c r="M19" s="217">
        <v>0.5</v>
      </c>
      <c r="N19" s="217">
        <v>0.5</v>
      </c>
      <c r="O19" s="217">
        <v>0.5</v>
      </c>
      <c r="P19" s="217">
        <v>0.5</v>
      </c>
      <c r="Q19" s="217">
        <v>0.5</v>
      </c>
      <c r="R19" s="217">
        <v>0.5</v>
      </c>
      <c r="S19" s="217">
        <v>0.5</v>
      </c>
      <c r="T19" s="217">
        <v>0.5</v>
      </c>
      <c r="U19" s="217">
        <v>0.5</v>
      </c>
      <c r="V19" s="217">
        <v>0.5</v>
      </c>
      <c r="W19" s="217"/>
    </row>
    <row r="20" spans="1:23" s="221" customFormat="1" ht="16.5" thickBot="1">
      <c r="A20" s="230"/>
      <c r="B20" s="230"/>
      <c r="C20" s="230"/>
      <c r="D20" s="231"/>
      <c r="E20" s="231"/>
      <c r="F20" s="231"/>
      <c r="G20" s="231"/>
      <c r="H20" s="231"/>
      <c r="I20" s="231"/>
      <c r="J20" s="231"/>
      <c r="K20" s="231"/>
      <c r="L20" s="231"/>
    </row>
    <row r="21" spans="1:23" ht="15.75">
      <c r="A21" s="151" t="s">
        <v>313</v>
      </c>
      <c r="B21" s="152"/>
      <c r="C21" s="152"/>
      <c r="D21" s="153"/>
      <c r="E21" s="153"/>
      <c r="F21" s="153"/>
      <c r="G21" s="153"/>
      <c r="H21" s="153"/>
      <c r="I21" s="153"/>
      <c r="J21" s="153"/>
      <c r="K21" s="153"/>
      <c r="L21" s="153"/>
      <c r="M21" s="154"/>
      <c r="N21" s="154"/>
      <c r="O21" s="154"/>
      <c r="P21" s="154"/>
      <c r="Q21" s="154"/>
      <c r="R21" s="154"/>
      <c r="S21" s="154"/>
      <c r="T21" s="154"/>
      <c r="U21" s="154"/>
      <c r="V21" s="154"/>
      <c r="W21" s="155"/>
    </row>
    <row r="22" spans="1:23" ht="15.75">
      <c r="A22" s="185"/>
      <c r="B22" s="158" t="s">
        <v>237</v>
      </c>
      <c r="C22" s="173">
        <f>KeyAssumptions!N12</f>
        <v>0.7</v>
      </c>
      <c r="D22" s="163"/>
      <c r="E22" s="163"/>
      <c r="F22" s="163"/>
      <c r="G22" s="163"/>
      <c r="H22" s="163"/>
      <c r="I22" s="163"/>
      <c r="J22" s="163"/>
      <c r="K22" s="163"/>
      <c r="L22" s="163"/>
      <c r="M22" s="164"/>
      <c r="N22" s="164"/>
      <c r="O22" s="164"/>
      <c r="P22" s="164"/>
      <c r="Q22" s="164"/>
      <c r="R22" s="164"/>
      <c r="S22" s="164"/>
      <c r="T22" s="164"/>
      <c r="U22" s="164"/>
      <c r="V22" s="164"/>
      <c r="W22" s="165"/>
    </row>
    <row r="23" spans="1:23" ht="15.75">
      <c r="A23" s="185"/>
      <c r="B23" s="158" t="s">
        <v>203</v>
      </c>
      <c r="C23" s="174">
        <f>KeyAssumptions!O12</f>
        <v>0.25</v>
      </c>
      <c r="D23" s="163"/>
      <c r="E23" s="163"/>
      <c r="F23" s="163"/>
      <c r="G23" s="163"/>
      <c r="H23" s="163"/>
      <c r="I23" s="163"/>
      <c r="J23" s="163"/>
      <c r="K23" s="163"/>
      <c r="L23" s="163"/>
      <c r="M23" s="164"/>
      <c r="N23" s="164"/>
      <c r="O23" s="164"/>
      <c r="P23" s="164"/>
      <c r="Q23" s="164"/>
      <c r="R23" s="164"/>
      <c r="S23" s="164"/>
      <c r="T23" s="164"/>
      <c r="U23" s="164"/>
      <c r="V23" s="164"/>
      <c r="W23" s="165"/>
    </row>
    <row r="24" spans="1:23" ht="15.75" customHeight="1">
      <c r="A24" s="185"/>
      <c r="B24" s="188" t="s">
        <v>338</v>
      </c>
      <c r="C24" s="174">
        <v>0.95</v>
      </c>
      <c r="D24" s="163"/>
      <c r="E24" s="163"/>
      <c r="F24" s="163"/>
      <c r="G24" s="163"/>
      <c r="H24" s="163"/>
      <c r="I24" s="163"/>
      <c r="J24" s="163"/>
      <c r="K24" s="163"/>
      <c r="L24" s="163"/>
      <c r="M24" s="164"/>
      <c r="N24" s="164"/>
      <c r="O24" s="164"/>
      <c r="P24" s="164"/>
      <c r="Q24" s="164"/>
      <c r="R24" s="164"/>
      <c r="S24" s="164"/>
      <c r="T24" s="164"/>
      <c r="U24" s="164"/>
      <c r="V24" s="164"/>
      <c r="W24" s="165"/>
    </row>
    <row r="25" spans="1:23" ht="15.75">
      <c r="A25" s="185"/>
      <c r="B25" s="157"/>
      <c r="C25" s="157"/>
      <c r="D25" s="163"/>
      <c r="E25" s="163"/>
      <c r="F25" s="163"/>
      <c r="G25" s="163"/>
      <c r="H25" s="163"/>
      <c r="I25" s="163"/>
      <c r="J25" s="163"/>
      <c r="K25" s="163"/>
      <c r="L25" s="163"/>
      <c r="M25" s="164"/>
      <c r="N25" s="164"/>
      <c r="O25" s="164"/>
      <c r="P25" s="164"/>
      <c r="Q25" s="164"/>
      <c r="R25" s="164"/>
      <c r="S25" s="164"/>
      <c r="T25" s="164"/>
      <c r="U25" s="164"/>
      <c r="V25" s="164"/>
      <c r="W25" s="165"/>
    </row>
    <row r="26" spans="1:23">
      <c r="A26" s="156"/>
      <c r="B26" s="158" t="s">
        <v>1</v>
      </c>
      <c r="C26" s="159">
        <f>C5</f>
        <v>2016</v>
      </c>
      <c r="D26" s="159">
        <f t="shared" ref="D26:V26" si="3">D5</f>
        <v>2017</v>
      </c>
      <c r="E26" s="159">
        <f t="shared" si="3"/>
        <v>2018</v>
      </c>
      <c r="F26" s="159">
        <f t="shared" si="3"/>
        <v>2019</v>
      </c>
      <c r="G26" s="159">
        <f t="shared" si="3"/>
        <v>2020</v>
      </c>
      <c r="H26" s="159">
        <f t="shared" si="3"/>
        <v>2021</v>
      </c>
      <c r="I26" s="159">
        <f t="shared" si="3"/>
        <v>2022</v>
      </c>
      <c r="J26" s="159">
        <f t="shared" si="3"/>
        <v>2023</v>
      </c>
      <c r="K26" s="159">
        <f t="shared" si="3"/>
        <v>2024</v>
      </c>
      <c r="L26" s="159">
        <f t="shared" si="3"/>
        <v>2025</v>
      </c>
      <c r="M26" s="159">
        <f t="shared" si="3"/>
        <v>2026</v>
      </c>
      <c r="N26" s="159">
        <f t="shared" si="3"/>
        <v>2027</v>
      </c>
      <c r="O26" s="159">
        <f t="shared" si="3"/>
        <v>2028</v>
      </c>
      <c r="P26" s="159">
        <f t="shared" si="3"/>
        <v>2029</v>
      </c>
      <c r="Q26" s="159">
        <f t="shared" si="3"/>
        <v>2030</v>
      </c>
      <c r="R26" s="159">
        <f t="shared" si="3"/>
        <v>2031</v>
      </c>
      <c r="S26" s="159">
        <f t="shared" si="3"/>
        <v>2032</v>
      </c>
      <c r="T26" s="159">
        <f t="shared" si="3"/>
        <v>2033</v>
      </c>
      <c r="U26" s="159">
        <f t="shared" si="3"/>
        <v>2034</v>
      </c>
      <c r="V26" s="159">
        <f t="shared" si="3"/>
        <v>2035</v>
      </c>
      <c r="W26" s="159"/>
    </row>
    <row r="27" spans="1:23">
      <c r="A27" s="156"/>
      <c r="B27" s="158" t="s">
        <v>227</v>
      </c>
      <c r="C27" s="174">
        <v>0.05</v>
      </c>
      <c r="D27" s="174">
        <v>0.2</v>
      </c>
      <c r="E27" s="174">
        <v>0.2</v>
      </c>
      <c r="F27" s="174">
        <v>0.2</v>
      </c>
      <c r="G27" s="174">
        <v>0.2</v>
      </c>
      <c r="H27" s="174">
        <v>0.15</v>
      </c>
      <c r="I27" s="174">
        <v>0</v>
      </c>
      <c r="J27" s="174">
        <v>0</v>
      </c>
      <c r="K27" s="174">
        <v>0</v>
      </c>
      <c r="L27" s="174">
        <v>0</v>
      </c>
      <c r="M27" s="174">
        <v>0</v>
      </c>
      <c r="N27" s="174">
        <v>0</v>
      </c>
      <c r="O27" s="174">
        <v>0</v>
      </c>
      <c r="P27" s="174">
        <v>0</v>
      </c>
      <c r="Q27" s="174">
        <v>0</v>
      </c>
      <c r="R27" s="174">
        <v>0</v>
      </c>
      <c r="S27" s="174">
        <v>0</v>
      </c>
      <c r="T27" s="174">
        <v>0</v>
      </c>
      <c r="U27" s="174">
        <v>0</v>
      </c>
      <c r="V27" s="174">
        <v>0</v>
      </c>
      <c r="W27" s="216"/>
    </row>
    <row r="28" spans="1:23">
      <c r="A28" s="156"/>
      <c r="B28" s="158" t="s">
        <v>233</v>
      </c>
      <c r="C28" s="174">
        <f>C27</f>
        <v>0.05</v>
      </c>
      <c r="D28" s="174">
        <f t="shared" ref="D28:V28" si="4">C28+D27</f>
        <v>0.25</v>
      </c>
      <c r="E28" s="174">
        <f t="shared" si="4"/>
        <v>0.45</v>
      </c>
      <c r="F28" s="174">
        <f t="shared" si="4"/>
        <v>0.65</v>
      </c>
      <c r="G28" s="174">
        <f t="shared" si="4"/>
        <v>0.85000000000000009</v>
      </c>
      <c r="H28" s="174">
        <f t="shared" si="4"/>
        <v>1</v>
      </c>
      <c r="I28" s="174">
        <f t="shared" si="4"/>
        <v>1</v>
      </c>
      <c r="J28" s="174">
        <f t="shared" si="4"/>
        <v>1</v>
      </c>
      <c r="K28" s="174">
        <f t="shared" si="4"/>
        <v>1</v>
      </c>
      <c r="L28" s="174">
        <f t="shared" si="4"/>
        <v>1</v>
      </c>
      <c r="M28" s="174">
        <f t="shared" si="4"/>
        <v>1</v>
      </c>
      <c r="N28" s="174">
        <f t="shared" si="4"/>
        <v>1</v>
      </c>
      <c r="O28" s="174">
        <f t="shared" si="4"/>
        <v>1</v>
      </c>
      <c r="P28" s="174">
        <f t="shared" si="4"/>
        <v>1</v>
      </c>
      <c r="Q28" s="174">
        <f t="shared" si="4"/>
        <v>1</v>
      </c>
      <c r="R28" s="174">
        <f t="shared" si="4"/>
        <v>1</v>
      </c>
      <c r="S28" s="174">
        <f t="shared" si="4"/>
        <v>1</v>
      </c>
      <c r="T28" s="174">
        <f t="shared" si="4"/>
        <v>1</v>
      </c>
      <c r="U28" s="174">
        <f t="shared" si="4"/>
        <v>1</v>
      </c>
      <c r="V28" s="174">
        <f t="shared" si="4"/>
        <v>1</v>
      </c>
      <c r="W28" s="216"/>
    </row>
    <row r="29" spans="1:23">
      <c r="A29" s="156"/>
      <c r="B29" s="158" t="s">
        <v>228</v>
      </c>
      <c r="C29" s="174">
        <v>0.01</v>
      </c>
      <c r="D29" s="174">
        <v>0.01</v>
      </c>
      <c r="E29" s="174">
        <v>0.01</v>
      </c>
      <c r="F29" s="174">
        <v>0.01</v>
      </c>
      <c r="G29" s="174">
        <v>0.01</v>
      </c>
      <c r="H29" s="174">
        <v>0.01</v>
      </c>
      <c r="I29" s="174">
        <v>0.01</v>
      </c>
      <c r="J29" s="174">
        <v>0.01</v>
      </c>
      <c r="K29" s="174">
        <v>0.01</v>
      </c>
      <c r="L29" s="174">
        <v>0.01</v>
      </c>
      <c r="M29" s="174">
        <v>0.01</v>
      </c>
      <c r="N29" s="174">
        <v>0.01</v>
      </c>
      <c r="O29" s="174">
        <v>0.01</v>
      </c>
      <c r="P29" s="174">
        <v>0.01</v>
      </c>
      <c r="Q29" s="174">
        <v>0.01</v>
      </c>
      <c r="R29" s="174">
        <v>0.01</v>
      </c>
      <c r="S29" s="174">
        <v>0.01</v>
      </c>
      <c r="T29" s="174">
        <v>0.01</v>
      </c>
      <c r="U29" s="174">
        <v>0.01</v>
      </c>
      <c r="V29" s="174">
        <v>0.01</v>
      </c>
      <c r="W29" s="216"/>
    </row>
    <row r="30" spans="1:23" ht="13.5" thickBot="1">
      <c r="A30" s="161"/>
      <c r="B30" s="162" t="s">
        <v>294</v>
      </c>
      <c r="C30" s="217">
        <v>0.2</v>
      </c>
      <c r="D30" s="217">
        <v>0.2</v>
      </c>
      <c r="E30" s="217">
        <v>0.2</v>
      </c>
      <c r="F30" s="217">
        <v>0.2</v>
      </c>
      <c r="G30" s="217">
        <v>0.2</v>
      </c>
      <c r="H30" s="217">
        <v>0.2</v>
      </c>
      <c r="I30" s="217">
        <v>0.2</v>
      </c>
      <c r="J30" s="217">
        <v>0.2</v>
      </c>
      <c r="K30" s="217">
        <v>0.2</v>
      </c>
      <c r="L30" s="217">
        <v>0.2</v>
      </c>
      <c r="M30" s="217">
        <v>0.2</v>
      </c>
      <c r="N30" s="217">
        <v>0.2</v>
      </c>
      <c r="O30" s="217">
        <v>0.2</v>
      </c>
      <c r="P30" s="217">
        <v>0.2</v>
      </c>
      <c r="Q30" s="217">
        <v>0.2</v>
      </c>
      <c r="R30" s="217">
        <v>0.2</v>
      </c>
      <c r="S30" s="217">
        <v>0.2</v>
      </c>
      <c r="T30" s="217">
        <v>0.2</v>
      </c>
      <c r="U30" s="217">
        <v>0.2</v>
      </c>
      <c r="V30" s="217">
        <v>0.2</v>
      </c>
      <c r="W30" s="218"/>
    </row>
    <row r="31" spans="1:23" s="221" customFormat="1" ht="13.5" thickBot="1">
      <c r="A31" s="227"/>
      <c r="B31" s="227"/>
    </row>
    <row r="32" spans="1:23" ht="15.75" thickBot="1">
      <c r="A32" s="186" t="s">
        <v>236</v>
      </c>
      <c r="B32" s="187"/>
      <c r="C32" s="180"/>
      <c r="D32" s="180"/>
      <c r="E32" s="180"/>
      <c r="F32" s="180"/>
      <c r="G32" s="180"/>
      <c r="H32" s="180"/>
      <c r="I32" s="180"/>
      <c r="J32" s="180"/>
      <c r="K32" s="180"/>
      <c r="L32" s="180"/>
      <c r="M32" s="180"/>
      <c r="N32" s="180"/>
      <c r="O32" s="180"/>
      <c r="P32" s="180"/>
      <c r="Q32" s="180"/>
      <c r="R32" s="180"/>
      <c r="S32" s="180"/>
      <c r="T32" s="180"/>
      <c r="U32" s="180"/>
      <c r="V32" s="180"/>
      <c r="W32" s="181"/>
    </row>
    <row r="33" spans="1:23">
      <c r="A33" s="77" t="s">
        <v>208</v>
      </c>
      <c r="B33" s="77"/>
      <c r="F33" s="78"/>
      <c r="G33" s="78"/>
    </row>
    <row r="35" spans="1:23">
      <c r="A35" s="79"/>
      <c r="B35" s="99"/>
      <c r="C35" s="531" t="s">
        <v>209</v>
      </c>
      <c r="D35" s="531"/>
      <c r="E35" s="531"/>
      <c r="F35" s="531"/>
      <c r="G35" s="531"/>
      <c r="H35" s="531"/>
      <c r="I35" s="531"/>
      <c r="J35" s="531"/>
      <c r="K35" s="531"/>
      <c r="L35" s="531"/>
      <c r="M35" s="531"/>
      <c r="N35" s="531"/>
      <c r="O35" s="531"/>
      <c r="P35" s="531"/>
      <c r="Q35" s="531"/>
      <c r="R35" s="531"/>
      <c r="S35" s="531"/>
      <c r="T35" s="531"/>
      <c r="U35" s="531"/>
      <c r="V35" s="531"/>
      <c r="W35" s="531"/>
    </row>
    <row r="36" spans="1:23" ht="16.5" customHeight="1">
      <c r="A36" s="80" t="s">
        <v>210</v>
      </c>
      <c r="B36" s="81"/>
      <c r="C36" s="100">
        <f>C5</f>
        <v>2016</v>
      </c>
      <c r="D36" s="322">
        <f t="shared" ref="D36:V36" si="5">D5</f>
        <v>2017</v>
      </c>
      <c r="E36" s="322">
        <f t="shared" si="5"/>
        <v>2018</v>
      </c>
      <c r="F36" s="322">
        <f t="shared" si="5"/>
        <v>2019</v>
      </c>
      <c r="G36" s="322">
        <f t="shared" si="5"/>
        <v>2020</v>
      </c>
      <c r="H36" s="322">
        <f t="shared" si="5"/>
        <v>2021</v>
      </c>
      <c r="I36" s="322">
        <f t="shared" si="5"/>
        <v>2022</v>
      </c>
      <c r="J36" s="322">
        <f t="shared" si="5"/>
        <v>2023</v>
      </c>
      <c r="K36" s="322">
        <f t="shared" si="5"/>
        <v>2024</v>
      </c>
      <c r="L36" s="322">
        <f t="shared" si="5"/>
        <v>2025</v>
      </c>
      <c r="M36" s="322">
        <f t="shared" si="5"/>
        <v>2026</v>
      </c>
      <c r="N36" s="322">
        <f t="shared" si="5"/>
        <v>2027</v>
      </c>
      <c r="O36" s="322">
        <f t="shared" si="5"/>
        <v>2028</v>
      </c>
      <c r="P36" s="322">
        <f t="shared" si="5"/>
        <v>2029</v>
      </c>
      <c r="Q36" s="322">
        <f t="shared" si="5"/>
        <v>2030</v>
      </c>
      <c r="R36" s="322">
        <f t="shared" si="5"/>
        <v>2031</v>
      </c>
      <c r="S36" s="322">
        <f t="shared" si="5"/>
        <v>2032</v>
      </c>
      <c r="T36" s="322">
        <f t="shared" si="5"/>
        <v>2033</v>
      </c>
      <c r="U36" s="322">
        <f t="shared" si="5"/>
        <v>2034</v>
      </c>
      <c r="V36" s="322">
        <f t="shared" si="5"/>
        <v>2035</v>
      </c>
      <c r="W36" s="322"/>
    </row>
    <row r="37" spans="1:23">
      <c r="A37" s="82"/>
      <c r="B37" s="83"/>
      <c r="C37" s="82"/>
      <c r="D37" s="82"/>
      <c r="E37" s="82"/>
      <c r="F37" s="82"/>
      <c r="G37" s="82"/>
      <c r="H37" s="84"/>
      <c r="I37" s="82"/>
      <c r="J37" s="82"/>
      <c r="K37" s="82"/>
      <c r="L37" s="82"/>
      <c r="M37" s="82"/>
      <c r="N37" s="82"/>
      <c r="O37" s="82"/>
      <c r="P37" s="82"/>
      <c r="Q37" s="82"/>
      <c r="R37" s="82"/>
      <c r="S37" s="82"/>
      <c r="T37" s="82"/>
      <c r="U37" s="82"/>
      <c r="V37" s="82"/>
      <c r="W37" s="82"/>
    </row>
    <row r="38" spans="1:23">
      <c r="A38" s="166" t="s">
        <v>319</v>
      </c>
      <c r="B38" s="83"/>
      <c r="C38" s="86">
        <f>C48</f>
        <v>19.171526021465564</v>
      </c>
      <c r="D38" s="288">
        <f>D48-C48</f>
        <v>77.837411466774057</v>
      </c>
      <c r="E38" s="288">
        <f t="shared" ref="E38:V38" si="6">E48-D48</f>
        <v>79.927150503772182</v>
      </c>
      <c r="F38" s="288">
        <f t="shared" si="6"/>
        <v>81.957989869155853</v>
      </c>
      <c r="G38" s="288">
        <f t="shared" si="6"/>
        <v>84.21760593934448</v>
      </c>
      <c r="H38" s="288">
        <f t="shared" si="6"/>
        <v>65.701318841094974</v>
      </c>
      <c r="I38" s="288">
        <f t="shared" si="6"/>
        <v>5.0625920172818155</v>
      </c>
      <c r="J38" s="288">
        <f t="shared" si="6"/>
        <v>4.9949529470814582</v>
      </c>
      <c r="K38" s="288">
        <f t="shared" si="6"/>
        <v>4.9777097615902335</v>
      </c>
      <c r="L38" s="288">
        <f t="shared" si="6"/>
        <v>4.949232520080443</v>
      </c>
      <c r="M38" s="288">
        <f t="shared" si="6"/>
        <v>4.7392106325218037</v>
      </c>
      <c r="N38" s="288">
        <f t="shared" si="6"/>
        <v>4.9048223206880266</v>
      </c>
      <c r="O38" s="288">
        <f t="shared" si="6"/>
        <v>5.1053019521575038</v>
      </c>
      <c r="P38" s="288">
        <f t="shared" si="6"/>
        <v>5.1346812316327828</v>
      </c>
      <c r="Q38" s="288">
        <f t="shared" si="6"/>
        <v>5.0183925564202809</v>
      </c>
      <c r="R38" s="288">
        <f t="shared" si="6"/>
        <v>5.0745220458512108</v>
      </c>
      <c r="S38" s="288">
        <f t="shared" si="6"/>
        <v>5.1312793298498036</v>
      </c>
      <c r="T38" s="288">
        <f t="shared" si="6"/>
        <v>5.1886714301437564</v>
      </c>
      <c r="U38" s="288">
        <f t="shared" si="6"/>
        <v>5.2467054469979075</v>
      </c>
      <c r="V38" s="288">
        <f t="shared" si="6"/>
        <v>5.305388560091103</v>
      </c>
      <c r="W38" s="86"/>
    </row>
    <row r="39" spans="1:23">
      <c r="A39" s="166" t="s">
        <v>312</v>
      </c>
      <c r="B39" s="83"/>
      <c r="C39" s="86">
        <f>C49</f>
        <v>54.319323727485774</v>
      </c>
      <c r="D39" s="86">
        <f t="shared" ref="D39:V39" si="7">D49-C49</f>
        <v>220.53933248919316</v>
      </c>
      <c r="E39" s="86">
        <f t="shared" si="7"/>
        <v>226.4602597606879</v>
      </c>
      <c r="F39" s="86">
        <f t="shared" si="7"/>
        <v>232.21430462927492</v>
      </c>
      <c r="G39" s="86">
        <f t="shared" si="7"/>
        <v>238.61655016147608</v>
      </c>
      <c r="H39" s="86">
        <f t="shared" si="7"/>
        <v>186.15373671643533</v>
      </c>
      <c r="I39" s="86">
        <f t="shared" si="7"/>
        <v>14.344010715632294</v>
      </c>
      <c r="J39" s="86">
        <f t="shared" si="7"/>
        <v>14.152366683397304</v>
      </c>
      <c r="K39" s="86">
        <f t="shared" si="7"/>
        <v>14.10351099117247</v>
      </c>
      <c r="L39" s="86">
        <f t="shared" si="7"/>
        <v>14.02282547356117</v>
      </c>
      <c r="M39" s="86">
        <f t="shared" si="7"/>
        <v>13.427763458811796</v>
      </c>
      <c r="N39" s="86">
        <f t="shared" si="7"/>
        <v>13.896996575282628</v>
      </c>
      <c r="O39" s="86">
        <f t="shared" si="7"/>
        <v>14.465022197779717</v>
      </c>
      <c r="P39" s="86">
        <f t="shared" si="7"/>
        <v>14.548263489626152</v>
      </c>
      <c r="Q39" s="86">
        <f t="shared" si="7"/>
        <v>14.218778909857292</v>
      </c>
      <c r="R39" s="86">
        <f t="shared" si="7"/>
        <v>14.377812463245618</v>
      </c>
      <c r="S39" s="86">
        <f t="shared" si="7"/>
        <v>14.53862476790755</v>
      </c>
      <c r="T39" s="86">
        <f t="shared" si="7"/>
        <v>14.701235718740691</v>
      </c>
      <c r="U39" s="86">
        <f t="shared" si="7"/>
        <v>14.86566543316053</v>
      </c>
      <c r="V39" s="86">
        <f t="shared" si="7"/>
        <v>15.031934253591544</v>
      </c>
      <c r="W39" s="86"/>
    </row>
    <row r="40" spans="1:23">
      <c r="A40" s="87"/>
      <c r="B40" s="88"/>
      <c r="C40" s="89"/>
      <c r="D40" s="90"/>
      <c r="E40" s="90"/>
      <c r="F40" s="90"/>
      <c r="G40" s="90"/>
      <c r="H40" s="90"/>
      <c r="I40" s="90"/>
      <c r="J40" s="90"/>
      <c r="K40" s="90"/>
      <c r="L40" s="90"/>
      <c r="M40" s="90"/>
      <c r="N40" s="90"/>
      <c r="O40" s="90"/>
      <c r="P40" s="90"/>
      <c r="Q40" s="90"/>
      <c r="R40" s="90"/>
      <c r="S40" s="90"/>
      <c r="T40" s="90"/>
      <c r="U40" s="90"/>
      <c r="V40" s="90"/>
      <c r="W40" s="90"/>
    </row>
    <row r="41" spans="1:23">
      <c r="A41" s="91" t="s">
        <v>212</v>
      </c>
      <c r="B41" s="92"/>
      <c r="C41" s="93">
        <f>SUM(C38:C39)</f>
        <v>73.490849748951334</v>
      </c>
      <c r="D41" s="93">
        <f t="shared" ref="D41:V41" si="8">SUM(D38:D39)</f>
        <v>298.37674395596719</v>
      </c>
      <c r="E41" s="93">
        <f t="shared" si="8"/>
        <v>306.38741026446007</v>
      </c>
      <c r="F41" s="93">
        <f t="shared" si="8"/>
        <v>314.1722944984308</v>
      </c>
      <c r="G41" s="93">
        <f t="shared" si="8"/>
        <v>322.83415610082056</v>
      </c>
      <c r="H41" s="93">
        <f t="shared" si="8"/>
        <v>251.85505555753031</v>
      </c>
      <c r="I41" s="93">
        <f t="shared" si="8"/>
        <v>19.406602732914109</v>
      </c>
      <c r="J41" s="93">
        <f t="shared" si="8"/>
        <v>19.147319630478762</v>
      </c>
      <c r="K41" s="93">
        <f t="shared" si="8"/>
        <v>19.081220752762704</v>
      </c>
      <c r="L41" s="93">
        <f t="shared" si="8"/>
        <v>18.972057993641613</v>
      </c>
      <c r="M41" s="93">
        <f t="shared" si="8"/>
        <v>18.1669740913336</v>
      </c>
      <c r="N41" s="93">
        <f t="shared" si="8"/>
        <v>18.801818895970655</v>
      </c>
      <c r="O41" s="93">
        <f t="shared" si="8"/>
        <v>19.570324149937221</v>
      </c>
      <c r="P41" s="93">
        <f t="shared" si="8"/>
        <v>19.682944721258934</v>
      </c>
      <c r="Q41" s="93">
        <f t="shared" si="8"/>
        <v>19.237171466277573</v>
      </c>
      <c r="R41" s="93">
        <f t="shared" si="8"/>
        <v>19.452334509096829</v>
      </c>
      <c r="S41" s="93">
        <f t="shared" si="8"/>
        <v>19.669904097757353</v>
      </c>
      <c r="T41" s="93">
        <f t="shared" si="8"/>
        <v>19.889907148884447</v>
      </c>
      <c r="U41" s="93">
        <f t="shared" si="8"/>
        <v>20.112370880158437</v>
      </c>
      <c r="V41" s="93">
        <f t="shared" si="8"/>
        <v>20.337322813682647</v>
      </c>
      <c r="W41" s="93"/>
    </row>
    <row r="42" spans="1:23">
      <c r="A42" s="94"/>
      <c r="B42" s="94"/>
      <c r="C42" s="95"/>
      <c r="D42" s="95"/>
      <c r="E42" s="95"/>
      <c r="F42" s="95"/>
      <c r="G42" s="95"/>
      <c r="H42" s="95"/>
      <c r="I42" s="95"/>
      <c r="J42" s="94"/>
      <c r="K42" s="94"/>
      <c r="L42" s="94"/>
    </row>
    <row r="43" spans="1:23">
      <c r="A43" s="96" t="s">
        <v>213</v>
      </c>
      <c r="B43" s="96"/>
      <c r="C43" s="97"/>
      <c r="D43" s="97"/>
      <c r="E43" s="97"/>
      <c r="F43" s="97"/>
      <c r="G43" s="97"/>
      <c r="H43" s="97"/>
      <c r="I43" s="97"/>
      <c r="J43" s="98"/>
      <c r="K43" s="98"/>
      <c r="L43" s="98"/>
    </row>
    <row r="44" spans="1:23">
      <c r="A44" s="96"/>
      <c r="B44" s="96"/>
      <c r="C44" s="97"/>
      <c r="D44" s="97"/>
      <c r="E44" s="97"/>
      <c r="F44" s="97"/>
      <c r="G44" s="97"/>
      <c r="H44" s="97"/>
      <c r="I44" s="97"/>
      <c r="J44" s="98"/>
      <c r="K44" s="98"/>
      <c r="L44" s="98"/>
    </row>
    <row r="45" spans="1:23">
      <c r="A45" s="532" t="s">
        <v>210</v>
      </c>
      <c r="B45" s="534"/>
      <c r="C45" s="531" t="s">
        <v>214</v>
      </c>
      <c r="D45" s="531"/>
      <c r="E45" s="531"/>
      <c r="F45" s="531"/>
      <c r="G45" s="531"/>
      <c r="H45" s="531"/>
      <c r="I45" s="531"/>
      <c r="J45" s="531"/>
      <c r="K45" s="531"/>
      <c r="L45" s="531"/>
      <c r="M45" s="531"/>
      <c r="N45" s="531"/>
      <c r="O45" s="531"/>
      <c r="P45" s="531"/>
      <c r="Q45" s="531"/>
      <c r="R45" s="531"/>
      <c r="S45" s="531"/>
      <c r="T45" s="531"/>
      <c r="U45" s="531"/>
      <c r="V45" s="531"/>
      <c r="W45" s="531"/>
    </row>
    <row r="46" spans="1:23">
      <c r="A46" s="533"/>
      <c r="B46" s="535"/>
      <c r="C46" s="100">
        <f>C5</f>
        <v>2016</v>
      </c>
      <c r="D46" s="322">
        <f t="shared" ref="D46:V46" si="9">D5</f>
        <v>2017</v>
      </c>
      <c r="E46" s="322">
        <f t="shared" si="9"/>
        <v>2018</v>
      </c>
      <c r="F46" s="322">
        <f t="shared" si="9"/>
        <v>2019</v>
      </c>
      <c r="G46" s="322">
        <f t="shared" si="9"/>
        <v>2020</v>
      </c>
      <c r="H46" s="322">
        <f t="shared" si="9"/>
        <v>2021</v>
      </c>
      <c r="I46" s="322">
        <f t="shared" si="9"/>
        <v>2022</v>
      </c>
      <c r="J46" s="322">
        <f t="shared" si="9"/>
        <v>2023</v>
      </c>
      <c r="K46" s="322">
        <f t="shared" si="9"/>
        <v>2024</v>
      </c>
      <c r="L46" s="322">
        <f t="shared" si="9"/>
        <v>2025</v>
      </c>
      <c r="M46" s="322">
        <f t="shared" si="9"/>
        <v>2026</v>
      </c>
      <c r="N46" s="322">
        <f t="shared" si="9"/>
        <v>2027</v>
      </c>
      <c r="O46" s="322">
        <f t="shared" si="9"/>
        <v>2028</v>
      </c>
      <c r="P46" s="322">
        <f t="shared" si="9"/>
        <v>2029</v>
      </c>
      <c r="Q46" s="322">
        <f t="shared" si="9"/>
        <v>2030</v>
      </c>
      <c r="R46" s="322">
        <f t="shared" si="9"/>
        <v>2031</v>
      </c>
      <c r="S46" s="322">
        <f t="shared" si="9"/>
        <v>2032</v>
      </c>
      <c r="T46" s="322">
        <f t="shared" si="9"/>
        <v>2033</v>
      </c>
      <c r="U46" s="322">
        <f t="shared" si="9"/>
        <v>2034</v>
      </c>
      <c r="V46" s="322">
        <f t="shared" si="9"/>
        <v>2035</v>
      </c>
      <c r="W46" s="322"/>
    </row>
    <row r="47" spans="1:23">
      <c r="A47" s="82"/>
      <c r="B47" s="85"/>
      <c r="C47" s="90"/>
      <c r="D47" s="90"/>
      <c r="E47" s="90"/>
      <c r="F47" s="90"/>
      <c r="G47" s="90"/>
      <c r="H47" s="90"/>
      <c r="I47" s="90"/>
      <c r="J47" s="90"/>
      <c r="K47" s="90"/>
      <c r="L47" s="90"/>
      <c r="M47" s="90"/>
      <c r="N47" s="90"/>
      <c r="O47" s="90"/>
      <c r="P47" s="90"/>
      <c r="Q47" s="90"/>
      <c r="R47" s="90"/>
      <c r="S47" s="90"/>
      <c r="T47" s="90"/>
      <c r="U47" s="90"/>
      <c r="V47" s="90"/>
      <c r="W47" s="90"/>
    </row>
    <row r="48" spans="1:23">
      <c r="A48" s="101" t="str">
        <f>A38</f>
        <v>a. Irrigation Pumping - Switch</v>
      </c>
      <c r="B48" s="85"/>
      <c r="C48" s="90">
        <f>C7*$C$11*$C$12*C19*C17*(1-C18)</f>
        <v>19.171526021465564</v>
      </c>
      <c r="D48" s="90">
        <f t="shared" ref="D48:V48" si="10">D7*$C$11*$C$12*D19*D17*(1-D18)</f>
        <v>97.008937488239624</v>
      </c>
      <c r="E48" s="90">
        <f t="shared" si="10"/>
        <v>176.93608799201181</v>
      </c>
      <c r="F48" s="90">
        <f t="shared" si="10"/>
        <v>258.89407786116766</v>
      </c>
      <c r="G48" s="90">
        <f t="shared" si="10"/>
        <v>343.11168380051214</v>
      </c>
      <c r="H48" s="90">
        <f t="shared" si="10"/>
        <v>408.81300264160711</v>
      </c>
      <c r="I48" s="90">
        <f t="shared" si="10"/>
        <v>413.87559465888893</v>
      </c>
      <c r="J48" s="90">
        <f t="shared" si="10"/>
        <v>418.87054760597039</v>
      </c>
      <c r="K48" s="90">
        <f t="shared" si="10"/>
        <v>423.84825736756062</v>
      </c>
      <c r="L48" s="90">
        <f t="shared" si="10"/>
        <v>428.79748988764106</v>
      </c>
      <c r="M48" s="90">
        <f t="shared" si="10"/>
        <v>433.53670052016287</v>
      </c>
      <c r="N48" s="90">
        <f t="shared" si="10"/>
        <v>438.44152284085089</v>
      </c>
      <c r="O48" s="90">
        <f t="shared" si="10"/>
        <v>443.5468247930084</v>
      </c>
      <c r="P48" s="90">
        <f t="shared" si="10"/>
        <v>448.68150602464118</v>
      </c>
      <c r="Q48" s="90">
        <f t="shared" si="10"/>
        <v>453.69989858106146</v>
      </c>
      <c r="R48" s="90">
        <f t="shared" si="10"/>
        <v>458.77442062691267</v>
      </c>
      <c r="S48" s="90">
        <f t="shared" si="10"/>
        <v>463.90569995676248</v>
      </c>
      <c r="T48" s="90">
        <f t="shared" si="10"/>
        <v>469.09437138690623</v>
      </c>
      <c r="U48" s="90">
        <f t="shared" si="10"/>
        <v>474.34107683390414</v>
      </c>
      <c r="V48" s="90">
        <f t="shared" si="10"/>
        <v>479.64646539399524</v>
      </c>
      <c r="W48" s="90"/>
    </row>
    <row r="49" spans="1:23">
      <c r="A49" s="101" t="str">
        <f>+A39</f>
        <v>b. Curtailable/Interruptible Tariff</v>
      </c>
      <c r="B49" s="102"/>
      <c r="C49" s="90">
        <f t="shared" ref="C49:V49" si="11">C6*$C$22*$C$23*C30*C28*(1-C29)</f>
        <v>54.319323727485774</v>
      </c>
      <c r="D49" s="90">
        <f t="shared" si="11"/>
        <v>274.85865621667892</v>
      </c>
      <c r="E49" s="90">
        <f t="shared" si="11"/>
        <v>501.31891597736683</v>
      </c>
      <c r="F49" s="90">
        <f t="shared" si="11"/>
        <v>733.53322060664175</v>
      </c>
      <c r="G49" s="90">
        <f t="shared" si="11"/>
        <v>972.14977076811783</v>
      </c>
      <c r="H49" s="90">
        <f t="shared" si="11"/>
        <v>1158.3035074845532</v>
      </c>
      <c r="I49" s="90">
        <f t="shared" si="11"/>
        <v>1172.6475182001855</v>
      </c>
      <c r="J49" s="90">
        <f t="shared" si="11"/>
        <v>1186.7998848835828</v>
      </c>
      <c r="K49" s="90">
        <f t="shared" si="11"/>
        <v>1200.9033958747552</v>
      </c>
      <c r="L49" s="90">
        <f t="shared" si="11"/>
        <v>1214.9262213483164</v>
      </c>
      <c r="M49" s="90">
        <f t="shared" si="11"/>
        <v>1228.3539848071282</v>
      </c>
      <c r="N49" s="90">
        <f t="shared" si="11"/>
        <v>1242.2509813824108</v>
      </c>
      <c r="O49" s="90">
        <f t="shared" si="11"/>
        <v>1256.7160035801905</v>
      </c>
      <c r="P49" s="90">
        <f t="shared" si="11"/>
        <v>1271.2642670698167</v>
      </c>
      <c r="Q49" s="90">
        <f t="shared" si="11"/>
        <v>1285.483045979674</v>
      </c>
      <c r="R49" s="90">
        <f t="shared" si="11"/>
        <v>1299.8608584429196</v>
      </c>
      <c r="S49" s="90">
        <f t="shared" si="11"/>
        <v>1314.3994832108272</v>
      </c>
      <c r="T49" s="90">
        <f t="shared" si="11"/>
        <v>1329.1007189295678</v>
      </c>
      <c r="U49" s="90">
        <f t="shared" si="11"/>
        <v>1343.9663843627284</v>
      </c>
      <c r="V49" s="90">
        <f t="shared" si="11"/>
        <v>1358.9983186163199</v>
      </c>
      <c r="W49" s="90"/>
    </row>
    <row r="50" spans="1:23">
      <c r="A50" s="85"/>
      <c r="B50" s="85"/>
      <c r="C50" s="103"/>
      <c r="D50" s="103"/>
      <c r="E50" s="103"/>
      <c r="F50" s="103"/>
      <c r="G50" s="103"/>
      <c r="H50" s="103"/>
      <c r="I50" s="103"/>
      <c r="J50" s="103"/>
      <c r="K50" s="103"/>
      <c r="L50" s="103"/>
      <c r="M50" s="103"/>
      <c r="N50" s="103"/>
      <c r="O50" s="103"/>
      <c r="P50" s="103"/>
      <c r="Q50" s="103"/>
      <c r="R50" s="103"/>
      <c r="S50" s="103"/>
      <c r="T50" s="103"/>
      <c r="U50" s="103"/>
      <c r="V50" s="103"/>
      <c r="W50" s="103"/>
    </row>
    <row r="51" spans="1:23">
      <c r="A51" s="91" t="s">
        <v>215</v>
      </c>
      <c r="B51" s="91"/>
      <c r="C51" s="93">
        <f>SUM(C48:C49)</f>
        <v>73.490849748951334</v>
      </c>
      <c r="D51" s="93">
        <f t="shared" ref="D51:V51" si="12">SUM(D48:D49)</f>
        <v>371.86759370491853</v>
      </c>
      <c r="E51" s="93">
        <f t="shared" si="12"/>
        <v>678.25500396937866</v>
      </c>
      <c r="F51" s="93">
        <f t="shared" si="12"/>
        <v>992.42729846780935</v>
      </c>
      <c r="G51" s="93">
        <f t="shared" si="12"/>
        <v>1315.2614545686299</v>
      </c>
      <c r="H51" s="93">
        <f t="shared" si="12"/>
        <v>1567.1165101261604</v>
      </c>
      <c r="I51" s="93">
        <f t="shared" si="12"/>
        <v>1586.5231128590744</v>
      </c>
      <c r="J51" s="93">
        <f t="shared" si="12"/>
        <v>1605.6704324895531</v>
      </c>
      <c r="K51" s="93">
        <f t="shared" si="12"/>
        <v>1624.7516532423158</v>
      </c>
      <c r="L51" s="93">
        <f t="shared" si="12"/>
        <v>1643.7237112359576</v>
      </c>
      <c r="M51" s="93">
        <f t="shared" si="12"/>
        <v>1661.8906853272911</v>
      </c>
      <c r="N51" s="93">
        <f t="shared" si="12"/>
        <v>1680.6925042232617</v>
      </c>
      <c r="O51" s="93">
        <f t="shared" si="12"/>
        <v>1700.262828373199</v>
      </c>
      <c r="P51" s="93">
        <f t="shared" si="12"/>
        <v>1719.9457730944578</v>
      </c>
      <c r="Q51" s="93">
        <f t="shared" si="12"/>
        <v>1739.1829445607355</v>
      </c>
      <c r="R51" s="93">
        <f t="shared" si="12"/>
        <v>1758.6352790698322</v>
      </c>
      <c r="S51" s="93">
        <f t="shared" si="12"/>
        <v>1778.3051831675896</v>
      </c>
      <c r="T51" s="93">
        <f t="shared" si="12"/>
        <v>1798.1950903164741</v>
      </c>
      <c r="U51" s="93">
        <f t="shared" si="12"/>
        <v>1818.3074611966326</v>
      </c>
      <c r="V51" s="93">
        <f t="shared" si="12"/>
        <v>1838.6447840103151</v>
      </c>
      <c r="W51" s="93"/>
    </row>
    <row r="53" spans="1:23">
      <c r="A53" s="77" t="s">
        <v>216</v>
      </c>
      <c r="B53" s="77"/>
      <c r="D53" s="214"/>
      <c r="E53" s="78"/>
      <c r="F53" s="78"/>
      <c r="G53" s="215"/>
    </row>
    <row r="55" spans="1:23">
      <c r="A55" s="104"/>
      <c r="B55" s="477" t="s">
        <v>238</v>
      </c>
      <c r="C55" s="537" t="s">
        <v>217</v>
      </c>
      <c r="D55" s="538"/>
      <c r="E55" s="538"/>
      <c r="F55" s="538"/>
      <c r="G55" s="538"/>
      <c r="H55" s="538"/>
      <c r="I55" s="538"/>
      <c r="J55" s="538"/>
      <c r="K55" s="538"/>
      <c r="L55" s="538"/>
      <c r="M55" s="538"/>
      <c r="N55" s="538"/>
      <c r="O55" s="538"/>
      <c r="P55" s="538"/>
      <c r="Q55" s="538"/>
      <c r="R55" s="538"/>
      <c r="S55" s="538"/>
      <c r="T55" s="538"/>
      <c r="U55" s="538"/>
      <c r="V55" s="538"/>
      <c r="W55" s="538"/>
    </row>
    <row r="56" spans="1:23">
      <c r="A56" s="114" t="s">
        <v>210</v>
      </c>
      <c r="B56" s="536"/>
      <c r="C56" s="100">
        <f>C5</f>
        <v>2016</v>
      </c>
      <c r="D56" s="322">
        <f t="shared" ref="D56:V56" si="13">D5</f>
        <v>2017</v>
      </c>
      <c r="E56" s="322">
        <f t="shared" si="13"/>
        <v>2018</v>
      </c>
      <c r="F56" s="322">
        <f t="shared" si="13"/>
        <v>2019</v>
      </c>
      <c r="G56" s="322">
        <f t="shared" si="13"/>
        <v>2020</v>
      </c>
      <c r="H56" s="322">
        <f t="shared" si="13"/>
        <v>2021</v>
      </c>
      <c r="I56" s="322">
        <f t="shared" si="13"/>
        <v>2022</v>
      </c>
      <c r="J56" s="322">
        <f t="shared" si="13"/>
        <v>2023</v>
      </c>
      <c r="K56" s="322">
        <f t="shared" si="13"/>
        <v>2024</v>
      </c>
      <c r="L56" s="322">
        <f t="shared" si="13"/>
        <v>2025</v>
      </c>
      <c r="M56" s="322">
        <f t="shared" si="13"/>
        <v>2026</v>
      </c>
      <c r="N56" s="322">
        <f t="shared" si="13"/>
        <v>2027</v>
      </c>
      <c r="O56" s="322">
        <f t="shared" si="13"/>
        <v>2028</v>
      </c>
      <c r="P56" s="322">
        <f t="shared" si="13"/>
        <v>2029</v>
      </c>
      <c r="Q56" s="322">
        <f t="shared" si="13"/>
        <v>2030</v>
      </c>
      <c r="R56" s="322">
        <f t="shared" si="13"/>
        <v>2031</v>
      </c>
      <c r="S56" s="322">
        <f t="shared" si="13"/>
        <v>2032</v>
      </c>
      <c r="T56" s="322">
        <f t="shared" si="13"/>
        <v>2033</v>
      </c>
      <c r="U56" s="322">
        <f t="shared" si="13"/>
        <v>2034</v>
      </c>
      <c r="V56" s="322">
        <f t="shared" si="13"/>
        <v>2035</v>
      </c>
      <c r="W56" s="322"/>
    </row>
    <row r="57" spans="1:23">
      <c r="A57" s="82"/>
      <c r="B57" s="82"/>
      <c r="C57" s="82"/>
      <c r="D57" s="105"/>
      <c r="E57" s="82"/>
      <c r="F57" s="82"/>
      <c r="G57" s="82"/>
      <c r="H57" s="82"/>
      <c r="I57" s="82"/>
      <c r="J57" s="82"/>
      <c r="K57" s="82"/>
      <c r="L57" s="82"/>
      <c r="M57" s="82"/>
      <c r="N57" s="82"/>
      <c r="O57" s="82"/>
      <c r="P57" s="82"/>
      <c r="Q57" s="82"/>
      <c r="R57" s="82"/>
      <c r="S57" s="82"/>
      <c r="T57" s="82"/>
      <c r="U57" s="82"/>
      <c r="V57" s="82"/>
      <c r="W57" s="82"/>
    </row>
    <row r="58" spans="1:23">
      <c r="A58" s="101" t="str">
        <f>A38</f>
        <v>a. Irrigation Pumping - Switch</v>
      </c>
      <c r="B58" s="222">
        <f>KeyAssumptions!M11</f>
        <v>25</v>
      </c>
      <c r="C58" s="189">
        <f>$B58/1000*C48*$C$13</f>
        <v>0.4553237430098071</v>
      </c>
      <c r="D58" s="189">
        <f t="shared" ref="D58:V58" si="14">$B58/1000*D48*$C$13</f>
        <v>2.303962265345691</v>
      </c>
      <c r="E58" s="189">
        <f t="shared" si="14"/>
        <v>4.2022320898102805</v>
      </c>
      <c r="F58" s="189">
        <f t="shared" si="14"/>
        <v>6.1487343492027318</v>
      </c>
      <c r="G58" s="189">
        <f t="shared" si="14"/>
        <v>8.148902490262163</v>
      </c>
      <c r="H58" s="189">
        <f t="shared" si="14"/>
        <v>9.7093088127381684</v>
      </c>
      <c r="I58" s="189">
        <f t="shared" si="14"/>
        <v>9.8295453731486138</v>
      </c>
      <c r="J58" s="189">
        <f t="shared" si="14"/>
        <v>9.948175505641796</v>
      </c>
      <c r="K58" s="189">
        <f t="shared" si="14"/>
        <v>10.066396112479564</v>
      </c>
      <c r="L58" s="189">
        <f t="shared" si="14"/>
        <v>10.183940384831475</v>
      </c>
      <c r="M58" s="189">
        <f t="shared" si="14"/>
        <v>10.296496637353869</v>
      </c>
      <c r="N58" s="189">
        <f t="shared" si="14"/>
        <v>10.412986167470208</v>
      </c>
      <c r="O58" s="189">
        <f t="shared" si="14"/>
        <v>10.534237088833949</v>
      </c>
      <c r="P58" s="189">
        <f t="shared" si="14"/>
        <v>10.656185768085228</v>
      </c>
      <c r="Q58" s="189">
        <f t="shared" si="14"/>
        <v>10.775372591300211</v>
      </c>
      <c r="R58" s="189">
        <f t="shared" si="14"/>
        <v>10.895892489889176</v>
      </c>
      <c r="S58" s="189">
        <f t="shared" si="14"/>
        <v>11.017760373973109</v>
      </c>
      <c r="T58" s="189">
        <f t="shared" si="14"/>
        <v>11.140991320439024</v>
      </c>
      <c r="U58" s="189">
        <f t="shared" si="14"/>
        <v>11.265600574805223</v>
      </c>
      <c r="V58" s="189">
        <f t="shared" si="14"/>
        <v>11.391603553107387</v>
      </c>
      <c r="W58" s="189"/>
    </row>
    <row r="59" spans="1:23">
      <c r="A59" s="101" t="str">
        <f>+A39</f>
        <v>b. Curtailable/Interruptible Tariff</v>
      </c>
      <c r="B59" s="222">
        <f>KeyAssumptions!M12</f>
        <v>500</v>
      </c>
      <c r="C59" s="189">
        <f t="shared" ref="C59:V59" si="15">$B59/1000*C49*$C$24</f>
        <v>25.801678770555743</v>
      </c>
      <c r="D59" s="189">
        <f t="shared" si="15"/>
        <v>130.55786170292248</v>
      </c>
      <c r="E59" s="189">
        <f t="shared" si="15"/>
        <v>238.12648508924923</v>
      </c>
      <c r="F59" s="189">
        <f t="shared" si="15"/>
        <v>348.42827978815484</v>
      </c>
      <c r="G59" s="189">
        <f t="shared" si="15"/>
        <v>461.77114111485594</v>
      </c>
      <c r="H59" s="189">
        <f t="shared" si="15"/>
        <v>550.19416605516278</v>
      </c>
      <c r="I59" s="189">
        <f t="shared" si="15"/>
        <v>557.00757114508804</v>
      </c>
      <c r="J59" s="189">
        <f t="shared" si="15"/>
        <v>563.72994531970176</v>
      </c>
      <c r="K59" s="189">
        <f t="shared" si="15"/>
        <v>570.4291130405087</v>
      </c>
      <c r="L59" s="189">
        <f t="shared" si="15"/>
        <v>577.08995514045023</v>
      </c>
      <c r="M59" s="189">
        <f t="shared" si="15"/>
        <v>583.46814278338582</v>
      </c>
      <c r="N59" s="189">
        <f t="shared" si="15"/>
        <v>590.0692161566451</v>
      </c>
      <c r="O59" s="189">
        <f t="shared" si="15"/>
        <v>596.9401017005905</v>
      </c>
      <c r="P59" s="189">
        <f t="shared" si="15"/>
        <v>603.85052685816288</v>
      </c>
      <c r="Q59" s="189">
        <f t="shared" si="15"/>
        <v>610.60444684034508</v>
      </c>
      <c r="R59" s="189">
        <f t="shared" si="15"/>
        <v>617.43390776038677</v>
      </c>
      <c r="S59" s="189">
        <f t="shared" si="15"/>
        <v>624.33975452514289</v>
      </c>
      <c r="T59" s="189">
        <f t="shared" si="15"/>
        <v>631.32284149154475</v>
      </c>
      <c r="U59" s="189">
        <f t="shared" si="15"/>
        <v>638.38403257229595</v>
      </c>
      <c r="V59" s="189">
        <f t="shared" si="15"/>
        <v>645.52420134275189</v>
      </c>
      <c r="W59" s="189"/>
    </row>
    <row r="60" spans="1:23">
      <c r="A60" s="85"/>
      <c r="B60" s="85"/>
      <c r="C60" s="106"/>
      <c r="D60" s="106"/>
      <c r="E60" s="106"/>
      <c r="F60" s="106"/>
      <c r="G60" s="106"/>
      <c r="H60" s="106"/>
      <c r="I60" s="106"/>
      <c r="J60" s="106"/>
      <c r="K60" s="106"/>
      <c r="L60" s="106"/>
      <c r="M60" s="106"/>
      <c r="N60" s="106"/>
      <c r="O60" s="106"/>
      <c r="P60" s="106"/>
      <c r="Q60" s="106"/>
      <c r="R60" s="106"/>
      <c r="S60" s="106"/>
      <c r="T60" s="106"/>
      <c r="U60" s="106"/>
      <c r="V60" s="106"/>
      <c r="W60" s="106"/>
    </row>
    <row r="61" spans="1:23">
      <c r="A61" s="107" t="s">
        <v>265</v>
      </c>
      <c r="B61" s="108"/>
      <c r="C61" s="220">
        <f>SUM(C58:C59)</f>
        <v>26.257002513565549</v>
      </c>
      <c r="D61" s="220">
        <f t="shared" ref="D61:V61" si="16">SUM(D58:D59)</f>
        <v>132.86182396826817</v>
      </c>
      <c r="E61" s="220">
        <f t="shared" si="16"/>
        <v>242.32871717905951</v>
      </c>
      <c r="F61" s="220">
        <f t="shared" si="16"/>
        <v>354.57701413735759</v>
      </c>
      <c r="G61" s="220">
        <f t="shared" si="16"/>
        <v>469.92004360511811</v>
      </c>
      <c r="H61" s="220">
        <f t="shared" si="16"/>
        <v>559.90347486790097</v>
      </c>
      <c r="I61" s="220">
        <f t="shared" si="16"/>
        <v>566.8371165182366</v>
      </c>
      <c r="J61" s="220">
        <f t="shared" si="16"/>
        <v>573.67812082534351</v>
      </c>
      <c r="K61" s="220">
        <f t="shared" si="16"/>
        <v>580.49550915298823</v>
      </c>
      <c r="L61" s="220">
        <f t="shared" si="16"/>
        <v>587.27389552528166</v>
      </c>
      <c r="M61" s="220">
        <f t="shared" si="16"/>
        <v>593.76463942073974</v>
      </c>
      <c r="N61" s="220">
        <f t="shared" si="16"/>
        <v>600.48220232411529</v>
      </c>
      <c r="O61" s="220">
        <f t="shared" si="16"/>
        <v>607.47433878942445</v>
      </c>
      <c r="P61" s="220">
        <f t="shared" si="16"/>
        <v>614.50671262624815</v>
      </c>
      <c r="Q61" s="220">
        <f t="shared" si="16"/>
        <v>621.37981943164527</v>
      </c>
      <c r="R61" s="220">
        <f t="shared" si="16"/>
        <v>628.32980025027598</v>
      </c>
      <c r="S61" s="220">
        <f t="shared" si="16"/>
        <v>635.35751489911604</v>
      </c>
      <c r="T61" s="220">
        <f t="shared" si="16"/>
        <v>642.46383281198382</v>
      </c>
      <c r="U61" s="220">
        <f t="shared" si="16"/>
        <v>649.64963314710121</v>
      </c>
      <c r="V61" s="220">
        <f t="shared" si="16"/>
        <v>656.91580489585931</v>
      </c>
      <c r="W61" s="220"/>
    </row>
    <row r="62" spans="1:23">
      <c r="A62" s="120"/>
      <c r="B62" s="110"/>
      <c r="C62" s="121"/>
      <c r="D62" s="121"/>
      <c r="E62" s="121"/>
      <c r="F62" s="121"/>
      <c r="G62" s="121"/>
      <c r="H62" s="121"/>
      <c r="I62" s="121"/>
      <c r="J62" s="121"/>
      <c r="K62" s="121"/>
      <c r="L62" s="121"/>
      <c r="M62" s="121"/>
      <c r="N62" s="121"/>
      <c r="O62" s="121"/>
      <c r="P62" s="121"/>
      <c r="Q62" s="121"/>
      <c r="R62" s="121"/>
      <c r="S62" s="121"/>
      <c r="T62" s="121"/>
      <c r="U62" s="121"/>
      <c r="V62" s="121"/>
      <c r="W62" s="121"/>
    </row>
    <row r="63" spans="1:23">
      <c r="A63" s="77" t="s">
        <v>272</v>
      </c>
      <c r="B63" s="110"/>
      <c r="C63" s="98"/>
      <c r="D63" s="122"/>
      <c r="E63" s="121"/>
      <c r="F63" s="121"/>
      <c r="G63" s="121"/>
      <c r="H63" s="121"/>
      <c r="I63" s="121"/>
      <c r="J63" s="121"/>
      <c r="K63" s="121"/>
      <c r="L63" s="121"/>
      <c r="M63" s="121"/>
      <c r="N63" s="121"/>
      <c r="O63" s="121"/>
      <c r="P63" s="121"/>
      <c r="Q63" s="121"/>
      <c r="R63" s="121"/>
      <c r="S63" s="121"/>
      <c r="T63" s="121"/>
      <c r="U63" s="121"/>
      <c r="V63" s="121"/>
      <c r="W63" s="121"/>
    </row>
    <row r="64" spans="1:23">
      <c r="A64" s="113"/>
      <c r="B64" s="110"/>
      <c r="C64" s="98"/>
      <c r="D64" s="121"/>
      <c r="E64" s="121"/>
      <c r="F64" s="121"/>
      <c r="G64" s="121"/>
      <c r="H64" s="121"/>
      <c r="I64" s="121"/>
      <c r="J64" s="121"/>
      <c r="K64" s="121"/>
      <c r="L64" s="121"/>
      <c r="M64" s="121"/>
      <c r="N64" s="121"/>
      <c r="O64" s="121"/>
      <c r="P64" s="121"/>
      <c r="Q64" s="121"/>
      <c r="R64" s="121"/>
      <c r="S64" s="121"/>
      <c r="T64" s="121"/>
      <c r="U64" s="121"/>
      <c r="V64" s="121"/>
      <c r="W64" s="121"/>
    </row>
    <row r="65" spans="1:23" ht="12.75" customHeight="1">
      <c r="A65" s="474" t="s">
        <v>210</v>
      </c>
      <c r="B65" s="477" t="s">
        <v>300</v>
      </c>
      <c r="C65" s="531" t="s">
        <v>218</v>
      </c>
      <c r="D65" s="531"/>
      <c r="E65" s="531"/>
      <c r="F65" s="531"/>
      <c r="G65" s="531"/>
      <c r="H65" s="531"/>
      <c r="I65" s="531"/>
      <c r="J65" s="531"/>
      <c r="K65" s="531"/>
      <c r="L65" s="531"/>
      <c r="M65" s="531"/>
      <c r="N65" s="531"/>
      <c r="O65" s="531"/>
      <c r="P65" s="531"/>
      <c r="Q65" s="531"/>
      <c r="R65" s="531"/>
      <c r="S65" s="531"/>
      <c r="T65" s="531"/>
      <c r="U65" s="531"/>
      <c r="V65" s="531"/>
      <c r="W65" s="531"/>
    </row>
    <row r="66" spans="1:23">
      <c r="A66" s="475"/>
      <c r="B66" s="478"/>
      <c r="C66" s="100">
        <f>C5</f>
        <v>2016</v>
      </c>
      <c r="D66" s="322">
        <f t="shared" ref="D66:V66" si="17">D5</f>
        <v>2017</v>
      </c>
      <c r="E66" s="322">
        <f t="shared" si="17"/>
        <v>2018</v>
      </c>
      <c r="F66" s="322">
        <f t="shared" si="17"/>
        <v>2019</v>
      </c>
      <c r="G66" s="322">
        <f t="shared" si="17"/>
        <v>2020</v>
      </c>
      <c r="H66" s="322">
        <f t="shared" si="17"/>
        <v>2021</v>
      </c>
      <c r="I66" s="322">
        <f t="shared" si="17"/>
        <v>2022</v>
      </c>
      <c r="J66" s="322">
        <f t="shared" si="17"/>
        <v>2023</v>
      </c>
      <c r="K66" s="322">
        <f t="shared" si="17"/>
        <v>2024</v>
      </c>
      <c r="L66" s="322">
        <f t="shared" si="17"/>
        <v>2025</v>
      </c>
      <c r="M66" s="322">
        <f t="shared" si="17"/>
        <v>2026</v>
      </c>
      <c r="N66" s="322">
        <f t="shared" si="17"/>
        <v>2027</v>
      </c>
      <c r="O66" s="322">
        <f t="shared" si="17"/>
        <v>2028</v>
      </c>
      <c r="P66" s="322">
        <f t="shared" si="17"/>
        <v>2029</v>
      </c>
      <c r="Q66" s="322">
        <f t="shared" si="17"/>
        <v>2030</v>
      </c>
      <c r="R66" s="322">
        <f t="shared" si="17"/>
        <v>2031</v>
      </c>
      <c r="S66" s="322">
        <f t="shared" si="17"/>
        <v>2032</v>
      </c>
      <c r="T66" s="322">
        <f t="shared" si="17"/>
        <v>2033</v>
      </c>
      <c r="U66" s="322">
        <f t="shared" si="17"/>
        <v>2034</v>
      </c>
      <c r="V66" s="322">
        <f t="shared" si="17"/>
        <v>2035</v>
      </c>
      <c r="W66" s="322"/>
    </row>
    <row r="67" spans="1:23">
      <c r="A67" s="123"/>
      <c r="B67" s="124"/>
      <c r="C67" s="78"/>
      <c r="D67" s="82"/>
      <c r="E67" s="82"/>
      <c r="F67" s="82"/>
      <c r="G67" s="82"/>
      <c r="H67" s="82"/>
      <c r="I67" s="82"/>
      <c r="J67" s="82"/>
      <c r="K67" s="82"/>
      <c r="L67" s="82"/>
      <c r="M67" s="82"/>
      <c r="N67" s="82"/>
      <c r="O67" s="82"/>
      <c r="P67" s="82"/>
      <c r="Q67" s="82"/>
      <c r="R67" s="82"/>
      <c r="S67" s="82"/>
      <c r="T67" s="82"/>
      <c r="U67" s="82"/>
      <c r="V67" s="82"/>
      <c r="W67" s="82"/>
    </row>
    <row r="68" spans="1:23">
      <c r="A68" s="166" t="str">
        <f>A38</f>
        <v>a. Irrigation Pumping - Switch</v>
      </c>
      <c r="B68" s="223">
        <f>SUM(KeyAssumptions!F11:H11)</f>
        <v>1100</v>
      </c>
      <c r="C68" s="116">
        <f>MAX(0,($B$68*C38))</f>
        <v>21088.678623612119</v>
      </c>
      <c r="D68" s="116">
        <f t="shared" ref="D68:V68" si="18">MAX(0,($B$68*D38))</f>
        <v>85621.152613451457</v>
      </c>
      <c r="E68" s="116">
        <f t="shared" si="18"/>
        <v>87919.865554149394</v>
      </c>
      <c r="F68" s="116">
        <f t="shared" si="18"/>
        <v>90153.788856071435</v>
      </c>
      <c r="G68" s="116">
        <f t="shared" si="18"/>
        <v>92639.366533278924</v>
      </c>
      <c r="H68" s="116">
        <f t="shared" si="18"/>
        <v>72271.450725204471</v>
      </c>
      <c r="I68" s="116">
        <f t="shared" si="18"/>
        <v>5568.8512190099973</v>
      </c>
      <c r="J68" s="116">
        <f t="shared" si="18"/>
        <v>5494.4482417896043</v>
      </c>
      <c r="K68" s="116">
        <f t="shared" si="18"/>
        <v>5475.4807377492571</v>
      </c>
      <c r="L68" s="116">
        <f t="shared" si="18"/>
        <v>5444.1557720884875</v>
      </c>
      <c r="M68" s="116">
        <f t="shared" si="18"/>
        <v>5213.1316957739837</v>
      </c>
      <c r="N68" s="116">
        <f t="shared" si="18"/>
        <v>5395.3045527568293</v>
      </c>
      <c r="O68" s="116">
        <f t="shared" si="18"/>
        <v>5615.832147373254</v>
      </c>
      <c r="P68" s="116">
        <f t="shared" si="18"/>
        <v>5648.1493547960608</v>
      </c>
      <c r="Q68" s="116">
        <f t="shared" si="18"/>
        <v>5520.2318120623095</v>
      </c>
      <c r="R68" s="116">
        <f t="shared" si="18"/>
        <v>5581.9742504363321</v>
      </c>
      <c r="S68" s="116">
        <f t="shared" si="18"/>
        <v>5644.407262834784</v>
      </c>
      <c r="T68" s="116">
        <f t="shared" si="18"/>
        <v>5707.5385731581318</v>
      </c>
      <c r="U68" s="116">
        <f t="shared" si="18"/>
        <v>5771.3759916976978</v>
      </c>
      <c r="V68" s="116">
        <f t="shared" si="18"/>
        <v>5835.9274161002131</v>
      </c>
      <c r="W68" s="116"/>
    </row>
    <row r="69" spans="1:23">
      <c r="A69" s="85" t="str">
        <f>+A39</f>
        <v>b. Curtailable/Interruptible Tariff</v>
      </c>
      <c r="B69" s="223">
        <f>SUM(KeyAssumptions!F12:H12)</f>
        <v>0</v>
      </c>
      <c r="C69" s="116">
        <f t="shared" ref="C69:V69" si="19">MAX(0,($B$69*C39))</f>
        <v>0</v>
      </c>
      <c r="D69" s="116">
        <f t="shared" si="19"/>
        <v>0</v>
      </c>
      <c r="E69" s="116">
        <f t="shared" si="19"/>
        <v>0</v>
      </c>
      <c r="F69" s="116">
        <f t="shared" si="19"/>
        <v>0</v>
      </c>
      <c r="G69" s="116">
        <f t="shared" si="19"/>
        <v>0</v>
      </c>
      <c r="H69" s="116">
        <f t="shared" si="19"/>
        <v>0</v>
      </c>
      <c r="I69" s="116">
        <f t="shared" si="19"/>
        <v>0</v>
      </c>
      <c r="J69" s="116">
        <f t="shared" si="19"/>
        <v>0</v>
      </c>
      <c r="K69" s="116">
        <f t="shared" si="19"/>
        <v>0</v>
      </c>
      <c r="L69" s="116">
        <f t="shared" si="19"/>
        <v>0</v>
      </c>
      <c r="M69" s="116">
        <f t="shared" si="19"/>
        <v>0</v>
      </c>
      <c r="N69" s="116">
        <f t="shared" si="19"/>
        <v>0</v>
      </c>
      <c r="O69" s="116">
        <f t="shared" si="19"/>
        <v>0</v>
      </c>
      <c r="P69" s="116">
        <f t="shared" si="19"/>
        <v>0</v>
      </c>
      <c r="Q69" s="116">
        <f t="shared" si="19"/>
        <v>0</v>
      </c>
      <c r="R69" s="116">
        <f t="shared" si="19"/>
        <v>0</v>
      </c>
      <c r="S69" s="116">
        <f t="shared" si="19"/>
        <v>0</v>
      </c>
      <c r="T69" s="116">
        <f t="shared" si="19"/>
        <v>0</v>
      </c>
      <c r="U69" s="116">
        <f t="shared" si="19"/>
        <v>0</v>
      </c>
      <c r="V69" s="116">
        <f t="shared" si="19"/>
        <v>0</v>
      </c>
      <c r="W69" s="116"/>
    </row>
    <row r="70" spans="1:23">
      <c r="A70" s="85"/>
      <c r="B70" s="110"/>
      <c r="C70" s="117"/>
      <c r="D70" s="117"/>
      <c r="E70" s="117"/>
      <c r="F70" s="117"/>
      <c r="G70" s="117"/>
      <c r="H70" s="117"/>
      <c r="I70" s="117"/>
      <c r="J70" s="117"/>
      <c r="K70" s="117"/>
      <c r="L70" s="117"/>
      <c r="M70" s="117"/>
      <c r="N70" s="117"/>
      <c r="O70" s="117"/>
      <c r="P70" s="117"/>
      <c r="Q70" s="117"/>
      <c r="R70" s="117"/>
      <c r="S70" s="117"/>
      <c r="T70" s="117"/>
      <c r="U70" s="117"/>
      <c r="V70" s="117"/>
      <c r="W70" s="117"/>
    </row>
    <row r="71" spans="1:23">
      <c r="A71" s="126" t="s">
        <v>290</v>
      </c>
      <c r="B71" s="107"/>
      <c r="C71" s="119">
        <f>SUM(C68:C69)</f>
        <v>21088.678623612119</v>
      </c>
      <c r="D71" s="119">
        <f t="shared" ref="D71:V71" si="20">SUM(D68:D69)</f>
        <v>85621.152613451457</v>
      </c>
      <c r="E71" s="119">
        <f t="shared" si="20"/>
        <v>87919.865554149394</v>
      </c>
      <c r="F71" s="119">
        <f t="shared" si="20"/>
        <v>90153.788856071435</v>
      </c>
      <c r="G71" s="119">
        <f t="shared" si="20"/>
        <v>92639.366533278924</v>
      </c>
      <c r="H71" s="119">
        <f t="shared" si="20"/>
        <v>72271.450725204471</v>
      </c>
      <c r="I71" s="119">
        <f t="shared" si="20"/>
        <v>5568.8512190099973</v>
      </c>
      <c r="J71" s="119">
        <f t="shared" si="20"/>
        <v>5494.4482417896043</v>
      </c>
      <c r="K71" s="119">
        <f t="shared" si="20"/>
        <v>5475.4807377492571</v>
      </c>
      <c r="L71" s="119">
        <f t="shared" si="20"/>
        <v>5444.1557720884875</v>
      </c>
      <c r="M71" s="119">
        <f t="shared" si="20"/>
        <v>5213.1316957739837</v>
      </c>
      <c r="N71" s="119">
        <f t="shared" si="20"/>
        <v>5395.3045527568293</v>
      </c>
      <c r="O71" s="119">
        <f t="shared" si="20"/>
        <v>5615.832147373254</v>
      </c>
      <c r="P71" s="119">
        <f t="shared" si="20"/>
        <v>5648.1493547960608</v>
      </c>
      <c r="Q71" s="119">
        <f t="shared" si="20"/>
        <v>5520.2318120623095</v>
      </c>
      <c r="R71" s="119">
        <f t="shared" si="20"/>
        <v>5581.9742504363321</v>
      </c>
      <c r="S71" s="119">
        <f t="shared" si="20"/>
        <v>5644.407262834784</v>
      </c>
      <c r="T71" s="119">
        <f t="shared" si="20"/>
        <v>5707.5385731581318</v>
      </c>
      <c r="U71" s="119">
        <f t="shared" si="20"/>
        <v>5771.3759916976978</v>
      </c>
      <c r="V71" s="119">
        <f t="shared" si="20"/>
        <v>5835.9274161002131</v>
      </c>
      <c r="W71" s="119"/>
    </row>
    <row r="72" spans="1:23">
      <c r="A72" s="110"/>
      <c r="B72" s="110"/>
      <c r="C72" s="121"/>
      <c r="D72" s="121"/>
      <c r="E72" s="121"/>
      <c r="F72" s="121"/>
      <c r="G72" s="121"/>
      <c r="H72" s="121"/>
      <c r="I72" s="121"/>
      <c r="J72" s="121"/>
      <c r="K72" s="121"/>
      <c r="L72" s="121"/>
      <c r="M72" s="121"/>
      <c r="N72" s="121"/>
      <c r="O72" s="121"/>
      <c r="P72" s="121"/>
      <c r="Q72" s="121"/>
      <c r="R72" s="121"/>
      <c r="S72" s="121"/>
      <c r="T72" s="121"/>
      <c r="U72" s="121"/>
      <c r="V72" s="121"/>
      <c r="W72" s="121"/>
    </row>
    <row r="73" spans="1:23">
      <c r="A73" s="96" t="s">
        <v>273</v>
      </c>
      <c r="B73" s="96"/>
      <c r="C73" s="111"/>
      <c r="D73" s="127"/>
      <c r="E73" s="128"/>
      <c r="F73" s="129"/>
      <c r="G73" s="120"/>
      <c r="H73" s="130"/>
      <c r="I73" s="120"/>
      <c r="J73" s="78"/>
      <c r="L73" s="78"/>
    </row>
    <row r="74" spans="1:23">
      <c r="A74" s="110"/>
      <c r="B74" s="110"/>
      <c r="C74" s="111"/>
      <c r="D74" s="127"/>
      <c r="E74" s="128"/>
      <c r="F74" s="129"/>
      <c r="G74" s="120"/>
      <c r="H74" s="130"/>
      <c r="I74" s="120"/>
      <c r="J74" s="78"/>
      <c r="L74" s="78"/>
    </row>
    <row r="75" spans="1:23">
      <c r="A75" s="549" t="s">
        <v>210</v>
      </c>
      <c r="B75" s="525" t="s">
        <v>339</v>
      </c>
      <c r="C75" s="476" t="s">
        <v>219</v>
      </c>
      <c r="D75" s="476"/>
      <c r="E75" s="476"/>
      <c r="F75" s="476"/>
      <c r="G75" s="476"/>
      <c r="H75" s="476"/>
      <c r="I75" s="476"/>
      <c r="J75" s="476"/>
      <c r="K75" s="476"/>
      <c r="L75" s="476"/>
      <c r="M75" s="476"/>
      <c r="N75" s="476"/>
      <c r="O75" s="476"/>
      <c r="P75" s="476"/>
      <c r="Q75" s="476"/>
      <c r="R75" s="476"/>
      <c r="S75" s="476"/>
      <c r="T75" s="476"/>
      <c r="U75" s="476"/>
      <c r="V75" s="476"/>
      <c r="W75" s="476"/>
    </row>
    <row r="76" spans="1:23">
      <c r="A76" s="462"/>
      <c r="B76" s="525"/>
      <c r="C76" s="100">
        <f>C5</f>
        <v>2016</v>
      </c>
      <c r="D76" s="322">
        <f t="shared" ref="D76:V76" si="21">D5</f>
        <v>2017</v>
      </c>
      <c r="E76" s="322">
        <f t="shared" si="21"/>
        <v>2018</v>
      </c>
      <c r="F76" s="322">
        <f t="shared" si="21"/>
        <v>2019</v>
      </c>
      <c r="G76" s="322">
        <f t="shared" si="21"/>
        <v>2020</v>
      </c>
      <c r="H76" s="322">
        <f t="shared" si="21"/>
        <v>2021</v>
      </c>
      <c r="I76" s="322">
        <f t="shared" si="21"/>
        <v>2022</v>
      </c>
      <c r="J76" s="322">
        <f t="shared" si="21"/>
        <v>2023</v>
      </c>
      <c r="K76" s="322">
        <f t="shared" si="21"/>
        <v>2024</v>
      </c>
      <c r="L76" s="322">
        <f t="shared" si="21"/>
        <v>2025</v>
      </c>
      <c r="M76" s="322">
        <f t="shared" si="21"/>
        <v>2026</v>
      </c>
      <c r="N76" s="322">
        <f t="shared" si="21"/>
        <v>2027</v>
      </c>
      <c r="O76" s="322">
        <f t="shared" si="21"/>
        <v>2028</v>
      </c>
      <c r="P76" s="322">
        <f t="shared" si="21"/>
        <v>2029</v>
      </c>
      <c r="Q76" s="322">
        <f t="shared" si="21"/>
        <v>2030</v>
      </c>
      <c r="R76" s="322">
        <f t="shared" si="21"/>
        <v>2031</v>
      </c>
      <c r="S76" s="322">
        <f t="shared" si="21"/>
        <v>2032</v>
      </c>
      <c r="T76" s="322">
        <f t="shared" si="21"/>
        <v>2033</v>
      </c>
      <c r="U76" s="322">
        <f t="shared" si="21"/>
        <v>2034</v>
      </c>
      <c r="V76" s="322">
        <f t="shared" si="21"/>
        <v>2035</v>
      </c>
      <c r="W76" s="322"/>
    </row>
    <row r="77" spans="1:23">
      <c r="A77" s="131"/>
      <c r="B77" s="132"/>
      <c r="C77" s="132"/>
      <c r="D77" s="133"/>
      <c r="E77" s="133"/>
      <c r="F77" s="133"/>
      <c r="G77" s="133"/>
      <c r="H77" s="133"/>
      <c r="I77" s="133"/>
      <c r="J77" s="133"/>
      <c r="K77" s="133"/>
      <c r="L77" s="133"/>
      <c r="M77" s="133"/>
      <c r="N77" s="133"/>
      <c r="O77" s="133"/>
      <c r="P77" s="133"/>
      <c r="Q77" s="133"/>
      <c r="R77" s="133"/>
      <c r="S77" s="133"/>
      <c r="T77" s="133"/>
      <c r="U77" s="133"/>
      <c r="V77" s="133"/>
      <c r="W77" s="133"/>
    </row>
    <row r="78" spans="1:23">
      <c r="A78" s="240" t="str">
        <f>A38</f>
        <v>a. Irrigation Pumping - Switch</v>
      </c>
      <c r="B78" s="136">
        <f>KeyAssumptions!J11</f>
        <v>15</v>
      </c>
      <c r="C78" s="199">
        <f>($B78-IF('7thPlanAssumptions'!$D$14=1,'7thPlanAssumptions'!$B$14,0))*C58*1000</f>
        <v>-5008.5611731078789</v>
      </c>
      <c r="D78" s="199">
        <f>($B78-IF('7thPlanAssumptions'!$D$14=1,'7thPlanAssumptions'!$B$14,0))*D58*1000</f>
        <v>-25343.5849188026</v>
      </c>
      <c r="E78" s="199">
        <f>($B78-IF('7thPlanAssumptions'!$D$14=1,'7thPlanAssumptions'!$B$14,0))*E58*1000</f>
        <v>-46224.552987913085</v>
      </c>
      <c r="F78" s="199">
        <f>($B78-IF('7thPlanAssumptions'!$D$14=1,'7thPlanAssumptions'!$B$14,0))*F58*1000</f>
        <v>-67636.077841230042</v>
      </c>
      <c r="G78" s="199">
        <f>($B78-IF('7thPlanAssumptions'!$D$14=1,'7thPlanAssumptions'!$B$14,0))*G58*1000</f>
        <v>-89637.927392883794</v>
      </c>
      <c r="H78" s="199">
        <f>($B78-IF('7thPlanAssumptions'!$D$14=1,'7thPlanAssumptions'!$B$14,0))*H58*1000</f>
        <v>-106802.39694011986</v>
      </c>
      <c r="I78" s="199">
        <f>($B78-IF('7thPlanAssumptions'!$D$14=1,'7thPlanAssumptions'!$B$14,0))*I58*1000</f>
        <v>-108124.99910463476</v>
      </c>
      <c r="J78" s="199">
        <f>($B78-IF('7thPlanAssumptions'!$D$14=1,'7thPlanAssumptions'!$B$14,0))*J58*1000</f>
        <v>-109429.93056205976</v>
      </c>
      <c r="K78" s="199">
        <f>($B78-IF('7thPlanAssumptions'!$D$14=1,'7thPlanAssumptions'!$B$14,0))*K58*1000</f>
        <v>-110730.35723727521</v>
      </c>
      <c r="L78" s="199">
        <f>($B78-IF('7thPlanAssumptions'!$D$14=1,'7thPlanAssumptions'!$B$14,0))*L58*1000</f>
        <v>-112023.34423314621</v>
      </c>
      <c r="M78" s="199">
        <f>($B78-IF('7thPlanAssumptions'!$D$14=1,'7thPlanAssumptions'!$B$14,0))*M58*1000</f>
        <v>-113261.46301089255</v>
      </c>
      <c r="N78" s="199">
        <f>($B78-IF('7thPlanAssumptions'!$D$14=1,'7thPlanAssumptions'!$B$14,0))*N58*1000</f>
        <v>-114542.8478421723</v>
      </c>
      <c r="O78" s="199">
        <f>($B78-IF('7thPlanAssumptions'!$D$14=1,'7thPlanAssumptions'!$B$14,0))*O58*1000</f>
        <v>-115876.60797717344</v>
      </c>
      <c r="P78" s="199">
        <f>($B78-IF('7thPlanAssumptions'!$D$14=1,'7thPlanAssumptions'!$B$14,0))*P58*1000</f>
        <v>-117218.0434489375</v>
      </c>
      <c r="Q78" s="199">
        <f>($B78-IF('7thPlanAssumptions'!$D$14=1,'7thPlanAssumptions'!$B$14,0))*Q58*1000</f>
        <v>-118529.09850430232</v>
      </c>
      <c r="R78" s="199">
        <f>($B78-IF('7thPlanAssumptions'!$D$14=1,'7thPlanAssumptions'!$B$14,0))*R58*1000</f>
        <v>-119854.81738878094</v>
      </c>
      <c r="S78" s="199">
        <f>($B78-IF('7thPlanAssumptions'!$D$14=1,'7thPlanAssumptions'!$B$14,0))*S58*1000</f>
        <v>-121195.3641137042</v>
      </c>
      <c r="T78" s="199">
        <f>($B78-IF('7thPlanAssumptions'!$D$14=1,'7thPlanAssumptions'!$B$14,0))*T58*1000</f>
        <v>-122550.90452482927</v>
      </c>
      <c r="U78" s="199">
        <f>($B78-IF('7thPlanAssumptions'!$D$14=1,'7thPlanAssumptions'!$B$14,0))*U58*1000</f>
        <v>-123921.60632285746</v>
      </c>
      <c r="V78" s="199">
        <f>($B78-IF('7thPlanAssumptions'!$D$14=1,'7thPlanAssumptions'!$B$14,0))*V58*1000</f>
        <v>-125307.63908418127</v>
      </c>
      <c r="W78" s="199"/>
    </row>
    <row r="79" spans="1:23">
      <c r="A79" s="135" t="str">
        <f>A39</f>
        <v>b. Curtailable/Interruptible Tariff</v>
      </c>
      <c r="B79" s="136">
        <f>KeyAssumptions!J12</f>
        <v>50</v>
      </c>
      <c r="C79" s="199">
        <f>($B79-IF('7thPlanAssumptions'!$D$14=1,'7thPlanAssumptions'!$B$14,0))*C59*1000</f>
        <v>619240.2904933379</v>
      </c>
      <c r="D79" s="199">
        <f>($B79-IF('7thPlanAssumptions'!$D$14=1,'7thPlanAssumptions'!$B$14,0))*D59*1000</f>
        <v>3133388.6808701395</v>
      </c>
      <c r="E79" s="199">
        <f>($B79-IF('7thPlanAssumptions'!$D$14=1,'7thPlanAssumptions'!$B$14,0))*E59*1000</f>
        <v>5715035.642141982</v>
      </c>
      <c r="F79" s="199">
        <f>($B79-IF('7thPlanAssumptions'!$D$14=1,'7thPlanAssumptions'!$B$14,0))*F59*1000</f>
        <v>8362278.7149157161</v>
      </c>
      <c r="G79" s="199">
        <f>($B79-IF('7thPlanAssumptions'!$D$14=1,'7thPlanAssumptions'!$B$14,0))*G59*1000</f>
        <v>11082507.386756543</v>
      </c>
      <c r="H79" s="199">
        <f>($B79-IF('7thPlanAssumptions'!$D$14=1,'7thPlanAssumptions'!$B$14,0))*H59*1000</f>
        <v>13204659.985323906</v>
      </c>
      <c r="I79" s="199">
        <f>($B79-IF('7thPlanAssumptions'!$D$14=1,'7thPlanAssumptions'!$B$14,0))*I59*1000</f>
        <v>13368181.707482113</v>
      </c>
      <c r="J79" s="199">
        <f>($B79-IF('7thPlanAssumptions'!$D$14=1,'7thPlanAssumptions'!$B$14,0))*J59*1000</f>
        <v>13529518.687672842</v>
      </c>
      <c r="K79" s="199">
        <f>($B79-IF('7thPlanAssumptions'!$D$14=1,'7thPlanAssumptions'!$B$14,0))*K59*1000</f>
        <v>13690298.712972209</v>
      </c>
      <c r="L79" s="199">
        <f>($B79-IF('7thPlanAssumptions'!$D$14=1,'7thPlanAssumptions'!$B$14,0))*L59*1000</f>
        <v>13850158.923370805</v>
      </c>
      <c r="M79" s="199">
        <f>($B79-IF('7thPlanAssumptions'!$D$14=1,'7thPlanAssumptions'!$B$14,0))*M59*1000</f>
        <v>14003235.426801261</v>
      </c>
      <c r="N79" s="199">
        <f>($B79-IF('7thPlanAssumptions'!$D$14=1,'7thPlanAssumptions'!$B$14,0))*N59*1000</f>
        <v>14161661.187759483</v>
      </c>
      <c r="O79" s="199">
        <f>($B79-IF('7thPlanAssumptions'!$D$14=1,'7thPlanAssumptions'!$B$14,0))*O59*1000</f>
        <v>14326562.440814173</v>
      </c>
      <c r="P79" s="199">
        <f>($B79-IF('7thPlanAssumptions'!$D$14=1,'7thPlanAssumptions'!$B$14,0))*P59*1000</f>
        <v>14492412.644595908</v>
      </c>
      <c r="Q79" s="199">
        <f>($B79-IF('7thPlanAssumptions'!$D$14=1,'7thPlanAssumptions'!$B$14,0))*Q59*1000</f>
        <v>14654506.72416828</v>
      </c>
      <c r="R79" s="199">
        <f>($B79-IF('7thPlanAssumptions'!$D$14=1,'7thPlanAssumptions'!$B$14,0))*R59*1000</f>
        <v>14818413.786249282</v>
      </c>
      <c r="S79" s="199">
        <f>($B79-IF('7thPlanAssumptions'!$D$14=1,'7thPlanAssumptions'!$B$14,0))*S59*1000</f>
        <v>14984154.108603431</v>
      </c>
      <c r="T79" s="199">
        <f>($B79-IF('7thPlanAssumptions'!$D$14=1,'7thPlanAssumptions'!$B$14,0))*T59*1000</f>
        <v>15151748.195797075</v>
      </c>
      <c r="U79" s="199">
        <f>($B79-IF('7thPlanAssumptions'!$D$14=1,'7thPlanAssumptions'!$B$14,0))*U59*1000</f>
        <v>15321216.781735104</v>
      </c>
      <c r="V79" s="199">
        <f>($B79-IF('7thPlanAssumptions'!$D$14=1,'7thPlanAssumptions'!$B$14,0))*V59*1000</f>
        <v>15492580.832226045</v>
      </c>
      <c r="W79" s="199"/>
    </row>
    <row r="80" spans="1:23">
      <c r="A80" s="141"/>
      <c r="B80" s="142"/>
      <c r="C80" s="134"/>
      <c r="D80" s="134"/>
      <c r="E80" s="134"/>
      <c r="F80" s="134"/>
      <c r="G80" s="134"/>
      <c r="H80" s="134"/>
      <c r="I80" s="134"/>
      <c r="J80" s="134"/>
      <c r="K80" s="134"/>
      <c r="L80" s="134"/>
      <c r="M80" s="134"/>
      <c r="N80" s="134"/>
      <c r="O80" s="134"/>
      <c r="P80" s="134"/>
      <c r="Q80" s="134"/>
      <c r="R80" s="134"/>
      <c r="S80" s="134"/>
      <c r="T80" s="134"/>
      <c r="U80" s="134"/>
      <c r="V80" s="134"/>
      <c r="W80" s="134"/>
    </row>
    <row r="81" spans="1:23">
      <c r="A81" s="143" t="s">
        <v>220</v>
      </c>
      <c r="B81" s="144"/>
      <c r="C81" s="145">
        <f>SUM(C78:C79)</f>
        <v>614231.72932023008</v>
      </c>
      <c r="D81" s="145">
        <f t="shared" ref="D81:V81" si="22">SUM(D78:D79)</f>
        <v>3108045.0959513369</v>
      </c>
      <c r="E81" s="145">
        <f t="shared" si="22"/>
        <v>5668811.0891540693</v>
      </c>
      <c r="F81" s="145">
        <f t="shared" si="22"/>
        <v>8294642.6370744864</v>
      </c>
      <c r="G81" s="145">
        <f t="shared" si="22"/>
        <v>10992869.45936366</v>
      </c>
      <c r="H81" s="145">
        <f t="shared" si="22"/>
        <v>13097857.588383786</v>
      </c>
      <c r="I81" s="145">
        <f t="shared" si="22"/>
        <v>13260056.708377479</v>
      </c>
      <c r="J81" s="145">
        <f t="shared" si="22"/>
        <v>13420088.757110782</v>
      </c>
      <c r="K81" s="145">
        <f t="shared" si="22"/>
        <v>13579568.355734933</v>
      </c>
      <c r="L81" s="145">
        <f t="shared" si="22"/>
        <v>13738135.579137659</v>
      </c>
      <c r="M81" s="145">
        <f t="shared" si="22"/>
        <v>13889973.963790368</v>
      </c>
      <c r="N81" s="145">
        <f t="shared" si="22"/>
        <v>14047118.339917311</v>
      </c>
      <c r="O81" s="145">
        <f t="shared" si="22"/>
        <v>14210685.832836999</v>
      </c>
      <c r="P81" s="145">
        <f t="shared" si="22"/>
        <v>14375194.60114697</v>
      </c>
      <c r="Q81" s="145">
        <f t="shared" si="22"/>
        <v>14535977.625663977</v>
      </c>
      <c r="R81" s="145">
        <f t="shared" si="22"/>
        <v>14698558.968860501</v>
      </c>
      <c r="S81" s="145">
        <f t="shared" si="22"/>
        <v>14862958.744489728</v>
      </c>
      <c r="T81" s="145">
        <f t="shared" si="22"/>
        <v>15029197.291272245</v>
      </c>
      <c r="U81" s="145">
        <f t="shared" si="22"/>
        <v>15197295.175412247</v>
      </c>
      <c r="V81" s="145">
        <f t="shared" si="22"/>
        <v>15367273.193141865</v>
      </c>
      <c r="W81" s="145"/>
    </row>
    <row r="82" spans="1:23">
      <c r="A82" s="120"/>
      <c r="B82" s="120"/>
      <c r="C82" s="146"/>
      <c r="D82" s="146"/>
      <c r="E82" s="146"/>
      <c r="F82" s="146"/>
      <c r="G82" s="146"/>
      <c r="H82" s="146"/>
      <c r="I82" s="146"/>
      <c r="J82" s="146"/>
      <c r="K82" s="146"/>
      <c r="L82" s="146"/>
      <c r="M82" s="146"/>
      <c r="N82" s="146"/>
      <c r="O82" s="146"/>
      <c r="P82" s="146"/>
      <c r="Q82" s="146"/>
      <c r="R82" s="146"/>
      <c r="S82" s="146"/>
      <c r="T82" s="146"/>
      <c r="U82" s="146"/>
      <c r="V82" s="146"/>
      <c r="W82" s="146"/>
    </row>
    <row r="83" spans="1:23">
      <c r="A83" s="96" t="s">
        <v>304</v>
      </c>
      <c r="B83" s="96"/>
      <c r="C83" s="111"/>
      <c r="D83" s="127"/>
      <c r="E83" s="128"/>
      <c r="F83" s="190"/>
      <c r="G83" s="120"/>
      <c r="H83" s="130"/>
      <c r="I83" s="120"/>
      <c r="J83" s="78"/>
      <c r="L83" s="78"/>
    </row>
    <row r="84" spans="1:23">
      <c r="A84" s="110"/>
      <c r="B84" s="110"/>
      <c r="C84" s="111"/>
      <c r="D84" s="127"/>
      <c r="E84" s="128"/>
      <c r="F84" s="129"/>
      <c r="G84" s="120"/>
      <c r="H84" s="130"/>
      <c r="I84" s="120"/>
      <c r="J84" s="78"/>
      <c r="L84" s="78"/>
    </row>
    <row r="85" spans="1:23">
      <c r="A85" s="547" t="s">
        <v>210</v>
      </c>
      <c r="B85" s="548"/>
      <c r="C85" s="206">
        <f>C5</f>
        <v>2016</v>
      </c>
      <c r="D85" s="321">
        <f t="shared" ref="D85:V85" si="23">D5</f>
        <v>2017</v>
      </c>
      <c r="E85" s="321">
        <f t="shared" si="23"/>
        <v>2018</v>
      </c>
      <c r="F85" s="321">
        <f t="shared" si="23"/>
        <v>2019</v>
      </c>
      <c r="G85" s="321">
        <f t="shared" si="23"/>
        <v>2020</v>
      </c>
      <c r="H85" s="321">
        <f t="shared" si="23"/>
        <v>2021</v>
      </c>
      <c r="I85" s="321">
        <f t="shared" si="23"/>
        <v>2022</v>
      </c>
      <c r="J85" s="321">
        <f t="shared" si="23"/>
        <v>2023</v>
      </c>
      <c r="K85" s="321">
        <f t="shared" si="23"/>
        <v>2024</v>
      </c>
      <c r="L85" s="321">
        <f t="shared" si="23"/>
        <v>2025</v>
      </c>
      <c r="M85" s="321">
        <f t="shared" si="23"/>
        <v>2026</v>
      </c>
      <c r="N85" s="321">
        <f t="shared" si="23"/>
        <v>2027</v>
      </c>
      <c r="O85" s="321">
        <f t="shared" si="23"/>
        <v>2028</v>
      </c>
      <c r="P85" s="321">
        <f t="shared" si="23"/>
        <v>2029</v>
      </c>
      <c r="Q85" s="321">
        <f t="shared" si="23"/>
        <v>2030</v>
      </c>
      <c r="R85" s="321">
        <f t="shared" si="23"/>
        <v>2031</v>
      </c>
      <c r="S85" s="321">
        <f t="shared" si="23"/>
        <v>2032</v>
      </c>
      <c r="T85" s="321">
        <f t="shared" si="23"/>
        <v>2033</v>
      </c>
      <c r="U85" s="321">
        <f t="shared" si="23"/>
        <v>2034</v>
      </c>
      <c r="V85" s="321">
        <f t="shared" si="23"/>
        <v>2035</v>
      </c>
      <c r="W85" s="321"/>
    </row>
    <row r="86" spans="1:23">
      <c r="A86" s="143" t="str">
        <f>A71</f>
        <v>TOTAL ENABLEMENT COSTS</v>
      </c>
      <c r="B86" s="147"/>
      <c r="C86" s="148">
        <f t="shared" ref="C86:V86" si="24">C71</f>
        <v>21088.678623612119</v>
      </c>
      <c r="D86" s="148">
        <f t="shared" si="24"/>
        <v>85621.152613451457</v>
      </c>
      <c r="E86" s="148">
        <f t="shared" si="24"/>
        <v>87919.865554149394</v>
      </c>
      <c r="F86" s="148">
        <f t="shared" si="24"/>
        <v>90153.788856071435</v>
      </c>
      <c r="G86" s="148">
        <f t="shared" si="24"/>
        <v>92639.366533278924</v>
      </c>
      <c r="H86" s="148">
        <f t="shared" si="24"/>
        <v>72271.450725204471</v>
      </c>
      <c r="I86" s="148">
        <f t="shared" si="24"/>
        <v>5568.8512190099973</v>
      </c>
      <c r="J86" s="148">
        <f t="shared" si="24"/>
        <v>5494.4482417896043</v>
      </c>
      <c r="K86" s="148">
        <f t="shared" si="24"/>
        <v>5475.4807377492571</v>
      </c>
      <c r="L86" s="148">
        <f t="shared" si="24"/>
        <v>5444.1557720884875</v>
      </c>
      <c r="M86" s="148">
        <f t="shared" si="24"/>
        <v>5213.1316957739837</v>
      </c>
      <c r="N86" s="148">
        <f t="shared" si="24"/>
        <v>5395.3045527568293</v>
      </c>
      <c r="O86" s="148">
        <f t="shared" si="24"/>
        <v>5615.832147373254</v>
      </c>
      <c r="P86" s="148">
        <f t="shared" si="24"/>
        <v>5648.1493547960608</v>
      </c>
      <c r="Q86" s="148">
        <f t="shared" si="24"/>
        <v>5520.2318120623095</v>
      </c>
      <c r="R86" s="148">
        <f t="shared" si="24"/>
        <v>5581.9742504363321</v>
      </c>
      <c r="S86" s="148">
        <f t="shared" si="24"/>
        <v>5644.407262834784</v>
      </c>
      <c r="T86" s="148">
        <f t="shared" si="24"/>
        <v>5707.5385731581318</v>
      </c>
      <c r="U86" s="148">
        <f t="shared" si="24"/>
        <v>5771.3759916976978</v>
      </c>
      <c r="V86" s="148">
        <f t="shared" si="24"/>
        <v>5835.9274161002131</v>
      </c>
      <c r="W86" s="148"/>
    </row>
    <row r="87" spans="1:23">
      <c r="A87" s="143" t="str">
        <f>A81</f>
        <v>TOTAL IMPLEMENTATION COST</v>
      </c>
      <c r="B87" s="147"/>
      <c r="C87" s="148">
        <f t="shared" ref="C87:V87" si="25">C81</f>
        <v>614231.72932023008</v>
      </c>
      <c r="D87" s="148">
        <f t="shared" si="25"/>
        <v>3108045.0959513369</v>
      </c>
      <c r="E87" s="148">
        <f t="shared" si="25"/>
        <v>5668811.0891540693</v>
      </c>
      <c r="F87" s="148">
        <f t="shared" si="25"/>
        <v>8294642.6370744864</v>
      </c>
      <c r="G87" s="148">
        <f t="shared" si="25"/>
        <v>10992869.45936366</v>
      </c>
      <c r="H87" s="148">
        <f t="shared" si="25"/>
        <v>13097857.588383786</v>
      </c>
      <c r="I87" s="148">
        <f t="shared" si="25"/>
        <v>13260056.708377479</v>
      </c>
      <c r="J87" s="148">
        <f t="shared" si="25"/>
        <v>13420088.757110782</v>
      </c>
      <c r="K87" s="148">
        <f t="shared" si="25"/>
        <v>13579568.355734933</v>
      </c>
      <c r="L87" s="148">
        <f t="shared" si="25"/>
        <v>13738135.579137659</v>
      </c>
      <c r="M87" s="148">
        <f t="shared" si="25"/>
        <v>13889973.963790368</v>
      </c>
      <c r="N87" s="148">
        <f t="shared" si="25"/>
        <v>14047118.339917311</v>
      </c>
      <c r="O87" s="148">
        <f t="shared" si="25"/>
        <v>14210685.832836999</v>
      </c>
      <c r="P87" s="148">
        <f t="shared" si="25"/>
        <v>14375194.60114697</v>
      </c>
      <c r="Q87" s="148">
        <f t="shared" si="25"/>
        <v>14535977.625663977</v>
      </c>
      <c r="R87" s="148">
        <f t="shared" si="25"/>
        <v>14698558.968860501</v>
      </c>
      <c r="S87" s="148">
        <f t="shared" si="25"/>
        <v>14862958.744489728</v>
      </c>
      <c r="T87" s="148">
        <f t="shared" si="25"/>
        <v>15029197.291272245</v>
      </c>
      <c r="U87" s="148">
        <f t="shared" si="25"/>
        <v>15197295.175412247</v>
      </c>
      <c r="V87" s="148">
        <f t="shared" si="25"/>
        <v>15367273.193141865</v>
      </c>
      <c r="W87" s="148"/>
    </row>
    <row r="88" spans="1:23">
      <c r="A88" s="149" t="s">
        <v>222</v>
      </c>
      <c r="B88" s="147"/>
      <c r="C88" s="150">
        <f t="shared" ref="C88:V88" si="26">SUM(C86:C87)</f>
        <v>635320.40794384223</v>
      </c>
      <c r="D88" s="150">
        <f t="shared" si="26"/>
        <v>3193666.2485647881</v>
      </c>
      <c r="E88" s="150">
        <f t="shared" si="26"/>
        <v>5756730.9547082186</v>
      </c>
      <c r="F88" s="150">
        <f t="shared" si="26"/>
        <v>8384796.4259305578</v>
      </c>
      <c r="G88" s="150">
        <f t="shared" si="26"/>
        <v>11085508.825896939</v>
      </c>
      <c r="H88" s="150">
        <f t="shared" si="26"/>
        <v>13170129.039108992</v>
      </c>
      <c r="I88" s="150">
        <f t="shared" si="26"/>
        <v>13265625.559596488</v>
      </c>
      <c r="J88" s="150">
        <f t="shared" si="26"/>
        <v>13425583.205352571</v>
      </c>
      <c r="K88" s="150">
        <f t="shared" si="26"/>
        <v>13585043.836472683</v>
      </c>
      <c r="L88" s="150">
        <f t="shared" si="26"/>
        <v>13743579.734909747</v>
      </c>
      <c r="M88" s="150">
        <f t="shared" si="26"/>
        <v>13895187.095486142</v>
      </c>
      <c r="N88" s="150">
        <f t="shared" si="26"/>
        <v>14052513.644470068</v>
      </c>
      <c r="O88" s="150">
        <f t="shared" si="26"/>
        <v>14216301.664984372</v>
      </c>
      <c r="P88" s="150">
        <f t="shared" si="26"/>
        <v>14380842.750501767</v>
      </c>
      <c r="Q88" s="150">
        <f t="shared" si="26"/>
        <v>14541497.857476039</v>
      </c>
      <c r="R88" s="150">
        <f t="shared" si="26"/>
        <v>14704140.943110937</v>
      </c>
      <c r="S88" s="150">
        <f t="shared" si="26"/>
        <v>14868603.151752563</v>
      </c>
      <c r="T88" s="150">
        <f t="shared" si="26"/>
        <v>15034904.829845404</v>
      </c>
      <c r="U88" s="150">
        <f t="shared" si="26"/>
        <v>15203066.551403945</v>
      </c>
      <c r="V88" s="150">
        <f t="shared" si="26"/>
        <v>15373109.120557966</v>
      </c>
      <c r="W88" s="150"/>
    </row>
    <row r="101" spans="1:1">
      <c r="A101" s="384"/>
    </row>
  </sheetData>
  <mergeCells count="15">
    <mergeCell ref="A85:B85"/>
    <mergeCell ref="B75:B76"/>
    <mergeCell ref="A75:A76"/>
    <mergeCell ref="A1:W1"/>
    <mergeCell ref="C4:W4"/>
    <mergeCell ref="C35:W35"/>
    <mergeCell ref="A45:A46"/>
    <mergeCell ref="B45:B46"/>
    <mergeCell ref="C45:W45"/>
    <mergeCell ref="A65:A66"/>
    <mergeCell ref="B65:B66"/>
    <mergeCell ref="C65:W65"/>
    <mergeCell ref="C75:W75"/>
    <mergeCell ref="B55:B56"/>
    <mergeCell ref="C55:W55"/>
  </mergeCells>
  <pageMargins left="0.75" right="0.75" top="1" bottom="1" header="0.5" footer="0.5"/>
  <pageSetup orientation="portrait" r:id="rId1"/>
  <headerFooter alignWithMargins="0"/>
</worksheet>
</file>

<file path=xl/worksheets/sheet16.xml><?xml version="1.0" encoding="utf-8"?>
<worksheet xmlns="http://schemas.openxmlformats.org/spreadsheetml/2006/main" xmlns:r="http://schemas.openxmlformats.org/officeDocument/2006/relationships">
  <sheetPr>
    <tabColor theme="4" tint="0.39997558519241921"/>
  </sheetPr>
  <dimension ref="A1:X118"/>
  <sheetViews>
    <sheetView topLeftCell="A67" workbookViewId="0">
      <selection activeCell="J59" sqref="J59"/>
    </sheetView>
  </sheetViews>
  <sheetFormatPr defaultRowHeight="12.75"/>
  <cols>
    <col min="1" max="1" width="33.85546875" style="76" customWidth="1"/>
    <col min="2" max="2" width="30.5703125" style="76" customWidth="1"/>
    <col min="3" max="4" width="15" style="76" customWidth="1"/>
    <col min="5" max="5" width="17" style="76" bestFit="1" customWidth="1"/>
    <col min="6" max="7" width="12.85546875" style="76" customWidth="1"/>
    <col min="8" max="8" width="13.7109375" style="76" customWidth="1"/>
    <col min="9" max="23" width="12.85546875" style="76" customWidth="1"/>
    <col min="24" max="255" width="9.140625" style="76"/>
    <col min="256" max="256" width="33.85546875" style="76" customWidth="1"/>
    <col min="257" max="257" width="19.28515625" style="76" customWidth="1"/>
    <col min="258" max="279" width="12.85546875" style="76" customWidth="1"/>
    <col min="280" max="511" width="9.140625" style="76"/>
    <col min="512" max="512" width="33.85546875" style="76" customWidth="1"/>
    <col min="513" max="513" width="19.28515625" style="76" customWidth="1"/>
    <col min="514" max="535" width="12.85546875" style="76" customWidth="1"/>
    <col min="536" max="767" width="9.140625" style="76"/>
    <col min="768" max="768" width="33.85546875" style="76" customWidth="1"/>
    <col min="769" max="769" width="19.28515625" style="76" customWidth="1"/>
    <col min="770" max="791" width="12.85546875" style="76" customWidth="1"/>
    <col min="792" max="1023" width="9.140625" style="76"/>
    <col min="1024" max="1024" width="33.85546875" style="76" customWidth="1"/>
    <col min="1025" max="1025" width="19.28515625" style="76" customWidth="1"/>
    <col min="1026" max="1047" width="12.85546875" style="76" customWidth="1"/>
    <col min="1048" max="1279" width="9.140625" style="76"/>
    <col min="1280" max="1280" width="33.85546875" style="76" customWidth="1"/>
    <col min="1281" max="1281" width="19.28515625" style="76" customWidth="1"/>
    <col min="1282" max="1303" width="12.85546875" style="76" customWidth="1"/>
    <col min="1304" max="1535" width="9.140625" style="76"/>
    <col min="1536" max="1536" width="33.85546875" style="76" customWidth="1"/>
    <col min="1537" max="1537" width="19.28515625" style="76" customWidth="1"/>
    <col min="1538" max="1559" width="12.85546875" style="76" customWidth="1"/>
    <col min="1560" max="1791" width="9.140625" style="76"/>
    <col min="1792" max="1792" width="33.85546875" style="76" customWidth="1"/>
    <col min="1793" max="1793" width="19.28515625" style="76" customWidth="1"/>
    <col min="1794" max="1815" width="12.85546875" style="76" customWidth="1"/>
    <col min="1816" max="2047" width="9.140625" style="76"/>
    <col min="2048" max="2048" width="33.85546875" style="76" customWidth="1"/>
    <col min="2049" max="2049" width="19.28515625" style="76" customWidth="1"/>
    <col min="2050" max="2071" width="12.85546875" style="76" customWidth="1"/>
    <col min="2072" max="2303" width="9.140625" style="76"/>
    <col min="2304" max="2304" width="33.85546875" style="76" customWidth="1"/>
    <col min="2305" max="2305" width="19.28515625" style="76" customWidth="1"/>
    <col min="2306" max="2327" width="12.85546875" style="76" customWidth="1"/>
    <col min="2328" max="2559" width="9.140625" style="76"/>
    <col min="2560" max="2560" width="33.85546875" style="76" customWidth="1"/>
    <col min="2561" max="2561" width="19.28515625" style="76" customWidth="1"/>
    <col min="2562" max="2583" width="12.85546875" style="76" customWidth="1"/>
    <col min="2584" max="2815" width="9.140625" style="76"/>
    <col min="2816" max="2816" width="33.85546875" style="76" customWidth="1"/>
    <col min="2817" max="2817" width="19.28515625" style="76" customWidth="1"/>
    <col min="2818" max="2839" width="12.85546875" style="76" customWidth="1"/>
    <col min="2840" max="3071" width="9.140625" style="76"/>
    <col min="3072" max="3072" width="33.85546875" style="76" customWidth="1"/>
    <col min="3073" max="3073" width="19.28515625" style="76" customWidth="1"/>
    <col min="3074" max="3095" width="12.85546875" style="76" customWidth="1"/>
    <col min="3096" max="3327" width="9.140625" style="76"/>
    <col min="3328" max="3328" width="33.85546875" style="76" customWidth="1"/>
    <col min="3329" max="3329" width="19.28515625" style="76" customWidth="1"/>
    <col min="3330" max="3351" width="12.85546875" style="76" customWidth="1"/>
    <col min="3352" max="3583" width="9.140625" style="76"/>
    <col min="3584" max="3584" width="33.85546875" style="76" customWidth="1"/>
    <col min="3585" max="3585" width="19.28515625" style="76" customWidth="1"/>
    <col min="3586" max="3607" width="12.85546875" style="76" customWidth="1"/>
    <col min="3608" max="3839" width="9.140625" style="76"/>
    <col min="3840" max="3840" width="33.85546875" style="76" customWidth="1"/>
    <col min="3841" max="3841" width="19.28515625" style="76" customWidth="1"/>
    <col min="3842" max="3863" width="12.85546875" style="76" customWidth="1"/>
    <col min="3864" max="4095" width="9.140625" style="76"/>
    <col min="4096" max="4096" width="33.85546875" style="76" customWidth="1"/>
    <col min="4097" max="4097" width="19.28515625" style="76" customWidth="1"/>
    <col min="4098" max="4119" width="12.85546875" style="76" customWidth="1"/>
    <col min="4120" max="4351" width="9.140625" style="76"/>
    <col min="4352" max="4352" width="33.85546875" style="76" customWidth="1"/>
    <col min="4353" max="4353" width="19.28515625" style="76" customWidth="1"/>
    <col min="4354" max="4375" width="12.85546875" style="76" customWidth="1"/>
    <col min="4376" max="4607" width="9.140625" style="76"/>
    <col min="4608" max="4608" width="33.85546875" style="76" customWidth="1"/>
    <col min="4609" max="4609" width="19.28515625" style="76" customWidth="1"/>
    <col min="4610" max="4631" width="12.85546875" style="76" customWidth="1"/>
    <col min="4632" max="4863" width="9.140625" style="76"/>
    <col min="4864" max="4864" width="33.85546875" style="76" customWidth="1"/>
    <col min="4865" max="4865" width="19.28515625" style="76" customWidth="1"/>
    <col min="4866" max="4887" width="12.85546875" style="76" customWidth="1"/>
    <col min="4888" max="5119" width="9.140625" style="76"/>
    <col min="5120" max="5120" width="33.85546875" style="76" customWidth="1"/>
    <col min="5121" max="5121" width="19.28515625" style="76" customWidth="1"/>
    <col min="5122" max="5143" width="12.85546875" style="76" customWidth="1"/>
    <col min="5144" max="5375" width="9.140625" style="76"/>
    <col min="5376" max="5376" width="33.85546875" style="76" customWidth="1"/>
    <col min="5377" max="5377" width="19.28515625" style="76" customWidth="1"/>
    <col min="5378" max="5399" width="12.85546875" style="76" customWidth="1"/>
    <col min="5400" max="5631" width="9.140625" style="76"/>
    <col min="5632" max="5632" width="33.85546875" style="76" customWidth="1"/>
    <col min="5633" max="5633" width="19.28515625" style="76" customWidth="1"/>
    <col min="5634" max="5655" width="12.85546875" style="76" customWidth="1"/>
    <col min="5656" max="5887" width="9.140625" style="76"/>
    <col min="5888" max="5888" width="33.85546875" style="76" customWidth="1"/>
    <col min="5889" max="5889" width="19.28515625" style="76" customWidth="1"/>
    <col min="5890" max="5911" width="12.85546875" style="76" customWidth="1"/>
    <col min="5912" max="6143" width="9.140625" style="76"/>
    <col min="6144" max="6144" width="33.85546875" style="76" customWidth="1"/>
    <col min="6145" max="6145" width="19.28515625" style="76" customWidth="1"/>
    <col min="6146" max="6167" width="12.85546875" style="76" customWidth="1"/>
    <col min="6168" max="6399" width="9.140625" style="76"/>
    <col min="6400" max="6400" width="33.85546875" style="76" customWidth="1"/>
    <col min="6401" max="6401" width="19.28515625" style="76" customWidth="1"/>
    <col min="6402" max="6423" width="12.85546875" style="76" customWidth="1"/>
    <col min="6424" max="6655" width="9.140625" style="76"/>
    <col min="6656" max="6656" width="33.85546875" style="76" customWidth="1"/>
    <col min="6657" max="6657" width="19.28515625" style="76" customWidth="1"/>
    <col min="6658" max="6679" width="12.85546875" style="76" customWidth="1"/>
    <col min="6680" max="6911" width="9.140625" style="76"/>
    <col min="6912" max="6912" width="33.85546875" style="76" customWidth="1"/>
    <col min="6913" max="6913" width="19.28515625" style="76" customWidth="1"/>
    <col min="6914" max="6935" width="12.85546875" style="76" customWidth="1"/>
    <col min="6936" max="7167" width="9.140625" style="76"/>
    <col min="7168" max="7168" width="33.85546875" style="76" customWidth="1"/>
    <col min="7169" max="7169" width="19.28515625" style="76" customWidth="1"/>
    <col min="7170" max="7191" width="12.85546875" style="76" customWidth="1"/>
    <col min="7192" max="7423" width="9.140625" style="76"/>
    <col min="7424" max="7424" width="33.85546875" style="76" customWidth="1"/>
    <col min="7425" max="7425" width="19.28515625" style="76" customWidth="1"/>
    <col min="7426" max="7447" width="12.85546875" style="76" customWidth="1"/>
    <col min="7448" max="7679" width="9.140625" style="76"/>
    <col min="7680" max="7680" width="33.85546875" style="76" customWidth="1"/>
    <col min="7681" max="7681" width="19.28515625" style="76" customWidth="1"/>
    <col min="7682" max="7703" width="12.85546875" style="76" customWidth="1"/>
    <col min="7704" max="7935" width="9.140625" style="76"/>
    <col min="7936" max="7936" width="33.85546875" style="76" customWidth="1"/>
    <col min="7937" max="7937" width="19.28515625" style="76" customWidth="1"/>
    <col min="7938" max="7959" width="12.85546875" style="76" customWidth="1"/>
    <col min="7960" max="8191" width="9.140625" style="76"/>
    <col min="8192" max="8192" width="33.85546875" style="76" customWidth="1"/>
    <col min="8193" max="8193" width="19.28515625" style="76" customWidth="1"/>
    <col min="8194" max="8215" width="12.85546875" style="76" customWidth="1"/>
    <col min="8216" max="8447" width="9.140625" style="76"/>
    <col min="8448" max="8448" width="33.85546875" style="76" customWidth="1"/>
    <col min="8449" max="8449" width="19.28515625" style="76" customWidth="1"/>
    <col min="8450" max="8471" width="12.85546875" style="76" customWidth="1"/>
    <col min="8472" max="8703" width="9.140625" style="76"/>
    <col min="8704" max="8704" width="33.85546875" style="76" customWidth="1"/>
    <col min="8705" max="8705" width="19.28515625" style="76" customWidth="1"/>
    <col min="8706" max="8727" width="12.85546875" style="76" customWidth="1"/>
    <col min="8728" max="8959" width="9.140625" style="76"/>
    <col min="8960" max="8960" width="33.85546875" style="76" customWidth="1"/>
    <col min="8961" max="8961" width="19.28515625" style="76" customWidth="1"/>
    <col min="8962" max="8983" width="12.85546875" style="76" customWidth="1"/>
    <col min="8984" max="9215" width="9.140625" style="76"/>
    <col min="9216" max="9216" width="33.85546875" style="76" customWidth="1"/>
    <col min="9217" max="9217" width="19.28515625" style="76" customWidth="1"/>
    <col min="9218" max="9239" width="12.85546875" style="76" customWidth="1"/>
    <col min="9240" max="9471" width="9.140625" style="76"/>
    <col min="9472" max="9472" width="33.85546875" style="76" customWidth="1"/>
    <col min="9473" max="9473" width="19.28515625" style="76" customWidth="1"/>
    <col min="9474" max="9495" width="12.85546875" style="76" customWidth="1"/>
    <col min="9496" max="9727" width="9.140625" style="76"/>
    <col min="9728" max="9728" width="33.85546875" style="76" customWidth="1"/>
    <col min="9729" max="9729" width="19.28515625" style="76" customWidth="1"/>
    <col min="9730" max="9751" width="12.85546875" style="76" customWidth="1"/>
    <col min="9752" max="9983" width="9.140625" style="76"/>
    <col min="9984" max="9984" width="33.85546875" style="76" customWidth="1"/>
    <col min="9985" max="9985" width="19.28515625" style="76" customWidth="1"/>
    <col min="9986" max="10007" width="12.85546875" style="76" customWidth="1"/>
    <col min="10008" max="10239" width="9.140625" style="76"/>
    <col min="10240" max="10240" width="33.85546875" style="76" customWidth="1"/>
    <col min="10241" max="10241" width="19.28515625" style="76" customWidth="1"/>
    <col min="10242" max="10263" width="12.85546875" style="76" customWidth="1"/>
    <col min="10264" max="10495" width="9.140625" style="76"/>
    <col min="10496" max="10496" width="33.85546875" style="76" customWidth="1"/>
    <col min="10497" max="10497" width="19.28515625" style="76" customWidth="1"/>
    <col min="10498" max="10519" width="12.85546875" style="76" customWidth="1"/>
    <col min="10520" max="10751" width="9.140625" style="76"/>
    <col min="10752" max="10752" width="33.85546875" style="76" customWidth="1"/>
    <col min="10753" max="10753" width="19.28515625" style="76" customWidth="1"/>
    <col min="10754" max="10775" width="12.85546875" style="76" customWidth="1"/>
    <col min="10776" max="11007" width="9.140625" style="76"/>
    <col min="11008" max="11008" width="33.85546875" style="76" customWidth="1"/>
    <col min="11009" max="11009" width="19.28515625" style="76" customWidth="1"/>
    <col min="11010" max="11031" width="12.85546875" style="76" customWidth="1"/>
    <col min="11032" max="11263" width="9.140625" style="76"/>
    <col min="11264" max="11264" width="33.85546875" style="76" customWidth="1"/>
    <col min="11265" max="11265" width="19.28515625" style="76" customWidth="1"/>
    <col min="11266" max="11287" width="12.85546875" style="76" customWidth="1"/>
    <col min="11288" max="11519" width="9.140625" style="76"/>
    <col min="11520" max="11520" width="33.85546875" style="76" customWidth="1"/>
    <col min="11521" max="11521" width="19.28515625" style="76" customWidth="1"/>
    <col min="11522" max="11543" width="12.85546875" style="76" customWidth="1"/>
    <col min="11544" max="11775" width="9.140625" style="76"/>
    <col min="11776" max="11776" width="33.85546875" style="76" customWidth="1"/>
    <col min="11777" max="11777" width="19.28515625" style="76" customWidth="1"/>
    <col min="11778" max="11799" width="12.85546875" style="76" customWidth="1"/>
    <col min="11800" max="12031" width="9.140625" style="76"/>
    <col min="12032" max="12032" width="33.85546875" style="76" customWidth="1"/>
    <col min="12033" max="12033" width="19.28515625" style="76" customWidth="1"/>
    <col min="12034" max="12055" width="12.85546875" style="76" customWidth="1"/>
    <col min="12056" max="12287" width="9.140625" style="76"/>
    <col min="12288" max="12288" width="33.85546875" style="76" customWidth="1"/>
    <col min="12289" max="12289" width="19.28515625" style="76" customWidth="1"/>
    <col min="12290" max="12311" width="12.85546875" style="76" customWidth="1"/>
    <col min="12312" max="12543" width="9.140625" style="76"/>
    <col min="12544" max="12544" width="33.85546875" style="76" customWidth="1"/>
    <col min="12545" max="12545" width="19.28515625" style="76" customWidth="1"/>
    <col min="12546" max="12567" width="12.85546875" style="76" customWidth="1"/>
    <col min="12568" max="12799" width="9.140625" style="76"/>
    <col min="12800" max="12800" width="33.85546875" style="76" customWidth="1"/>
    <col min="12801" max="12801" width="19.28515625" style="76" customWidth="1"/>
    <col min="12802" max="12823" width="12.85546875" style="76" customWidth="1"/>
    <col min="12824" max="13055" width="9.140625" style="76"/>
    <col min="13056" max="13056" width="33.85546875" style="76" customWidth="1"/>
    <col min="13057" max="13057" width="19.28515625" style="76" customWidth="1"/>
    <col min="13058" max="13079" width="12.85546875" style="76" customWidth="1"/>
    <col min="13080" max="13311" width="9.140625" style="76"/>
    <col min="13312" max="13312" width="33.85546875" style="76" customWidth="1"/>
    <col min="13313" max="13313" width="19.28515625" style="76" customWidth="1"/>
    <col min="13314" max="13335" width="12.85546875" style="76" customWidth="1"/>
    <col min="13336" max="13567" width="9.140625" style="76"/>
    <col min="13568" max="13568" width="33.85546875" style="76" customWidth="1"/>
    <col min="13569" max="13569" width="19.28515625" style="76" customWidth="1"/>
    <col min="13570" max="13591" width="12.85546875" style="76" customWidth="1"/>
    <col min="13592" max="13823" width="9.140625" style="76"/>
    <col min="13824" max="13824" width="33.85546875" style="76" customWidth="1"/>
    <col min="13825" max="13825" width="19.28515625" style="76" customWidth="1"/>
    <col min="13826" max="13847" width="12.85546875" style="76" customWidth="1"/>
    <col min="13848" max="14079" width="9.140625" style="76"/>
    <col min="14080" max="14080" width="33.85546875" style="76" customWidth="1"/>
    <col min="14081" max="14081" width="19.28515625" style="76" customWidth="1"/>
    <col min="14082" max="14103" width="12.85546875" style="76" customWidth="1"/>
    <col min="14104" max="14335" width="9.140625" style="76"/>
    <col min="14336" max="14336" width="33.85546875" style="76" customWidth="1"/>
    <col min="14337" max="14337" width="19.28515625" style="76" customWidth="1"/>
    <col min="14338" max="14359" width="12.85546875" style="76" customWidth="1"/>
    <col min="14360" max="14591" width="9.140625" style="76"/>
    <col min="14592" max="14592" width="33.85546875" style="76" customWidth="1"/>
    <col min="14593" max="14593" width="19.28515625" style="76" customWidth="1"/>
    <col min="14594" max="14615" width="12.85546875" style="76" customWidth="1"/>
    <col min="14616" max="14847" width="9.140625" style="76"/>
    <col min="14848" max="14848" width="33.85546875" style="76" customWidth="1"/>
    <col min="14849" max="14849" width="19.28515625" style="76" customWidth="1"/>
    <col min="14850" max="14871" width="12.85546875" style="76" customWidth="1"/>
    <col min="14872" max="15103" width="9.140625" style="76"/>
    <col min="15104" max="15104" width="33.85546875" style="76" customWidth="1"/>
    <col min="15105" max="15105" width="19.28515625" style="76" customWidth="1"/>
    <col min="15106" max="15127" width="12.85546875" style="76" customWidth="1"/>
    <col min="15128" max="15359" width="9.140625" style="76"/>
    <col min="15360" max="15360" width="33.85546875" style="76" customWidth="1"/>
    <col min="15361" max="15361" width="19.28515625" style="76" customWidth="1"/>
    <col min="15362" max="15383" width="12.85546875" style="76" customWidth="1"/>
    <col min="15384" max="15615" width="9.140625" style="76"/>
    <col min="15616" max="15616" width="33.85546875" style="76" customWidth="1"/>
    <col min="15617" max="15617" width="19.28515625" style="76" customWidth="1"/>
    <col min="15618" max="15639" width="12.85546875" style="76" customWidth="1"/>
    <col min="15640" max="15871" width="9.140625" style="76"/>
    <col min="15872" max="15872" width="33.85546875" style="76" customWidth="1"/>
    <col min="15873" max="15873" width="19.28515625" style="76" customWidth="1"/>
    <col min="15874" max="15895" width="12.85546875" style="76" customWidth="1"/>
    <col min="15896" max="16127" width="9.140625" style="76"/>
    <col min="16128" max="16128" width="33.85546875" style="76" customWidth="1"/>
    <col min="16129" max="16129" width="19.28515625" style="76" customWidth="1"/>
    <col min="16130" max="16151" width="12.85546875" style="76" customWidth="1"/>
    <col min="16152" max="16384" width="9.140625" style="76"/>
  </cols>
  <sheetData>
    <row r="1" spans="1:23" ht="16.5" thickBot="1">
      <c r="A1" s="526" t="s">
        <v>297</v>
      </c>
      <c r="B1" s="527"/>
      <c r="C1" s="527"/>
      <c r="D1" s="527"/>
      <c r="E1" s="527"/>
      <c r="F1" s="527"/>
      <c r="G1" s="527"/>
      <c r="H1" s="527"/>
      <c r="I1" s="527"/>
      <c r="J1" s="527"/>
      <c r="K1" s="527"/>
      <c r="L1" s="527"/>
      <c r="M1" s="527"/>
      <c r="N1" s="527"/>
      <c r="O1" s="527"/>
      <c r="P1" s="527"/>
      <c r="Q1" s="527"/>
      <c r="R1" s="527"/>
      <c r="S1" s="527"/>
      <c r="T1" s="527"/>
      <c r="U1" s="527"/>
      <c r="V1" s="527"/>
      <c r="W1" s="528"/>
    </row>
    <row r="2" spans="1:23" ht="16.5" thickBot="1">
      <c r="A2" s="178" t="s">
        <v>231</v>
      </c>
      <c r="B2" s="179"/>
      <c r="C2" s="179"/>
      <c r="D2" s="179"/>
      <c r="E2" s="179"/>
      <c r="F2" s="179"/>
      <c r="G2" s="179"/>
      <c r="H2" s="179"/>
      <c r="I2" s="179"/>
      <c r="J2" s="179"/>
      <c r="K2" s="179"/>
      <c r="L2" s="179"/>
      <c r="M2" s="180"/>
      <c r="N2" s="180"/>
      <c r="O2" s="180"/>
      <c r="P2" s="180"/>
      <c r="Q2" s="180"/>
      <c r="R2" s="180"/>
      <c r="S2" s="180"/>
      <c r="T2" s="180"/>
      <c r="U2" s="180"/>
      <c r="V2" s="180"/>
      <c r="W2" s="181"/>
    </row>
    <row r="3" spans="1:23" ht="15.75">
      <c r="A3" s="151" t="s">
        <v>229</v>
      </c>
      <c r="B3" s="152"/>
      <c r="C3" s="152"/>
      <c r="D3" s="153"/>
      <c r="E3" s="153"/>
      <c r="F3" s="153"/>
      <c r="G3" s="153"/>
      <c r="H3" s="153"/>
      <c r="I3" s="153"/>
      <c r="J3" s="153"/>
      <c r="K3" s="153"/>
      <c r="L3" s="153"/>
      <c r="M3" s="154"/>
      <c r="N3" s="154"/>
      <c r="O3" s="154"/>
      <c r="P3" s="154"/>
      <c r="Q3" s="154"/>
      <c r="R3" s="154"/>
      <c r="S3" s="154"/>
      <c r="T3" s="154"/>
      <c r="U3" s="154"/>
      <c r="V3" s="154"/>
      <c r="W3" s="155"/>
    </row>
    <row r="4" spans="1:23">
      <c r="A4" s="156"/>
      <c r="B4" s="157"/>
      <c r="C4" s="529" t="s">
        <v>226</v>
      </c>
      <c r="D4" s="529"/>
      <c r="E4" s="529"/>
      <c r="F4" s="529"/>
      <c r="G4" s="529"/>
      <c r="H4" s="529"/>
      <c r="I4" s="529"/>
      <c r="J4" s="529"/>
      <c r="K4" s="529"/>
      <c r="L4" s="529"/>
      <c r="M4" s="529"/>
      <c r="N4" s="529"/>
      <c r="O4" s="529"/>
      <c r="P4" s="529"/>
      <c r="Q4" s="529"/>
      <c r="R4" s="529"/>
      <c r="S4" s="529"/>
      <c r="T4" s="529"/>
      <c r="U4" s="529"/>
      <c r="V4" s="529"/>
      <c r="W4" s="530"/>
    </row>
    <row r="5" spans="1:23">
      <c r="A5" s="156"/>
      <c r="B5" s="158" t="s">
        <v>1</v>
      </c>
      <c r="C5" s="159">
        <v>2016</v>
      </c>
      <c r="D5" s="159">
        <v>2017</v>
      </c>
      <c r="E5" s="159">
        <v>2018</v>
      </c>
      <c r="F5" s="159">
        <v>2019</v>
      </c>
      <c r="G5" s="159">
        <v>2020</v>
      </c>
      <c r="H5" s="159">
        <v>2021</v>
      </c>
      <c r="I5" s="159">
        <v>2022</v>
      </c>
      <c r="J5" s="159">
        <v>2023</v>
      </c>
      <c r="K5" s="159">
        <v>2024</v>
      </c>
      <c r="L5" s="159">
        <v>2025</v>
      </c>
      <c r="M5" s="159">
        <v>2026</v>
      </c>
      <c r="N5" s="159">
        <v>2027</v>
      </c>
      <c r="O5" s="159">
        <v>2028</v>
      </c>
      <c r="P5" s="159">
        <v>2029</v>
      </c>
      <c r="Q5" s="159">
        <v>2030</v>
      </c>
      <c r="R5" s="159">
        <v>2031</v>
      </c>
      <c r="S5" s="159">
        <v>2032</v>
      </c>
      <c r="T5" s="159">
        <v>2033</v>
      </c>
      <c r="U5" s="159">
        <v>2034</v>
      </c>
      <c r="V5" s="160">
        <v>2035</v>
      </c>
      <c r="W5" s="160"/>
    </row>
    <row r="6" spans="1:23" ht="13.5" thickBot="1">
      <c r="A6" s="161"/>
      <c r="B6" s="162" t="s">
        <v>230</v>
      </c>
      <c r="C6" s="326">
        <f>HLOOKUP('Res-Capacity-Base'!C$5,'NW Customers'!$B$2:$AO$5,2)</f>
        <v>6345977</v>
      </c>
      <c r="D6" s="326">
        <f>HLOOKUP('Res-Capacity-Base'!D$5,'NW Customers'!$B$2:$AO$5,2)</f>
        <v>6441457</v>
      </c>
      <c r="E6" s="326">
        <f>HLOOKUP('Res-Capacity-Base'!E$5,'NW Customers'!$B$2:$AO$5,2)</f>
        <v>6536223</v>
      </c>
      <c r="F6" s="326">
        <f>HLOOKUP('Res-Capacity-Base'!F$5,'NW Customers'!$B$2:$AO$5,2)</f>
        <v>6630423</v>
      </c>
      <c r="G6" s="326">
        <f>HLOOKUP('Res-Capacity-Base'!G$5,'NW Customers'!$B$2:$AO$5,2)</f>
        <v>6724196</v>
      </c>
      <c r="H6" s="326">
        <f>HLOOKUP('Res-Capacity-Base'!H$5,'NW Customers'!$B$2:$AO$5,2)</f>
        <v>6816156</v>
      </c>
      <c r="I6" s="326">
        <f>HLOOKUP('Res-Capacity-Base'!I$5,'NW Customers'!$B$2:$AO$5,2)</f>
        <v>6907512</v>
      </c>
      <c r="J6" s="326">
        <f>HLOOKUP('Res-Capacity-Base'!J$5,'NW Customers'!$B$2:$AO$5,2)</f>
        <v>6998378</v>
      </c>
      <c r="K6" s="326">
        <f>HLOOKUP('Res-Capacity-Base'!K$5,'NW Customers'!$B$2:$AO$5,2)</f>
        <v>7088375</v>
      </c>
      <c r="L6" s="326">
        <f>HLOOKUP('Res-Capacity-Base'!L$5,'NW Customers'!$B$2:$AO$5,2)</f>
        <v>7177924</v>
      </c>
      <c r="M6" s="326">
        <f>HLOOKUP('Res-Capacity-Base'!M$5,'NW Customers'!$B$2:$AO$5,2)</f>
        <v>7266466</v>
      </c>
      <c r="N6" s="326">
        <f>HLOOKUP('Res-Capacity-Base'!N$5,'NW Customers'!$B$2:$AO$5,2)</f>
        <v>7353492</v>
      </c>
      <c r="O6" s="326">
        <f>HLOOKUP('Res-Capacity-Base'!O$5,'NW Customers'!$B$2:$AO$5,2)</f>
        <v>7438640</v>
      </c>
      <c r="P6" s="326">
        <f>HLOOKUP('Res-Capacity-Base'!P$5,'NW Customers'!$B$2:$AO$5,2)</f>
        <v>7522347</v>
      </c>
      <c r="Q6" s="326">
        <f>HLOOKUP('Res-Capacity-Base'!Q$5,'NW Customers'!$B$2:$AO$5,2)</f>
        <v>7605304</v>
      </c>
      <c r="R6" s="326">
        <f>HLOOKUP('Res-Capacity-Base'!R$5,'NW Customers'!$B$2:$AO$5,2)</f>
        <v>7689175.8559417697</v>
      </c>
      <c r="S6" s="326">
        <f>HLOOKUP('Res-Capacity-Base'!S$5,'NW Customers'!$B$2:$AO$5,2)</f>
        <v>7773972.6569244107</v>
      </c>
      <c r="T6" s="326">
        <f>HLOOKUP('Res-Capacity-Base'!T$5,'NW Customers'!$B$2:$AO$5,2)</f>
        <v>7859704.6033103568</v>
      </c>
      <c r="U6" s="326">
        <f>HLOOKUP('Res-Capacity-Base'!U$5,'NW Customers'!$B$2:$AO$5,2)</f>
        <v>7946382.0079523949</v>
      </c>
      <c r="V6" s="326">
        <f>HLOOKUP('Res-Capacity-Base'!V$5,'NW Customers'!$B$2:$AO$5,2)</f>
        <v>8034015.2974342164</v>
      </c>
      <c r="W6" s="169"/>
    </row>
    <row r="7" spans="1:23" ht="16.5" thickBot="1">
      <c r="A7" s="170"/>
      <c r="B7" s="170"/>
      <c r="C7" s="170"/>
      <c r="D7" s="171"/>
      <c r="E7" s="171"/>
      <c r="F7" s="171"/>
      <c r="G7" s="171"/>
      <c r="H7" s="171"/>
      <c r="I7" s="171"/>
      <c r="J7" s="171"/>
      <c r="K7" s="171"/>
      <c r="L7" s="171"/>
      <c r="M7" s="172"/>
      <c r="N7" s="172"/>
      <c r="O7" s="172"/>
      <c r="P7" s="172"/>
      <c r="Q7" s="172"/>
      <c r="R7" s="172"/>
      <c r="S7" s="172"/>
      <c r="T7" s="172"/>
      <c r="U7" s="172"/>
      <c r="V7" s="172"/>
      <c r="W7" s="172"/>
    </row>
    <row r="8" spans="1:23" ht="15.75">
      <c r="A8" s="151" t="s">
        <v>241</v>
      </c>
      <c r="B8" s="152"/>
      <c r="C8" s="152"/>
      <c r="D8" s="153"/>
      <c r="E8" s="153"/>
      <c r="F8" s="153"/>
      <c r="G8" s="153"/>
      <c r="H8" s="153"/>
      <c r="I8" s="153"/>
      <c r="J8" s="153"/>
      <c r="K8" s="153"/>
      <c r="L8" s="153"/>
      <c r="M8" s="154"/>
      <c r="N8" s="154"/>
      <c r="O8" s="154"/>
      <c r="P8" s="154"/>
      <c r="Q8" s="154"/>
      <c r="R8" s="154"/>
      <c r="S8" s="154"/>
      <c r="T8" s="154"/>
      <c r="U8" s="154"/>
      <c r="V8" s="154"/>
      <c r="W8" s="155"/>
    </row>
    <row r="9" spans="1:23" ht="15.75">
      <c r="A9" s="185"/>
      <c r="B9" s="158" t="s">
        <v>237</v>
      </c>
      <c r="C9" s="174">
        <f>KeyAssumptions!AA4</f>
        <v>0.33</v>
      </c>
      <c r="D9" s="163"/>
      <c r="E9" s="163"/>
      <c r="F9" s="163"/>
      <c r="G9" s="163"/>
      <c r="H9" s="163"/>
      <c r="I9" s="163"/>
      <c r="J9" s="163"/>
      <c r="K9" s="163"/>
      <c r="L9" s="163"/>
      <c r="M9" s="164"/>
      <c r="N9" s="164"/>
      <c r="O9" s="164"/>
      <c r="P9" s="164"/>
      <c r="Q9" s="164"/>
      <c r="R9" s="164"/>
      <c r="S9" s="164"/>
      <c r="T9" s="164"/>
      <c r="U9" s="164"/>
      <c r="V9" s="164"/>
      <c r="W9" s="165"/>
    </row>
    <row r="10" spans="1:23" ht="15.75">
      <c r="A10" s="185"/>
      <c r="B10" s="158" t="s">
        <v>203</v>
      </c>
      <c r="C10" s="174">
        <f>KeyAssumptions!AB4</f>
        <v>0.25</v>
      </c>
      <c r="D10" s="163"/>
      <c r="E10" s="163"/>
      <c r="F10" s="163"/>
      <c r="G10" s="163"/>
      <c r="H10" s="163"/>
      <c r="I10" s="163"/>
      <c r="J10" s="163"/>
      <c r="K10" s="163"/>
      <c r="L10" s="163"/>
      <c r="M10" s="164"/>
      <c r="N10" s="164"/>
      <c r="O10" s="164"/>
      <c r="P10" s="164"/>
      <c r="Q10" s="164"/>
      <c r="R10" s="164"/>
      <c r="S10" s="164"/>
      <c r="T10" s="164"/>
      <c r="U10" s="164"/>
      <c r="V10" s="164"/>
      <c r="W10" s="165"/>
    </row>
    <row r="11" spans="1:23" ht="15.75" customHeight="1">
      <c r="A11" s="185"/>
      <c r="B11" s="188" t="s">
        <v>338</v>
      </c>
      <c r="C11" s="174">
        <v>0.95</v>
      </c>
      <c r="D11" s="163"/>
      <c r="E11" s="163"/>
      <c r="F11" s="163"/>
      <c r="G11" s="163"/>
      <c r="H11" s="163"/>
      <c r="I11" s="163"/>
      <c r="J11" s="163"/>
      <c r="K11" s="163"/>
      <c r="L11" s="163"/>
      <c r="M11" s="164"/>
      <c r="N11" s="164"/>
      <c r="O11" s="164"/>
      <c r="P11" s="164"/>
      <c r="Q11" s="164"/>
      <c r="R11" s="164"/>
      <c r="S11" s="164"/>
      <c r="T11" s="164"/>
      <c r="U11" s="164"/>
      <c r="V11" s="164"/>
      <c r="W11" s="165"/>
    </row>
    <row r="12" spans="1:23" ht="15.75">
      <c r="A12" s="185"/>
      <c r="B12" s="157"/>
      <c r="C12" s="157"/>
      <c r="D12" s="163"/>
      <c r="E12" s="163"/>
      <c r="F12" s="163"/>
      <c r="G12" s="163"/>
      <c r="H12" s="163"/>
      <c r="I12" s="163"/>
      <c r="J12" s="163"/>
      <c r="K12" s="163"/>
      <c r="L12" s="163"/>
      <c r="M12" s="164"/>
      <c r="N12" s="164"/>
      <c r="O12" s="164"/>
      <c r="P12" s="164"/>
      <c r="Q12" s="164"/>
      <c r="R12" s="164"/>
      <c r="S12" s="164"/>
      <c r="T12" s="164"/>
      <c r="U12" s="164"/>
      <c r="V12" s="164"/>
      <c r="W12" s="165"/>
    </row>
    <row r="13" spans="1:23">
      <c r="A13" s="156"/>
      <c r="B13" s="158" t="s">
        <v>1</v>
      </c>
      <c r="C13" s="159">
        <f>C5</f>
        <v>2016</v>
      </c>
      <c r="D13" s="159">
        <f t="shared" ref="D13:V13" si="0">D5</f>
        <v>2017</v>
      </c>
      <c r="E13" s="159">
        <f t="shared" si="0"/>
        <v>2018</v>
      </c>
      <c r="F13" s="159">
        <f t="shared" si="0"/>
        <v>2019</v>
      </c>
      <c r="G13" s="159">
        <f t="shared" si="0"/>
        <v>2020</v>
      </c>
      <c r="H13" s="159">
        <f t="shared" si="0"/>
        <v>2021</v>
      </c>
      <c r="I13" s="159">
        <f t="shared" si="0"/>
        <v>2022</v>
      </c>
      <c r="J13" s="159">
        <f t="shared" si="0"/>
        <v>2023</v>
      </c>
      <c r="K13" s="159">
        <f t="shared" si="0"/>
        <v>2024</v>
      </c>
      <c r="L13" s="159">
        <f t="shared" si="0"/>
        <v>2025</v>
      </c>
      <c r="M13" s="159">
        <f t="shared" si="0"/>
        <v>2026</v>
      </c>
      <c r="N13" s="159">
        <f t="shared" si="0"/>
        <v>2027</v>
      </c>
      <c r="O13" s="159">
        <f t="shared" si="0"/>
        <v>2028</v>
      </c>
      <c r="P13" s="159">
        <f t="shared" si="0"/>
        <v>2029</v>
      </c>
      <c r="Q13" s="159">
        <f t="shared" si="0"/>
        <v>2030</v>
      </c>
      <c r="R13" s="159">
        <f t="shared" si="0"/>
        <v>2031</v>
      </c>
      <c r="S13" s="159">
        <f t="shared" si="0"/>
        <v>2032</v>
      </c>
      <c r="T13" s="159">
        <f t="shared" si="0"/>
        <v>2033</v>
      </c>
      <c r="U13" s="159">
        <f t="shared" si="0"/>
        <v>2034</v>
      </c>
      <c r="V13" s="159">
        <f t="shared" si="0"/>
        <v>2035</v>
      </c>
      <c r="W13" s="159"/>
    </row>
    <row r="14" spans="1:23">
      <c r="A14" s="156"/>
      <c r="B14" s="158" t="s">
        <v>227</v>
      </c>
      <c r="C14" s="174">
        <v>0.05</v>
      </c>
      <c r="D14" s="174">
        <v>0.2</v>
      </c>
      <c r="E14" s="174">
        <v>0.2</v>
      </c>
      <c r="F14" s="174">
        <v>0.2</v>
      </c>
      <c r="G14" s="174">
        <v>0.2</v>
      </c>
      <c r="H14" s="174">
        <v>0.15</v>
      </c>
      <c r="I14" s="174">
        <v>0</v>
      </c>
      <c r="J14" s="174">
        <v>0</v>
      </c>
      <c r="K14" s="174">
        <v>0</v>
      </c>
      <c r="L14" s="174">
        <v>0</v>
      </c>
      <c r="M14" s="174">
        <v>0</v>
      </c>
      <c r="N14" s="174">
        <v>0</v>
      </c>
      <c r="O14" s="174">
        <v>0</v>
      </c>
      <c r="P14" s="174">
        <v>0</v>
      </c>
      <c r="Q14" s="174">
        <v>0</v>
      </c>
      <c r="R14" s="174">
        <v>0</v>
      </c>
      <c r="S14" s="174">
        <v>0</v>
      </c>
      <c r="T14" s="174">
        <v>0</v>
      </c>
      <c r="U14" s="174">
        <v>0</v>
      </c>
      <c r="V14" s="174">
        <v>0</v>
      </c>
      <c r="W14" s="216"/>
    </row>
    <row r="15" spans="1:23">
      <c r="A15" s="156"/>
      <c r="B15" s="158" t="s">
        <v>233</v>
      </c>
      <c r="C15" s="174">
        <f>C14</f>
        <v>0.05</v>
      </c>
      <c r="D15" s="174">
        <f>C15+D14</f>
        <v>0.25</v>
      </c>
      <c r="E15" s="174">
        <f t="shared" ref="E15:V15" si="1">D15+E14</f>
        <v>0.45</v>
      </c>
      <c r="F15" s="174">
        <f t="shared" si="1"/>
        <v>0.65</v>
      </c>
      <c r="G15" s="174">
        <f t="shared" si="1"/>
        <v>0.85000000000000009</v>
      </c>
      <c r="H15" s="174">
        <f t="shared" si="1"/>
        <v>1</v>
      </c>
      <c r="I15" s="174">
        <f t="shared" si="1"/>
        <v>1</v>
      </c>
      <c r="J15" s="174">
        <f t="shared" si="1"/>
        <v>1</v>
      </c>
      <c r="K15" s="174">
        <f t="shared" si="1"/>
        <v>1</v>
      </c>
      <c r="L15" s="174">
        <f t="shared" si="1"/>
        <v>1</v>
      </c>
      <c r="M15" s="174">
        <f t="shared" si="1"/>
        <v>1</v>
      </c>
      <c r="N15" s="174">
        <f t="shared" si="1"/>
        <v>1</v>
      </c>
      <c r="O15" s="174">
        <f t="shared" si="1"/>
        <v>1</v>
      </c>
      <c r="P15" s="174">
        <f t="shared" si="1"/>
        <v>1</v>
      </c>
      <c r="Q15" s="174">
        <f t="shared" si="1"/>
        <v>1</v>
      </c>
      <c r="R15" s="174">
        <f t="shared" si="1"/>
        <v>1</v>
      </c>
      <c r="S15" s="174">
        <f t="shared" si="1"/>
        <v>1</v>
      </c>
      <c r="T15" s="174">
        <f t="shared" si="1"/>
        <v>1</v>
      </c>
      <c r="U15" s="174">
        <f t="shared" si="1"/>
        <v>1</v>
      </c>
      <c r="V15" s="174">
        <f t="shared" si="1"/>
        <v>1</v>
      </c>
      <c r="W15" s="216"/>
    </row>
    <row r="16" spans="1:23">
      <c r="A16" s="156"/>
      <c r="B16" s="158" t="s">
        <v>228</v>
      </c>
      <c r="C16" s="174">
        <v>0.01</v>
      </c>
      <c r="D16" s="174">
        <v>0.01</v>
      </c>
      <c r="E16" s="174">
        <v>0.01</v>
      </c>
      <c r="F16" s="174">
        <v>0.01</v>
      </c>
      <c r="G16" s="174">
        <v>0.01</v>
      </c>
      <c r="H16" s="174">
        <v>0.01</v>
      </c>
      <c r="I16" s="174">
        <v>0.01</v>
      </c>
      <c r="J16" s="174">
        <v>0.01</v>
      </c>
      <c r="K16" s="174">
        <v>0.01</v>
      </c>
      <c r="L16" s="174">
        <v>0.01</v>
      </c>
      <c r="M16" s="174">
        <v>0.01</v>
      </c>
      <c r="N16" s="174">
        <v>0.01</v>
      </c>
      <c r="O16" s="174">
        <v>0.01</v>
      </c>
      <c r="P16" s="174">
        <v>0.01</v>
      </c>
      <c r="Q16" s="174">
        <v>0.01</v>
      </c>
      <c r="R16" s="174">
        <v>0.01</v>
      </c>
      <c r="S16" s="174">
        <v>0.01</v>
      </c>
      <c r="T16" s="174">
        <v>0.01</v>
      </c>
      <c r="U16" s="174">
        <v>0.01</v>
      </c>
      <c r="V16" s="174">
        <v>0.01</v>
      </c>
      <c r="W16" s="216"/>
    </row>
    <row r="17" spans="1:23" ht="15" customHeight="1" thickBot="1">
      <c r="A17" s="161"/>
      <c r="B17" s="162" t="s">
        <v>234</v>
      </c>
      <c r="C17" s="217">
        <f>1-'Res-Capacity-Base'!C$17</f>
        <v>0.5</v>
      </c>
      <c r="D17" s="217">
        <f>1-'Res-Capacity-Base'!D$17</f>
        <v>0.55000000000000004</v>
      </c>
      <c r="E17" s="217">
        <f>1-'Res-Capacity-Base'!E$17</f>
        <v>0.6</v>
      </c>
      <c r="F17" s="217">
        <f>1-'Res-Capacity-Base'!F$17</f>
        <v>0.64999999999999991</v>
      </c>
      <c r="G17" s="217">
        <f>1-'Res-Capacity-Base'!G$17</f>
        <v>0.7</v>
      </c>
      <c r="H17" s="217">
        <f>1-'Res-Capacity-Base'!H$17</f>
        <v>0.7</v>
      </c>
      <c r="I17" s="217">
        <f>1-'Res-Capacity-Base'!I$17</f>
        <v>0.7</v>
      </c>
      <c r="J17" s="217">
        <f>1-'Res-Capacity-Base'!J$17</f>
        <v>0.7</v>
      </c>
      <c r="K17" s="217">
        <f>1-'Res-Capacity-Base'!K$17</f>
        <v>0.7</v>
      </c>
      <c r="L17" s="217">
        <f>1-'Res-Capacity-Base'!L$17</f>
        <v>0.7</v>
      </c>
      <c r="M17" s="217">
        <f>1-'Res-Capacity-Base'!M$17</f>
        <v>0.7</v>
      </c>
      <c r="N17" s="217">
        <f>1-'Res-Capacity-Base'!N$17</f>
        <v>0.7</v>
      </c>
      <c r="O17" s="217">
        <f>1-'Res-Capacity-Base'!O$17</f>
        <v>0.7</v>
      </c>
      <c r="P17" s="217">
        <f>1-'Res-Capacity-Base'!P$17</f>
        <v>0.7</v>
      </c>
      <c r="Q17" s="217">
        <f>1-'Res-Capacity-Base'!Q$17</f>
        <v>0.7</v>
      </c>
      <c r="R17" s="217">
        <f>1-'Res-Capacity-Base'!R$17</f>
        <v>0.7</v>
      </c>
      <c r="S17" s="217">
        <f>1-'Res-Capacity-Base'!S$17</f>
        <v>0.7</v>
      </c>
      <c r="T17" s="217">
        <f>1-'Res-Capacity-Base'!T$17</f>
        <v>0.7</v>
      </c>
      <c r="U17" s="217">
        <f>1-'Res-Capacity-Base'!U$17</f>
        <v>0.7</v>
      </c>
      <c r="V17" s="217">
        <f>1-'Res-Capacity-Base'!V$17</f>
        <v>0.7</v>
      </c>
      <c r="W17" s="217"/>
    </row>
    <row r="18" spans="1:23" ht="16.5" thickBot="1">
      <c r="A18" s="167"/>
      <c r="B18" s="167"/>
      <c r="C18" s="167"/>
      <c r="D18" s="175"/>
      <c r="E18" s="175"/>
      <c r="F18" s="175"/>
      <c r="G18" s="175"/>
      <c r="H18" s="175"/>
      <c r="I18" s="175"/>
      <c r="J18" s="175"/>
      <c r="K18" s="175"/>
      <c r="L18" s="175"/>
      <c r="M18" s="176"/>
      <c r="N18" s="176"/>
      <c r="O18" s="176"/>
      <c r="P18" s="176"/>
      <c r="Q18" s="176"/>
      <c r="R18" s="176"/>
      <c r="S18" s="176"/>
      <c r="T18" s="176"/>
      <c r="U18" s="176"/>
      <c r="V18" s="176"/>
      <c r="W18" s="176"/>
    </row>
    <row r="19" spans="1:23" ht="15.75">
      <c r="A19" s="151" t="s">
        <v>275</v>
      </c>
      <c r="B19" s="152"/>
      <c r="C19" s="152"/>
      <c r="D19" s="153"/>
      <c r="E19" s="153"/>
      <c r="F19" s="153"/>
      <c r="G19" s="153"/>
      <c r="H19" s="153"/>
      <c r="I19" s="153"/>
      <c r="J19" s="153"/>
      <c r="K19" s="153"/>
      <c r="L19" s="153"/>
      <c r="M19" s="154"/>
      <c r="N19" s="154"/>
      <c r="O19" s="154"/>
      <c r="P19" s="154"/>
      <c r="Q19" s="154"/>
      <c r="R19" s="154"/>
      <c r="S19" s="154"/>
      <c r="T19" s="154"/>
      <c r="U19" s="154"/>
      <c r="V19" s="154"/>
      <c r="W19" s="155"/>
    </row>
    <row r="20" spans="1:23" ht="15.75">
      <c r="A20" s="185"/>
      <c r="B20" s="158" t="s">
        <v>237</v>
      </c>
      <c r="C20" s="173">
        <f>KeyAssumptions!AA6</f>
        <v>0.35</v>
      </c>
      <c r="D20" s="163"/>
      <c r="E20" s="163"/>
      <c r="F20" s="163"/>
      <c r="G20" s="163"/>
      <c r="H20" s="163"/>
      <c r="I20" s="163"/>
      <c r="J20" s="163"/>
      <c r="K20" s="163"/>
      <c r="L20" s="163"/>
      <c r="M20" s="164"/>
      <c r="N20" s="164"/>
      <c r="O20" s="164"/>
      <c r="P20" s="164"/>
      <c r="Q20" s="164"/>
      <c r="R20" s="164"/>
      <c r="S20" s="164"/>
      <c r="T20" s="164"/>
      <c r="U20" s="164"/>
      <c r="V20" s="164"/>
      <c r="W20" s="165"/>
    </row>
    <row r="21" spans="1:23" ht="15.75">
      <c r="A21" s="185"/>
      <c r="B21" s="158" t="s">
        <v>203</v>
      </c>
      <c r="C21" s="174">
        <f>KeyAssumptions!AB6</f>
        <v>0.25</v>
      </c>
      <c r="D21" s="163"/>
      <c r="E21" s="163"/>
      <c r="F21" s="163"/>
      <c r="G21" s="163"/>
      <c r="H21" s="163"/>
      <c r="I21" s="163"/>
      <c r="J21" s="163"/>
      <c r="K21" s="163"/>
      <c r="L21" s="163"/>
      <c r="M21" s="164"/>
      <c r="N21" s="164"/>
      <c r="O21" s="164"/>
      <c r="P21" s="164"/>
      <c r="Q21" s="164"/>
      <c r="R21" s="164"/>
      <c r="S21" s="164"/>
      <c r="T21" s="164"/>
      <c r="U21" s="164"/>
      <c r="V21" s="164"/>
      <c r="W21" s="165"/>
    </row>
    <row r="22" spans="1:23" ht="15.75" customHeight="1">
      <c r="A22" s="185"/>
      <c r="B22" s="188" t="s">
        <v>338</v>
      </c>
      <c r="C22" s="174">
        <v>0.95</v>
      </c>
      <c r="D22" s="163"/>
      <c r="E22" s="163"/>
      <c r="F22" s="163"/>
      <c r="G22" s="163"/>
      <c r="H22" s="163"/>
      <c r="I22" s="163"/>
      <c r="J22" s="163"/>
      <c r="K22" s="163"/>
      <c r="L22" s="163"/>
      <c r="M22" s="164"/>
      <c r="N22" s="164"/>
      <c r="O22" s="164"/>
      <c r="P22" s="164"/>
      <c r="Q22" s="164"/>
      <c r="R22" s="164"/>
      <c r="S22" s="164"/>
      <c r="T22" s="164"/>
      <c r="U22" s="164"/>
      <c r="V22" s="164"/>
      <c r="W22" s="165"/>
    </row>
    <row r="23" spans="1:23" ht="15.75">
      <c r="A23" s="185"/>
      <c r="B23" s="157"/>
      <c r="C23" s="157"/>
      <c r="D23" s="163"/>
      <c r="E23" s="163"/>
      <c r="F23" s="163"/>
      <c r="G23" s="163"/>
      <c r="H23" s="163"/>
      <c r="I23" s="163"/>
      <c r="J23" s="163"/>
      <c r="K23" s="163"/>
      <c r="L23" s="163"/>
      <c r="M23" s="164"/>
      <c r="N23" s="164"/>
      <c r="O23" s="164"/>
      <c r="P23" s="164"/>
      <c r="Q23" s="164"/>
      <c r="R23" s="164"/>
      <c r="S23" s="164"/>
      <c r="T23" s="164"/>
      <c r="U23" s="164"/>
      <c r="V23" s="164"/>
      <c r="W23" s="165"/>
    </row>
    <row r="24" spans="1:23">
      <c r="A24" s="156"/>
      <c r="B24" s="158" t="s">
        <v>1</v>
      </c>
      <c r="C24" s="159">
        <f>C5</f>
        <v>2016</v>
      </c>
      <c r="D24" s="159">
        <f t="shared" ref="D24:V24" si="2">D5</f>
        <v>2017</v>
      </c>
      <c r="E24" s="159">
        <f t="shared" si="2"/>
        <v>2018</v>
      </c>
      <c r="F24" s="159">
        <f t="shared" si="2"/>
        <v>2019</v>
      </c>
      <c r="G24" s="159">
        <f t="shared" si="2"/>
        <v>2020</v>
      </c>
      <c r="H24" s="159">
        <f t="shared" si="2"/>
        <v>2021</v>
      </c>
      <c r="I24" s="159">
        <f t="shared" si="2"/>
        <v>2022</v>
      </c>
      <c r="J24" s="159">
        <f t="shared" si="2"/>
        <v>2023</v>
      </c>
      <c r="K24" s="159">
        <f t="shared" si="2"/>
        <v>2024</v>
      </c>
      <c r="L24" s="159">
        <f t="shared" si="2"/>
        <v>2025</v>
      </c>
      <c r="M24" s="159">
        <f t="shared" si="2"/>
        <v>2026</v>
      </c>
      <c r="N24" s="159">
        <f t="shared" si="2"/>
        <v>2027</v>
      </c>
      <c r="O24" s="159">
        <f t="shared" si="2"/>
        <v>2028</v>
      </c>
      <c r="P24" s="159">
        <f t="shared" si="2"/>
        <v>2029</v>
      </c>
      <c r="Q24" s="159">
        <f t="shared" si="2"/>
        <v>2030</v>
      </c>
      <c r="R24" s="159">
        <f t="shared" si="2"/>
        <v>2031</v>
      </c>
      <c r="S24" s="159">
        <f t="shared" si="2"/>
        <v>2032</v>
      </c>
      <c r="T24" s="159">
        <f t="shared" si="2"/>
        <v>2033</v>
      </c>
      <c r="U24" s="159">
        <f t="shared" si="2"/>
        <v>2034</v>
      </c>
      <c r="V24" s="159">
        <f t="shared" si="2"/>
        <v>2035</v>
      </c>
      <c r="W24" s="159"/>
    </row>
    <row r="25" spans="1:23">
      <c r="A25" s="156"/>
      <c r="B25" s="158" t="s">
        <v>227</v>
      </c>
      <c r="C25" s="174">
        <v>0.05</v>
      </c>
      <c r="D25" s="174">
        <v>0.2</v>
      </c>
      <c r="E25" s="174">
        <v>0.2</v>
      </c>
      <c r="F25" s="174">
        <v>0.2</v>
      </c>
      <c r="G25" s="174">
        <v>0.2</v>
      </c>
      <c r="H25" s="174">
        <v>0.15</v>
      </c>
      <c r="I25" s="174">
        <v>0</v>
      </c>
      <c r="J25" s="174">
        <v>0</v>
      </c>
      <c r="K25" s="174">
        <v>0</v>
      </c>
      <c r="L25" s="174">
        <v>0</v>
      </c>
      <c r="M25" s="174">
        <v>0</v>
      </c>
      <c r="N25" s="174">
        <v>0</v>
      </c>
      <c r="O25" s="174">
        <v>0</v>
      </c>
      <c r="P25" s="174">
        <v>0</v>
      </c>
      <c r="Q25" s="174">
        <v>0</v>
      </c>
      <c r="R25" s="174">
        <v>0</v>
      </c>
      <c r="S25" s="174">
        <v>0</v>
      </c>
      <c r="T25" s="174">
        <v>0</v>
      </c>
      <c r="U25" s="174">
        <v>0</v>
      </c>
      <c r="V25" s="174">
        <v>0</v>
      </c>
      <c r="W25" s="216"/>
    </row>
    <row r="26" spans="1:23">
      <c r="A26" s="156"/>
      <c r="B26" s="158" t="s">
        <v>233</v>
      </c>
      <c r="C26" s="174">
        <f>C25</f>
        <v>0.05</v>
      </c>
      <c r="D26" s="174">
        <f>C26+D25</f>
        <v>0.25</v>
      </c>
      <c r="E26" s="174">
        <f t="shared" ref="E26:V26" si="3">D26+E25</f>
        <v>0.45</v>
      </c>
      <c r="F26" s="174">
        <f t="shared" si="3"/>
        <v>0.65</v>
      </c>
      <c r="G26" s="174">
        <f t="shared" si="3"/>
        <v>0.85000000000000009</v>
      </c>
      <c r="H26" s="174">
        <f t="shared" si="3"/>
        <v>1</v>
      </c>
      <c r="I26" s="174">
        <f t="shared" si="3"/>
        <v>1</v>
      </c>
      <c r="J26" s="174">
        <f t="shared" si="3"/>
        <v>1</v>
      </c>
      <c r="K26" s="174">
        <f t="shared" si="3"/>
        <v>1</v>
      </c>
      <c r="L26" s="174">
        <f t="shared" si="3"/>
        <v>1</v>
      </c>
      <c r="M26" s="174">
        <f t="shared" si="3"/>
        <v>1</v>
      </c>
      <c r="N26" s="174">
        <f t="shared" si="3"/>
        <v>1</v>
      </c>
      <c r="O26" s="174">
        <f t="shared" si="3"/>
        <v>1</v>
      </c>
      <c r="P26" s="174">
        <f t="shared" si="3"/>
        <v>1</v>
      </c>
      <c r="Q26" s="174">
        <f t="shared" si="3"/>
        <v>1</v>
      </c>
      <c r="R26" s="174">
        <f t="shared" si="3"/>
        <v>1</v>
      </c>
      <c r="S26" s="174">
        <f t="shared" si="3"/>
        <v>1</v>
      </c>
      <c r="T26" s="174">
        <f t="shared" si="3"/>
        <v>1</v>
      </c>
      <c r="U26" s="174">
        <f t="shared" si="3"/>
        <v>1</v>
      </c>
      <c r="V26" s="174">
        <f t="shared" si="3"/>
        <v>1</v>
      </c>
      <c r="W26" s="216"/>
    </row>
    <row r="27" spans="1:23">
      <c r="A27" s="156"/>
      <c r="B27" s="158" t="s">
        <v>228</v>
      </c>
      <c r="C27" s="174">
        <v>0.01</v>
      </c>
      <c r="D27" s="174">
        <v>0.01</v>
      </c>
      <c r="E27" s="174">
        <v>0.01</v>
      </c>
      <c r="F27" s="174">
        <v>0.01</v>
      </c>
      <c r="G27" s="174">
        <v>0.01</v>
      </c>
      <c r="H27" s="174">
        <v>0.01</v>
      </c>
      <c r="I27" s="174">
        <v>0.01</v>
      </c>
      <c r="J27" s="174">
        <v>0.01</v>
      </c>
      <c r="K27" s="174">
        <v>0.01</v>
      </c>
      <c r="L27" s="174">
        <v>0.01</v>
      </c>
      <c r="M27" s="174">
        <v>0.01</v>
      </c>
      <c r="N27" s="174">
        <v>0.01</v>
      </c>
      <c r="O27" s="174">
        <v>0.01</v>
      </c>
      <c r="P27" s="174">
        <v>0.01</v>
      </c>
      <c r="Q27" s="174">
        <v>0.01</v>
      </c>
      <c r="R27" s="174">
        <v>0.01</v>
      </c>
      <c r="S27" s="174">
        <v>0.01</v>
      </c>
      <c r="T27" s="174">
        <v>0.01</v>
      </c>
      <c r="U27" s="174">
        <v>0.01</v>
      </c>
      <c r="V27" s="174">
        <v>0.01</v>
      </c>
      <c r="W27" s="216"/>
    </row>
    <row r="28" spans="1:23" ht="13.5" thickBot="1">
      <c r="A28" s="161"/>
      <c r="B28" s="162" t="s">
        <v>234</v>
      </c>
      <c r="C28" s="217">
        <f>1-'Res-Capacity-Base'!C$28</f>
        <v>0.5</v>
      </c>
      <c r="D28" s="217">
        <f>1-'Res-Capacity-Base'!D$28</f>
        <v>0.55000000000000004</v>
      </c>
      <c r="E28" s="217">
        <f>1-'Res-Capacity-Base'!E$28</f>
        <v>0.6</v>
      </c>
      <c r="F28" s="217">
        <f>1-'Res-Capacity-Base'!F$28</f>
        <v>0.64999999999999991</v>
      </c>
      <c r="G28" s="217">
        <f>1-'Res-Capacity-Base'!G$28</f>
        <v>0.7</v>
      </c>
      <c r="H28" s="217">
        <f>1-'Res-Capacity-Base'!H$28</f>
        <v>0.7</v>
      </c>
      <c r="I28" s="217">
        <f>1-'Res-Capacity-Base'!I$28</f>
        <v>0.7</v>
      </c>
      <c r="J28" s="217">
        <f>1-'Res-Capacity-Base'!J$28</f>
        <v>0.7</v>
      </c>
      <c r="K28" s="217">
        <f>1-'Res-Capacity-Base'!K$28</f>
        <v>0.7</v>
      </c>
      <c r="L28" s="217">
        <f>1-'Res-Capacity-Base'!L$28</f>
        <v>0.7</v>
      </c>
      <c r="M28" s="217">
        <f>1-'Res-Capacity-Base'!M$28</f>
        <v>0.7</v>
      </c>
      <c r="N28" s="217">
        <f>1-'Res-Capacity-Base'!N$28</f>
        <v>0.7</v>
      </c>
      <c r="O28" s="217">
        <f>1-'Res-Capacity-Base'!O$28</f>
        <v>0.7</v>
      </c>
      <c r="P28" s="217">
        <f>1-'Res-Capacity-Base'!P$28</f>
        <v>0.7</v>
      </c>
      <c r="Q28" s="217">
        <f>1-'Res-Capacity-Base'!Q$28</f>
        <v>0.7</v>
      </c>
      <c r="R28" s="217">
        <f>1-'Res-Capacity-Base'!R$28</f>
        <v>0.7</v>
      </c>
      <c r="S28" s="217">
        <f>1-'Res-Capacity-Base'!S$28</f>
        <v>0.7</v>
      </c>
      <c r="T28" s="217">
        <f>1-'Res-Capacity-Base'!T$28</f>
        <v>0.7</v>
      </c>
      <c r="U28" s="217">
        <f>1-'Res-Capacity-Base'!U$28</f>
        <v>0.7</v>
      </c>
      <c r="V28" s="217">
        <f>1-'Res-Capacity-Base'!V$28</f>
        <v>0.7</v>
      </c>
      <c r="W28" s="217"/>
    </row>
    <row r="29" spans="1:23" ht="16.5" thickBot="1">
      <c r="A29" s="167"/>
      <c r="B29" s="167"/>
      <c r="C29" s="167"/>
      <c r="D29" s="175"/>
      <c r="E29" s="175"/>
      <c r="F29" s="175"/>
      <c r="G29" s="175"/>
      <c r="H29" s="175"/>
      <c r="I29" s="175"/>
      <c r="J29" s="175"/>
      <c r="K29" s="175"/>
      <c r="L29" s="175"/>
      <c r="M29" s="176"/>
      <c r="N29" s="176"/>
      <c r="O29" s="176"/>
      <c r="P29" s="176"/>
      <c r="Q29" s="176"/>
      <c r="R29" s="176"/>
      <c r="S29" s="176"/>
      <c r="T29" s="176"/>
      <c r="U29" s="176"/>
      <c r="V29" s="176"/>
      <c r="W29" s="176"/>
    </row>
    <row r="30" spans="1:23" ht="15.75">
      <c r="A30" s="151" t="s">
        <v>276</v>
      </c>
      <c r="B30" s="152"/>
      <c r="C30" s="152"/>
      <c r="D30" s="153"/>
      <c r="E30" s="153"/>
      <c r="F30" s="153"/>
      <c r="G30" s="153"/>
      <c r="H30" s="153"/>
      <c r="I30" s="153"/>
      <c r="J30" s="153"/>
      <c r="K30" s="153"/>
      <c r="L30" s="153"/>
      <c r="M30" s="154"/>
      <c r="N30" s="154"/>
      <c r="O30" s="154"/>
      <c r="P30" s="154"/>
      <c r="Q30" s="154"/>
      <c r="R30" s="154"/>
      <c r="S30" s="154"/>
      <c r="T30" s="154"/>
      <c r="U30" s="154"/>
      <c r="V30" s="154"/>
      <c r="W30" s="155"/>
    </row>
    <row r="31" spans="1:23" ht="15.75">
      <c r="A31" s="185"/>
      <c r="B31" s="158" t="s">
        <v>237</v>
      </c>
      <c r="C31" s="173">
        <f>KeyAssumptions!AA7</f>
        <v>0.17499999999999999</v>
      </c>
      <c r="D31" s="163"/>
      <c r="E31" s="163"/>
      <c r="F31" s="163"/>
      <c r="G31" s="163"/>
      <c r="H31" s="163"/>
      <c r="I31" s="163"/>
      <c r="J31" s="163"/>
      <c r="K31" s="163"/>
      <c r="L31" s="163"/>
      <c r="M31" s="164"/>
      <c r="N31" s="164"/>
      <c r="O31" s="164"/>
      <c r="P31" s="164"/>
      <c r="Q31" s="164"/>
      <c r="R31" s="164"/>
      <c r="S31" s="164"/>
      <c r="T31" s="164"/>
      <c r="U31" s="164"/>
      <c r="V31" s="164"/>
      <c r="W31" s="165"/>
    </row>
    <row r="32" spans="1:23" ht="15.75">
      <c r="A32" s="185"/>
      <c r="B32" s="158" t="s">
        <v>203</v>
      </c>
      <c r="C32" s="174">
        <f>KeyAssumptions!AB7</f>
        <v>0.25</v>
      </c>
      <c r="D32" s="163"/>
      <c r="E32" s="163"/>
      <c r="F32" s="163"/>
      <c r="G32" s="163"/>
      <c r="H32" s="163"/>
      <c r="I32" s="163"/>
      <c r="J32" s="163"/>
      <c r="K32" s="163"/>
      <c r="L32" s="163"/>
      <c r="M32" s="164"/>
      <c r="N32" s="164"/>
      <c r="O32" s="164"/>
      <c r="P32" s="164"/>
      <c r="Q32" s="164"/>
      <c r="R32" s="164"/>
      <c r="S32" s="164"/>
      <c r="T32" s="164"/>
      <c r="U32" s="164"/>
      <c r="V32" s="164"/>
      <c r="W32" s="165"/>
    </row>
    <row r="33" spans="1:23" ht="15.75" customHeight="1">
      <c r="A33" s="185"/>
      <c r="B33" s="188" t="s">
        <v>338</v>
      </c>
      <c r="C33" s="174">
        <v>0.95</v>
      </c>
      <c r="D33" s="163"/>
      <c r="E33" s="163"/>
      <c r="F33" s="163"/>
      <c r="G33" s="163"/>
      <c r="H33" s="163"/>
      <c r="I33" s="163"/>
      <c r="J33" s="163"/>
      <c r="K33" s="163"/>
      <c r="L33" s="163"/>
      <c r="M33" s="164"/>
      <c r="N33" s="164"/>
      <c r="O33" s="164"/>
      <c r="P33" s="164"/>
      <c r="Q33" s="164"/>
      <c r="R33" s="164"/>
      <c r="S33" s="164"/>
      <c r="T33" s="164"/>
      <c r="U33" s="164"/>
      <c r="V33" s="164"/>
      <c r="W33" s="165"/>
    </row>
    <row r="34" spans="1:23" ht="15.75">
      <c r="A34" s="185"/>
      <c r="B34" s="157"/>
      <c r="C34" s="157"/>
      <c r="D34" s="163"/>
      <c r="E34" s="163"/>
      <c r="F34" s="163"/>
      <c r="G34" s="163"/>
      <c r="H34" s="163"/>
      <c r="I34" s="163"/>
      <c r="J34" s="163"/>
      <c r="K34" s="163"/>
      <c r="L34" s="163"/>
      <c r="M34" s="164"/>
      <c r="N34" s="164"/>
      <c r="O34" s="164"/>
      <c r="P34" s="164"/>
      <c r="Q34" s="164"/>
      <c r="R34" s="164"/>
      <c r="S34" s="164"/>
      <c r="T34" s="164"/>
      <c r="U34" s="164"/>
      <c r="V34" s="164"/>
      <c r="W34" s="165"/>
    </row>
    <row r="35" spans="1:23">
      <c r="A35" s="156"/>
      <c r="B35" s="158" t="s">
        <v>1</v>
      </c>
      <c r="C35" s="159">
        <f>C5</f>
        <v>2016</v>
      </c>
      <c r="D35" s="159">
        <f t="shared" ref="D35:V35" si="4">D5</f>
        <v>2017</v>
      </c>
      <c r="E35" s="159">
        <f t="shared" si="4"/>
        <v>2018</v>
      </c>
      <c r="F35" s="159">
        <f t="shared" si="4"/>
        <v>2019</v>
      </c>
      <c r="G35" s="159">
        <f t="shared" si="4"/>
        <v>2020</v>
      </c>
      <c r="H35" s="159">
        <f t="shared" si="4"/>
        <v>2021</v>
      </c>
      <c r="I35" s="159">
        <f t="shared" si="4"/>
        <v>2022</v>
      </c>
      <c r="J35" s="159">
        <f t="shared" si="4"/>
        <v>2023</v>
      </c>
      <c r="K35" s="159">
        <f t="shared" si="4"/>
        <v>2024</v>
      </c>
      <c r="L35" s="159">
        <f t="shared" si="4"/>
        <v>2025</v>
      </c>
      <c r="M35" s="159">
        <f t="shared" si="4"/>
        <v>2026</v>
      </c>
      <c r="N35" s="159">
        <f t="shared" si="4"/>
        <v>2027</v>
      </c>
      <c r="O35" s="159">
        <f t="shared" si="4"/>
        <v>2028</v>
      </c>
      <c r="P35" s="159">
        <f t="shared" si="4"/>
        <v>2029</v>
      </c>
      <c r="Q35" s="159">
        <f t="shared" si="4"/>
        <v>2030</v>
      </c>
      <c r="R35" s="159">
        <f t="shared" si="4"/>
        <v>2031</v>
      </c>
      <c r="S35" s="159">
        <f t="shared" si="4"/>
        <v>2032</v>
      </c>
      <c r="T35" s="159">
        <f t="shared" si="4"/>
        <v>2033</v>
      </c>
      <c r="U35" s="159">
        <f t="shared" si="4"/>
        <v>2034</v>
      </c>
      <c r="V35" s="159">
        <f t="shared" si="4"/>
        <v>2035</v>
      </c>
      <c r="W35" s="159"/>
    </row>
    <row r="36" spans="1:23">
      <c r="A36" s="156"/>
      <c r="B36" s="158" t="s">
        <v>227</v>
      </c>
      <c r="C36" s="174">
        <v>0.05</v>
      </c>
      <c r="D36" s="174">
        <v>0.2</v>
      </c>
      <c r="E36" s="174">
        <v>0.2</v>
      </c>
      <c r="F36" s="174">
        <v>0.2</v>
      </c>
      <c r="G36" s="174">
        <v>0.2</v>
      </c>
      <c r="H36" s="174">
        <v>0.15</v>
      </c>
      <c r="I36" s="174">
        <v>0</v>
      </c>
      <c r="J36" s="174">
        <v>0</v>
      </c>
      <c r="K36" s="174">
        <v>0</v>
      </c>
      <c r="L36" s="174">
        <v>0</v>
      </c>
      <c r="M36" s="174">
        <v>0</v>
      </c>
      <c r="N36" s="174">
        <v>0</v>
      </c>
      <c r="O36" s="174">
        <v>0</v>
      </c>
      <c r="P36" s="174">
        <v>0</v>
      </c>
      <c r="Q36" s="174">
        <v>0</v>
      </c>
      <c r="R36" s="174">
        <v>0</v>
      </c>
      <c r="S36" s="174">
        <v>0</v>
      </c>
      <c r="T36" s="174">
        <v>0</v>
      </c>
      <c r="U36" s="174">
        <v>0</v>
      </c>
      <c r="V36" s="174">
        <v>0</v>
      </c>
      <c r="W36" s="216"/>
    </row>
    <row r="37" spans="1:23">
      <c r="A37" s="156"/>
      <c r="B37" s="158" t="s">
        <v>233</v>
      </c>
      <c r="C37" s="174">
        <f>C36</f>
        <v>0.05</v>
      </c>
      <c r="D37" s="174">
        <f>C37+D36</f>
        <v>0.25</v>
      </c>
      <c r="E37" s="174">
        <f t="shared" ref="E37" si="5">D37+E36</f>
        <v>0.45</v>
      </c>
      <c r="F37" s="174">
        <f t="shared" ref="F37" si="6">E37+F36</f>
        <v>0.65</v>
      </c>
      <c r="G37" s="174">
        <f t="shared" ref="G37" si="7">F37+G36</f>
        <v>0.85000000000000009</v>
      </c>
      <c r="H37" s="174">
        <f t="shared" ref="H37" si="8">G37+H36</f>
        <v>1</v>
      </c>
      <c r="I37" s="174">
        <f t="shared" ref="I37" si="9">H37+I36</f>
        <v>1</v>
      </c>
      <c r="J37" s="174">
        <f t="shared" ref="J37" si="10">I37+J36</f>
        <v>1</v>
      </c>
      <c r="K37" s="174">
        <f t="shared" ref="K37" si="11">J37+K36</f>
        <v>1</v>
      </c>
      <c r="L37" s="174">
        <f t="shared" ref="L37" si="12">K37+L36</f>
        <v>1</v>
      </c>
      <c r="M37" s="174">
        <f t="shared" ref="M37" si="13">L37+M36</f>
        <v>1</v>
      </c>
      <c r="N37" s="174">
        <f t="shared" ref="N37" si="14">M37+N36</f>
        <v>1</v>
      </c>
      <c r="O37" s="174">
        <f t="shared" ref="O37" si="15">N37+O36</f>
        <v>1</v>
      </c>
      <c r="P37" s="174">
        <f t="shared" ref="P37" si="16">O37+P36</f>
        <v>1</v>
      </c>
      <c r="Q37" s="174">
        <f t="shared" ref="Q37" si="17">P37+Q36</f>
        <v>1</v>
      </c>
      <c r="R37" s="174">
        <f t="shared" ref="R37" si="18">Q37+R36</f>
        <v>1</v>
      </c>
      <c r="S37" s="174">
        <f t="shared" ref="S37" si="19">R37+S36</f>
        <v>1</v>
      </c>
      <c r="T37" s="174">
        <f t="shared" ref="T37" si="20">S37+T36</f>
        <v>1</v>
      </c>
      <c r="U37" s="174">
        <f t="shared" ref="U37" si="21">T37+U36</f>
        <v>1</v>
      </c>
      <c r="V37" s="174">
        <f t="shared" ref="V37" si="22">U37+V36</f>
        <v>1</v>
      </c>
      <c r="W37" s="216"/>
    </row>
    <row r="38" spans="1:23">
      <c r="A38" s="156"/>
      <c r="B38" s="158" t="s">
        <v>228</v>
      </c>
      <c r="C38" s="174">
        <v>0.01</v>
      </c>
      <c r="D38" s="174">
        <v>0.01</v>
      </c>
      <c r="E38" s="174">
        <v>0.01</v>
      </c>
      <c r="F38" s="174">
        <v>0.01</v>
      </c>
      <c r="G38" s="174">
        <v>0.01</v>
      </c>
      <c r="H38" s="174">
        <v>0.01</v>
      </c>
      <c r="I38" s="174">
        <v>0.01</v>
      </c>
      <c r="J38" s="174">
        <v>0.01</v>
      </c>
      <c r="K38" s="174">
        <v>0.01</v>
      </c>
      <c r="L38" s="174">
        <v>0.01</v>
      </c>
      <c r="M38" s="174">
        <v>0.01</v>
      </c>
      <c r="N38" s="174">
        <v>0.01</v>
      </c>
      <c r="O38" s="174">
        <v>0.01</v>
      </c>
      <c r="P38" s="174">
        <v>0.01</v>
      </c>
      <c r="Q38" s="174">
        <v>0.01</v>
      </c>
      <c r="R38" s="174">
        <v>0.01</v>
      </c>
      <c r="S38" s="174">
        <v>0.01</v>
      </c>
      <c r="T38" s="174">
        <v>0.01</v>
      </c>
      <c r="U38" s="174">
        <v>0.01</v>
      </c>
      <c r="V38" s="174">
        <v>0.01</v>
      </c>
      <c r="W38" s="216"/>
    </row>
    <row r="39" spans="1:23" ht="13.5" thickBot="1">
      <c r="A39" s="161"/>
      <c r="B39" s="162" t="s">
        <v>234</v>
      </c>
      <c r="C39" s="217">
        <f>1-'Res-Capacity-Base'!C$39</f>
        <v>0.9</v>
      </c>
      <c r="D39" s="217">
        <f>1-'Res-Capacity-Base'!D$39</f>
        <v>0.91</v>
      </c>
      <c r="E39" s="217">
        <f>1-'Res-Capacity-Base'!E$39</f>
        <v>0.91999999999999993</v>
      </c>
      <c r="F39" s="217">
        <f>1-'Res-Capacity-Base'!F$39</f>
        <v>0.92999999999999994</v>
      </c>
      <c r="G39" s="217">
        <f>1-'Res-Capacity-Base'!G$39</f>
        <v>0.94</v>
      </c>
      <c r="H39" s="217">
        <f>1-'Res-Capacity-Base'!H$39</f>
        <v>0.94</v>
      </c>
      <c r="I39" s="217">
        <f>1-'Res-Capacity-Base'!I$39</f>
        <v>0.94</v>
      </c>
      <c r="J39" s="217">
        <f>1-'Res-Capacity-Base'!J$39</f>
        <v>0.94</v>
      </c>
      <c r="K39" s="217">
        <f>1-'Res-Capacity-Base'!K$39</f>
        <v>0.94</v>
      </c>
      <c r="L39" s="217">
        <f>1-'Res-Capacity-Base'!L$39</f>
        <v>0.94</v>
      </c>
      <c r="M39" s="217">
        <f>1-'Res-Capacity-Base'!M$39</f>
        <v>0.94</v>
      </c>
      <c r="N39" s="217">
        <f>1-'Res-Capacity-Base'!N$39</f>
        <v>0.94</v>
      </c>
      <c r="O39" s="217">
        <f>1-'Res-Capacity-Base'!O$39</f>
        <v>0.94</v>
      </c>
      <c r="P39" s="217">
        <f>1-'Res-Capacity-Base'!P$39</f>
        <v>0.94</v>
      </c>
      <c r="Q39" s="217">
        <f>1-'Res-Capacity-Base'!Q$39</f>
        <v>0.94</v>
      </c>
      <c r="R39" s="217">
        <f>1-'Res-Capacity-Base'!R$39</f>
        <v>0.94</v>
      </c>
      <c r="S39" s="217">
        <f>1-'Res-Capacity-Base'!S$39</f>
        <v>0.94</v>
      </c>
      <c r="T39" s="217">
        <f>1-'Res-Capacity-Base'!T$39</f>
        <v>0.94</v>
      </c>
      <c r="U39" s="217">
        <f>1-'Res-Capacity-Base'!U$39</f>
        <v>0.94</v>
      </c>
      <c r="V39" s="217">
        <f>1-'Res-Capacity-Base'!V$39</f>
        <v>0.94</v>
      </c>
      <c r="W39" s="217"/>
    </row>
    <row r="40" spans="1:23" ht="16.5" thickBot="1">
      <c r="A40" s="167"/>
      <c r="B40" s="167"/>
      <c r="C40" s="167"/>
      <c r="D40" s="175"/>
      <c r="E40" s="175"/>
      <c r="F40" s="175"/>
      <c r="G40" s="175"/>
      <c r="H40" s="175"/>
      <c r="I40" s="175"/>
      <c r="J40" s="175"/>
      <c r="K40" s="175"/>
      <c r="L40" s="175"/>
      <c r="M40" s="176"/>
      <c r="N40" s="176"/>
      <c r="O40" s="176"/>
      <c r="P40" s="176"/>
      <c r="Q40" s="176"/>
      <c r="R40" s="176"/>
      <c r="S40" s="176"/>
      <c r="T40" s="176"/>
      <c r="U40" s="176"/>
      <c r="V40" s="176"/>
      <c r="W40" s="176"/>
    </row>
    <row r="41" spans="1:23" ht="15.75">
      <c r="A41" s="151" t="s">
        <v>242</v>
      </c>
      <c r="B41" s="152"/>
      <c r="C41" s="152"/>
      <c r="D41" s="153"/>
      <c r="E41" s="153"/>
      <c r="F41" s="153"/>
      <c r="G41" s="153"/>
      <c r="H41" s="153"/>
      <c r="I41" s="153"/>
      <c r="J41" s="153"/>
      <c r="K41" s="153"/>
      <c r="L41" s="153"/>
      <c r="M41" s="154"/>
      <c r="N41" s="154"/>
      <c r="O41" s="154"/>
      <c r="P41" s="154"/>
      <c r="Q41" s="154"/>
      <c r="R41" s="154"/>
      <c r="S41" s="154"/>
      <c r="T41" s="154"/>
      <c r="U41" s="154"/>
      <c r="V41" s="154"/>
      <c r="W41" s="155"/>
    </row>
    <row r="42" spans="1:23" ht="15.75">
      <c r="A42" s="185"/>
      <c r="B42" s="158" t="s">
        <v>237</v>
      </c>
      <c r="C42" s="173">
        <f>KeyAssumptions!AA5</f>
        <v>0.56999999999999995</v>
      </c>
      <c r="D42" s="163"/>
      <c r="E42" s="163"/>
      <c r="F42" s="163"/>
      <c r="G42" s="163"/>
      <c r="H42" s="163"/>
      <c r="I42" s="163"/>
      <c r="J42" s="163"/>
      <c r="K42" s="163"/>
      <c r="L42" s="163"/>
      <c r="M42" s="164"/>
      <c r="N42" s="164"/>
      <c r="O42" s="164"/>
      <c r="P42" s="164"/>
      <c r="Q42" s="164"/>
      <c r="R42" s="164"/>
      <c r="S42" s="164"/>
      <c r="T42" s="164"/>
      <c r="U42" s="164"/>
      <c r="V42" s="164"/>
      <c r="W42" s="165"/>
    </row>
    <row r="43" spans="1:23" ht="15.75">
      <c r="A43" s="185"/>
      <c r="B43" s="158" t="s">
        <v>203</v>
      </c>
      <c r="C43" s="174">
        <f>KeyAssumptions!AB5</f>
        <v>0.25</v>
      </c>
      <c r="D43" s="163"/>
      <c r="E43" s="163"/>
      <c r="F43" s="163"/>
      <c r="G43" s="163"/>
      <c r="H43" s="163"/>
      <c r="I43" s="163"/>
      <c r="J43" s="163"/>
      <c r="K43" s="163"/>
      <c r="L43" s="163"/>
      <c r="M43" s="164"/>
      <c r="N43" s="164"/>
      <c r="O43" s="164"/>
      <c r="P43" s="164"/>
      <c r="Q43" s="164"/>
      <c r="R43" s="164"/>
      <c r="S43" s="164"/>
      <c r="T43" s="164"/>
      <c r="U43" s="164"/>
      <c r="V43" s="164"/>
      <c r="W43" s="165"/>
    </row>
    <row r="44" spans="1:23" ht="15.75" customHeight="1">
      <c r="A44" s="185"/>
      <c r="B44" s="188" t="s">
        <v>338</v>
      </c>
      <c r="C44" s="174">
        <v>0.95</v>
      </c>
      <c r="D44" s="163"/>
      <c r="E44" s="163"/>
      <c r="F44" s="163"/>
      <c r="G44" s="163"/>
      <c r="H44" s="163"/>
      <c r="I44" s="163"/>
      <c r="J44" s="163"/>
      <c r="K44" s="163"/>
      <c r="L44" s="163"/>
      <c r="M44" s="164"/>
      <c r="N44" s="164"/>
      <c r="O44" s="164"/>
      <c r="P44" s="164"/>
      <c r="Q44" s="164"/>
      <c r="R44" s="164"/>
      <c r="S44" s="164"/>
      <c r="T44" s="164"/>
      <c r="U44" s="164"/>
      <c r="V44" s="164"/>
      <c r="W44" s="165"/>
    </row>
    <row r="45" spans="1:23" ht="15.75">
      <c r="A45" s="185"/>
      <c r="B45" s="157"/>
      <c r="C45" s="157"/>
      <c r="D45" s="163"/>
      <c r="E45" s="163"/>
      <c r="F45" s="163"/>
      <c r="G45" s="163"/>
      <c r="H45" s="163"/>
      <c r="I45" s="163"/>
      <c r="J45" s="163"/>
      <c r="K45" s="163"/>
      <c r="L45" s="163"/>
      <c r="M45" s="164"/>
      <c r="N45" s="164"/>
      <c r="O45" s="164"/>
      <c r="P45" s="164"/>
      <c r="Q45" s="164"/>
      <c r="R45" s="164"/>
      <c r="S45" s="164"/>
      <c r="T45" s="164"/>
      <c r="U45" s="164"/>
      <c r="V45" s="164"/>
      <c r="W45" s="165"/>
    </row>
    <row r="46" spans="1:23">
      <c r="A46" s="156"/>
      <c r="B46" s="158" t="s">
        <v>1</v>
      </c>
      <c r="C46" s="159">
        <f>C5</f>
        <v>2016</v>
      </c>
      <c r="D46" s="159">
        <f t="shared" ref="D46:V46" si="23">D5</f>
        <v>2017</v>
      </c>
      <c r="E46" s="159">
        <f t="shared" si="23"/>
        <v>2018</v>
      </c>
      <c r="F46" s="159">
        <f t="shared" si="23"/>
        <v>2019</v>
      </c>
      <c r="G46" s="159">
        <f t="shared" si="23"/>
        <v>2020</v>
      </c>
      <c r="H46" s="159">
        <f t="shared" si="23"/>
        <v>2021</v>
      </c>
      <c r="I46" s="159">
        <f t="shared" si="23"/>
        <v>2022</v>
      </c>
      <c r="J46" s="159">
        <f t="shared" si="23"/>
        <v>2023</v>
      </c>
      <c r="K46" s="159">
        <f t="shared" si="23"/>
        <v>2024</v>
      </c>
      <c r="L46" s="159">
        <f t="shared" si="23"/>
        <v>2025</v>
      </c>
      <c r="M46" s="159">
        <f t="shared" si="23"/>
        <v>2026</v>
      </c>
      <c r="N46" s="159">
        <f t="shared" si="23"/>
        <v>2027</v>
      </c>
      <c r="O46" s="159">
        <f t="shared" si="23"/>
        <v>2028</v>
      </c>
      <c r="P46" s="159">
        <f t="shared" si="23"/>
        <v>2029</v>
      </c>
      <c r="Q46" s="159">
        <f t="shared" si="23"/>
        <v>2030</v>
      </c>
      <c r="R46" s="159">
        <f t="shared" si="23"/>
        <v>2031</v>
      </c>
      <c r="S46" s="159">
        <f t="shared" si="23"/>
        <v>2032</v>
      </c>
      <c r="T46" s="159">
        <f t="shared" si="23"/>
        <v>2033</v>
      </c>
      <c r="U46" s="159">
        <f t="shared" si="23"/>
        <v>2034</v>
      </c>
      <c r="V46" s="159">
        <f t="shared" si="23"/>
        <v>2035</v>
      </c>
      <c r="W46" s="159"/>
    </row>
    <row r="47" spans="1:23">
      <c r="A47" s="156"/>
      <c r="B47" s="158" t="s">
        <v>227</v>
      </c>
      <c r="C47" s="174">
        <v>0.05</v>
      </c>
      <c r="D47" s="174">
        <v>0.2</v>
      </c>
      <c r="E47" s="174">
        <v>0.2</v>
      </c>
      <c r="F47" s="174">
        <v>0.2</v>
      </c>
      <c r="G47" s="174">
        <v>0.2</v>
      </c>
      <c r="H47" s="174">
        <v>0.15</v>
      </c>
      <c r="I47" s="174">
        <v>0</v>
      </c>
      <c r="J47" s="174">
        <v>0</v>
      </c>
      <c r="K47" s="174">
        <v>0</v>
      </c>
      <c r="L47" s="174">
        <v>0</v>
      </c>
      <c r="M47" s="174">
        <v>0</v>
      </c>
      <c r="N47" s="174">
        <v>0</v>
      </c>
      <c r="O47" s="174">
        <v>0</v>
      </c>
      <c r="P47" s="174">
        <v>0</v>
      </c>
      <c r="Q47" s="174">
        <v>0</v>
      </c>
      <c r="R47" s="174">
        <v>0</v>
      </c>
      <c r="S47" s="174">
        <v>0</v>
      </c>
      <c r="T47" s="174">
        <v>0</v>
      </c>
      <c r="U47" s="174">
        <v>0</v>
      </c>
      <c r="V47" s="174">
        <v>0</v>
      </c>
      <c r="W47" s="216"/>
    </row>
    <row r="48" spans="1:23">
      <c r="A48" s="156"/>
      <c r="B48" s="158" t="s">
        <v>233</v>
      </c>
      <c r="C48" s="174">
        <f>C47</f>
        <v>0.05</v>
      </c>
      <c r="D48" s="174">
        <f>C48+D47</f>
        <v>0.25</v>
      </c>
      <c r="E48" s="174">
        <f t="shared" ref="E48:V48" si="24">D48+E47</f>
        <v>0.45</v>
      </c>
      <c r="F48" s="174">
        <f t="shared" si="24"/>
        <v>0.65</v>
      </c>
      <c r="G48" s="174">
        <f t="shared" si="24"/>
        <v>0.85000000000000009</v>
      </c>
      <c r="H48" s="174">
        <f t="shared" si="24"/>
        <v>1</v>
      </c>
      <c r="I48" s="174">
        <f t="shared" si="24"/>
        <v>1</v>
      </c>
      <c r="J48" s="174">
        <f t="shared" si="24"/>
        <v>1</v>
      </c>
      <c r="K48" s="174">
        <f t="shared" si="24"/>
        <v>1</v>
      </c>
      <c r="L48" s="174">
        <f t="shared" si="24"/>
        <v>1</v>
      </c>
      <c r="M48" s="174">
        <f t="shared" si="24"/>
        <v>1</v>
      </c>
      <c r="N48" s="174">
        <f t="shared" si="24"/>
        <v>1</v>
      </c>
      <c r="O48" s="174">
        <f t="shared" si="24"/>
        <v>1</v>
      </c>
      <c r="P48" s="174">
        <f t="shared" si="24"/>
        <v>1</v>
      </c>
      <c r="Q48" s="174">
        <f t="shared" si="24"/>
        <v>1</v>
      </c>
      <c r="R48" s="174">
        <f t="shared" si="24"/>
        <v>1</v>
      </c>
      <c r="S48" s="174">
        <f t="shared" si="24"/>
        <v>1</v>
      </c>
      <c r="T48" s="174">
        <f t="shared" si="24"/>
        <v>1</v>
      </c>
      <c r="U48" s="174">
        <f t="shared" si="24"/>
        <v>1</v>
      </c>
      <c r="V48" s="174">
        <f t="shared" si="24"/>
        <v>1</v>
      </c>
      <c r="W48" s="216"/>
    </row>
    <row r="49" spans="1:24">
      <c r="A49" s="156"/>
      <c r="B49" s="158" t="s">
        <v>228</v>
      </c>
      <c r="C49" s="174">
        <v>0.01</v>
      </c>
      <c r="D49" s="174">
        <v>0.01</v>
      </c>
      <c r="E49" s="174">
        <v>0.01</v>
      </c>
      <c r="F49" s="174">
        <v>0.01</v>
      </c>
      <c r="G49" s="174">
        <v>0.01</v>
      </c>
      <c r="H49" s="174">
        <v>0.01</v>
      </c>
      <c r="I49" s="174">
        <v>0.01</v>
      </c>
      <c r="J49" s="174">
        <v>0.01</v>
      </c>
      <c r="K49" s="174">
        <v>0.01</v>
      </c>
      <c r="L49" s="174">
        <v>0.01</v>
      </c>
      <c r="M49" s="174">
        <v>0.01</v>
      </c>
      <c r="N49" s="174">
        <v>0.01</v>
      </c>
      <c r="O49" s="174">
        <v>0.01</v>
      </c>
      <c r="P49" s="174">
        <v>0.01</v>
      </c>
      <c r="Q49" s="174">
        <v>0.01</v>
      </c>
      <c r="R49" s="174">
        <v>0.01</v>
      </c>
      <c r="S49" s="174">
        <v>0.01</v>
      </c>
      <c r="T49" s="174">
        <v>0.01</v>
      </c>
      <c r="U49" s="174">
        <v>0.01</v>
      </c>
      <c r="V49" s="174">
        <v>0.01</v>
      </c>
      <c r="W49" s="216"/>
    </row>
    <row r="50" spans="1:24" ht="13.5" thickBot="1">
      <c r="A50" s="161"/>
      <c r="B50" s="162" t="s">
        <v>325</v>
      </c>
      <c r="C50" s="217">
        <f>1-'Res-Capacity-Base'!C$50</f>
        <v>9.9999999999999978E-2</v>
      </c>
      <c r="D50" s="217">
        <f>1-'Res-Capacity-Base'!D$50</f>
        <v>9.9999999999999978E-2</v>
      </c>
      <c r="E50" s="217">
        <f>1-'Res-Capacity-Base'!E$50</f>
        <v>9.9999999999999978E-2</v>
      </c>
      <c r="F50" s="217">
        <f>1-'Res-Capacity-Base'!F$50</f>
        <v>9.9999999999999978E-2</v>
      </c>
      <c r="G50" s="217">
        <f>1-'Res-Capacity-Base'!G$50</f>
        <v>9.9999999999999978E-2</v>
      </c>
      <c r="H50" s="217">
        <f>1-'Res-Capacity-Base'!H$50</f>
        <v>9.9999999999999978E-2</v>
      </c>
      <c r="I50" s="217">
        <f>1-'Res-Capacity-Base'!I$50</f>
        <v>9.9999999999999978E-2</v>
      </c>
      <c r="J50" s="217">
        <f>1-'Res-Capacity-Base'!J$50</f>
        <v>9.9999999999999978E-2</v>
      </c>
      <c r="K50" s="217">
        <f>1-'Res-Capacity-Base'!K$50</f>
        <v>9.9999999999999978E-2</v>
      </c>
      <c r="L50" s="217">
        <f>1-'Res-Capacity-Base'!L$50</f>
        <v>9.9999999999999978E-2</v>
      </c>
      <c r="M50" s="217">
        <f>1-'Res-Capacity-Base'!M$50</f>
        <v>9.9999999999999978E-2</v>
      </c>
      <c r="N50" s="217">
        <f>1-'Res-Capacity-Base'!N$50</f>
        <v>9.9999999999999978E-2</v>
      </c>
      <c r="O50" s="217">
        <f>1-'Res-Capacity-Base'!O$50</f>
        <v>9.9999999999999978E-2</v>
      </c>
      <c r="P50" s="217">
        <f>1-'Res-Capacity-Base'!P$50</f>
        <v>9.9999999999999978E-2</v>
      </c>
      <c r="Q50" s="217">
        <f>1-'Res-Capacity-Base'!Q$50</f>
        <v>9.9999999999999978E-2</v>
      </c>
      <c r="R50" s="217">
        <f>1-'Res-Capacity-Base'!R$50</f>
        <v>9.9999999999999978E-2</v>
      </c>
      <c r="S50" s="217">
        <f>1-'Res-Capacity-Base'!S$50</f>
        <v>9.9999999999999978E-2</v>
      </c>
      <c r="T50" s="217">
        <f>1-'Res-Capacity-Base'!T$50</f>
        <v>9.9999999999999978E-2</v>
      </c>
      <c r="U50" s="217">
        <f>1-'Res-Capacity-Base'!U$50</f>
        <v>9.9999999999999978E-2</v>
      </c>
      <c r="V50" s="217">
        <f>1-'Res-Capacity-Base'!V$50</f>
        <v>9.9999999999999978E-2</v>
      </c>
      <c r="W50" s="217"/>
    </row>
    <row r="51" spans="1:24" ht="13.5" thickBot="1">
      <c r="A51" s="177"/>
      <c r="B51" s="177"/>
      <c r="C51" s="172"/>
      <c r="D51" s="172"/>
      <c r="E51" s="172"/>
      <c r="F51" s="172"/>
      <c r="G51" s="172"/>
      <c r="H51" s="172"/>
      <c r="I51" s="172"/>
      <c r="J51" s="172"/>
      <c r="K51" s="172"/>
      <c r="L51" s="172"/>
      <c r="M51" s="172"/>
      <c r="N51" s="172"/>
      <c r="O51" s="172"/>
      <c r="P51" s="172"/>
      <c r="Q51" s="172"/>
      <c r="R51" s="172"/>
      <c r="S51" s="172"/>
      <c r="T51" s="172"/>
      <c r="U51" s="172"/>
      <c r="V51" s="172"/>
      <c r="W51" s="172"/>
    </row>
    <row r="52" spans="1:24" ht="15.75" thickBot="1">
      <c r="A52" s="186" t="s">
        <v>236</v>
      </c>
      <c r="B52" s="187"/>
      <c r="C52" s="180"/>
      <c r="D52" s="180"/>
      <c r="E52" s="180"/>
      <c r="F52" s="180"/>
      <c r="G52" s="180"/>
      <c r="H52" s="180"/>
      <c r="I52" s="180"/>
      <c r="J52" s="180"/>
      <c r="K52" s="180"/>
      <c r="L52" s="180"/>
      <c r="M52" s="180"/>
      <c r="N52" s="180"/>
      <c r="O52" s="180"/>
      <c r="P52" s="180"/>
      <c r="Q52" s="180"/>
      <c r="R52" s="180"/>
      <c r="S52" s="180"/>
      <c r="T52" s="180"/>
      <c r="U52" s="180"/>
      <c r="V52" s="180"/>
      <c r="W52" s="181"/>
    </row>
    <row r="53" spans="1:24">
      <c r="A53" s="77" t="s">
        <v>208</v>
      </c>
      <c r="B53" s="77"/>
      <c r="F53" s="78"/>
      <c r="G53" s="78"/>
    </row>
    <row r="55" spans="1:24">
      <c r="A55" s="79"/>
      <c r="B55" s="183"/>
      <c r="C55" s="531" t="s">
        <v>209</v>
      </c>
      <c r="D55" s="531"/>
      <c r="E55" s="531"/>
      <c r="F55" s="531"/>
      <c r="G55" s="531"/>
      <c r="H55" s="531"/>
      <c r="I55" s="531"/>
      <c r="J55" s="531"/>
      <c r="K55" s="531"/>
      <c r="L55" s="531"/>
      <c r="M55" s="531"/>
      <c r="N55" s="531"/>
      <c r="O55" s="531"/>
      <c r="P55" s="531"/>
      <c r="Q55" s="531"/>
      <c r="R55" s="531"/>
      <c r="S55" s="531"/>
      <c r="T55" s="531"/>
      <c r="U55" s="531"/>
      <c r="V55" s="531"/>
      <c r="W55" s="531"/>
    </row>
    <row r="56" spans="1:24" ht="16.5" customHeight="1">
      <c r="A56" s="80" t="s">
        <v>210</v>
      </c>
      <c r="B56" s="81"/>
      <c r="C56" s="184">
        <f>C5</f>
        <v>2016</v>
      </c>
      <c r="D56" s="322">
        <f t="shared" ref="D56:V56" si="25">D5</f>
        <v>2017</v>
      </c>
      <c r="E56" s="322">
        <f t="shared" si="25"/>
        <v>2018</v>
      </c>
      <c r="F56" s="322">
        <f t="shared" si="25"/>
        <v>2019</v>
      </c>
      <c r="G56" s="322">
        <f t="shared" si="25"/>
        <v>2020</v>
      </c>
      <c r="H56" s="322">
        <f t="shared" si="25"/>
        <v>2021</v>
      </c>
      <c r="I56" s="322">
        <f t="shared" si="25"/>
        <v>2022</v>
      </c>
      <c r="J56" s="322">
        <f t="shared" si="25"/>
        <v>2023</v>
      </c>
      <c r="K56" s="322">
        <f t="shared" si="25"/>
        <v>2024</v>
      </c>
      <c r="L56" s="322">
        <f t="shared" si="25"/>
        <v>2025</v>
      </c>
      <c r="M56" s="322">
        <f t="shared" si="25"/>
        <v>2026</v>
      </c>
      <c r="N56" s="322">
        <f t="shared" si="25"/>
        <v>2027</v>
      </c>
      <c r="O56" s="322">
        <f t="shared" si="25"/>
        <v>2028</v>
      </c>
      <c r="P56" s="322">
        <f t="shared" si="25"/>
        <v>2029</v>
      </c>
      <c r="Q56" s="322">
        <f t="shared" si="25"/>
        <v>2030</v>
      </c>
      <c r="R56" s="322">
        <f t="shared" si="25"/>
        <v>2031</v>
      </c>
      <c r="S56" s="322">
        <f t="shared" si="25"/>
        <v>2032</v>
      </c>
      <c r="T56" s="322">
        <f t="shared" si="25"/>
        <v>2033</v>
      </c>
      <c r="U56" s="322">
        <f t="shared" si="25"/>
        <v>2034</v>
      </c>
      <c r="V56" s="322">
        <f t="shared" si="25"/>
        <v>2035</v>
      </c>
      <c r="W56" s="322"/>
    </row>
    <row r="57" spans="1:24">
      <c r="A57" s="82"/>
      <c r="B57" s="83"/>
      <c r="C57" s="82"/>
      <c r="D57" s="82"/>
      <c r="E57" s="82"/>
      <c r="F57" s="82"/>
      <c r="G57" s="82"/>
      <c r="H57" s="84"/>
      <c r="I57" s="82"/>
      <c r="J57" s="82"/>
      <c r="K57" s="82"/>
      <c r="L57" s="82"/>
      <c r="M57" s="82"/>
      <c r="N57" s="82"/>
      <c r="O57" s="82"/>
      <c r="P57" s="82"/>
      <c r="Q57" s="82"/>
      <c r="R57" s="82"/>
      <c r="S57" s="82"/>
      <c r="T57" s="82"/>
      <c r="U57" s="82"/>
      <c r="V57" s="82"/>
      <c r="W57" s="82"/>
    </row>
    <row r="58" spans="1:24">
      <c r="A58" s="166" t="s">
        <v>278</v>
      </c>
      <c r="B58" s="83"/>
      <c r="C58" s="86">
        <f>C70</f>
        <v>13743.006440624999</v>
      </c>
      <c r="D58" s="288">
        <f>D70-C70</f>
        <v>62980.785295312497</v>
      </c>
      <c r="E58" s="288">
        <f t="shared" ref="E58:V58" si="26">E70-D70</f>
        <v>76150.293955312489</v>
      </c>
      <c r="F58" s="288">
        <f t="shared" si="26"/>
        <v>89793.180087187473</v>
      </c>
      <c r="G58" s="288">
        <f t="shared" si="26"/>
        <v>103910.40392906251</v>
      </c>
      <c r="H58" s="288">
        <f t="shared" si="26"/>
        <v>66736.989742499951</v>
      </c>
      <c r="I58" s="288">
        <f t="shared" si="26"/>
        <v>5539.5994499999797</v>
      </c>
      <c r="J58" s="288">
        <f t="shared" si="26"/>
        <v>5509.8870750000933</v>
      </c>
      <c r="K58" s="288">
        <f t="shared" si="26"/>
        <v>5457.1930874999962</v>
      </c>
      <c r="L58" s="288">
        <f t="shared" si="26"/>
        <v>5430.0274874999886</v>
      </c>
      <c r="M58" s="288">
        <f t="shared" si="26"/>
        <v>5368.9655249999487</v>
      </c>
      <c r="N58" s="288">
        <f t="shared" si="26"/>
        <v>5277.039075000037</v>
      </c>
      <c r="O58" s="288">
        <f t="shared" si="26"/>
        <v>5163.1618499999749</v>
      </c>
      <c r="P58" s="288">
        <f t="shared" si="26"/>
        <v>5075.7832124999841</v>
      </c>
      <c r="Q58" s="288">
        <f t="shared" si="26"/>
        <v>5030.305087500019</v>
      </c>
      <c r="R58" s="288">
        <f t="shared" si="26"/>
        <v>5085.7796646690695</v>
      </c>
      <c r="S58" s="288">
        <f t="shared" si="26"/>
        <v>5141.8660195848788</v>
      </c>
      <c r="T58" s="288">
        <f t="shared" si="26"/>
        <v>5198.5708989778068</v>
      </c>
      <c r="U58" s="288">
        <f t="shared" si="26"/>
        <v>5255.9011239816318</v>
      </c>
      <c r="V58" s="288">
        <f t="shared" si="26"/>
        <v>5313.8635909538716</v>
      </c>
      <c r="W58" s="288"/>
      <c r="X58" s="76" t="s">
        <v>375</v>
      </c>
    </row>
    <row r="59" spans="1:24">
      <c r="A59" s="166" t="s">
        <v>279</v>
      </c>
      <c r="B59" s="83"/>
      <c r="C59" s="86">
        <f>C71</f>
        <v>13743.006440624999</v>
      </c>
      <c r="D59" s="86">
        <f>D71-C71</f>
        <v>62980.785295312497</v>
      </c>
      <c r="E59" s="86">
        <f t="shared" ref="E59:V61" si="27">E71-D71</f>
        <v>76150.293955312489</v>
      </c>
      <c r="F59" s="86">
        <f t="shared" si="27"/>
        <v>89793.180087187473</v>
      </c>
      <c r="G59" s="86">
        <f t="shared" si="27"/>
        <v>103910.40392906251</v>
      </c>
      <c r="H59" s="86">
        <f t="shared" si="27"/>
        <v>66736.989742499951</v>
      </c>
      <c r="I59" s="86">
        <f t="shared" si="27"/>
        <v>5539.5994499999797</v>
      </c>
      <c r="J59" s="86">
        <f t="shared" si="27"/>
        <v>5509.8870750000933</v>
      </c>
      <c r="K59" s="86">
        <f t="shared" si="27"/>
        <v>5457.1930874999962</v>
      </c>
      <c r="L59" s="86">
        <f t="shared" si="27"/>
        <v>5430.0274874999886</v>
      </c>
      <c r="M59" s="86">
        <f t="shared" si="27"/>
        <v>5368.9655249999487</v>
      </c>
      <c r="N59" s="86">
        <f t="shared" si="27"/>
        <v>5277.039075000037</v>
      </c>
      <c r="O59" s="86">
        <f t="shared" si="27"/>
        <v>5163.1618499999749</v>
      </c>
      <c r="P59" s="86">
        <f t="shared" si="27"/>
        <v>5075.7832124999841</v>
      </c>
      <c r="Q59" s="86">
        <f t="shared" si="27"/>
        <v>5030.305087500019</v>
      </c>
      <c r="R59" s="86">
        <f t="shared" si="27"/>
        <v>5085.7796646690695</v>
      </c>
      <c r="S59" s="86">
        <f t="shared" si="27"/>
        <v>5141.8660195848788</v>
      </c>
      <c r="T59" s="86">
        <f t="shared" si="27"/>
        <v>5198.5708989778068</v>
      </c>
      <c r="U59" s="86">
        <f t="shared" si="27"/>
        <v>5255.9011239816318</v>
      </c>
      <c r="V59" s="86">
        <f t="shared" si="27"/>
        <v>5313.8635909538716</v>
      </c>
      <c r="W59" s="86"/>
    </row>
    <row r="60" spans="1:24">
      <c r="A60" s="166" t="s">
        <v>280</v>
      </c>
      <c r="B60" s="83"/>
      <c r="C60" s="86">
        <f>C72</f>
        <v>12957.691786875002</v>
      </c>
      <c r="D60" s="86">
        <f t="shared" ref="D60:S61" si="28">D72-C72</f>
        <v>59381.883278437512</v>
      </c>
      <c r="E60" s="86">
        <f t="shared" si="28"/>
        <v>71798.848586437511</v>
      </c>
      <c r="F60" s="86">
        <f t="shared" si="28"/>
        <v>84662.141225062485</v>
      </c>
      <c r="G60" s="86">
        <f t="shared" si="28"/>
        <v>97972.66656168754</v>
      </c>
      <c r="H60" s="86">
        <f t="shared" si="28"/>
        <v>62923.447471499909</v>
      </c>
      <c r="I60" s="86">
        <f t="shared" si="28"/>
        <v>5223.0509099999908</v>
      </c>
      <c r="J60" s="86">
        <f t="shared" si="28"/>
        <v>5195.0363850000431</v>
      </c>
      <c r="K60" s="86">
        <f t="shared" si="28"/>
        <v>5145.3534825000097</v>
      </c>
      <c r="L60" s="86">
        <f t="shared" si="28"/>
        <v>5119.740202499961</v>
      </c>
      <c r="M60" s="86">
        <f t="shared" si="28"/>
        <v>5062.1674950000597</v>
      </c>
      <c r="N60" s="86">
        <f t="shared" si="28"/>
        <v>4975.4939850000083</v>
      </c>
      <c r="O60" s="86">
        <f t="shared" si="28"/>
        <v>4868.1240300000063</v>
      </c>
      <c r="P60" s="86">
        <f t="shared" si="28"/>
        <v>4785.7384575000033</v>
      </c>
      <c r="Q60" s="86">
        <f t="shared" si="28"/>
        <v>4742.8590824999847</v>
      </c>
      <c r="R60" s="86">
        <f t="shared" si="28"/>
        <v>4795.1636838307604</v>
      </c>
      <c r="S60" s="86">
        <f t="shared" si="28"/>
        <v>4848.0451041801134</v>
      </c>
      <c r="T60" s="86">
        <f t="shared" si="27"/>
        <v>4901.5097047504969</v>
      </c>
      <c r="U60" s="86">
        <f t="shared" si="27"/>
        <v>4955.5639168969356</v>
      </c>
      <c r="V60" s="86">
        <f t="shared" si="27"/>
        <v>5010.214242899383</v>
      </c>
      <c r="W60" s="86"/>
    </row>
    <row r="61" spans="1:24">
      <c r="A61" s="85" t="s">
        <v>324</v>
      </c>
      <c r="B61" s="83"/>
      <c r="C61" s="86">
        <f>C73</f>
        <v>4476.2935263749987</v>
      </c>
      <c r="D61" s="86">
        <f t="shared" si="28"/>
        <v>18241.920130499995</v>
      </c>
      <c r="E61" s="86">
        <f t="shared" si="28"/>
        <v>18776.181030749998</v>
      </c>
      <c r="F61" s="86">
        <f t="shared" si="28"/>
        <v>19305.755419499998</v>
      </c>
      <c r="G61" s="86">
        <f t="shared" si="28"/>
        <v>19832.205702374988</v>
      </c>
      <c r="H61" s="86">
        <f t="shared" si="28"/>
        <v>15526.564960499993</v>
      </c>
      <c r="I61" s="86">
        <f t="shared" si="28"/>
        <v>1288.8047700000025</v>
      </c>
      <c r="J61" s="86">
        <f t="shared" si="28"/>
        <v>1281.8920949999883</v>
      </c>
      <c r="K61" s="86">
        <f t="shared" si="28"/>
        <v>1269.6326775000052</v>
      </c>
      <c r="L61" s="86">
        <f t="shared" si="28"/>
        <v>1263.3125175000023</v>
      </c>
      <c r="M61" s="86">
        <f t="shared" si="28"/>
        <v>1249.1062649999949</v>
      </c>
      <c r="N61" s="86">
        <f t="shared" si="28"/>
        <v>1227.7192950000026</v>
      </c>
      <c r="O61" s="86">
        <f t="shared" si="28"/>
        <v>1201.2254099999991</v>
      </c>
      <c r="P61" s="86">
        <f t="shared" si="28"/>
        <v>1180.8965025000216</v>
      </c>
      <c r="Q61" s="86">
        <f t="shared" si="28"/>
        <v>1170.3158774999756</v>
      </c>
      <c r="R61" s="86">
        <f t="shared" si="28"/>
        <v>1183.2222076985054</v>
      </c>
      <c r="S61" s="86">
        <f t="shared" si="28"/>
        <v>1196.2708698626229</v>
      </c>
      <c r="T61" s="86">
        <f t="shared" si="27"/>
        <v>1209.4634336397285</v>
      </c>
      <c r="U61" s="86">
        <f t="shared" si="27"/>
        <v>1222.8014859875548</v>
      </c>
      <c r="V61" s="86">
        <f t="shared" si="27"/>
        <v>1236.2866313647974</v>
      </c>
      <c r="W61" s="86"/>
    </row>
    <row r="62" spans="1:24">
      <c r="A62" s="87"/>
      <c r="B62" s="88"/>
      <c r="C62" s="89"/>
      <c r="D62" s="90"/>
      <c r="E62" s="90"/>
      <c r="F62" s="90"/>
      <c r="G62" s="90"/>
      <c r="H62" s="90"/>
      <c r="I62" s="90"/>
      <c r="J62" s="90"/>
      <c r="K62" s="90"/>
      <c r="L62" s="90"/>
      <c r="M62" s="90"/>
      <c r="N62" s="90"/>
      <c r="O62" s="90"/>
      <c r="P62" s="90"/>
      <c r="Q62" s="90"/>
      <c r="R62" s="90"/>
      <c r="S62" s="90"/>
      <c r="T62" s="90"/>
      <c r="U62" s="90"/>
      <c r="V62" s="90"/>
      <c r="W62" s="90"/>
    </row>
    <row r="63" spans="1:24">
      <c r="A63" s="91" t="s">
        <v>212</v>
      </c>
      <c r="B63" s="92"/>
      <c r="C63" s="93">
        <f>SUM(C58:C61)</f>
        <v>44919.998194499996</v>
      </c>
      <c r="D63" s="93">
        <f>SUM(D58:D61)</f>
        <v>203585.37399956249</v>
      </c>
      <c r="E63" s="93">
        <f t="shared" ref="E63:V63" si="29">SUM(E58:E61)</f>
        <v>242875.61752781249</v>
      </c>
      <c r="F63" s="93">
        <f t="shared" si="29"/>
        <v>283554.25681893743</v>
      </c>
      <c r="G63" s="93">
        <f t="shared" si="29"/>
        <v>325625.68012218754</v>
      </c>
      <c r="H63" s="93">
        <f t="shared" si="29"/>
        <v>211923.9919169998</v>
      </c>
      <c r="I63" s="93">
        <f t="shared" si="29"/>
        <v>17591.054579999953</v>
      </c>
      <c r="J63" s="93">
        <f t="shared" si="29"/>
        <v>17496.702630000218</v>
      </c>
      <c r="K63" s="93">
        <f t="shared" si="29"/>
        <v>17329.372335000007</v>
      </c>
      <c r="L63" s="93">
        <f t="shared" si="29"/>
        <v>17243.107694999941</v>
      </c>
      <c r="M63" s="93">
        <f t="shared" si="29"/>
        <v>17049.204809999952</v>
      </c>
      <c r="N63" s="93">
        <f t="shared" si="29"/>
        <v>16757.291430000085</v>
      </c>
      <c r="O63" s="93">
        <f t="shared" si="29"/>
        <v>16395.673139999955</v>
      </c>
      <c r="P63" s="93">
        <f t="shared" si="29"/>
        <v>16118.201384999993</v>
      </c>
      <c r="Q63" s="93">
        <f t="shared" si="29"/>
        <v>15973.785134999998</v>
      </c>
      <c r="R63" s="93">
        <f t="shared" si="29"/>
        <v>16149.945220867405</v>
      </c>
      <c r="S63" s="93">
        <f t="shared" si="29"/>
        <v>16328.048013212494</v>
      </c>
      <c r="T63" s="93">
        <f t="shared" si="29"/>
        <v>16508.114936345839</v>
      </c>
      <c r="U63" s="93">
        <f t="shared" si="29"/>
        <v>16690.167650847754</v>
      </c>
      <c r="V63" s="93">
        <f t="shared" si="29"/>
        <v>16874.228056171924</v>
      </c>
      <c r="W63" s="93"/>
    </row>
    <row r="64" spans="1:24">
      <c r="A64" s="94"/>
      <c r="B64" s="94"/>
      <c r="C64" s="95"/>
      <c r="D64" s="95"/>
      <c r="E64" s="95"/>
      <c r="F64" s="95"/>
      <c r="G64" s="95"/>
      <c r="H64" s="95"/>
      <c r="I64" s="95"/>
      <c r="J64" s="94"/>
      <c r="K64" s="94"/>
      <c r="L64" s="94"/>
    </row>
    <row r="65" spans="1:23">
      <c r="A65" s="96" t="s">
        <v>213</v>
      </c>
      <c r="B65" s="96"/>
      <c r="C65" s="97"/>
      <c r="D65" s="97"/>
      <c r="E65" s="97"/>
      <c r="F65" s="97"/>
      <c r="G65" s="97"/>
      <c r="H65" s="97"/>
      <c r="I65" s="97"/>
      <c r="J65" s="98"/>
      <c r="K65" s="98"/>
      <c r="L65" s="98"/>
    </row>
    <row r="66" spans="1:23">
      <c r="A66" s="96"/>
      <c r="B66" s="96"/>
      <c r="C66" s="97"/>
      <c r="D66" s="97"/>
      <c r="E66" s="97"/>
      <c r="F66" s="97"/>
      <c r="G66" s="97"/>
      <c r="H66" s="97"/>
      <c r="I66" s="97"/>
      <c r="J66" s="98"/>
      <c r="K66" s="98"/>
      <c r="L66" s="98"/>
    </row>
    <row r="67" spans="1:23">
      <c r="A67" s="532" t="s">
        <v>210</v>
      </c>
      <c r="B67" s="534"/>
      <c r="C67" s="531" t="s">
        <v>214</v>
      </c>
      <c r="D67" s="531"/>
      <c r="E67" s="531"/>
      <c r="F67" s="531"/>
      <c r="G67" s="531"/>
      <c r="H67" s="531"/>
      <c r="I67" s="531"/>
      <c r="J67" s="531"/>
      <c r="K67" s="531"/>
      <c r="L67" s="531"/>
      <c r="M67" s="531"/>
      <c r="N67" s="531"/>
      <c r="O67" s="531"/>
      <c r="P67" s="531"/>
      <c r="Q67" s="531"/>
      <c r="R67" s="531"/>
      <c r="S67" s="531"/>
      <c r="T67" s="531"/>
      <c r="U67" s="531"/>
      <c r="V67" s="531"/>
      <c r="W67" s="531"/>
    </row>
    <row r="68" spans="1:23">
      <c r="A68" s="533"/>
      <c r="B68" s="535"/>
      <c r="C68" s="184">
        <f>C5</f>
        <v>2016</v>
      </c>
      <c r="D68" s="322">
        <f t="shared" ref="D68:V68" si="30">D5</f>
        <v>2017</v>
      </c>
      <c r="E68" s="322">
        <f t="shared" si="30"/>
        <v>2018</v>
      </c>
      <c r="F68" s="322">
        <f t="shared" si="30"/>
        <v>2019</v>
      </c>
      <c r="G68" s="322">
        <f t="shared" si="30"/>
        <v>2020</v>
      </c>
      <c r="H68" s="322">
        <f t="shared" si="30"/>
        <v>2021</v>
      </c>
      <c r="I68" s="322">
        <f t="shared" si="30"/>
        <v>2022</v>
      </c>
      <c r="J68" s="322">
        <f t="shared" si="30"/>
        <v>2023</v>
      </c>
      <c r="K68" s="322">
        <f t="shared" si="30"/>
        <v>2024</v>
      </c>
      <c r="L68" s="322">
        <f t="shared" si="30"/>
        <v>2025</v>
      </c>
      <c r="M68" s="322">
        <f t="shared" si="30"/>
        <v>2026</v>
      </c>
      <c r="N68" s="322">
        <f t="shared" si="30"/>
        <v>2027</v>
      </c>
      <c r="O68" s="322">
        <f t="shared" si="30"/>
        <v>2028</v>
      </c>
      <c r="P68" s="322">
        <f t="shared" si="30"/>
        <v>2029</v>
      </c>
      <c r="Q68" s="322">
        <f t="shared" si="30"/>
        <v>2030</v>
      </c>
      <c r="R68" s="322">
        <f t="shared" si="30"/>
        <v>2031</v>
      </c>
      <c r="S68" s="322">
        <f t="shared" si="30"/>
        <v>2032</v>
      </c>
      <c r="T68" s="322">
        <f t="shared" si="30"/>
        <v>2033</v>
      </c>
      <c r="U68" s="322">
        <f t="shared" si="30"/>
        <v>2034</v>
      </c>
      <c r="V68" s="322">
        <f t="shared" si="30"/>
        <v>2035</v>
      </c>
      <c r="W68" s="184"/>
    </row>
    <row r="69" spans="1:23">
      <c r="A69" s="82"/>
      <c r="B69" s="85"/>
      <c r="C69" s="90"/>
      <c r="D69" s="90"/>
      <c r="E69" s="90"/>
      <c r="F69" s="90"/>
      <c r="G69" s="90"/>
      <c r="H69" s="90"/>
      <c r="I69" s="90"/>
      <c r="J69" s="90"/>
      <c r="K69" s="90"/>
      <c r="L69" s="90"/>
      <c r="M69" s="90"/>
      <c r="N69" s="90"/>
      <c r="O69" s="90"/>
      <c r="P69" s="90"/>
      <c r="Q69" s="90"/>
      <c r="R69" s="90"/>
      <c r="S69" s="90"/>
      <c r="T69" s="90"/>
      <c r="U69" s="90"/>
      <c r="V69" s="90"/>
      <c r="W69" s="90"/>
    </row>
    <row r="70" spans="1:23">
      <c r="A70" s="101" t="str">
        <f>+A58</f>
        <v>a. Space Cooling - CAC PCT</v>
      </c>
      <c r="B70" s="102"/>
      <c r="C70" s="90">
        <f t="shared" ref="C70:V70" si="31">C6*$C$20*$C$21*C28*C26*(1-C27)</f>
        <v>13743.006440624999</v>
      </c>
      <c r="D70" s="90">
        <f t="shared" si="31"/>
        <v>76723.791735937499</v>
      </c>
      <c r="E70" s="90">
        <f t="shared" si="31"/>
        <v>152874.08569124999</v>
      </c>
      <c r="F70" s="90">
        <f t="shared" si="31"/>
        <v>242667.26577843746</v>
      </c>
      <c r="G70" s="90">
        <f t="shared" si="31"/>
        <v>346577.66970749997</v>
      </c>
      <c r="H70" s="90">
        <f t="shared" si="31"/>
        <v>413314.65944999992</v>
      </c>
      <c r="I70" s="90">
        <f t="shared" si="31"/>
        <v>418854.2588999999</v>
      </c>
      <c r="J70" s="90">
        <f t="shared" si="31"/>
        <v>424364.14597499999</v>
      </c>
      <c r="K70" s="90">
        <f t="shared" si="31"/>
        <v>429821.33906249999</v>
      </c>
      <c r="L70" s="90">
        <f t="shared" si="31"/>
        <v>435251.36654999998</v>
      </c>
      <c r="M70" s="90">
        <f t="shared" si="31"/>
        <v>440620.33207499993</v>
      </c>
      <c r="N70" s="90">
        <f t="shared" si="31"/>
        <v>445897.37114999996</v>
      </c>
      <c r="O70" s="90">
        <f t="shared" si="31"/>
        <v>451060.53299999994</v>
      </c>
      <c r="P70" s="90">
        <f t="shared" si="31"/>
        <v>456136.31621249992</v>
      </c>
      <c r="Q70" s="90">
        <f t="shared" si="31"/>
        <v>461166.62129999994</v>
      </c>
      <c r="R70" s="90">
        <f t="shared" si="31"/>
        <v>466252.40096466901</v>
      </c>
      <c r="S70" s="90">
        <f t="shared" si="31"/>
        <v>471394.26698425389</v>
      </c>
      <c r="T70" s="90">
        <f t="shared" si="31"/>
        <v>476592.8378832317</v>
      </c>
      <c r="U70" s="90">
        <f t="shared" si="31"/>
        <v>481848.73900721333</v>
      </c>
      <c r="V70" s="90">
        <f t="shared" si="31"/>
        <v>487162.6025981672</v>
      </c>
      <c r="W70" s="90"/>
    </row>
    <row r="71" spans="1:23">
      <c r="A71" s="101" t="str">
        <f>+A59</f>
        <v>b. Space Cooling - RAC PCT</v>
      </c>
      <c r="B71" s="102"/>
      <c r="C71" s="90">
        <f t="shared" ref="C71:V71" si="32">C6*$C$20*$C$21*C28*C26*(1-C27)</f>
        <v>13743.006440624999</v>
      </c>
      <c r="D71" s="90">
        <f t="shared" si="32"/>
        <v>76723.791735937499</v>
      </c>
      <c r="E71" s="90">
        <f t="shared" si="32"/>
        <v>152874.08569124999</v>
      </c>
      <c r="F71" s="90">
        <f t="shared" si="32"/>
        <v>242667.26577843746</v>
      </c>
      <c r="G71" s="90">
        <f t="shared" si="32"/>
        <v>346577.66970749997</v>
      </c>
      <c r="H71" s="90">
        <f t="shared" si="32"/>
        <v>413314.65944999992</v>
      </c>
      <c r="I71" s="90">
        <f t="shared" si="32"/>
        <v>418854.2588999999</v>
      </c>
      <c r="J71" s="90">
        <f t="shared" si="32"/>
        <v>424364.14597499999</v>
      </c>
      <c r="K71" s="90">
        <f t="shared" si="32"/>
        <v>429821.33906249999</v>
      </c>
      <c r="L71" s="90">
        <f t="shared" si="32"/>
        <v>435251.36654999998</v>
      </c>
      <c r="M71" s="90">
        <f t="shared" si="32"/>
        <v>440620.33207499993</v>
      </c>
      <c r="N71" s="90">
        <f t="shared" si="32"/>
        <v>445897.37114999996</v>
      </c>
      <c r="O71" s="90">
        <f t="shared" si="32"/>
        <v>451060.53299999994</v>
      </c>
      <c r="P71" s="90">
        <f t="shared" si="32"/>
        <v>456136.31621249992</v>
      </c>
      <c r="Q71" s="90">
        <f t="shared" si="32"/>
        <v>461166.62129999994</v>
      </c>
      <c r="R71" s="90">
        <f t="shared" si="32"/>
        <v>466252.40096466901</v>
      </c>
      <c r="S71" s="90">
        <f t="shared" si="32"/>
        <v>471394.26698425389</v>
      </c>
      <c r="T71" s="90">
        <f t="shared" si="32"/>
        <v>476592.8378832317</v>
      </c>
      <c r="U71" s="90">
        <f t="shared" si="32"/>
        <v>481848.73900721333</v>
      </c>
      <c r="V71" s="90">
        <f t="shared" si="32"/>
        <v>487162.6025981672</v>
      </c>
      <c r="W71" s="90"/>
    </row>
    <row r="72" spans="1:23">
      <c r="A72" s="101" t="str">
        <f>+A60</f>
        <v>c. Space Heating - PCT</v>
      </c>
      <c r="B72" s="102"/>
      <c r="C72" s="90">
        <f t="shared" ref="C72:V72" si="33">C6*$C$9*$C$10*C17*C15*(1-C16)</f>
        <v>12957.691786875002</v>
      </c>
      <c r="D72" s="90">
        <f t="shared" si="33"/>
        <v>72339.575065312514</v>
      </c>
      <c r="E72" s="90">
        <f t="shared" si="33"/>
        <v>144138.42365175002</v>
      </c>
      <c r="F72" s="90">
        <f t="shared" si="33"/>
        <v>228800.56487681251</v>
      </c>
      <c r="G72" s="90">
        <f t="shared" si="33"/>
        <v>326773.23143850005</v>
      </c>
      <c r="H72" s="90">
        <f t="shared" si="33"/>
        <v>389696.67890999996</v>
      </c>
      <c r="I72" s="90">
        <f t="shared" si="33"/>
        <v>394919.72981999995</v>
      </c>
      <c r="J72" s="90">
        <f t="shared" si="33"/>
        <v>400114.76620499999</v>
      </c>
      <c r="K72" s="90">
        <f t="shared" si="33"/>
        <v>405260.1196875</v>
      </c>
      <c r="L72" s="90">
        <f t="shared" si="33"/>
        <v>410379.85988999996</v>
      </c>
      <c r="M72" s="90">
        <f t="shared" si="33"/>
        <v>415442.02738500002</v>
      </c>
      <c r="N72" s="90">
        <f t="shared" si="33"/>
        <v>420417.52137000003</v>
      </c>
      <c r="O72" s="90">
        <f t="shared" si="33"/>
        <v>425285.64540000004</v>
      </c>
      <c r="P72" s="90">
        <f t="shared" si="33"/>
        <v>430071.38385750004</v>
      </c>
      <c r="Q72" s="90">
        <f t="shared" si="33"/>
        <v>434814.24294000003</v>
      </c>
      <c r="R72" s="90">
        <f t="shared" si="33"/>
        <v>439609.40662383079</v>
      </c>
      <c r="S72" s="90">
        <f t="shared" si="33"/>
        <v>444457.4517280109</v>
      </c>
      <c r="T72" s="90">
        <f t="shared" si="33"/>
        <v>449358.9614327614</v>
      </c>
      <c r="U72" s="90">
        <f t="shared" si="33"/>
        <v>454314.52534965833</v>
      </c>
      <c r="V72" s="90">
        <f t="shared" si="33"/>
        <v>459324.73959255771</v>
      </c>
      <c r="W72" s="90"/>
    </row>
    <row r="73" spans="1:23">
      <c r="A73" s="101" t="str">
        <f>+A61</f>
        <v>d. Water Heating - WH Controls</v>
      </c>
      <c r="B73" s="102"/>
      <c r="C73" s="90">
        <f t="shared" ref="C73:V73" si="34">C6*$C$42*$C$43*C50*C48*(1-C49)</f>
        <v>4476.2935263749987</v>
      </c>
      <c r="D73" s="90">
        <f t="shared" si="34"/>
        <v>22718.213656874992</v>
      </c>
      <c r="E73" s="90">
        <f t="shared" si="34"/>
        <v>41494.39468762499</v>
      </c>
      <c r="F73" s="90">
        <f t="shared" si="34"/>
        <v>60800.150107124988</v>
      </c>
      <c r="G73" s="90">
        <f t="shared" si="34"/>
        <v>80632.355809499975</v>
      </c>
      <c r="H73" s="90">
        <f t="shared" si="34"/>
        <v>96158.920769999968</v>
      </c>
      <c r="I73" s="90">
        <f t="shared" si="34"/>
        <v>97447.72553999997</v>
      </c>
      <c r="J73" s="90">
        <f t="shared" si="34"/>
        <v>98729.617634999959</v>
      </c>
      <c r="K73" s="90">
        <f t="shared" si="34"/>
        <v>99999.250312499964</v>
      </c>
      <c r="L73" s="90">
        <f t="shared" si="34"/>
        <v>101262.56282999997</v>
      </c>
      <c r="M73" s="90">
        <f t="shared" si="34"/>
        <v>102511.66909499996</v>
      </c>
      <c r="N73" s="90">
        <f t="shared" si="34"/>
        <v>103739.38838999996</v>
      </c>
      <c r="O73" s="90">
        <f t="shared" si="34"/>
        <v>104940.61379999996</v>
      </c>
      <c r="P73" s="90">
        <f t="shared" si="34"/>
        <v>106121.51030249998</v>
      </c>
      <c r="Q73" s="90">
        <f t="shared" si="34"/>
        <v>107291.82617999996</v>
      </c>
      <c r="R73" s="90">
        <f t="shared" si="34"/>
        <v>108475.04838769847</v>
      </c>
      <c r="S73" s="90">
        <f t="shared" si="34"/>
        <v>109671.31925756109</v>
      </c>
      <c r="T73" s="90">
        <f t="shared" si="34"/>
        <v>110880.78269120082</v>
      </c>
      <c r="U73" s="90">
        <f t="shared" si="34"/>
        <v>112103.58417718837</v>
      </c>
      <c r="V73" s="90">
        <f t="shared" si="34"/>
        <v>113339.87080855317</v>
      </c>
      <c r="W73" s="90"/>
    </row>
    <row r="74" spans="1:23">
      <c r="A74" s="85"/>
      <c r="B74" s="85"/>
      <c r="C74" s="103"/>
      <c r="D74" s="103"/>
      <c r="E74" s="103"/>
      <c r="F74" s="103"/>
      <c r="G74" s="103"/>
      <c r="H74" s="103"/>
      <c r="I74" s="103"/>
      <c r="J74" s="103"/>
      <c r="K74" s="103"/>
      <c r="L74" s="103"/>
      <c r="M74" s="103"/>
      <c r="N74" s="103"/>
      <c r="O74" s="103"/>
      <c r="P74" s="103"/>
      <c r="Q74" s="103"/>
      <c r="R74" s="103"/>
      <c r="S74" s="103"/>
      <c r="T74" s="103"/>
      <c r="U74" s="103"/>
      <c r="V74" s="103"/>
      <c r="W74" s="103"/>
    </row>
    <row r="75" spans="1:23">
      <c r="A75" s="91" t="s">
        <v>215</v>
      </c>
      <c r="B75" s="91"/>
      <c r="C75" s="93">
        <f>SUM(C70:C73)</f>
        <v>44919.998194499996</v>
      </c>
      <c r="D75" s="93">
        <f t="shared" ref="D75:V75" si="35">SUM(D70:D73)</f>
        <v>248505.37219406248</v>
      </c>
      <c r="E75" s="93">
        <f t="shared" si="35"/>
        <v>491380.989721875</v>
      </c>
      <c r="F75" s="93">
        <f t="shared" si="35"/>
        <v>774935.24654081243</v>
      </c>
      <c r="G75" s="93">
        <f t="shared" si="35"/>
        <v>1100560.9266629999</v>
      </c>
      <c r="H75" s="93">
        <f t="shared" si="35"/>
        <v>1312484.9185799998</v>
      </c>
      <c r="I75" s="93">
        <f t="shared" si="35"/>
        <v>1330075.9731599998</v>
      </c>
      <c r="J75" s="93">
        <f t="shared" si="35"/>
        <v>1347572.67579</v>
      </c>
      <c r="K75" s="93">
        <f t="shared" si="35"/>
        <v>1364902.048125</v>
      </c>
      <c r="L75" s="93">
        <f t="shared" si="35"/>
        <v>1382145.1558199998</v>
      </c>
      <c r="M75" s="93">
        <f t="shared" si="35"/>
        <v>1399194.3606299998</v>
      </c>
      <c r="N75" s="93">
        <f t="shared" si="35"/>
        <v>1415951.65206</v>
      </c>
      <c r="O75" s="93">
        <f t="shared" si="35"/>
        <v>1432347.3251999998</v>
      </c>
      <c r="P75" s="93">
        <f t="shared" si="35"/>
        <v>1448465.5265849996</v>
      </c>
      <c r="Q75" s="93">
        <f t="shared" si="35"/>
        <v>1464439.3117199996</v>
      </c>
      <c r="R75" s="93">
        <f t="shared" si="35"/>
        <v>1480589.2569408673</v>
      </c>
      <c r="S75" s="93">
        <f t="shared" si="35"/>
        <v>1496917.3049540799</v>
      </c>
      <c r="T75" s="93">
        <f t="shared" si="35"/>
        <v>1513425.4198904256</v>
      </c>
      <c r="U75" s="93">
        <f t="shared" si="35"/>
        <v>1530115.5875412733</v>
      </c>
      <c r="V75" s="93">
        <f t="shared" si="35"/>
        <v>1546989.8155974452</v>
      </c>
      <c r="W75" s="93"/>
    </row>
    <row r="77" spans="1:23">
      <c r="A77" s="77" t="s">
        <v>216</v>
      </c>
      <c r="B77" s="77"/>
      <c r="D77" s="214"/>
      <c r="E77" s="78"/>
      <c r="F77" s="78"/>
      <c r="G77" s="215"/>
    </row>
    <row r="78" spans="1:23">
      <c r="A78" s="77"/>
      <c r="B78" s="77"/>
      <c r="D78" s="214"/>
      <c r="E78" s="78"/>
      <c r="F78" s="78"/>
      <c r="G78" s="219"/>
    </row>
    <row r="79" spans="1:23">
      <c r="A79" s="104"/>
      <c r="B79" s="477" t="s">
        <v>238</v>
      </c>
      <c r="C79" s="537" t="s">
        <v>217</v>
      </c>
      <c r="D79" s="538"/>
      <c r="E79" s="538"/>
      <c r="F79" s="538"/>
      <c r="G79" s="538"/>
      <c r="H79" s="538"/>
      <c r="I79" s="538"/>
      <c r="J79" s="538"/>
      <c r="K79" s="538"/>
      <c r="L79" s="538"/>
      <c r="M79" s="538"/>
      <c r="N79" s="538"/>
      <c r="O79" s="538"/>
      <c r="P79" s="538"/>
      <c r="Q79" s="538"/>
      <c r="R79" s="538"/>
      <c r="S79" s="538"/>
      <c r="T79" s="538"/>
      <c r="U79" s="538"/>
      <c r="V79" s="538"/>
      <c r="W79" s="538"/>
    </row>
    <row r="80" spans="1:23">
      <c r="A80" s="182" t="s">
        <v>210</v>
      </c>
      <c r="B80" s="536"/>
      <c r="C80" s="184">
        <f>C5</f>
        <v>2016</v>
      </c>
      <c r="D80" s="322">
        <f t="shared" ref="D80:V80" si="36">D5</f>
        <v>2017</v>
      </c>
      <c r="E80" s="322">
        <f t="shared" si="36"/>
        <v>2018</v>
      </c>
      <c r="F80" s="322">
        <f t="shared" si="36"/>
        <v>2019</v>
      </c>
      <c r="G80" s="322">
        <f t="shared" si="36"/>
        <v>2020</v>
      </c>
      <c r="H80" s="322">
        <f t="shared" si="36"/>
        <v>2021</v>
      </c>
      <c r="I80" s="322">
        <f t="shared" si="36"/>
        <v>2022</v>
      </c>
      <c r="J80" s="322">
        <f t="shared" si="36"/>
        <v>2023</v>
      </c>
      <c r="K80" s="322">
        <f t="shared" si="36"/>
        <v>2024</v>
      </c>
      <c r="L80" s="322">
        <f t="shared" si="36"/>
        <v>2025</v>
      </c>
      <c r="M80" s="322">
        <f t="shared" si="36"/>
        <v>2026</v>
      </c>
      <c r="N80" s="322">
        <f t="shared" si="36"/>
        <v>2027</v>
      </c>
      <c r="O80" s="322">
        <f t="shared" si="36"/>
        <v>2028</v>
      </c>
      <c r="P80" s="322">
        <f t="shared" si="36"/>
        <v>2029</v>
      </c>
      <c r="Q80" s="322">
        <f t="shared" si="36"/>
        <v>2030</v>
      </c>
      <c r="R80" s="322">
        <f t="shared" si="36"/>
        <v>2031</v>
      </c>
      <c r="S80" s="322">
        <f t="shared" si="36"/>
        <v>2032</v>
      </c>
      <c r="T80" s="322">
        <f t="shared" si="36"/>
        <v>2033</v>
      </c>
      <c r="U80" s="322">
        <f t="shared" si="36"/>
        <v>2034</v>
      </c>
      <c r="V80" s="322">
        <f t="shared" si="36"/>
        <v>2035</v>
      </c>
      <c r="W80" s="184"/>
    </row>
    <row r="81" spans="1:23">
      <c r="A81" s="82"/>
      <c r="B81" s="82"/>
      <c r="C81" s="82"/>
      <c r="D81" s="105"/>
      <c r="E81" s="82"/>
      <c r="F81" s="82"/>
      <c r="G81" s="82"/>
      <c r="H81" s="82"/>
      <c r="I81" s="82"/>
      <c r="J81" s="82"/>
      <c r="K81" s="82"/>
      <c r="L81" s="82"/>
      <c r="M81" s="82"/>
      <c r="N81" s="82"/>
      <c r="O81" s="82"/>
      <c r="P81" s="82"/>
      <c r="Q81" s="82"/>
      <c r="R81" s="82"/>
      <c r="S81" s="82"/>
      <c r="T81" s="82"/>
      <c r="U81" s="82"/>
      <c r="V81" s="82"/>
      <c r="W81" s="82"/>
    </row>
    <row r="82" spans="1:23">
      <c r="A82" s="101" t="str">
        <f>+A58</f>
        <v>a. Space Cooling - CAC PCT</v>
      </c>
      <c r="B82" s="247">
        <f>KeyAssumptions!Z6</f>
        <v>0.6</v>
      </c>
      <c r="C82" s="189">
        <f>$B82/1000*C70*$C$11</f>
        <v>7.8335136711562487</v>
      </c>
      <c r="D82" s="189">
        <f t="shared" ref="D82:V82" si="37">$B82/1000*D70*$C$11</f>
        <v>43.732561289484366</v>
      </c>
      <c r="E82" s="189">
        <f t="shared" si="37"/>
        <v>87.138228844012474</v>
      </c>
      <c r="F82" s="189">
        <f t="shared" si="37"/>
        <v>138.32034149370935</v>
      </c>
      <c r="G82" s="189">
        <f t="shared" si="37"/>
        <v>197.54927173327496</v>
      </c>
      <c r="H82" s="189">
        <f t="shared" si="37"/>
        <v>235.5893558864999</v>
      </c>
      <c r="I82" s="189">
        <f t="shared" si="37"/>
        <v>238.74692757299991</v>
      </c>
      <c r="J82" s="189">
        <f t="shared" si="37"/>
        <v>241.88756320574996</v>
      </c>
      <c r="K82" s="189">
        <f t="shared" si="37"/>
        <v>244.99816326562498</v>
      </c>
      <c r="L82" s="189">
        <f t="shared" si="37"/>
        <v>248.09327893349993</v>
      </c>
      <c r="M82" s="189">
        <f t="shared" si="37"/>
        <v>251.15358928274992</v>
      </c>
      <c r="N82" s="189">
        <f t="shared" si="37"/>
        <v>254.16150155549994</v>
      </c>
      <c r="O82" s="189">
        <f t="shared" si="37"/>
        <v>257.10450380999998</v>
      </c>
      <c r="P82" s="189">
        <f t="shared" si="37"/>
        <v>259.9977002411249</v>
      </c>
      <c r="Q82" s="189">
        <f t="shared" si="37"/>
        <v>262.86497414099995</v>
      </c>
      <c r="R82" s="189">
        <f t="shared" si="37"/>
        <v>265.76386854986134</v>
      </c>
      <c r="S82" s="189">
        <f t="shared" si="37"/>
        <v>268.69473218102468</v>
      </c>
      <c r="T82" s="189">
        <f t="shared" si="37"/>
        <v>271.65791759344205</v>
      </c>
      <c r="U82" s="189">
        <f t="shared" si="37"/>
        <v>274.65378123411153</v>
      </c>
      <c r="V82" s="189">
        <f t="shared" si="37"/>
        <v>277.68268348095523</v>
      </c>
      <c r="W82" s="189"/>
    </row>
    <row r="83" spans="1:23">
      <c r="A83" s="101" t="str">
        <f>+A59</f>
        <v>b. Space Cooling - RAC PCT</v>
      </c>
      <c r="B83" s="247">
        <f>KeyAssumptions!Z7</f>
        <v>0.27</v>
      </c>
      <c r="C83" s="189">
        <f t="shared" ref="C83:V83" si="38">$B83/1000*C71*$C$22</f>
        <v>3.525081152020312</v>
      </c>
      <c r="D83" s="189">
        <f t="shared" si="38"/>
        <v>19.67965258026797</v>
      </c>
      <c r="E83" s="189">
        <f t="shared" si="38"/>
        <v>39.212202979805625</v>
      </c>
      <c r="F83" s="189">
        <f t="shared" si="38"/>
        <v>62.244153672169205</v>
      </c>
      <c r="G83" s="189">
        <f t="shared" si="38"/>
        <v>88.897172279973745</v>
      </c>
      <c r="H83" s="189">
        <f t="shared" si="38"/>
        <v>106.01521014892498</v>
      </c>
      <c r="I83" s="189">
        <f t="shared" si="38"/>
        <v>107.43611740784996</v>
      </c>
      <c r="J83" s="189">
        <f t="shared" si="38"/>
        <v>108.8494034425875</v>
      </c>
      <c r="K83" s="189">
        <f t="shared" si="38"/>
        <v>110.24917346953124</v>
      </c>
      <c r="L83" s="189">
        <f t="shared" si="38"/>
        <v>111.64197552007499</v>
      </c>
      <c r="M83" s="189">
        <f t="shared" si="38"/>
        <v>113.01911517723748</v>
      </c>
      <c r="N83" s="189">
        <f t="shared" si="38"/>
        <v>114.37267569997499</v>
      </c>
      <c r="O83" s="189">
        <f t="shared" si="38"/>
        <v>115.69702671449998</v>
      </c>
      <c r="P83" s="189">
        <f t="shared" si="38"/>
        <v>116.99896510850623</v>
      </c>
      <c r="Q83" s="189">
        <f t="shared" si="38"/>
        <v>118.28923836344998</v>
      </c>
      <c r="R83" s="189">
        <f t="shared" si="38"/>
        <v>119.5937408474376</v>
      </c>
      <c r="S83" s="189">
        <f t="shared" si="38"/>
        <v>120.91262948146111</v>
      </c>
      <c r="T83" s="189">
        <f t="shared" si="38"/>
        <v>122.24606291704892</v>
      </c>
      <c r="U83" s="189">
        <f t="shared" si="38"/>
        <v>123.59420155535022</v>
      </c>
      <c r="V83" s="189">
        <f t="shared" si="38"/>
        <v>124.95720756642989</v>
      </c>
      <c r="W83" s="189"/>
    </row>
    <row r="84" spans="1:23">
      <c r="A84" s="101" t="str">
        <f>+A60</f>
        <v>c. Space Heating - PCT</v>
      </c>
      <c r="B84" s="247">
        <f>KeyAssumptions!Z4</f>
        <v>1.74</v>
      </c>
      <c r="C84" s="189">
        <f>$B84/1000*C72*$C$33</f>
        <v>21.419064523704378</v>
      </c>
      <c r="D84" s="189">
        <f t="shared" ref="D84:V84" si="39">$B84/1000*D72*$C$33</f>
        <v>119.57731758296158</v>
      </c>
      <c r="E84" s="189">
        <f t="shared" si="39"/>
        <v>238.26081429634277</v>
      </c>
      <c r="F84" s="189">
        <f t="shared" si="39"/>
        <v>378.20733374137103</v>
      </c>
      <c r="G84" s="189">
        <f t="shared" si="39"/>
        <v>540.15615156784054</v>
      </c>
      <c r="H84" s="189">
        <f t="shared" si="39"/>
        <v>644.16861023822992</v>
      </c>
      <c r="I84" s="189">
        <f t="shared" si="39"/>
        <v>652.80231339245984</v>
      </c>
      <c r="J84" s="189">
        <f t="shared" si="39"/>
        <v>661.38970853686499</v>
      </c>
      <c r="K84" s="189">
        <f t="shared" si="39"/>
        <v>669.89497784343746</v>
      </c>
      <c r="L84" s="189">
        <f t="shared" si="39"/>
        <v>678.35790839816991</v>
      </c>
      <c r="M84" s="189">
        <f t="shared" si="39"/>
        <v>686.725671267405</v>
      </c>
      <c r="N84" s="189">
        <f t="shared" si="39"/>
        <v>694.95016282461006</v>
      </c>
      <c r="O84" s="189">
        <f t="shared" si="39"/>
        <v>702.99717184619999</v>
      </c>
      <c r="P84" s="189">
        <f t="shared" si="39"/>
        <v>710.90799751644749</v>
      </c>
      <c r="Q84" s="189">
        <f t="shared" si="39"/>
        <v>718.74794357982</v>
      </c>
      <c r="R84" s="189">
        <f t="shared" si="39"/>
        <v>726.67434914919227</v>
      </c>
      <c r="S84" s="189">
        <f t="shared" si="39"/>
        <v>734.68816770640194</v>
      </c>
      <c r="T84" s="189">
        <f t="shared" si="39"/>
        <v>742.79036324835465</v>
      </c>
      <c r="U84" s="189">
        <f t="shared" si="39"/>
        <v>750.98191040298514</v>
      </c>
      <c r="V84" s="189">
        <f t="shared" si="39"/>
        <v>759.26379454649782</v>
      </c>
      <c r="W84" s="189"/>
    </row>
    <row r="85" spans="1:23">
      <c r="A85" s="101" t="str">
        <f>+A61</f>
        <v>d. Water Heating - WH Controls</v>
      </c>
      <c r="B85" s="247">
        <f>KeyAssumptions!Z5</f>
        <v>0.57999999999999996</v>
      </c>
      <c r="C85" s="189">
        <f>$B85/1000*C73*$C$44</f>
        <v>2.4664377330326239</v>
      </c>
      <c r="D85" s="189">
        <f t="shared" ref="D85:V85" si="40">$B85/1000*D73*$C$44</f>
        <v>12.51773572493812</v>
      </c>
      <c r="E85" s="189">
        <f t="shared" si="40"/>
        <v>22.863411472881367</v>
      </c>
      <c r="F85" s="189">
        <f t="shared" si="40"/>
        <v>33.500882709025873</v>
      </c>
      <c r="G85" s="189">
        <f t="shared" si="40"/>
        <v>44.428428051034487</v>
      </c>
      <c r="H85" s="189">
        <f t="shared" si="40"/>
        <v>52.983565344269977</v>
      </c>
      <c r="I85" s="189">
        <f t="shared" si="40"/>
        <v>53.69369677253998</v>
      </c>
      <c r="J85" s="189">
        <f t="shared" si="40"/>
        <v>54.400019316884979</v>
      </c>
      <c r="K85" s="189">
        <f t="shared" si="40"/>
        <v>55.099586922187477</v>
      </c>
      <c r="L85" s="189">
        <f t="shared" si="40"/>
        <v>55.795672119329978</v>
      </c>
      <c r="M85" s="189">
        <f t="shared" si="40"/>
        <v>56.483929671344981</v>
      </c>
      <c r="N85" s="189">
        <f t="shared" si="40"/>
        <v>57.160403002889979</v>
      </c>
      <c r="O85" s="189">
        <f t="shared" si="40"/>
        <v>57.822278203799975</v>
      </c>
      <c r="P85" s="189">
        <f t="shared" si="40"/>
        <v>58.472952176677488</v>
      </c>
      <c r="Q85" s="189">
        <f t="shared" si="40"/>
        <v>59.11779622517998</v>
      </c>
      <c r="R85" s="189">
        <f t="shared" si="40"/>
        <v>59.769751661621846</v>
      </c>
      <c r="S85" s="189">
        <f t="shared" si="40"/>
        <v>60.428896910916158</v>
      </c>
      <c r="T85" s="189">
        <f t="shared" si="40"/>
        <v>61.095311262851652</v>
      </c>
      <c r="U85" s="189">
        <f t="shared" si="40"/>
        <v>61.769074881630786</v>
      </c>
      <c r="V85" s="189">
        <f t="shared" si="40"/>
        <v>62.450268815512793</v>
      </c>
      <c r="W85" s="189"/>
    </row>
    <row r="86" spans="1:23">
      <c r="A86" s="85"/>
      <c r="B86" s="85"/>
      <c r="C86" s="106"/>
      <c r="D86" s="106"/>
      <c r="E86" s="106"/>
      <c r="F86" s="106"/>
      <c r="G86" s="106"/>
      <c r="H86" s="106"/>
      <c r="I86" s="106"/>
      <c r="J86" s="106"/>
      <c r="K86" s="106"/>
      <c r="L86" s="106"/>
      <c r="M86" s="106"/>
      <c r="N86" s="106"/>
      <c r="O86" s="106"/>
      <c r="P86" s="106"/>
      <c r="Q86" s="106"/>
      <c r="R86" s="106"/>
      <c r="S86" s="106"/>
      <c r="T86" s="106"/>
      <c r="U86" s="106"/>
      <c r="V86" s="106"/>
      <c r="W86" s="106"/>
    </row>
    <row r="87" spans="1:23">
      <c r="A87" s="107" t="s">
        <v>265</v>
      </c>
      <c r="B87" s="108"/>
      <c r="C87" s="109">
        <f>SUM(C82:C85)</f>
        <v>35.244097079913558</v>
      </c>
      <c r="D87" s="109">
        <f t="shared" ref="D87:V87" si="41">SUM(D82:D85)</f>
        <v>195.50726717765204</v>
      </c>
      <c r="E87" s="109">
        <f t="shared" si="41"/>
        <v>387.47465759304225</v>
      </c>
      <c r="F87" s="109">
        <f t="shared" si="41"/>
        <v>612.27271161627539</v>
      </c>
      <c r="G87" s="109">
        <f t="shared" si="41"/>
        <v>871.03102363212372</v>
      </c>
      <c r="H87" s="109">
        <f t="shared" si="41"/>
        <v>1038.7567416179247</v>
      </c>
      <c r="I87" s="109">
        <f t="shared" si="41"/>
        <v>1052.6790551458498</v>
      </c>
      <c r="J87" s="109">
        <f t="shared" si="41"/>
        <v>1066.5266945020874</v>
      </c>
      <c r="K87" s="109">
        <f t="shared" si="41"/>
        <v>1080.2419015007811</v>
      </c>
      <c r="L87" s="109">
        <f t="shared" si="41"/>
        <v>1093.8888349710749</v>
      </c>
      <c r="M87" s="109">
        <f t="shared" si="41"/>
        <v>1107.3823053987376</v>
      </c>
      <c r="N87" s="109">
        <f t="shared" si="41"/>
        <v>1120.6447430829751</v>
      </c>
      <c r="O87" s="109">
        <f t="shared" si="41"/>
        <v>1133.6209805745</v>
      </c>
      <c r="P87" s="109">
        <f t="shared" si="41"/>
        <v>1146.3776150427559</v>
      </c>
      <c r="Q87" s="109">
        <f t="shared" si="41"/>
        <v>1159.0199523094498</v>
      </c>
      <c r="R87" s="109">
        <f t="shared" si="41"/>
        <v>1171.801710208113</v>
      </c>
      <c r="S87" s="109">
        <f t="shared" si="41"/>
        <v>1184.724426279804</v>
      </c>
      <c r="T87" s="109">
        <f t="shared" si="41"/>
        <v>1197.7896550216974</v>
      </c>
      <c r="U87" s="109">
        <f t="shared" si="41"/>
        <v>1210.9989680740778</v>
      </c>
      <c r="V87" s="109">
        <f t="shared" si="41"/>
        <v>1224.3539544093958</v>
      </c>
      <c r="W87" s="109"/>
    </row>
    <row r="88" spans="1:23">
      <c r="A88" s="110"/>
      <c r="B88" s="110"/>
      <c r="C88" s="111"/>
      <c r="D88" s="111"/>
      <c r="E88" s="112"/>
      <c r="F88" s="112"/>
      <c r="G88" s="112"/>
      <c r="H88" s="112"/>
      <c r="I88" s="112"/>
      <c r="J88" s="112"/>
      <c r="K88" s="112"/>
      <c r="L88" s="112"/>
      <c r="M88" s="112"/>
      <c r="N88" s="112"/>
      <c r="O88" s="112"/>
      <c r="P88" s="112"/>
      <c r="Q88" s="112"/>
      <c r="R88" s="112"/>
      <c r="S88" s="112"/>
      <c r="T88" s="112"/>
      <c r="U88" s="112"/>
      <c r="V88" s="112"/>
      <c r="W88" s="112"/>
    </row>
    <row r="89" spans="1:23">
      <c r="A89" s="77" t="s">
        <v>272</v>
      </c>
      <c r="B89" s="110"/>
      <c r="C89" s="98"/>
      <c r="D89" s="122"/>
      <c r="E89" s="121"/>
      <c r="F89" s="121"/>
      <c r="G89" s="121"/>
      <c r="H89" s="121"/>
      <c r="I89" s="121"/>
      <c r="J89" s="121"/>
      <c r="K89" s="121"/>
      <c r="L89" s="121"/>
      <c r="M89" s="121"/>
      <c r="N89" s="121"/>
      <c r="O89" s="121"/>
      <c r="P89" s="121"/>
      <c r="Q89" s="121"/>
      <c r="R89" s="121"/>
      <c r="S89" s="121"/>
      <c r="T89" s="121"/>
      <c r="U89" s="121"/>
      <c r="V89" s="121"/>
      <c r="W89" s="121"/>
    </row>
    <row r="90" spans="1:23">
      <c r="A90" s="113"/>
      <c r="B90" s="110"/>
      <c r="C90" s="98"/>
      <c r="D90" s="121"/>
      <c r="E90" s="121"/>
      <c r="F90" s="121"/>
      <c r="G90" s="121"/>
      <c r="H90" s="121"/>
      <c r="I90" s="121"/>
      <c r="J90" s="121"/>
      <c r="K90" s="121"/>
      <c r="L90" s="121"/>
      <c r="M90" s="121"/>
      <c r="N90" s="121"/>
      <c r="O90" s="121"/>
      <c r="P90" s="121"/>
      <c r="Q90" s="121"/>
      <c r="R90" s="121"/>
      <c r="S90" s="121"/>
      <c r="T90" s="121"/>
      <c r="U90" s="121"/>
      <c r="V90" s="121"/>
      <c r="W90" s="121"/>
    </row>
    <row r="91" spans="1:23" ht="17.100000000000001" customHeight="1">
      <c r="A91" s="474" t="s">
        <v>210</v>
      </c>
      <c r="B91" s="477" t="s">
        <v>300</v>
      </c>
      <c r="C91" s="531" t="s">
        <v>218</v>
      </c>
      <c r="D91" s="531"/>
      <c r="E91" s="531"/>
      <c r="F91" s="531"/>
      <c r="G91" s="531"/>
      <c r="H91" s="531"/>
      <c r="I91" s="531"/>
      <c r="J91" s="531"/>
      <c r="K91" s="531"/>
      <c r="L91" s="531"/>
      <c r="M91" s="531"/>
      <c r="N91" s="531"/>
      <c r="O91" s="531"/>
      <c r="P91" s="531"/>
      <c r="Q91" s="531"/>
      <c r="R91" s="531"/>
      <c r="S91" s="531"/>
      <c r="T91" s="531"/>
      <c r="U91" s="531"/>
      <c r="V91" s="531"/>
      <c r="W91" s="531"/>
    </row>
    <row r="92" spans="1:23" ht="17.45" customHeight="1">
      <c r="A92" s="475"/>
      <c r="B92" s="478"/>
      <c r="C92" s="184">
        <f>C5</f>
        <v>2016</v>
      </c>
      <c r="D92" s="322">
        <f t="shared" ref="D92:V92" si="42">D5</f>
        <v>2017</v>
      </c>
      <c r="E92" s="322">
        <f t="shared" si="42"/>
        <v>2018</v>
      </c>
      <c r="F92" s="322">
        <f t="shared" si="42"/>
        <v>2019</v>
      </c>
      <c r="G92" s="322">
        <f t="shared" si="42"/>
        <v>2020</v>
      </c>
      <c r="H92" s="322">
        <f t="shared" si="42"/>
        <v>2021</v>
      </c>
      <c r="I92" s="322">
        <f t="shared" si="42"/>
        <v>2022</v>
      </c>
      <c r="J92" s="322">
        <f t="shared" si="42"/>
        <v>2023</v>
      </c>
      <c r="K92" s="322">
        <f t="shared" si="42"/>
        <v>2024</v>
      </c>
      <c r="L92" s="322">
        <f t="shared" si="42"/>
        <v>2025</v>
      </c>
      <c r="M92" s="322">
        <f t="shared" si="42"/>
        <v>2026</v>
      </c>
      <c r="N92" s="322">
        <f t="shared" si="42"/>
        <v>2027</v>
      </c>
      <c r="O92" s="322">
        <f t="shared" si="42"/>
        <v>2028</v>
      </c>
      <c r="P92" s="322">
        <f t="shared" si="42"/>
        <v>2029</v>
      </c>
      <c r="Q92" s="322">
        <f t="shared" si="42"/>
        <v>2030</v>
      </c>
      <c r="R92" s="322">
        <f t="shared" si="42"/>
        <v>2031</v>
      </c>
      <c r="S92" s="322">
        <f t="shared" si="42"/>
        <v>2032</v>
      </c>
      <c r="T92" s="322">
        <f t="shared" si="42"/>
        <v>2033</v>
      </c>
      <c r="U92" s="322">
        <f t="shared" si="42"/>
        <v>2034</v>
      </c>
      <c r="V92" s="322">
        <f t="shared" si="42"/>
        <v>2035</v>
      </c>
      <c r="W92" s="184"/>
    </row>
    <row r="93" spans="1:23" ht="17.45" customHeight="1">
      <c r="A93" s="123"/>
      <c r="B93" s="124"/>
      <c r="C93" s="78"/>
      <c r="D93" s="82"/>
      <c r="E93" s="82"/>
      <c r="F93" s="82"/>
      <c r="G93" s="82"/>
      <c r="H93" s="82"/>
      <c r="I93" s="82"/>
      <c r="J93" s="82"/>
      <c r="K93" s="82"/>
      <c r="L93" s="82"/>
      <c r="M93" s="82"/>
      <c r="N93" s="82"/>
      <c r="O93" s="82"/>
      <c r="P93" s="82"/>
      <c r="Q93" s="82"/>
      <c r="R93" s="82"/>
      <c r="S93" s="82"/>
      <c r="T93" s="82"/>
      <c r="U93" s="82"/>
      <c r="V93" s="82"/>
      <c r="W93" s="82"/>
    </row>
    <row r="94" spans="1:23" ht="17.45" customHeight="1">
      <c r="A94" s="85" t="str">
        <f>+A58</f>
        <v>a. Space Cooling - CAC PCT</v>
      </c>
      <c r="B94" s="136">
        <f>SUM(KeyAssumptions!S6:U6)</f>
        <v>218.94</v>
      </c>
      <c r="C94" s="116">
        <f t="shared" ref="C94:V94" si="43">MAX(0,($B$94*C58))</f>
        <v>3008893.8301104372</v>
      </c>
      <c r="D94" s="116">
        <f t="shared" si="43"/>
        <v>13789013.132555718</v>
      </c>
      <c r="E94" s="116">
        <f t="shared" si="43"/>
        <v>16672345.358576115</v>
      </c>
      <c r="F94" s="116">
        <f t="shared" si="43"/>
        <v>19659318.848288827</v>
      </c>
      <c r="G94" s="116">
        <f t="shared" si="43"/>
        <v>22750143.836228944</v>
      </c>
      <c r="H94" s="116">
        <f t="shared" si="43"/>
        <v>14611396.53422294</v>
      </c>
      <c r="I94" s="116">
        <f t="shared" si="43"/>
        <v>1212839.9035829955</v>
      </c>
      <c r="J94" s="116">
        <f t="shared" si="43"/>
        <v>1206334.6762005205</v>
      </c>
      <c r="K94" s="116">
        <f t="shared" si="43"/>
        <v>1194797.8545772491</v>
      </c>
      <c r="L94" s="116">
        <f t="shared" si="43"/>
        <v>1188850.2181132475</v>
      </c>
      <c r="M94" s="116">
        <f t="shared" si="43"/>
        <v>1175481.3120434887</v>
      </c>
      <c r="N94" s="116">
        <f t="shared" si="43"/>
        <v>1155354.935080508</v>
      </c>
      <c r="O94" s="116">
        <f t="shared" si="43"/>
        <v>1130422.6554389945</v>
      </c>
      <c r="P94" s="116">
        <f t="shared" si="43"/>
        <v>1111291.9765447464</v>
      </c>
      <c r="Q94" s="116">
        <f t="shared" si="43"/>
        <v>1101334.9958572541</v>
      </c>
      <c r="R94" s="116">
        <f t="shared" si="43"/>
        <v>1113480.5997826462</v>
      </c>
      <c r="S94" s="116">
        <f t="shared" si="43"/>
        <v>1125760.1463279133</v>
      </c>
      <c r="T94" s="116">
        <f t="shared" si="43"/>
        <v>1138175.112622201</v>
      </c>
      <c r="U94" s="116">
        <f t="shared" si="43"/>
        <v>1150726.9920845386</v>
      </c>
      <c r="V94" s="116">
        <f t="shared" si="43"/>
        <v>1163417.2946034407</v>
      </c>
      <c r="W94" s="116"/>
    </row>
    <row r="95" spans="1:23">
      <c r="A95" s="85" t="str">
        <f>+A59</f>
        <v>b. Space Cooling - RAC PCT</v>
      </c>
      <c r="B95" s="136">
        <f>SUM(KeyAssumptions!S7:U7)</f>
        <v>98.522999999999996</v>
      </c>
      <c r="C95" s="116">
        <f t="shared" ref="C95:V95" si="44">MAX(0,($B$95*C59))</f>
        <v>1354002.2235496966</v>
      </c>
      <c r="D95" s="116">
        <f t="shared" si="44"/>
        <v>6205055.9096500725</v>
      </c>
      <c r="E95" s="116">
        <f t="shared" si="44"/>
        <v>7502555.4113592524</v>
      </c>
      <c r="F95" s="116">
        <f t="shared" si="44"/>
        <v>8846693.4817299712</v>
      </c>
      <c r="G95" s="116">
        <f t="shared" si="44"/>
        <v>10237564.726303024</v>
      </c>
      <c r="H95" s="116">
        <f t="shared" si="44"/>
        <v>6575128.440400322</v>
      </c>
      <c r="I95" s="116">
        <f t="shared" si="44"/>
        <v>545777.95661234797</v>
      </c>
      <c r="J95" s="116">
        <f t="shared" si="44"/>
        <v>542850.60429023416</v>
      </c>
      <c r="K95" s="116">
        <f t="shared" si="44"/>
        <v>537659.03455976211</v>
      </c>
      <c r="L95" s="116">
        <f t="shared" si="44"/>
        <v>534982.59815096133</v>
      </c>
      <c r="M95" s="116">
        <f t="shared" si="44"/>
        <v>528966.59041956987</v>
      </c>
      <c r="N95" s="116">
        <f t="shared" si="44"/>
        <v>519909.7207862286</v>
      </c>
      <c r="O95" s="116">
        <f t="shared" si="44"/>
        <v>508690.19494754751</v>
      </c>
      <c r="P95" s="116">
        <f t="shared" si="44"/>
        <v>500081.38944513589</v>
      </c>
      <c r="Q95" s="116">
        <f t="shared" si="44"/>
        <v>495600.74813576433</v>
      </c>
      <c r="R95" s="116">
        <f t="shared" si="44"/>
        <v>501066.26990219072</v>
      </c>
      <c r="S95" s="116">
        <f t="shared" si="44"/>
        <v>506592.065847561</v>
      </c>
      <c r="T95" s="116">
        <f t="shared" si="44"/>
        <v>512178.80067999044</v>
      </c>
      <c r="U95" s="116">
        <f t="shared" si="44"/>
        <v>517827.14643804228</v>
      </c>
      <c r="V95" s="116">
        <f t="shared" si="44"/>
        <v>523537.78257154825</v>
      </c>
      <c r="W95" s="116"/>
    </row>
    <row r="96" spans="1:23">
      <c r="A96" s="166" t="str">
        <f>A60</f>
        <v>c. Space Heating - PCT</v>
      </c>
      <c r="B96" s="136">
        <f>SUM(KeyAssumptions!S4:U4)</f>
        <v>634.92600000000004</v>
      </c>
      <c r="C96" s="116">
        <f t="shared" ref="C96:V96" si="45">MAX(0,($B$96*C60))</f>
        <v>8227175.4154733988</v>
      </c>
      <c r="D96" s="116">
        <f t="shared" si="45"/>
        <v>37703101.622445218</v>
      </c>
      <c r="E96" s="116">
        <f t="shared" si="45"/>
        <v>45586955.737592429</v>
      </c>
      <c r="F96" s="116">
        <f t="shared" si="45"/>
        <v>53754194.679464027</v>
      </c>
      <c r="G96" s="116">
        <f t="shared" si="45"/>
        <v>62205393.289346024</v>
      </c>
      <c r="H96" s="116">
        <f t="shared" si="45"/>
        <v>39951732.809289552</v>
      </c>
      <c r="I96" s="116">
        <f t="shared" si="45"/>
        <v>3316250.8220826546</v>
      </c>
      <c r="J96" s="116">
        <f t="shared" si="45"/>
        <v>3298463.6717825374</v>
      </c>
      <c r="K96" s="116">
        <f t="shared" si="45"/>
        <v>3266918.7052298016</v>
      </c>
      <c r="L96" s="116">
        <f t="shared" si="45"/>
        <v>3250656.1678124904</v>
      </c>
      <c r="M96" s="116">
        <f t="shared" si="45"/>
        <v>3214101.7589304079</v>
      </c>
      <c r="N96" s="116">
        <f t="shared" si="45"/>
        <v>3159070.4939201153</v>
      </c>
      <c r="O96" s="116">
        <f t="shared" si="45"/>
        <v>3090898.517871784</v>
      </c>
      <c r="P96" s="116">
        <f t="shared" si="45"/>
        <v>3038589.7758666473</v>
      </c>
      <c r="Q96" s="116">
        <f t="shared" si="45"/>
        <v>3011364.5458153854</v>
      </c>
      <c r="R96" s="116">
        <f t="shared" si="45"/>
        <v>3044574.0971199297</v>
      </c>
      <c r="S96" s="116">
        <f t="shared" si="45"/>
        <v>3078149.885816663</v>
      </c>
      <c r="T96" s="116">
        <f t="shared" si="45"/>
        <v>3112095.9507984142</v>
      </c>
      <c r="U96" s="116">
        <f t="shared" si="45"/>
        <v>3146416.3754997039</v>
      </c>
      <c r="V96" s="116">
        <f t="shared" si="45"/>
        <v>3181115.2883871337</v>
      </c>
      <c r="W96" s="116"/>
    </row>
    <row r="97" spans="1:23">
      <c r="A97" s="85" t="str">
        <f>+A61</f>
        <v>d. Water Heating - WH Controls</v>
      </c>
      <c r="B97" s="136">
        <f>SUM(KeyAssumptions!S5:U5)</f>
        <v>211.642</v>
      </c>
      <c r="C97" s="116">
        <f t="shared" ref="C97:V97" si="46">MAX(0,($B$97*C61))</f>
        <v>947371.71450905746</v>
      </c>
      <c r="D97" s="116">
        <f t="shared" si="46"/>
        <v>3860756.4602592797</v>
      </c>
      <c r="E97" s="116">
        <f t="shared" si="46"/>
        <v>3973828.5057099909</v>
      </c>
      <c r="F97" s="116">
        <f t="shared" si="46"/>
        <v>4085908.6884938185</v>
      </c>
      <c r="G97" s="116">
        <f t="shared" si="46"/>
        <v>4197327.6792620467</v>
      </c>
      <c r="H97" s="116">
        <f t="shared" si="46"/>
        <v>3286073.2613701392</v>
      </c>
      <c r="I97" s="116">
        <f t="shared" si="46"/>
        <v>272765.21913234051</v>
      </c>
      <c r="J97" s="116">
        <f t="shared" si="46"/>
        <v>271302.20676998753</v>
      </c>
      <c r="K97" s="116">
        <f t="shared" si="46"/>
        <v>268707.59913145611</v>
      </c>
      <c r="L97" s="116">
        <f t="shared" si="46"/>
        <v>267369.98782873549</v>
      </c>
      <c r="M97" s="116">
        <f t="shared" si="46"/>
        <v>264363.34813712892</v>
      </c>
      <c r="N97" s="116">
        <f t="shared" si="46"/>
        <v>259836.96703239056</v>
      </c>
      <c r="O97" s="116">
        <f t="shared" si="46"/>
        <v>254229.74822321979</v>
      </c>
      <c r="P97" s="116">
        <f t="shared" si="46"/>
        <v>249927.29758210958</v>
      </c>
      <c r="Q97" s="116">
        <f t="shared" si="46"/>
        <v>247687.99294584984</v>
      </c>
      <c r="R97" s="116">
        <f t="shared" si="46"/>
        <v>250419.51448172706</v>
      </c>
      <c r="S97" s="116">
        <f t="shared" si="46"/>
        <v>253181.15943946523</v>
      </c>
      <c r="T97" s="116">
        <f t="shared" si="46"/>
        <v>255973.2600223794</v>
      </c>
      <c r="U97" s="116">
        <f t="shared" si="46"/>
        <v>258796.15209737807</v>
      </c>
      <c r="V97" s="116">
        <f t="shared" si="46"/>
        <v>261650.17523530844</v>
      </c>
      <c r="W97" s="116"/>
    </row>
    <row r="98" spans="1:23">
      <c r="A98" s="85"/>
      <c r="B98" s="110"/>
      <c r="C98" s="117"/>
      <c r="D98" s="117"/>
      <c r="E98" s="117"/>
      <c r="F98" s="117"/>
      <c r="G98" s="117"/>
      <c r="H98" s="117"/>
      <c r="I98" s="117"/>
      <c r="J98" s="117"/>
      <c r="K98" s="117"/>
      <c r="L98" s="117"/>
      <c r="M98" s="117"/>
      <c r="N98" s="117"/>
      <c r="O98" s="117"/>
      <c r="P98" s="117"/>
      <c r="Q98" s="117"/>
      <c r="R98" s="117"/>
      <c r="S98" s="117"/>
      <c r="T98" s="117"/>
      <c r="U98" s="117"/>
      <c r="V98" s="117"/>
      <c r="W98" s="117"/>
    </row>
    <row r="99" spans="1:23">
      <c r="A99" s="126" t="s">
        <v>274</v>
      </c>
      <c r="B99" s="107"/>
      <c r="C99" s="119">
        <f t="shared" ref="C99:V99" si="47">SUM(C94:C97)</f>
        <v>13537443.18364259</v>
      </c>
      <c r="D99" s="119">
        <f t="shared" si="47"/>
        <v>61557927.124910288</v>
      </c>
      <c r="E99" s="119">
        <f t="shared" si="47"/>
        <v>73735685.013237789</v>
      </c>
      <c r="F99" s="119">
        <f t="shared" si="47"/>
        <v>86346115.697976649</v>
      </c>
      <c r="G99" s="119">
        <f t="shared" si="47"/>
        <v>99390429.531140029</v>
      </c>
      <c r="H99" s="119">
        <f t="shared" si="47"/>
        <v>64424331.045282952</v>
      </c>
      <c r="I99" s="119">
        <f t="shared" si="47"/>
        <v>5347633.9014103385</v>
      </c>
      <c r="J99" s="119">
        <f t="shared" si="47"/>
        <v>5318951.1590432804</v>
      </c>
      <c r="K99" s="119">
        <f t="shared" si="47"/>
        <v>5268083.1934982687</v>
      </c>
      <c r="L99" s="119">
        <f t="shared" si="47"/>
        <v>5241858.9719054345</v>
      </c>
      <c r="M99" s="119">
        <f t="shared" si="47"/>
        <v>5182913.0095305955</v>
      </c>
      <c r="N99" s="119">
        <f t="shared" si="47"/>
        <v>5094172.1168192429</v>
      </c>
      <c r="O99" s="119">
        <f t="shared" si="47"/>
        <v>4984241.1164815463</v>
      </c>
      <c r="P99" s="119">
        <f t="shared" si="47"/>
        <v>4899890.4394386392</v>
      </c>
      <c r="Q99" s="119">
        <f t="shared" si="47"/>
        <v>4855988.2827542536</v>
      </c>
      <c r="R99" s="119">
        <f t="shared" si="47"/>
        <v>4909540.4812864941</v>
      </c>
      <c r="S99" s="119">
        <f t="shared" si="47"/>
        <v>4963683.2574316021</v>
      </c>
      <c r="T99" s="119">
        <f t="shared" si="47"/>
        <v>5018423.1241229847</v>
      </c>
      <c r="U99" s="119">
        <f t="shared" si="47"/>
        <v>5073766.666119663</v>
      </c>
      <c r="V99" s="119">
        <f t="shared" si="47"/>
        <v>5129720.540797431</v>
      </c>
      <c r="W99" s="119"/>
    </row>
    <row r="100" spans="1:23">
      <c r="A100" s="110"/>
      <c r="B100" s="110"/>
      <c r="C100" s="121"/>
      <c r="D100" s="121"/>
      <c r="E100" s="121"/>
      <c r="F100" s="121"/>
      <c r="G100" s="121"/>
      <c r="H100" s="121"/>
      <c r="I100" s="121"/>
      <c r="J100" s="121"/>
      <c r="K100" s="121"/>
      <c r="L100" s="121"/>
      <c r="M100" s="121"/>
      <c r="N100" s="121"/>
      <c r="O100" s="121"/>
      <c r="P100" s="121"/>
      <c r="Q100" s="121"/>
      <c r="R100" s="121"/>
      <c r="S100" s="121"/>
      <c r="T100" s="121"/>
      <c r="U100" s="121"/>
      <c r="V100" s="121"/>
      <c r="W100" s="121"/>
    </row>
    <row r="101" spans="1:23">
      <c r="A101" s="96" t="s">
        <v>273</v>
      </c>
      <c r="B101" s="96"/>
      <c r="C101" s="111"/>
      <c r="D101" s="127"/>
      <c r="E101" s="128"/>
      <c r="F101" s="129"/>
      <c r="G101" s="120"/>
      <c r="H101" s="130"/>
      <c r="I101" s="120"/>
      <c r="J101" s="78"/>
      <c r="L101" s="78"/>
    </row>
    <row r="102" spans="1:23">
      <c r="A102" s="110"/>
      <c r="B102" s="110"/>
      <c r="C102" s="111"/>
      <c r="D102" s="127"/>
      <c r="E102" s="128"/>
      <c r="F102" s="129"/>
      <c r="G102" s="120"/>
      <c r="H102" s="130"/>
      <c r="I102" s="120"/>
      <c r="J102" s="78"/>
      <c r="L102" s="78"/>
    </row>
    <row r="103" spans="1:23">
      <c r="A103" s="549" t="s">
        <v>210</v>
      </c>
      <c r="B103" s="525" t="s">
        <v>339</v>
      </c>
      <c r="C103" s="476" t="s">
        <v>219</v>
      </c>
      <c r="D103" s="476"/>
      <c r="E103" s="476"/>
      <c r="F103" s="476"/>
      <c r="G103" s="476"/>
      <c r="H103" s="476"/>
      <c r="I103" s="476"/>
      <c r="J103" s="476"/>
      <c r="K103" s="476"/>
      <c r="L103" s="476"/>
      <c r="M103" s="476"/>
      <c r="N103" s="476"/>
      <c r="O103" s="476"/>
      <c r="P103" s="476"/>
      <c r="Q103" s="476"/>
      <c r="R103" s="476"/>
      <c r="S103" s="476"/>
      <c r="T103" s="476"/>
      <c r="U103" s="476"/>
      <c r="V103" s="476"/>
      <c r="W103" s="476"/>
    </row>
    <row r="104" spans="1:23">
      <c r="A104" s="462"/>
      <c r="B104" s="525"/>
      <c r="C104" s="184">
        <f>C5</f>
        <v>2016</v>
      </c>
      <c r="D104" s="322">
        <f t="shared" ref="D104:V104" si="48">D5</f>
        <v>2017</v>
      </c>
      <c r="E104" s="322">
        <f t="shared" si="48"/>
        <v>2018</v>
      </c>
      <c r="F104" s="322">
        <f t="shared" si="48"/>
        <v>2019</v>
      </c>
      <c r="G104" s="322">
        <f t="shared" si="48"/>
        <v>2020</v>
      </c>
      <c r="H104" s="322">
        <f t="shared" si="48"/>
        <v>2021</v>
      </c>
      <c r="I104" s="322">
        <f t="shared" si="48"/>
        <v>2022</v>
      </c>
      <c r="J104" s="322">
        <f t="shared" si="48"/>
        <v>2023</v>
      </c>
      <c r="K104" s="322">
        <f t="shared" si="48"/>
        <v>2024</v>
      </c>
      <c r="L104" s="322">
        <f t="shared" si="48"/>
        <v>2025</v>
      </c>
      <c r="M104" s="322">
        <f t="shared" si="48"/>
        <v>2026</v>
      </c>
      <c r="N104" s="322">
        <f t="shared" si="48"/>
        <v>2027</v>
      </c>
      <c r="O104" s="322">
        <f t="shared" si="48"/>
        <v>2028</v>
      </c>
      <c r="P104" s="322">
        <f t="shared" si="48"/>
        <v>2029</v>
      </c>
      <c r="Q104" s="322">
        <f t="shared" si="48"/>
        <v>2030</v>
      </c>
      <c r="R104" s="322">
        <f t="shared" si="48"/>
        <v>2031</v>
      </c>
      <c r="S104" s="322">
        <f t="shared" si="48"/>
        <v>2032</v>
      </c>
      <c r="T104" s="322">
        <f t="shared" si="48"/>
        <v>2033</v>
      </c>
      <c r="U104" s="322">
        <f t="shared" si="48"/>
        <v>2034</v>
      </c>
      <c r="V104" s="322">
        <f t="shared" si="48"/>
        <v>2035</v>
      </c>
      <c r="W104" s="184"/>
    </row>
    <row r="105" spans="1:23">
      <c r="A105" s="131"/>
      <c r="B105" s="132"/>
      <c r="C105" s="132"/>
      <c r="D105" s="133"/>
      <c r="E105" s="133"/>
      <c r="F105" s="133"/>
      <c r="G105" s="133"/>
      <c r="H105" s="133"/>
      <c r="I105" s="133"/>
      <c r="J105" s="133"/>
      <c r="K105" s="133"/>
      <c r="L105" s="133"/>
      <c r="M105" s="133"/>
      <c r="N105" s="133"/>
      <c r="O105" s="133"/>
      <c r="P105" s="133"/>
      <c r="Q105" s="133"/>
      <c r="R105" s="133"/>
      <c r="S105" s="133"/>
      <c r="T105" s="133"/>
      <c r="U105" s="133"/>
      <c r="V105" s="133"/>
      <c r="W105" s="133"/>
    </row>
    <row r="106" spans="1:23">
      <c r="A106" s="135" t="str">
        <f>A58</f>
        <v>a. Space Cooling - CAC PCT</v>
      </c>
      <c r="B106" s="136">
        <f>KeyAssumptions!$W$6</f>
        <v>70</v>
      </c>
      <c r="C106" s="137">
        <f>($B$107-IF('7thPlanAssumptions'!$D$14=1,'7thPlanAssumptions'!$B$14,0))*C82*1000</f>
        <v>344674.60153087496</v>
      </c>
      <c r="D106" s="137">
        <f>($B$107-IF('7thPlanAssumptions'!$D$14=1,'7thPlanAssumptions'!$B$14,0))*D82*1000</f>
        <v>1924232.6967373122</v>
      </c>
      <c r="E106" s="137">
        <f>($B$107-IF('7thPlanAssumptions'!$D$14=1,'7thPlanAssumptions'!$B$14,0))*E82*1000</f>
        <v>3834082.0691365488</v>
      </c>
      <c r="F106" s="137">
        <f>($B$107-IF('7thPlanAssumptions'!$D$14=1,'7thPlanAssumptions'!$B$14,0))*F82*1000</f>
        <v>6086095.0257232115</v>
      </c>
      <c r="G106" s="137">
        <f>($B$107-IF('7thPlanAssumptions'!$D$14=1,'7thPlanAssumptions'!$B$14,0))*G82*1000</f>
        <v>8692167.9562640991</v>
      </c>
      <c r="H106" s="137">
        <f>($B$107-IF('7thPlanAssumptions'!$D$14=1,'7thPlanAssumptions'!$B$14,0))*H82*1000</f>
        <v>10365931.659005996</v>
      </c>
      <c r="I106" s="137">
        <f>($B$107-IF('7thPlanAssumptions'!$D$14=1,'7thPlanAssumptions'!$B$14,0))*I82*1000</f>
        <v>10504864.813211996</v>
      </c>
      <c r="J106" s="137">
        <f>($B$107-IF('7thPlanAssumptions'!$D$14=1,'7thPlanAssumptions'!$B$14,0))*J82*1000</f>
        <v>10643052.781052999</v>
      </c>
      <c r="K106" s="137">
        <f>($B$107-IF('7thPlanAssumptions'!$D$14=1,'7thPlanAssumptions'!$B$14,0))*K82*1000</f>
        <v>10779919.183687501</v>
      </c>
      <c r="L106" s="137">
        <f>($B$107-IF('7thPlanAssumptions'!$D$14=1,'7thPlanAssumptions'!$B$14,0))*L82*1000</f>
        <v>10916104.273073997</v>
      </c>
      <c r="M106" s="137">
        <f>($B$107-IF('7thPlanAssumptions'!$D$14=1,'7thPlanAssumptions'!$B$14,0))*M82*1000</f>
        <v>11050757.928440997</v>
      </c>
      <c r="N106" s="137">
        <f>($B$107-IF('7thPlanAssumptions'!$D$14=1,'7thPlanAssumptions'!$B$14,0))*N82*1000</f>
        <v>11183106.068441996</v>
      </c>
      <c r="O106" s="137">
        <f>($B$107-IF('7thPlanAssumptions'!$D$14=1,'7thPlanAssumptions'!$B$14,0))*O82*1000</f>
        <v>11312598.167639999</v>
      </c>
      <c r="P106" s="137">
        <f>($B$107-IF('7thPlanAssumptions'!$D$14=1,'7thPlanAssumptions'!$B$14,0))*P82*1000</f>
        <v>11439898.810609495</v>
      </c>
      <c r="Q106" s="137">
        <f>($B$107-IF('7thPlanAssumptions'!$D$14=1,'7thPlanAssumptions'!$B$14,0))*Q82*1000</f>
        <v>11566058.862203998</v>
      </c>
      <c r="R106" s="137">
        <f>($B$107-IF('7thPlanAssumptions'!$D$14=1,'7thPlanAssumptions'!$B$14,0))*R82*1000</f>
        <v>11693610.2161939</v>
      </c>
      <c r="S106" s="137">
        <f>($B$107-IF('7thPlanAssumptions'!$D$14=1,'7thPlanAssumptions'!$B$14,0))*S82*1000</f>
        <v>11822568.215965087</v>
      </c>
      <c r="T106" s="137">
        <f>($B$107-IF('7thPlanAssumptions'!$D$14=1,'7thPlanAssumptions'!$B$14,0))*T82*1000</f>
        <v>11952948.374111451</v>
      </c>
      <c r="U106" s="137">
        <f>($B$107-IF('7thPlanAssumptions'!$D$14=1,'7thPlanAssumptions'!$B$14,0))*U82*1000</f>
        <v>12084766.374300906</v>
      </c>
      <c r="V106" s="137">
        <f>($B$107-IF('7thPlanAssumptions'!$D$14=1,'7thPlanAssumptions'!$B$14,0))*V82*1000</f>
        <v>12218038.07316203</v>
      </c>
      <c r="W106" s="137"/>
    </row>
    <row r="107" spans="1:23">
      <c r="A107" s="135" t="str">
        <f t="shared" ref="A107:A109" si="49">A59</f>
        <v>b. Space Cooling - RAC PCT</v>
      </c>
      <c r="B107" s="136">
        <f>KeyAssumptions!$W$7</f>
        <v>70</v>
      </c>
      <c r="C107" s="137">
        <f>($B$107-IF('7thPlanAssumptions'!$D$14=1,'7thPlanAssumptions'!$B$14,0))*C83*1000</f>
        <v>155103.57068889373</v>
      </c>
      <c r="D107" s="137">
        <f>($B$107-IF('7thPlanAssumptions'!$D$14=1,'7thPlanAssumptions'!$B$14,0))*D83*1000</f>
        <v>865904.71353179065</v>
      </c>
      <c r="E107" s="137">
        <f>($B$107-IF('7thPlanAssumptions'!$D$14=1,'7thPlanAssumptions'!$B$14,0))*E83*1000</f>
        <v>1725336.9311114475</v>
      </c>
      <c r="F107" s="137">
        <f>($B$107-IF('7thPlanAssumptions'!$D$14=1,'7thPlanAssumptions'!$B$14,0))*F83*1000</f>
        <v>2738742.7615754451</v>
      </c>
      <c r="G107" s="137">
        <f>($B$107-IF('7thPlanAssumptions'!$D$14=1,'7thPlanAssumptions'!$B$14,0))*G83*1000</f>
        <v>3911475.5803188444</v>
      </c>
      <c r="H107" s="137">
        <f>($B$107-IF('7thPlanAssumptions'!$D$14=1,'7thPlanAssumptions'!$B$14,0))*H83*1000</f>
        <v>4664669.2465526992</v>
      </c>
      <c r="I107" s="137">
        <f>($B$107-IF('7thPlanAssumptions'!$D$14=1,'7thPlanAssumptions'!$B$14,0))*I83*1000</f>
        <v>4727189.1659453986</v>
      </c>
      <c r="J107" s="137">
        <f>($B$107-IF('7thPlanAssumptions'!$D$14=1,'7thPlanAssumptions'!$B$14,0))*J83*1000</f>
        <v>4789373.7514738506</v>
      </c>
      <c r="K107" s="137">
        <f>($B$107-IF('7thPlanAssumptions'!$D$14=1,'7thPlanAssumptions'!$B$14,0))*K83*1000</f>
        <v>4850963.6326593747</v>
      </c>
      <c r="L107" s="137">
        <f>($B$107-IF('7thPlanAssumptions'!$D$14=1,'7thPlanAssumptions'!$B$14,0))*L83*1000</f>
        <v>4912246.9228833001</v>
      </c>
      <c r="M107" s="137">
        <f>($B$107-IF('7thPlanAssumptions'!$D$14=1,'7thPlanAssumptions'!$B$14,0))*M83*1000</f>
        <v>4972841.0677984497</v>
      </c>
      <c r="N107" s="137">
        <f>($B$107-IF('7thPlanAssumptions'!$D$14=1,'7thPlanAssumptions'!$B$14,0))*N83*1000</f>
        <v>5032397.7307989001</v>
      </c>
      <c r="O107" s="137">
        <f>($B$107-IF('7thPlanAssumptions'!$D$14=1,'7thPlanAssumptions'!$B$14,0))*O83*1000</f>
        <v>5090669.175437999</v>
      </c>
      <c r="P107" s="137">
        <f>($B$107-IF('7thPlanAssumptions'!$D$14=1,'7thPlanAssumptions'!$B$14,0))*P83*1000</f>
        <v>5147954.4647742743</v>
      </c>
      <c r="Q107" s="137">
        <f>($B$107-IF('7thPlanAssumptions'!$D$14=1,'7thPlanAssumptions'!$B$14,0))*Q83*1000</f>
        <v>5204726.4879917996</v>
      </c>
      <c r="R107" s="137">
        <f>($B$107-IF('7thPlanAssumptions'!$D$14=1,'7thPlanAssumptions'!$B$14,0))*R83*1000</f>
        <v>5262124.5972872544</v>
      </c>
      <c r="S107" s="137">
        <f>($B$107-IF('7thPlanAssumptions'!$D$14=1,'7thPlanAssumptions'!$B$14,0))*S83*1000</f>
        <v>5320155.6971842889</v>
      </c>
      <c r="T107" s="137">
        <f>($B$107-IF('7thPlanAssumptions'!$D$14=1,'7thPlanAssumptions'!$B$14,0))*T83*1000</f>
        <v>5378826.7683501523</v>
      </c>
      <c r="U107" s="137">
        <f>($B$107-IF('7thPlanAssumptions'!$D$14=1,'7thPlanAssumptions'!$B$14,0))*U83*1000</f>
        <v>5438144.8684354099</v>
      </c>
      <c r="V107" s="137">
        <f>($B$107-IF('7thPlanAssumptions'!$D$14=1,'7thPlanAssumptions'!$B$14,0))*V83*1000</f>
        <v>5498117.1329229148</v>
      </c>
      <c r="W107" s="137"/>
    </row>
    <row r="108" spans="1:23">
      <c r="A108" s="135" t="str">
        <f t="shared" si="49"/>
        <v>c. Space Heating - PCT</v>
      </c>
      <c r="B108" s="136">
        <f>KeyAssumptions!$W$4</f>
        <v>65.5</v>
      </c>
      <c r="C108" s="137">
        <f>($B$107-IF('7thPlanAssumptions'!$D$14=1,'7thPlanAssumptions'!$B$14,0))*C84*1000</f>
        <v>942438.83904299268</v>
      </c>
      <c r="D108" s="137">
        <f>($B$107-IF('7thPlanAssumptions'!$D$14=1,'7thPlanAssumptions'!$B$14,0))*D84*1000</f>
        <v>5261401.9736503093</v>
      </c>
      <c r="E108" s="137">
        <f>($B$107-IF('7thPlanAssumptions'!$D$14=1,'7thPlanAssumptions'!$B$14,0))*E84*1000</f>
        <v>10483475.829039082</v>
      </c>
      <c r="F108" s="137">
        <f>($B$107-IF('7thPlanAssumptions'!$D$14=1,'7thPlanAssumptions'!$B$14,0))*F84*1000</f>
        <v>16641122.684620325</v>
      </c>
      <c r="G108" s="137">
        <f>($B$107-IF('7thPlanAssumptions'!$D$14=1,'7thPlanAssumptions'!$B$14,0))*G84*1000</f>
        <v>23766870.668984983</v>
      </c>
      <c r="H108" s="137">
        <f>($B$107-IF('7thPlanAssumptions'!$D$14=1,'7thPlanAssumptions'!$B$14,0))*H84*1000</f>
        <v>28343418.850482117</v>
      </c>
      <c r="I108" s="137">
        <f>($B$107-IF('7thPlanAssumptions'!$D$14=1,'7thPlanAssumptions'!$B$14,0))*I84*1000</f>
        <v>28723301.789268233</v>
      </c>
      <c r="J108" s="137">
        <f>($B$107-IF('7thPlanAssumptions'!$D$14=1,'7thPlanAssumptions'!$B$14,0))*J84*1000</f>
        <v>29101147.175622061</v>
      </c>
      <c r="K108" s="137">
        <f>($B$107-IF('7thPlanAssumptions'!$D$14=1,'7thPlanAssumptions'!$B$14,0))*K84*1000</f>
        <v>29475379.025111247</v>
      </c>
      <c r="L108" s="137">
        <f>($B$107-IF('7thPlanAssumptions'!$D$14=1,'7thPlanAssumptions'!$B$14,0))*L84*1000</f>
        <v>29847747.969519477</v>
      </c>
      <c r="M108" s="137">
        <f>($B$107-IF('7thPlanAssumptions'!$D$14=1,'7thPlanAssumptions'!$B$14,0))*M84*1000</f>
        <v>30215929.535765819</v>
      </c>
      <c r="N108" s="137">
        <f>($B$107-IF('7thPlanAssumptions'!$D$14=1,'7thPlanAssumptions'!$B$14,0))*N84*1000</f>
        <v>30577807.164282843</v>
      </c>
      <c r="O108" s="137">
        <f>($B$107-IF('7thPlanAssumptions'!$D$14=1,'7thPlanAssumptions'!$B$14,0))*O84*1000</f>
        <v>30931875.561232798</v>
      </c>
      <c r="P108" s="137">
        <f>($B$107-IF('7thPlanAssumptions'!$D$14=1,'7thPlanAssumptions'!$B$14,0))*P84*1000</f>
        <v>31279951.89072369</v>
      </c>
      <c r="Q108" s="137">
        <f>($B$107-IF('7thPlanAssumptions'!$D$14=1,'7thPlanAssumptions'!$B$14,0))*Q84*1000</f>
        <v>31624909.517512083</v>
      </c>
      <c r="R108" s="137">
        <f>($B$107-IF('7thPlanAssumptions'!$D$14=1,'7thPlanAssumptions'!$B$14,0))*R84*1000</f>
        <v>31973671.362564459</v>
      </c>
      <c r="S108" s="137">
        <f>($B$107-IF('7thPlanAssumptions'!$D$14=1,'7thPlanAssumptions'!$B$14,0))*S84*1000</f>
        <v>32326279.379081685</v>
      </c>
      <c r="T108" s="137">
        <f>($B$107-IF('7thPlanAssumptions'!$D$14=1,'7thPlanAssumptions'!$B$14,0))*T84*1000</f>
        <v>32682775.982927606</v>
      </c>
      <c r="U108" s="137">
        <f>($B$107-IF('7thPlanAssumptions'!$D$14=1,'7thPlanAssumptions'!$B$14,0))*U84*1000</f>
        <v>33043204.057731345</v>
      </c>
      <c r="V108" s="137">
        <f>($B$107-IF('7thPlanAssumptions'!$D$14=1,'7thPlanAssumptions'!$B$14,0))*V84*1000</f>
        <v>33407606.9600459</v>
      </c>
      <c r="W108" s="137"/>
    </row>
    <row r="109" spans="1:23">
      <c r="A109" s="135" t="str">
        <f t="shared" si="49"/>
        <v>d. Water Heating - WH Controls</v>
      </c>
      <c r="B109" s="136">
        <f>KeyAssumptions!$W$5</f>
        <v>56.034482758620697</v>
      </c>
      <c r="C109" s="137">
        <f>($B$107-IF('7thPlanAssumptions'!$D$14=1,'7thPlanAssumptions'!$B$14,0))*C85*1000</f>
        <v>108523.26025343545</v>
      </c>
      <c r="D109" s="137">
        <f>($B$107-IF('7thPlanAssumptions'!$D$14=1,'7thPlanAssumptions'!$B$14,0))*D85*1000</f>
        <v>550780.37189727731</v>
      </c>
      <c r="E109" s="137">
        <f>($B$107-IF('7thPlanAssumptions'!$D$14=1,'7thPlanAssumptions'!$B$14,0))*E85*1000</f>
        <v>1005990.1048067802</v>
      </c>
      <c r="F109" s="137">
        <f>($B$107-IF('7thPlanAssumptions'!$D$14=1,'7thPlanAssumptions'!$B$14,0))*F85*1000</f>
        <v>1474038.8391971386</v>
      </c>
      <c r="G109" s="137">
        <f>($B$107-IF('7thPlanAssumptions'!$D$14=1,'7thPlanAssumptions'!$B$14,0))*G85*1000</f>
        <v>1954850.8342455174</v>
      </c>
      <c r="H109" s="137">
        <f>($B$107-IF('7thPlanAssumptions'!$D$14=1,'7thPlanAssumptions'!$B$14,0))*H85*1000</f>
        <v>2331276.8751478787</v>
      </c>
      <c r="I109" s="137">
        <f>($B$107-IF('7thPlanAssumptions'!$D$14=1,'7thPlanAssumptions'!$B$14,0))*I85*1000</f>
        <v>2362522.657991759</v>
      </c>
      <c r="J109" s="137">
        <f>($B$107-IF('7thPlanAssumptions'!$D$14=1,'7thPlanAssumptions'!$B$14,0))*J85*1000</f>
        <v>2393600.8499429389</v>
      </c>
      <c r="K109" s="137">
        <f>($B$107-IF('7thPlanAssumptions'!$D$14=1,'7thPlanAssumptions'!$B$14,0))*K85*1000</f>
        <v>2424381.8245762489</v>
      </c>
      <c r="L109" s="137">
        <f>($B$107-IF('7thPlanAssumptions'!$D$14=1,'7thPlanAssumptions'!$B$14,0))*L85*1000</f>
        <v>2455009.5732505191</v>
      </c>
      <c r="M109" s="137">
        <f>($B$107-IF('7thPlanAssumptions'!$D$14=1,'7thPlanAssumptions'!$B$14,0))*M85*1000</f>
        <v>2485292.9055391792</v>
      </c>
      <c r="N109" s="137">
        <f>($B$107-IF('7thPlanAssumptions'!$D$14=1,'7thPlanAssumptions'!$B$14,0))*N85*1000</f>
        <v>2515057.7321271589</v>
      </c>
      <c r="O109" s="137">
        <f>($B$107-IF('7thPlanAssumptions'!$D$14=1,'7thPlanAssumptions'!$B$14,0))*O85*1000</f>
        <v>2544180.2409671992</v>
      </c>
      <c r="P109" s="137">
        <f>($B$107-IF('7thPlanAssumptions'!$D$14=1,'7thPlanAssumptions'!$B$14,0))*P85*1000</f>
        <v>2572809.8957738094</v>
      </c>
      <c r="Q109" s="137">
        <f>($B$107-IF('7thPlanAssumptions'!$D$14=1,'7thPlanAssumptions'!$B$14,0))*Q85*1000</f>
        <v>2601183.0339079192</v>
      </c>
      <c r="R109" s="137">
        <f>($B$107-IF('7thPlanAssumptions'!$D$14=1,'7thPlanAssumptions'!$B$14,0))*R85*1000</f>
        <v>2629869.0731113609</v>
      </c>
      <c r="S109" s="137">
        <f>($B$107-IF('7thPlanAssumptions'!$D$14=1,'7thPlanAssumptions'!$B$14,0))*S85*1000</f>
        <v>2658871.4640803109</v>
      </c>
      <c r="T109" s="137">
        <f>($B$107-IF('7thPlanAssumptions'!$D$14=1,'7thPlanAssumptions'!$B$14,0))*T85*1000</f>
        <v>2688193.6955654728</v>
      </c>
      <c r="U109" s="137">
        <f>($B$107-IF('7thPlanAssumptions'!$D$14=1,'7thPlanAssumptions'!$B$14,0))*U85*1000</f>
        <v>2717839.2947917548</v>
      </c>
      <c r="V109" s="137">
        <f>($B$107-IF('7thPlanAssumptions'!$D$14=1,'7thPlanAssumptions'!$B$14,0))*V85*1000</f>
        <v>2747811.8278825628</v>
      </c>
      <c r="W109" s="137"/>
    </row>
    <row r="110" spans="1:23">
      <c r="A110" s="141"/>
      <c r="B110" s="142"/>
      <c r="C110" s="134"/>
      <c r="D110" s="134"/>
      <c r="E110" s="134"/>
      <c r="F110" s="134"/>
      <c r="G110" s="134"/>
      <c r="H110" s="134"/>
      <c r="I110" s="134"/>
      <c r="J110" s="134"/>
      <c r="K110" s="134"/>
      <c r="L110" s="134"/>
      <c r="M110" s="134"/>
      <c r="N110" s="134"/>
      <c r="O110" s="134"/>
      <c r="P110" s="134"/>
      <c r="Q110" s="134"/>
      <c r="R110" s="134"/>
      <c r="S110" s="134"/>
      <c r="T110" s="134"/>
      <c r="U110" s="134"/>
      <c r="V110" s="134"/>
      <c r="W110" s="134"/>
    </row>
    <row r="111" spans="1:23">
      <c r="A111" s="143" t="s">
        <v>220</v>
      </c>
      <c r="B111" s="144"/>
      <c r="C111" s="145">
        <f t="shared" ref="C111:V111" si="50">SUM(C106:C109)</f>
        <v>1550740.2715161969</v>
      </c>
      <c r="D111" s="145">
        <f t="shared" si="50"/>
        <v>8602319.7558166888</v>
      </c>
      <c r="E111" s="145">
        <f t="shared" si="50"/>
        <v>17048884.934093859</v>
      </c>
      <c r="F111" s="145">
        <f t="shared" si="50"/>
        <v>26939999.311116122</v>
      </c>
      <c r="G111" s="145">
        <f t="shared" si="50"/>
        <v>38325365.039813444</v>
      </c>
      <c r="H111" s="145">
        <f t="shared" si="50"/>
        <v>45705296.631188691</v>
      </c>
      <c r="I111" s="145">
        <f t="shared" si="50"/>
        <v>46317878.426417388</v>
      </c>
      <c r="J111" s="145">
        <f t="shared" si="50"/>
        <v>46927174.558091849</v>
      </c>
      <c r="K111" s="145">
        <f t="shared" si="50"/>
        <v>47530643.666034378</v>
      </c>
      <c r="L111" s="145">
        <f t="shared" si="50"/>
        <v>48131108.738727294</v>
      </c>
      <c r="M111" s="145">
        <f t="shared" si="50"/>
        <v>48724821.437544443</v>
      </c>
      <c r="N111" s="145">
        <f t="shared" si="50"/>
        <v>49308368.695650898</v>
      </c>
      <c r="O111" s="145">
        <f t="shared" si="50"/>
        <v>49879323.145277992</v>
      </c>
      <c r="P111" s="145">
        <f t="shared" si="50"/>
        <v>50440615.061881274</v>
      </c>
      <c r="Q111" s="145">
        <f t="shared" si="50"/>
        <v>50996877.901615798</v>
      </c>
      <c r="R111" s="145">
        <f t="shared" si="50"/>
        <v>51559275.249156974</v>
      </c>
      <c r="S111" s="145">
        <f t="shared" si="50"/>
        <v>52127874.756311372</v>
      </c>
      <c r="T111" s="145">
        <f t="shared" si="50"/>
        <v>52702744.82095468</v>
      </c>
      <c r="U111" s="145">
        <f t="shared" si="50"/>
        <v>53283954.595259421</v>
      </c>
      <c r="V111" s="145">
        <f t="shared" si="50"/>
        <v>53871573.994013406</v>
      </c>
      <c r="W111" s="145"/>
    </row>
    <row r="112" spans="1:23">
      <c r="A112" s="120"/>
      <c r="B112" s="120"/>
      <c r="C112" s="146"/>
      <c r="D112" s="146"/>
      <c r="E112" s="146"/>
      <c r="F112" s="146"/>
      <c r="G112" s="146"/>
      <c r="H112" s="146"/>
      <c r="I112" s="146"/>
      <c r="J112" s="146"/>
      <c r="K112" s="146"/>
      <c r="L112" s="146"/>
      <c r="M112" s="146"/>
      <c r="N112" s="146"/>
      <c r="O112" s="146"/>
      <c r="P112" s="146"/>
      <c r="Q112" s="146"/>
      <c r="R112" s="146"/>
      <c r="S112" s="146"/>
      <c r="T112" s="146"/>
      <c r="U112" s="146"/>
      <c r="V112" s="146"/>
      <c r="W112" s="146"/>
    </row>
    <row r="113" spans="1:23">
      <c r="A113" s="96" t="s">
        <v>304</v>
      </c>
      <c r="B113" s="96"/>
      <c r="C113" s="111"/>
      <c r="D113" s="127"/>
      <c r="E113" s="128"/>
      <c r="F113" s="190"/>
      <c r="G113" s="120"/>
      <c r="H113" s="130"/>
      <c r="I113" s="120"/>
      <c r="J113" s="78"/>
      <c r="L113" s="78"/>
    </row>
    <row r="114" spans="1:23">
      <c r="A114" s="110"/>
      <c r="B114" s="110"/>
      <c r="C114" s="111"/>
      <c r="D114" s="127"/>
      <c r="E114" s="128"/>
      <c r="F114" s="129"/>
      <c r="G114" s="120"/>
      <c r="H114" s="130"/>
      <c r="I114" s="120"/>
      <c r="J114" s="78"/>
      <c r="L114" s="78"/>
    </row>
    <row r="115" spans="1:23">
      <c r="A115" s="547" t="s">
        <v>210</v>
      </c>
      <c r="B115" s="548"/>
      <c r="C115" s="206">
        <f>C5</f>
        <v>2016</v>
      </c>
      <c r="D115" s="321">
        <f t="shared" ref="D115:V115" si="51">D5</f>
        <v>2017</v>
      </c>
      <c r="E115" s="321">
        <f t="shared" si="51"/>
        <v>2018</v>
      </c>
      <c r="F115" s="321">
        <f t="shared" si="51"/>
        <v>2019</v>
      </c>
      <c r="G115" s="321">
        <f t="shared" si="51"/>
        <v>2020</v>
      </c>
      <c r="H115" s="321">
        <f t="shared" si="51"/>
        <v>2021</v>
      </c>
      <c r="I115" s="321">
        <f t="shared" si="51"/>
        <v>2022</v>
      </c>
      <c r="J115" s="321">
        <f t="shared" si="51"/>
        <v>2023</v>
      </c>
      <c r="K115" s="321">
        <f t="shared" si="51"/>
        <v>2024</v>
      </c>
      <c r="L115" s="321">
        <f t="shared" si="51"/>
        <v>2025</v>
      </c>
      <c r="M115" s="321">
        <f t="shared" si="51"/>
        <v>2026</v>
      </c>
      <c r="N115" s="321">
        <f t="shared" si="51"/>
        <v>2027</v>
      </c>
      <c r="O115" s="321">
        <f t="shared" si="51"/>
        <v>2028</v>
      </c>
      <c r="P115" s="321">
        <f t="shared" si="51"/>
        <v>2029</v>
      </c>
      <c r="Q115" s="321">
        <f t="shared" si="51"/>
        <v>2030</v>
      </c>
      <c r="R115" s="321">
        <f t="shared" si="51"/>
        <v>2031</v>
      </c>
      <c r="S115" s="321">
        <f t="shared" si="51"/>
        <v>2032</v>
      </c>
      <c r="T115" s="321">
        <f t="shared" si="51"/>
        <v>2033</v>
      </c>
      <c r="U115" s="321">
        <f t="shared" si="51"/>
        <v>2034</v>
      </c>
      <c r="V115" s="321">
        <f t="shared" si="51"/>
        <v>2035</v>
      </c>
      <c r="W115" s="206"/>
    </row>
    <row r="116" spans="1:23" ht="13.5" customHeight="1">
      <c r="A116" s="143" t="str">
        <f>A99</f>
        <v>TOTAL ENABLEMENT COST</v>
      </c>
      <c r="B116" s="147"/>
      <c r="C116" s="148">
        <f t="shared" ref="C116:V116" si="52">C99</f>
        <v>13537443.18364259</v>
      </c>
      <c r="D116" s="148">
        <f t="shared" si="52"/>
        <v>61557927.124910288</v>
      </c>
      <c r="E116" s="148">
        <f t="shared" si="52"/>
        <v>73735685.013237789</v>
      </c>
      <c r="F116" s="148">
        <f t="shared" si="52"/>
        <v>86346115.697976649</v>
      </c>
      <c r="G116" s="148">
        <f t="shared" si="52"/>
        <v>99390429.531140029</v>
      </c>
      <c r="H116" s="148">
        <f t="shared" si="52"/>
        <v>64424331.045282952</v>
      </c>
      <c r="I116" s="148">
        <f t="shared" si="52"/>
        <v>5347633.9014103385</v>
      </c>
      <c r="J116" s="148">
        <f t="shared" si="52"/>
        <v>5318951.1590432804</v>
      </c>
      <c r="K116" s="148">
        <f t="shared" si="52"/>
        <v>5268083.1934982687</v>
      </c>
      <c r="L116" s="148">
        <f t="shared" si="52"/>
        <v>5241858.9719054345</v>
      </c>
      <c r="M116" s="148">
        <f t="shared" si="52"/>
        <v>5182913.0095305955</v>
      </c>
      <c r="N116" s="148">
        <f t="shared" si="52"/>
        <v>5094172.1168192429</v>
      </c>
      <c r="O116" s="148">
        <f t="shared" si="52"/>
        <v>4984241.1164815463</v>
      </c>
      <c r="P116" s="148">
        <f t="shared" si="52"/>
        <v>4899890.4394386392</v>
      </c>
      <c r="Q116" s="148">
        <f t="shared" si="52"/>
        <v>4855988.2827542536</v>
      </c>
      <c r="R116" s="148">
        <f t="shared" si="52"/>
        <v>4909540.4812864941</v>
      </c>
      <c r="S116" s="148">
        <f t="shared" si="52"/>
        <v>4963683.2574316021</v>
      </c>
      <c r="T116" s="148">
        <f t="shared" si="52"/>
        <v>5018423.1241229847</v>
      </c>
      <c r="U116" s="148">
        <f t="shared" si="52"/>
        <v>5073766.666119663</v>
      </c>
      <c r="V116" s="148">
        <f t="shared" si="52"/>
        <v>5129720.540797431</v>
      </c>
      <c r="W116" s="148"/>
    </row>
    <row r="117" spans="1:23" ht="13.5" customHeight="1">
      <c r="A117" s="143" t="str">
        <f>A111</f>
        <v>TOTAL IMPLEMENTATION COST</v>
      </c>
      <c r="B117" s="147"/>
      <c r="C117" s="148">
        <f t="shared" ref="C117:V117" si="53">C111</f>
        <v>1550740.2715161969</v>
      </c>
      <c r="D117" s="148">
        <f t="shared" si="53"/>
        <v>8602319.7558166888</v>
      </c>
      <c r="E117" s="148">
        <f t="shared" si="53"/>
        <v>17048884.934093859</v>
      </c>
      <c r="F117" s="148">
        <f t="shared" si="53"/>
        <v>26939999.311116122</v>
      </c>
      <c r="G117" s="148">
        <f t="shared" si="53"/>
        <v>38325365.039813444</v>
      </c>
      <c r="H117" s="148">
        <f t="shared" si="53"/>
        <v>45705296.631188691</v>
      </c>
      <c r="I117" s="148">
        <f t="shared" si="53"/>
        <v>46317878.426417388</v>
      </c>
      <c r="J117" s="148">
        <f t="shared" si="53"/>
        <v>46927174.558091849</v>
      </c>
      <c r="K117" s="148">
        <f t="shared" si="53"/>
        <v>47530643.666034378</v>
      </c>
      <c r="L117" s="148">
        <f t="shared" si="53"/>
        <v>48131108.738727294</v>
      </c>
      <c r="M117" s="148">
        <f t="shared" si="53"/>
        <v>48724821.437544443</v>
      </c>
      <c r="N117" s="148">
        <f t="shared" si="53"/>
        <v>49308368.695650898</v>
      </c>
      <c r="O117" s="148">
        <f t="shared" si="53"/>
        <v>49879323.145277992</v>
      </c>
      <c r="P117" s="148">
        <f t="shared" si="53"/>
        <v>50440615.061881274</v>
      </c>
      <c r="Q117" s="148">
        <f t="shared" si="53"/>
        <v>50996877.901615798</v>
      </c>
      <c r="R117" s="148">
        <f t="shared" si="53"/>
        <v>51559275.249156974</v>
      </c>
      <c r="S117" s="148">
        <f t="shared" si="53"/>
        <v>52127874.756311372</v>
      </c>
      <c r="T117" s="148">
        <f t="shared" si="53"/>
        <v>52702744.82095468</v>
      </c>
      <c r="U117" s="148">
        <f t="shared" si="53"/>
        <v>53283954.595259421</v>
      </c>
      <c r="V117" s="148">
        <f t="shared" si="53"/>
        <v>53871573.994013406</v>
      </c>
      <c r="W117" s="148"/>
    </row>
    <row r="118" spans="1:23">
      <c r="A118" s="149" t="s">
        <v>222</v>
      </c>
      <c r="B118" s="147"/>
      <c r="C118" s="150">
        <f t="shared" ref="C118:V118" si="54">SUM(C116:C117)</f>
        <v>15088183.455158787</v>
      </c>
      <c r="D118" s="150">
        <f t="shared" si="54"/>
        <v>70160246.880726978</v>
      </c>
      <c r="E118" s="150">
        <f t="shared" si="54"/>
        <v>90784569.947331652</v>
      </c>
      <c r="F118" s="150">
        <f t="shared" si="54"/>
        <v>113286115.00909278</v>
      </c>
      <c r="G118" s="150">
        <f t="shared" si="54"/>
        <v>137715794.57095349</v>
      </c>
      <c r="H118" s="150">
        <f t="shared" si="54"/>
        <v>110129627.67647165</v>
      </c>
      <c r="I118" s="150">
        <f t="shared" si="54"/>
        <v>51665512.327827729</v>
      </c>
      <c r="J118" s="150">
        <f t="shared" si="54"/>
        <v>52246125.717135131</v>
      </c>
      <c r="K118" s="150">
        <f t="shared" si="54"/>
        <v>52798726.859532647</v>
      </c>
      <c r="L118" s="150">
        <f t="shared" si="54"/>
        <v>53372967.710632727</v>
      </c>
      <c r="M118" s="150">
        <f t="shared" si="54"/>
        <v>53907734.447075039</v>
      </c>
      <c r="N118" s="150">
        <f t="shared" si="54"/>
        <v>54402540.812470138</v>
      </c>
      <c r="O118" s="150">
        <f t="shared" si="54"/>
        <v>54863564.261759534</v>
      </c>
      <c r="P118" s="150">
        <f t="shared" si="54"/>
        <v>55340505.501319915</v>
      </c>
      <c r="Q118" s="150">
        <f t="shared" si="54"/>
        <v>55852866.184370056</v>
      </c>
      <c r="R118" s="150">
        <f t="shared" si="54"/>
        <v>56468815.73044347</v>
      </c>
      <c r="S118" s="150">
        <f t="shared" si="54"/>
        <v>57091558.013742976</v>
      </c>
      <c r="T118" s="150">
        <f t="shared" si="54"/>
        <v>57721167.945077665</v>
      </c>
      <c r="U118" s="150">
        <f t="shared" si="54"/>
        <v>58357721.261379085</v>
      </c>
      <c r="V118" s="150">
        <f t="shared" si="54"/>
        <v>59001294.534810841</v>
      </c>
      <c r="W118" s="150"/>
    </row>
  </sheetData>
  <mergeCells count="15">
    <mergeCell ref="C103:W103"/>
    <mergeCell ref="A115:B115"/>
    <mergeCell ref="B103:B104"/>
    <mergeCell ref="A103:A104"/>
    <mergeCell ref="B79:B80"/>
    <mergeCell ref="C79:W79"/>
    <mergeCell ref="A91:A92"/>
    <mergeCell ref="B91:B92"/>
    <mergeCell ref="C91:W91"/>
    <mergeCell ref="A1:W1"/>
    <mergeCell ref="C4:W4"/>
    <mergeCell ref="C55:W55"/>
    <mergeCell ref="A67:A68"/>
    <mergeCell ref="B67:B68"/>
    <mergeCell ref="C67:W67"/>
  </mergeCells>
  <pageMargins left="0.75" right="0.75" top="1" bottom="1" header="0.5" footer="0.5"/>
  <pageSetup orientation="portrait" r:id="rId1"/>
  <headerFooter alignWithMargins="0"/>
</worksheet>
</file>

<file path=xl/worksheets/sheet17.xml><?xml version="1.0" encoding="utf-8"?>
<worksheet xmlns="http://schemas.openxmlformats.org/spreadsheetml/2006/main" xmlns:r="http://schemas.openxmlformats.org/officeDocument/2006/relationships">
  <sheetPr>
    <tabColor theme="4" tint="0.39997558519241921"/>
  </sheetPr>
  <dimension ref="A1:W102"/>
  <sheetViews>
    <sheetView topLeftCell="C34" workbookViewId="0">
      <selection activeCell="D61" sqref="D61"/>
    </sheetView>
  </sheetViews>
  <sheetFormatPr defaultRowHeight="12.75"/>
  <cols>
    <col min="1" max="1" width="33.85546875" style="76" customWidth="1"/>
    <col min="2" max="2" width="28" style="76" customWidth="1"/>
    <col min="3" max="3" width="31.42578125" style="76" customWidth="1"/>
    <col min="4" max="4" width="15" style="76" customWidth="1"/>
    <col min="5" max="5" width="17" style="76" bestFit="1" customWidth="1"/>
    <col min="6" max="7" width="12.85546875" style="76" customWidth="1"/>
    <col min="8" max="8" width="13.7109375" style="76" customWidth="1"/>
    <col min="9" max="23" width="12.85546875" style="76" customWidth="1"/>
    <col min="24" max="255" width="9.140625" style="76"/>
    <col min="256" max="256" width="33.85546875" style="76" customWidth="1"/>
    <col min="257" max="257" width="19.28515625" style="76" customWidth="1"/>
    <col min="258" max="279" width="12.85546875" style="76" customWidth="1"/>
    <col min="280" max="511" width="9.140625" style="76"/>
    <col min="512" max="512" width="33.85546875" style="76" customWidth="1"/>
    <col min="513" max="513" width="19.28515625" style="76" customWidth="1"/>
    <col min="514" max="535" width="12.85546875" style="76" customWidth="1"/>
    <col min="536" max="767" width="9.140625" style="76"/>
    <col min="768" max="768" width="33.85546875" style="76" customWidth="1"/>
    <col min="769" max="769" width="19.28515625" style="76" customWidth="1"/>
    <col min="770" max="791" width="12.85546875" style="76" customWidth="1"/>
    <col min="792" max="1023" width="9.140625" style="76"/>
    <col min="1024" max="1024" width="33.85546875" style="76" customWidth="1"/>
    <col min="1025" max="1025" width="19.28515625" style="76" customWidth="1"/>
    <col min="1026" max="1047" width="12.85546875" style="76" customWidth="1"/>
    <col min="1048" max="1279" width="9.140625" style="76"/>
    <col min="1280" max="1280" width="33.85546875" style="76" customWidth="1"/>
    <col min="1281" max="1281" width="19.28515625" style="76" customWidth="1"/>
    <col min="1282" max="1303" width="12.85546875" style="76" customWidth="1"/>
    <col min="1304" max="1535" width="9.140625" style="76"/>
    <col min="1536" max="1536" width="33.85546875" style="76" customWidth="1"/>
    <col min="1537" max="1537" width="19.28515625" style="76" customWidth="1"/>
    <col min="1538" max="1559" width="12.85546875" style="76" customWidth="1"/>
    <col min="1560" max="1791" width="9.140625" style="76"/>
    <col min="1792" max="1792" width="33.85546875" style="76" customWidth="1"/>
    <col min="1793" max="1793" width="19.28515625" style="76" customWidth="1"/>
    <col min="1794" max="1815" width="12.85546875" style="76" customWidth="1"/>
    <col min="1816" max="2047" width="9.140625" style="76"/>
    <col min="2048" max="2048" width="33.85546875" style="76" customWidth="1"/>
    <col min="2049" max="2049" width="19.28515625" style="76" customWidth="1"/>
    <col min="2050" max="2071" width="12.85546875" style="76" customWidth="1"/>
    <col min="2072" max="2303" width="9.140625" style="76"/>
    <col min="2304" max="2304" width="33.85546875" style="76" customWidth="1"/>
    <col min="2305" max="2305" width="19.28515625" style="76" customWidth="1"/>
    <col min="2306" max="2327" width="12.85546875" style="76" customWidth="1"/>
    <col min="2328" max="2559" width="9.140625" style="76"/>
    <col min="2560" max="2560" width="33.85546875" style="76" customWidth="1"/>
    <col min="2561" max="2561" width="19.28515625" style="76" customWidth="1"/>
    <col min="2562" max="2583" width="12.85546875" style="76" customWidth="1"/>
    <col min="2584" max="2815" width="9.140625" style="76"/>
    <col min="2816" max="2816" width="33.85546875" style="76" customWidth="1"/>
    <col min="2817" max="2817" width="19.28515625" style="76" customWidth="1"/>
    <col min="2818" max="2839" width="12.85546875" style="76" customWidth="1"/>
    <col min="2840" max="3071" width="9.140625" style="76"/>
    <col min="3072" max="3072" width="33.85546875" style="76" customWidth="1"/>
    <col min="3073" max="3073" width="19.28515625" style="76" customWidth="1"/>
    <col min="3074" max="3095" width="12.85546875" style="76" customWidth="1"/>
    <col min="3096" max="3327" width="9.140625" style="76"/>
    <col min="3328" max="3328" width="33.85546875" style="76" customWidth="1"/>
    <col min="3329" max="3329" width="19.28515625" style="76" customWidth="1"/>
    <col min="3330" max="3351" width="12.85546875" style="76" customWidth="1"/>
    <col min="3352" max="3583" width="9.140625" style="76"/>
    <col min="3584" max="3584" width="33.85546875" style="76" customWidth="1"/>
    <col min="3585" max="3585" width="19.28515625" style="76" customWidth="1"/>
    <col min="3586" max="3607" width="12.85546875" style="76" customWidth="1"/>
    <col min="3608" max="3839" width="9.140625" style="76"/>
    <col min="3840" max="3840" width="33.85546875" style="76" customWidth="1"/>
    <col min="3841" max="3841" width="19.28515625" style="76" customWidth="1"/>
    <col min="3842" max="3863" width="12.85546875" style="76" customWidth="1"/>
    <col min="3864" max="4095" width="9.140625" style="76"/>
    <col min="4096" max="4096" width="33.85546875" style="76" customWidth="1"/>
    <col min="4097" max="4097" width="19.28515625" style="76" customWidth="1"/>
    <col min="4098" max="4119" width="12.85546875" style="76" customWidth="1"/>
    <col min="4120" max="4351" width="9.140625" style="76"/>
    <col min="4352" max="4352" width="33.85546875" style="76" customWidth="1"/>
    <col min="4353" max="4353" width="19.28515625" style="76" customWidth="1"/>
    <col min="4354" max="4375" width="12.85546875" style="76" customWidth="1"/>
    <col min="4376" max="4607" width="9.140625" style="76"/>
    <col min="4608" max="4608" width="33.85546875" style="76" customWidth="1"/>
    <col min="4609" max="4609" width="19.28515625" style="76" customWidth="1"/>
    <col min="4610" max="4631" width="12.85546875" style="76" customWidth="1"/>
    <col min="4632" max="4863" width="9.140625" style="76"/>
    <col min="4864" max="4864" width="33.85546875" style="76" customWidth="1"/>
    <col min="4865" max="4865" width="19.28515625" style="76" customWidth="1"/>
    <col min="4866" max="4887" width="12.85546875" style="76" customWidth="1"/>
    <col min="4888" max="5119" width="9.140625" style="76"/>
    <col min="5120" max="5120" width="33.85546875" style="76" customWidth="1"/>
    <col min="5121" max="5121" width="19.28515625" style="76" customWidth="1"/>
    <col min="5122" max="5143" width="12.85546875" style="76" customWidth="1"/>
    <col min="5144" max="5375" width="9.140625" style="76"/>
    <col min="5376" max="5376" width="33.85546875" style="76" customWidth="1"/>
    <col min="5377" max="5377" width="19.28515625" style="76" customWidth="1"/>
    <col min="5378" max="5399" width="12.85546875" style="76" customWidth="1"/>
    <col min="5400" max="5631" width="9.140625" style="76"/>
    <col min="5632" max="5632" width="33.85546875" style="76" customWidth="1"/>
    <col min="5633" max="5633" width="19.28515625" style="76" customWidth="1"/>
    <col min="5634" max="5655" width="12.85546875" style="76" customWidth="1"/>
    <col min="5656" max="5887" width="9.140625" style="76"/>
    <col min="5888" max="5888" width="33.85546875" style="76" customWidth="1"/>
    <col min="5889" max="5889" width="19.28515625" style="76" customWidth="1"/>
    <col min="5890" max="5911" width="12.85546875" style="76" customWidth="1"/>
    <col min="5912" max="6143" width="9.140625" style="76"/>
    <col min="6144" max="6144" width="33.85546875" style="76" customWidth="1"/>
    <col min="6145" max="6145" width="19.28515625" style="76" customWidth="1"/>
    <col min="6146" max="6167" width="12.85546875" style="76" customWidth="1"/>
    <col min="6168" max="6399" width="9.140625" style="76"/>
    <col min="6400" max="6400" width="33.85546875" style="76" customWidth="1"/>
    <col min="6401" max="6401" width="19.28515625" style="76" customWidth="1"/>
    <col min="6402" max="6423" width="12.85546875" style="76" customWidth="1"/>
    <col min="6424" max="6655" width="9.140625" style="76"/>
    <col min="6656" max="6656" width="33.85546875" style="76" customWidth="1"/>
    <col min="6657" max="6657" width="19.28515625" style="76" customWidth="1"/>
    <col min="6658" max="6679" width="12.85546875" style="76" customWidth="1"/>
    <col min="6680" max="6911" width="9.140625" style="76"/>
    <col min="6912" max="6912" width="33.85546875" style="76" customWidth="1"/>
    <col min="6913" max="6913" width="19.28515625" style="76" customWidth="1"/>
    <col min="6914" max="6935" width="12.85546875" style="76" customWidth="1"/>
    <col min="6936" max="7167" width="9.140625" style="76"/>
    <col min="7168" max="7168" width="33.85546875" style="76" customWidth="1"/>
    <col min="7169" max="7169" width="19.28515625" style="76" customWidth="1"/>
    <col min="7170" max="7191" width="12.85546875" style="76" customWidth="1"/>
    <col min="7192" max="7423" width="9.140625" style="76"/>
    <col min="7424" max="7424" width="33.85546875" style="76" customWidth="1"/>
    <col min="7425" max="7425" width="19.28515625" style="76" customWidth="1"/>
    <col min="7426" max="7447" width="12.85546875" style="76" customWidth="1"/>
    <col min="7448" max="7679" width="9.140625" style="76"/>
    <col min="7680" max="7680" width="33.85546875" style="76" customWidth="1"/>
    <col min="7681" max="7681" width="19.28515625" style="76" customWidth="1"/>
    <col min="7682" max="7703" width="12.85546875" style="76" customWidth="1"/>
    <col min="7704" max="7935" width="9.140625" style="76"/>
    <col min="7936" max="7936" width="33.85546875" style="76" customWidth="1"/>
    <col min="7937" max="7937" width="19.28515625" style="76" customWidth="1"/>
    <col min="7938" max="7959" width="12.85546875" style="76" customWidth="1"/>
    <col min="7960" max="8191" width="9.140625" style="76"/>
    <col min="8192" max="8192" width="33.85546875" style="76" customWidth="1"/>
    <col min="8193" max="8193" width="19.28515625" style="76" customWidth="1"/>
    <col min="8194" max="8215" width="12.85546875" style="76" customWidth="1"/>
    <col min="8216" max="8447" width="9.140625" style="76"/>
    <col min="8448" max="8448" width="33.85546875" style="76" customWidth="1"/>
    <col min="8449" max="8449" width="19.28515625" style="76" customWidth="1"/>
    <col min="8450" max="8471" width="12.85546875" style="76" customWidth="1"/>
    <col min="8472" max="8703" width="9.140625" style="76"/>
    <col min="8704" max="8704" width="33.85546875" style="76" customWidth="1"/>
    <col min="8705" max="8705" width="19.28515625" style="76" customWidth="1"/>
    <col min="8706" max="8727" width="12.85546875" style="76" customWidth="1"/>
    <col min="8728" max="8959" width="9.140625" style="76"/>
    <col min="8960" max="8960" width="33.85546875" style="76" customWidth="1"/>
    <col min="8961" max="8961" width="19.28515625" style="76" customWidth="1"/>
    <col min="8962" max="8983" width="12.85546875" style="76" customWidth="1"/>
    <col min="8984" max="9215" width="9.140625" style="76"/>
    <col min="9216" max="9216" width="33.85546875" style="76" customWidth="1"/>
    <col min="9217" max="9217" width="19.28515625" style="76" customWidth="1"/>
    <col min="9218" max="9239" width="12.85546875" style="76" customWidth="1"/>
    <col min="9240" max="9471" width="9.140625" style="76"/>
    <col min="9472" max="9472" width="33.85546875" style="76" customWidth="1"/>
    <col min="9473" max="9473" width="19.28515625" style="76" customWidth="1"/>
    <col min="9474" max="9495" width="12.85546875" style="76" customWidth="1"/>
    <col min="9496" max="9727" width="9.140625" style="76"/>
    <col min="9728" max="9728" width="33.85546875" style="76" customWidth="1"/>
    <col min="9729" max="9729" width="19.28515625" style="76" customWidth="1"/>
    <col min="9730" max="9751" width="12.85546875" style="76" customWidth="1"/>
    <col min="9752" max="9983" width="9.140625" style="76"/>
    <col min="9984" max="9984" width="33.85546875" style="76" customWidth="1"/>
    <col min="9985" max="9985" width="19.28515625" style="76" customWidth="1"/>
    <col min="9986" max="10007" width="12.85546875" style="76" customWidth="1"/>
    <col min="10008" max="10239" width="9.140625" style="76"/>
    <col min="10240" max="10240" width="33.85546875" style="76" customWidth="1"/>
    <col min="10241" max="10241" width="19.28515625" style="76" customWidth="1"/>
    <col min="10242" max="10263" width="12.85546875" style="76" customWidth="1"/>
    <col min="10264" max="10495" width="9.140625" style="76"/>
    <col min="10496" max="10496" width="33.85546875" style="76" customWidth="1"/>
    <col min="10497" max="10497" width="19.28515625" style="76" customWidth="1"/>
    <col min="10498" max="10519" width="12.85546875" style="76" customWidth="1"/>
    <col min="10520" max="10751" width="9.140625" style="76"/>
    <col min="10752" max="10752" width="33.85546875" style="76" customWidth="1"/>
    <col min="10753" max="10753" width="19.28515625" style="76" customWidth="1"/>
    <col min="10754" max="10775" width="12.85546875" style="76" customWidth="1"/>
    <col min="10776" max="11007" width="9.140625" style="76"/>
    <col min="11008" max="11008" width="33.85546875" style="76" customWidth="1"/>
    <col min="11009" max="11009" width="19.28515625" style="76" customWidth="1"/>
    <col min="11010" max="11031" width="12.85546875" style="76" customWidth="1"/>
    <col min="11032" max="11263" width="9.140625" style="76"/>
    <col min="11264" max="11264" width="33.85546875" style="76" customWidth="1"/>
    <col min="11265" max="11265" width="19.28515625" style="76" customWidth="1"/>
    <col min="11266" max="11287" width="12.85546875" style="76" customWidth="1"/>
    <col min="11288" max="11519" width="9.140625" style="76"/>
    <col min="11520" max="11520" width="33.85546875" style="76" customWidth="1"/>
    <col min="11521" max="11521" width="19.28515625" style="76" customWidth="1"/>
    <col min="11522" max="11543" width="12.85546875" style="76" customWidth="1"/>
    <col min="11544" max="11775" width="9.140625" style="76"/>
    <col min="11776" max="11776" width="33.85546875" style="76" customWidth="1"/>
    <col min="11777" max="11777" width="19.28515625" style="76" customWidth="1"/>
    <col min="11778" max="11799" width="12.85546875" style="76" customWidth="1"/>
    <col min="11800" max="12031" width="9.140625" style="76"/>
    <col min="12032" max="12032" width="33.85546875" style="76" customWidth="1"/>
    <col min="12033" max="12033" width="19.28515625" style="76" customWidth="1"/>
    <col min="12034" max="12055" width="12.85546875" style="76" customWidth="1"/>
    <col min="12056" max="12287" width="9.140625" style="76"/>
    <col min="12288" max="12288" width="33.85546875" style="76" customWidth="1"/>
    <col min="12289" max="12289" width="19.28515625" style="76" customWidth="1"/>
    <col min="12290" max="12311" width="12.85546875" style="76" customWidth="1"/>
    <col min="12312" max="12543" width="9.140625" style="76"/>
    <col min="12544" max="12544" width="33.85546875" style="76" customWidth="1"/>
    <col min="12545" max="12545" width="19.28515625" style="76" customWidth="1"/>
    <col min="12546" max="12567" width="12.85546875" style="76" customWidth="1"/>
    <col min="12568" max="12799" width="9.140625" style="76"/>
    <col min="12800" max="12800" width="33.85546875" style="76" customWidth="1"/>
    <col min="12801" max="12801" width="19.28515625" style="76" customWidth="1"/>
    <col min="12802" max="12823" width="12.85546875" style="76" customWidth="1"/>
    <col min="12824" max="13055" width="9.140625" style="76"/>
    <col min="13056" max="13056" width="33.85546875" style="76" customWidth="1"/>
    <col min="13057" max="13057" width="19.28515625" style="76" customWidth="1"/>
    <col min="13058" max="13079" width="12.85546875" style="76" customWidth="1"/>
    <col min="13080" max="13311" width="9.140625" style="76"/>
    <col min="13312" max="13312" width="33.85546875" style="76" customWidth="1"/>
    <col min="13313" max="13313" width="19.28515625" style="76" customWidth="1"/>
    <col min="13314" max="13335" width="12.85546875" style="76" customWidth="1"/>
    <col min="13336" max="13567" width="9.140625" style="76"/>
    <col min="13568" max="13568" width="33.85546875" style="76" customWidth="1"/>
    <col min="13569" max="13569" width="19.28515625" style="76" customWidth="1"/>
    <col min="13570" max="13591" width="12.85546875" style="76" customWidth="1"/>
    <col min="13592" max="13823" width="9.140625" style="76"/>
    <col min="13824" max="13824" width="33.85546875" style="76" customWidth="1"/>
    <col min="13825" max="13825" width="19.28515625" style="76" customWidth="1"/>
    <col min="13826" max="13847" width="12.85546875" style="76" customWidth="1"/>
    <col min="13848" max="14079" width="9.140625" style="76"/>
    <col min="14080" max="14080" width="33.85546875" style="76" customWidth="1"/>
    <col min="14081" max="14081" width="19.28515625" style="76" customWidth="1"/>
    <col min="14082" max="14103" width="12.85546875" style="76" customWidth="1"/>
    <col min="14104" max="14335" width="9.140625" style="76"/>
    <col min="14336" max="14336" width="33.85546875" style="76" customWidth="1"/>
    <col min="14337" max="14337" width="19.28515625" style="76" customWidth="1"/>
    <col min="14338" max="14359" width="12.85546875" style="76" customWidth="1"/>
    <col min="14360" max="14591" width="9.140625" style="76"/>
    <col min="14592" max="14592" width="33.85546875" style="76" customWidth="1"/>
    <col min="14593" max="14593" width="19.28515625" style="76" customWidth="1"/>
    <col min="14594" max="14615" width="12.85546875" style="76" customWidth="1"/>
    <col min="14616" max="14847" width="9.140625" style="76"/>
    <col min="14848" max="14848" width="33.85546875" style="76" customWidth="1"/>
    <col min="14849" max="14849" width="19.28515625" style="76" customWidth="1"/>
    <col min="14850" max="14871" width="12.85546875" style="76" customWidth="1"/>
    <col min="14872" max="15103" width="9.140625" style="76"/>
    <col min="15104" max="15104" width="33.85546875" style="76" customWidth="1"/>
    <col min="15105" max="15105" width="19.28515625" style="76" customWidth="1"/>
    <col min="15106" max="15127" width="12.85546875" style="76" customWidth="1"/>
    <col min="15128" max="15359" width="9.140625" style="76"/>
    <col min="15360" max="15360" width="33.85546875" style="76" customWidth="1"/>
    <col min="15361" max="15361" width="19.28515625" style="76" customWidth="1"/>
    <col min="15362" max="15383" width="12.85546875" style="76" customWidth="1"/>
    <col min="15384" max="15615" width="9.140625" style="76"/>
    <col min="15616" max="15616" width="33.85546875" style="76" customWidth="1"/>
    <col min="15617" max="15617" width="19.28515625" style="76" customWidth="1"/>
    <col min="15618" max="15639" width="12.85546875" style="76" customWidth="1"/>
    <col min="15640" max="15871" width="9.140625" style="76"/>
    <col min="15872" max="15872" width="33.85546875" style="76" customWidth="1"/>
    <col min="15873" max="15873" width="19.28515625" style="76" customWidth="1"/>
    <col min="15874" max="15895" width="12.85546875" style="76" customWidth="1"/>
    <col min="15896" max="16127" width="9.140625" style="76"/>
    <col min="16128" max="16128" width="33.85546875" style="76" customWidth="1"/>
    <col min="16129" max="16129" width="19.28515625" style="76" customWidth="1"/>
    <col min="16130" max="16151" width="12.85546875" style="76" customWidth="1"/>
    <col min="16152" max="16384" width="9.140625" style="76"/>
  </cols>
  <sheetData>
    <row r="1" spans="1:23" ht="16.5" thickBot="1">
      <c r="A1" s="526" t="s">
        <v>299</v>
      </c>
      <c r="B1" s="527"/>
      <c r="C1" s="527"/>
      <c r="D1" s="527"/>
      <c r="E1" s="527"/>
      <c r="F1" s="527"/>
      <c r="G1" s="527"/>
      <c r="H1" s="527"/>
      <c r="I1" s="527"/>
      <c r="J1" s="527"/>
      <c r="K1" s="527"/>
      <c r="L1" s="527"/>
      <c r="M1" s="527"/>
      <c r="N1" s="527"/>
      <c r="O1" s="527"/>
      <c r="P1" s="527"/>
      <c r="Q1" s="527"/>
      <c r="R1" s="527"/>
      <c r="S1" s="527"/>
      <c r="T1" s="527"/>
      <c r="U1" s="527"/>
      <c r="V1" s="527"/>
      <c r="W1" s="528"/>
    </row>
    <row r="2" spans="1:23" ht="16.5" thickBot="1">
      <c r="A2" s="178" t="s">
        <v>231</v>
      </c>
      <c r="B2" s="179"/>
      <c r="C2" s="179"/>
      <c r="D2" s="179"/>
      <c r="E2" s="179"/>
      <c r="F2" s="179"/>
      <c r="G2" s="179"/>
      <c r="H2" s="179"/>
      <c r="I2" s="179"/>
      <c r="J2" s="179"/>
      <c r="K2" s="179"/>
      <c r="L2" s="179"/>
      <c r="M2" s="180"/>
      <c r="N2" s="180"/>
      <c r="O2" s="180"/>
      <c r="P2" s="180"/>
      <c r="Q2" s="180"/>
      <c r="R2" s="180"/>
      <c r="S2" s="180"/>
      <c r="T2" s="180"/>
      <c r="U2" s="180"/>
      <c r="V2" s="180"/>
      <c r="W2" s="181"/>
    </row>
    <row r="3" spans="1:23" ht="15.75">
      <c r="A3" s="151" t="s">
        <v>229</v>
      </c>
      <c r="B3" s="152"/>
      <c r="C3" s="152"/>
      <c r="D3" s="153"/>
      <c r="E3" s="153"/>
      <c r="F3" s="153"/>
      <c r="G3" s="153"/>
      <c r="H3" s="153"/>
      <c r="I3" s="153"/>
      <c r="J3" s="153"/>
      <c r="K3" s="153"/>
      <c r="L3" s="153"/>
      <c r="M3" s="154"/>
      <c r="N3" s="154"/>
      <c r="O3" s="154"/>
      <c r="P3" s="154"/>
      <c r="Q3" s="154"/>
      <c r="R3" s="154"/>
      <c r="S3" s="154"/>
      <c r="T3" s="154"/>
      <c r="U3" s="154"/>
      <c r="V3" s="154"/>
      <c r="W3" s="155"/>
    </row>
    <row r="4" spans="1:23">
      <c r="A4" s="156"/>
      <c r="B4" s="157"/>
      <c r="C4" s="529" t="s">
        <v>226</v>
      </c>
      <c r="D4" s="529"/>
      <c r="E4" s="529"/>
      <c r="F4" s="529"/>
      <c r="G4" s="529"/>
      <c r="H4" s="529"/>
      <c r="I4" s="529"/>
      <c r="J4" s="529"/>
      <c r="K4" s="529"/>
      <c r="L4" s="529"/>
      <c r="M4" s="529"/>
      <c r="N4" s="529"/>
      <c r="O4" s="529"/>
      <c r="P4" s="529"/>
      <c r="Q4" s="529"/>
      <c r="R4" s="529"/>
      <c r="S4" s="529"/>
      <c r="T4" s="529"/>
      <c r="U4" s="529"/>
      <c r="V4" s="529"/>
      <c r="W4" s="530"/>
    </row>
    <row r="5" spans="1:23">
      <c r="A5" s="156"/>
      <c r="B5" s="158" t="s">
        <v>1</v>
      </c>
      <c r="C5" s="159">
        <v>2016</v>
      </c>
      <c r="D5" s="159">
        <v>2017</v>
      </c>
      <c r="E5" s="159">
        <v>2018</v>
      </c>
      <c r="F5" s="159">
        <v>2019</v>
      </c>
      <c r="G5" s="159">
        <v>2020</v>
      </c>
      <c r="H5" s="159">
        <v>2021</v>
      </c>
      <c r="I5" s="159">
        <v>2022</v>
      </c>
      <c r="J5" s="159">
        <v>2023</v>
      </c>
      <c r="K5" s="159">
        <v>2024</v>
      </c>
      <c r="L5" s="159">
        <v>2025</v>
      </c>
      <c r="M5" s="159">
        <v>2026</v>
      </c>
      <c r="N5" s="159">
        <v>2027</v>
      </c>
      <c r="O5" s="159">
        <v>2028</v>
      </c>
      <c r="P5" s="159">
        <v>2029</v>
      </c>
      <c r="Q5" s="159">
        <v>2030</v>
      </c>
      <c r="R5" s="159">
        <v>2031</v>
      </c>
      <c r="S5" s="159">
        <v>2032</v>
      </c>
      <c r="T5" s="159">
        <v>2033</v>
      </c>
      <c r="U5" s="159">
        <v>2034</v>
      </c>
      <c r="V5" s="160">
        <v>2035</v>
      </c>
      <c r="W5" s="160"/>
    </row>
    <row r="6" spans="1:23" ht="13.5" thickBot="1">
      <c r="A6" s="161"/>
      <c r="B6" s="162" t="s">
        <v>240</v>
      </c>
      <c r="C6" s="326">
        <f>HLOOKUP('Res-Capacity-Base'!C$5,'NW Customers'!$B$2:$AO$5,3)</f>
        <v>394176.6962072298</v>
      </c>
      <c r="D6" s="326">
        <f>HLOOKUP('Res-Capacity-Base'!D$5,'NW Customers'!$B$2:$AO$5,3)</f>
        <v>398910.99371926603</v>
      </c>
      <c r="E6" s="326">
        <f>HLOOKUP('Res-Capacity-Base'!E$5,'NW Customers'!$B$2:$AO$5,3)</f>
        <v>404211.04209112196</v>
      </c>
      <c r="F6" s="326">
        <f>HLOOKUP('Res-Capacity-Base'!F$5,'NW Customers'!$B$2:$AO$5,3)</f>
        <v>409461.45527194545</v>
      </c>
      <c r="G6" s="326">
        <f>HLOOKUP('Res-Capacity-Base'!G$5,'NW Customers'!$B$2:$AO$5,3)</f>
        <v>414973.96221003355</v>
      </c>
      <c r="H6" s="326">
        <f>HLOOKUP('Res-Capacity-Base'!H$5,'NW Customers'!$B$2:$AO$5,3)</f>
        <v>420270.55792898097</v>
      </c>
      <c r="I6" s="326">
        <f>HLOOKUP('Res-Capacity-Base'!I$5,'NW Customers'!$B$2:$AO$5,3)</f>
        <v>425475.03615722148</v>
      </c>
      <c r="J6" s="326">
        <f>HLOOKUP('Res-Capacity-Base'!J$5,'NW Customers'!$B$2:$AO$5,3)</f>
        <v>430609.97963586426</v>
      </c>
      <c r="K6" s="326">
        <f>HLOOKUP('Res-Capacity-Base'!K$5,'NW Customers'!$B$2:$AO$5,3)</f>
        <v>435727.19666466326</v>
      </c>
      <c r="L6" s="326">
        <f>HLOOKUP('Res-Capacity-Base'!L$5,'NW Customers'!$B$2:$AO$5,3)</f>
        <v>440815.13833749207</v>
      </c>
      <c r="M6" s="326">
        <f>HLOOKUP('Res-Capacity-Base'!M$5,'NW Customers'!$B$2:$AO$5,3)</f>
        <v>445687.17196607753</v>
      </c>
      <c r="N6" s="326">
        <f>HLOOKUP('Res-Capacity-Base'!N$5,'NW Customers'!$B$2:$AO$5,3)</f>
        <v>450729.45878165902</v>
      </c>
      <c r="O6" s="326">
        <f>HLOOKUP('Res-Capacity-Base'!O$5,'NW Customers'!$B$2:$AO$5,3)</f>
        <v>455977.8439503425</v>
      </c>
      <c r="P6" s="326">
        <f>HLOOKUP('Res-Capacity-Base'!P$5,'NW Customers'!$B$2:$AO$5,3)</f>
        <v>461256.43179383531</v>
      </c>
      <c r="Q6" s="326">
        <f>HLOOKUP('Res-Capacity-Base'!Q$5,'NW Customers'!$B$2:$AO$5,3)</f>
        <v>466415.471809601</v>
      </c>
      <c r="R6" s="326">
        <f>HLOOKUP('Res-Capacity-Base'!R$5,'NW Customers'!$B$2:$AO$5,3)</f>
        <v>471632.21442212129</v>
      </c>
      <c r="S6" s="326">
        <f>HLOOKUP('Res-Capacity-Base'!S$5,'NW Customers'!$B$2:$AO$5,3)</f>
        <v>476907.30502078304</v>
      </c>
      <c r="T6" s="326">
        <f>HLOOKUP('Res-Capacity-Base'!T$5,'NW Customers'!$B$2:$AO$5,3)</f>
        <v>482241.39621349488</v>
      </c>
      <c r="U6" s="326">
        <f>HLOOKUP('Res-Capacity-Base'!U$5,'NW Customers'!$B$2:$AO$5,3)</f>
        <v>487635.14790742495</v>
      </c>
      <c r="V6" s="326">
        <f>HLOOKUP('Res-Capacity-Base'!V$5,'NW Customers'!$B$2:$AO$5,3)</f>
        <v>493089.22739064106</v>
      </c>
      <c r="W6" s="168"/>
    </row>
    <row r="7" spans="1:23" ht="16.5" thickBot="1">
      <c r="A7" s="170"/>
      <c r="B7" s="170"/>
      <c r="C7" s="170"/>
      <c r="D7" s="171"/>
      <c r="E7" s="171"/>
      <c r="F7" s="171"/>
      <c r="G7" s="171"/>
      <c r="H7" s="171"/>
      <c r="I7" s="171"/>
      <c r="J7" s="171"/>
      <c r="K7" s="171"/>
      <c r="L7" s="171"/>
      <c r="M7" s="172"/>
      <c r="N7" s="172"/>
      <c r="O7" s="172"/>
      <c r="P7" s="172"/>
      <c r="Q7" s="172"/>
      <c r="R7" s="172"/>
      <c r="S7" s="172"/>
      <c r="T7" s="172"/>
      <c r="U7" s="172"/>
      <c r="V7" s="172"/>
      <c r="W7" s="172"/>
    </row>
    <row r="8" spans="1:23" ht="15.75">
      <c r="A8" s="151" t="s">
        <v>284</v>
      </c>
      <c r="B8" s="152"/>
      <c r="C8" s="152"/>
      <c r="D8" s="153"/>
      <c r="E8" s="153"/>
      <c r="F8" s="153"/>
      <c r="G8" s="153"/>
      <c r="H8" s="153"/>
      <c r="I8" s="153"/>
      <c r="J8" s="153"/>
      <c r="K8" s="153"/>
      <c r="L8" s="153"/>
      <c r="M8" s="154"/>
      <c r="N8" s="154"/>
      <c r="O8" s="154"/>
      <c r="P8" s="154"/>
      <c r="Q8" s="154"/>
      <c r="R8" s="154"/>
      <c r="S8" s="154"/>
      <c r="T8" s="154"/>
      <c r="U8" s="154"/>
      <c r="V8" s="154"/>
      <c r="W8" s="155"/>
    </row>
    <row r="9" spans="1:23" ht="15.75">
      <c r="A9" s="185"/>
      <c r="B9" s="158" t="s">
        <v>237</v>
      </c>
      <c r="C9" s="174">
        <f>KeyAssumptions!AA8</f>
        <v>0.34799999999999998</v>
      </c>
      <c r="D9" s="163"/>
      <c r="E9" s="163"/>
      <c r="F9" s="163"/>
      <c r="G9" s="163"/>
      <c r="H9" s="163"/>
      <c r="I9" s="163"/>
      <c r="J9" s="163"/>
      <c r="K9" s="163"/>
      <c r="L9" s="163"/>
      <c r="M9" s="164"/>
      <c r="N9" s="164"/>
      <c r="O9" s="164"/>
      <c r="P9" s="164"/>
      <c r="Q9" s="164"/>
      <c r="R9" s="164"/>
      <c r="S9" s="164"/>
      <c r="T9" s="164"/>
      <c r="U9" s="164"/>
      <c r="V9" s="164"/>
      <c r="W9" s="164"/>
    </row>
    <row r="10" spans="1:23" ht="15.75">
      <c r="A10" s="185"/>
      <c r="B10" s="158" t="s">
        <v>203</v>
      </c>
      <c r="C10" s="174">
        <f>KeyAssumptions!AB8</f>
        <v>0.15</v>
      </c>
      <c r="D10" s="163"/>
      <c r="E10" s="163"/>
      <c r="F10" s="163"/>
      <c r="G10" s="163"/>
      <c r="H10" s="163"/>
      <c r="I10" s="163"/>
      <c r="J10" s="163"/>
      <c r="K10" s="163"/>
      <c r="L10" s="163"/>
      <c r="M10" s="164"/>
      <c r="N10" s="164"/>
      <c r="O10" s="164"/>
      <c r="P10" s="164"/>
      <c r="Q10" s="164"/>
      <c r="R10" s="164"/>
      <c r="S10" s="164"/>
      <c r="T10" s="164"/>
      <c r="U10" s="164"/>
      <c r="V10" s="164"/>
      <c r="W10" s="164"/>
    </row>
    <row r="11" spans="1:23" ht="15.75" customHeight="1">
      <c r="A11" s="185"/>
      <c r="B11" s="188" t="s">
        <v>338</v>
      </c>
      <c r="C11" s="174">
        <v>0.95</v>
      </c>
      <c r="D11" s="163"/>
      <c r="E11" s="163"/>
      <c r="F11" s="163"/>
      <c r="G11" s="163"/>
      <c r="H11" s="163"/>
      <c r="I11" s="163"/>
      <c r="J11" s="163"/>
      <c r="K11" s="163"/>
      <c r="L11" s="163"/>
      <c r="M11" s="164"/>
      <c r="N11" s="164"/>
      <c r="O11" s="164"/>
      <c r="P11" s="164"/>
      <c r="Q11" s="164"/>
      <c r="R11" s="164"/>
      <c r="S11" s="164"/>
      <c r="T11" s="164"/>
      <c r="U11" s="164"/>
      <c r="V11" s="164"/>
      <c r="W11" s="164"/>
    </row>
    <row r="12" spans="1:23" ht="15.75">
      <c r="A12" s="185"/>
      <c r="B12" s="157"/>
      <c r="C12" s="157"/>
      <c r="D12" s="163"/>
      <c r="E12" s="163"/>
      <c r="F12" s="163"/>
      <c r="G12" s="163"/>
      <c r="H12" s="163"/>
      <c r="I12" s="163"/>
      <c r="J12" s="163"/>
      <c r="K12" s="163"/>
      <c r="L12" s="163"/>
      <c r="M12" s="164"/>
      <c r="N12" s="164"/>
      <c r="O12" s="164"/>
      <c r="P12" s="164"/>
      <c r="Q12" s="164"/>
      <c r="R12" s="164"/>
      <c r="S12" s="164"/>
      <c r="T12" s="164"/>
      <c r="U12" s="164"/>
      <c r="V12" s="164"/>
      <c r="W12" s="164"/>
    </row>
    <row r="13" spans="1:23">
      <c r="A13" s="156"/>
      <c r="B13" s="158" t="s">
        <v>1</v>
      </c>
      <c r="C13" s="159">
        <f>C5</f>
        <v>2016</v>
      </c>
      <c r="D13" s="159">
        <f t="shared" ref="D13:V13" si="0">D5</f>
        <v>2017</v>
      </c>
      <c r="E13" s="159">
        <f t="shared" si="0"/>
        <v>2018</v>
      </c>
      <c r="F13" s="159">
        <f t="shared" si="0"/>
        <v>2019</v>
      </c>
      <c r="G13" s="159">
        <f t="shared" si="0"/>
        <v>2020</v>
      </c>
      <c r="H13" s="159">
        <f t="shared" si="0"/>
        <v>2021</v>
      </c>
      <c r="I13" s="159">
        <f t="shared" si="0"/>
        <v>2022</v>
      </c>
      <c r="J13" s="159">
        <f t="shared" si="0"/>
        <v>2023</v>
      </c>
      <c r="K13" s="159">
        <f t="shared" si="0"/>
        <v>2024</v>
      </c>
      <c r="L13" s="159">
        <f t="shared" si="0"/>
        <v>2025</v>
      </c>
      <c r="M13" s="159">
        <f t="shared" si="0"/>
        <v>2026</v>
      </c>
      <c r="N13" s="159">
        <f t="shared" si="0"/>
        <v>2027</v>
      </c>
      <c r="O13" s="159">
        <f t="shared" si="0"/>
        <v>2028</v>
      </c>
      <c r="P13" s="159">
        <f t="shared" si="0"/>
        <v>2029</v>
      </c>
      <c r="Q13" s="159">
        <f t="shared" si="0"/>
        <v>2030</v>
      </c>
      <c r="R13" s="159">
        <f t="shared" si="0"/>
        <v>2031</v>
      </c>
      <c r="S13" s="159">
        <f t="shared" si="0"/>
        <v>2032</v>
      </c>
      <c r="T13" s="159">
        <f t="shared" si="0"/>
        <v>2033</v>
      </c>
      <c r="U13" s="159">
        <f t="shared" si="0"/>
        <v>2034</v>
      </c>
      <c r="V13" s="159">
        <f t="shared" si="0"/>
        <v>2035</v>
      </c>
      <c r="W13" s="159"/>
    </row>
    <row r="14" spans="1:23">
      <c r="A14" s="156"/>
      <c r="B14" s="158" t="s">
        <v>227</v>
      </c>
      <c r="C14" s="174">
        <v>0.05</v>
      </c>
      <c r="D14" s="174">
        <v>0.2</v>
      </c>
      <c r="E14" s="174">
        <v>0.2</v>
      </c>
      <c r="F14" s="174">
        <v>0.2</v>
      </c>
      <c r="G14" s="174">
        <v>0.2</v>
      </c>
      <c r="H14" s="174">
        <v>0.15</v>
      </c>
      <c r="I14" s="174">
        <v>0</v>
      </c>
      <c r="J14" s="174">
        <v>0</v>
      </c>
      <c r="K14" s="174">
        <v>0</v>
      </c>
      <c r="L14" s="174">
        <v>0</v>
      </c>
      <c r="M14" s="174">
        <v>0</v>
      </c>
      <c r="N14" s="174">
        <v>0</v>
      </c>
      <c r="O14" s="174">
        <v>0</v>
      </c>
      <c r="P14" s="174">
        <v>0</v>
      </c>
      <c r="Q14" s="174">
        <v>0</v>
      </c>
      <c r="R14" s="174">
        <v>0</v>
      </c>
      <c r="S14" s="174">
        <v>0</v>
      </c>
      <c r="T14" s="174">
        <v>0</v>
      </c>
      <c r="U14" s="174">
        <v>0</v>
      </c>
      <c r="V14" s="174">
        <v>0</v>
      </c>
      <c r="W14" s="174"/>
    </row>
    <row r="15" spans="1:23">
      <c r="A15" s="156"/>
      <c r="B15" s="158" t="s">
        <v>233</v>
      </c>
      <c r="C15" s="174">
        <f>C14</f>
        <v>0.05</v>
      </c>
      <c r="D15" s="174">
        <f>C15+D14</f>
        <v>0.25</v>
      </c>
      <c r="E15" s="174">
        <f t="shared" ref="E15:V15" si="1">D15+E14</f>
        <v>0.45</v>
      </c>
      <c r="F15" s="174">
        <f t="shared" si="1"/>
        <v>0.65</v>
      </c>
      <c r="G15" s="174">
        <f t="shared" si="1"/>
        <v>0.85000000000000009</v>
      </c>
      <c r="H15" s="174">
        <f t="shared" si="1"/>
        <v>1</v>
      </c>
      <c r="I15" s="174">
        <f t="shared" si="1"/>
        <v>1</v>
      </c>
      <c r="J15" s="174">
        <f t="shared" si="1"/>
        <v>1</v>
      </c>
      <c r="K15" s="174">
        <f t="shared" si="1"/>
        <v>1</v>
      </c>
      <c r="L15" s="174">
        <f t="shared" si="1"/>
        <v>1</v>
      </c>
      <c r="M15" s="174">
        <f t="shared" si="1"/>
        <v>1</v>
      </c>
      <c r="N15" s="174">
        <f t="shared" si="1"/>
        <v>1</v>
      </c>
      <c r="O15" s="174">
        <f t="shared" si="1"/>
        <v>1</v>
      </c>
      <c r="P15" s="174">
        <f t="shared" si="1"/>
        <v>1</v>
      </c>
      <c r="Q15" s="174">
        <f t="shared" si="1"/>
        <v>1</v>
      </c>
      <c r="R15" s="174">
        <f t="shared" si="1"/>
        <v>1</v>
      </c>
      <c r="S15" s="174">
        <f t="shared" si="1"/>
        <v>1</v>
      </c>
      <c r="T15" s="174">
        <f t="shared" si="1"/>
        <v>1</v>
      </c>
      <c r="U15" s="174">
        <f t="shared" si="1"/>
        <v>1</v>
      </c>
      <c r="V15" s="174">
        <f t="shared" si="1"/>
        <v>1</v>
      </c>
      <c r="W15" s="174"/>
    </row>
    <row r="16" spans="1:23">
      <c r="A16" s="156"/>
      <c r="B16" s="158" t="s">
        <v>228</v>
      </c>
      <c r="C16" s="174">
        <v>0.01</v>
      </c>
      <c r="D16" s="174">
        <v>0.01</v>
      </c>
      <c r="E16" s="174">
        <v>0.01</v>
      </c>
      <c r="F16" s="174">
        <v>0.01</v>
      </c>
      <c r="G16" s="174">
        <v>0.01</v>
      </c>
      <c r="H16" s="174">
        <v>0.01</v>
      </c>
      <c r="I16" s="174">
        <v>0.01</v>
      </c>
      <c r="J16" s="174">
        <v>0.01</v>
      </c>
      <c r="K16" s="174">
        <v>0.01</v>
      </c>
      <c r="L16" s="174">
        <v>0.01</v>
      </c>
      <c r="M16" s="174">
        <v>0.01</v>
      </c>
      <c r="N16" s="174">
        <v>0.01</v>
      </c>
      <c r="O16" s="174">
        <v>0.01</v>
      </c>
      <c r="P16" s="174">
        <v>0.01</v>
      </c>
      <c r="Q16" s="174">
        <v>0.01</v>
      </c>
      <c r="R16" s="174">
        <v>0.01</v>
      </c>
      <c r="S16" s="174">
        <v>0.01</v>
      </c>
      <c r="T16" s="174">
        <v>0.01</v>
      </c>
      <c r="U16" s="174">
        <v>0.01</v>
      </c>
      <c r="V16" s="174">
        <v>0.01</v>
      </c>
      <c r="W16" s="174"/>
    </row>
    <row r="17" spans="1:23" ht="15" customHeight="1">
      <c r="A17" s="156"/>
      <c r="B17" s="158" t="s">
        <v>340</v>
      </c>
      <c r="C17" s="174">
        <f>1-'Com-Capacity-Base'!C17</f>
        <v>0.5</v>
      </c>
      <c r="D17" s="174">
        <f>1-'Com-Capacity-Base'!D17</f>
        <v>0.55000000000000004</v>
      </c>
      <c r="E17" s="174">
        <f>1-'Com-Capacity-Base'!E17</f>
        <v>0.6</v>
      </c>
      <c r="F17" s="174">
        <f>1-'Com-Capacity-Base'!F17</f>
        <v>0.64999999999999991</v>
      </c>
      <c r="G17" s="174">
        <f>1-'Com-Capacity-Base'!G17</f>
        <v>0.7</v>
      </c>
      <c r="H17" s="174">
        <f>1-'Com-Capacity-Base'!H17</f>
        <v>0.7</v>
      </c>
      <c r="I17" s="174">
        <f>1-'Com-Capacity-Base'!I17</f>
        <v>0.7</v>
      </c>
      <c r="J17" s="174">
        <f>1-'Com-Capacity-Base'!J17</f>
        <v>0.7</v>
      </c>
      <c r="K17" s="174">
        <f>1-'Com-Capacity-Base'!K17</f>
        <v>0.7</v>
      </c>
      <c r="L17" s="174">
        <f>1-'Com-Capacity-Base'!L17</f>
        <v>0.7</v>
      </c>
      <c r="M17" s="174">
        <f>1-'Com-Capacity-Base'!M17</f>
        <v>0.7</v>
      </c>
      <c r="N17" s="174">
        <f>1-'Com-Capacity-Base'!N17</f>
        <v>0.7</v>
      </c>
      <c r="O17" s="174">
        <f>1-'Com-Capacity-Base'!O17</f>
        <v>0.7</v>
      </c>
      <c r="P17" s="174">
        <f>1-'Com-Capacity-Base'!P17</f>
        <v>0.7</v>
      </c>
      <c r="Q17" s="174">
        <f>1-'Com-Capacity-Base'!Q17</f>
        <v>0.7</v>
      </c>
      <c r="R17" s="174">
        <f>1-'Com-Capacity-Base'!R17</f>
        <v>0.7</v>
      </c>
      <c r="S17" s="174">
        <f>1-'Com-Capacity-Base'!S17</f>
        <v>0.7</v>
      </c>
      <c r="T17" s="174">
        <f>1-'Com-Capacity-Base'!T17</f>
        <v>0.7</v>
      </c>
      <c r="U17" s="174">
        <f>1-'Com-Capacity-Base'!U17</f>
        <v>0.7</v>
      </c>
      <c r="V17" s="174">
        <f>1-'Com-Capacity-Base'!V17</f>
        <v>0.7</v>
      </c>
      <c r="W17" s="174"/>
    </row>
    <row r="18" spans="1:23" ht="16.5" thickBot="1">
      <c r="A18" s="167"/>
      <c r="B18" s="167"/>
      <c r="C18" s="167"/>
      <c r="D18" s="175"/>
      <c r="E18" s="175"/>
      <c r="F18" s="175"/>
      <c r="G18" s="175"/>
      <c r="H18" s="175"/>
      <c r="I18" s="175"/>
      <c r="J18" s="175"/>
      <c r="K18" s="175"/>
      <c r="L18" s="175"/>
      <c r="M18" s="176"/>
      <c r="N18" s="176"/>
      <c r="O18" s="176"/>
      <c r="P18" s="176"/>
      <c r="Q18" s="176"/>
      <c r="R18" s="176"/>
      <c r="S18" s="176"/>
      <c r="T18" s="176"/>
      <c r="U18" s="176"/>
      <c r="V18" s="176"/>
      <c r="W18" s="176"/>
    </row>
    <row r="19" spans="1:23" ht="15.75">
      <c r="A19" s="151" t="s">
        <v>285</v>
      </c>
      <c r="B19" s="152"/>
      <c r="C19" s="152"/>
      <c r="D19" s="153"/>
      <c r="E19" s="153"/>
      <c r="F19" s="153"/>
      <c r="G19" s="153"/>
      <c r="H19" s="153"/>
      <c r="I19" s="153"/>
      <c r="J19" s="153"/>
      <c r="K19" s="153"/>
      <c r="L19" s="153"/>
      <c r="M19" s="154"/>
      <c r="N19" s="154"/>
      <c r="O19" s="154"/>
      <c r="P19" s="154"/>
      <c r="Q19" s="154"/>
      <c r="R19" s="154"/>
      <c r="S19" s="154"/>
      <c r="T19" s="154"/>
      <c r="U19" s="154"/>
      <c r="V19" s="154"/>
      <c r="W19" s="155"/>
    </row>
    <row r="20" spans="1:23" ht="15.75">
      <c r="A20" s="185"/>
      <c r="B20" s="158" t="s">
        <v>237</v>
      </c>
      <c r="C20" s="173">
        <f>KeyAssumptions!AA9</f>
        <v>0.17399999999999999</v>
      </c>
      <c r="D20" s="163"/>
      <c r="E20" s="163"/>
      <c r="F20" s="163"/>
      <c r="G20" s="163"/>
      <c r="H20" s="163"/>
      <c r="I20" s="163"/>
      <c r="J20" s="163"/>
      <c r="K20" s="163"/>
      <c r="L20" s="163"/>
      <c r="M20" s="164"/>
      <c r="N20" s="164"/>
      <c r="O20" s="164"/>
      <c r="P20" s="164"/>
      <c r="Q20" s="164"/>
      <c r="R20" s="164"/>
      <c r="S20" s="164"/>
      <c r="T20" s="164"/>
      <c r="U20" s="164"/>
      <c r="V20" s="164"/>
      <c r="W20" s="165"/>
    </row>
    <row r="21" spans="1:23" ht="15.75">
      <c r="A21" s="185"/>
      <c r="B21" s="158" t="s">
        <v>203</v>
      </c>
      <c r="C21" s="174">
        <f>KeyAssumptions!AB9</f>
        <v>0.15</v>
      </c>
      <c r="D21" s="163"/>
      <c r="E21" s="163"/>
      <c r="F21" s="163"/>
      <c r="G21" s="163"/>
      <c r="H21" s="163"/>
      <c r="I21" s="163"/>
      <c r="J21" s="163"/>
      <c r="K21" s="163"/>
      <c r="L21" s="163"/>
      <c r="M21" s="164"/>
      <c r="N21" s="164"/>
      <c r="O21" s="164"/>
      <c r="P21" s="164"/>
      <c r="Q21" s="164"/>
      <c r="R21" s="164"/>
      <c r="S21" s="164"/>
      <c r="T21" s="164"/>
      <c r="U21" s="164"/>
      <c r="V21" s="164"/>
      <c r="W21" s="165"/>
    </row>
    <row r="22" spans="1:23" ht="15.75" customHeight="1">
      <c r="A22" s="185"/>
      <c r="B22" s="188" t="s">
        <v>338</v>
      </c>
      <c r="C22" s="174">
        <v>0.95</v>
      </c>
      <c r="D22" s="163"/>
      <c r="E22" s="163"/>
      <c r="F22" s="163"/>
      <c r="G22" s="163"/>
      <c r="H22" s="163"/>
      <c r="I22" s="163"/>
      <c r="J22" s="163"/>
      <c r="K22" s="163"/>
      <c r="L22" s="163"/>
      <c r="M22" s="164"/>
      <c r="N22" s="164"/>
      <c r="O22" s="164"/>
      <c r="P22" s="164"/>
      <c r="Q22" s="164"/>
      <c r="R22" s="164"/>
      <c r="S22" s="164"/>
      <c r="T22" s="164"/>
      <c r="U22" s="164"/>
      <c r="V22" s="164"/>
      <c r="W22" s="165"/>
    </row>
    <row r="23" spans="1:23" ht="15.75">
      <c r="A23" s="185"/>
      <c r="B23" s="157"/>
      <c r="C23" s="157"/>
      <c r="D23" s="163"/>
      <c r="E23" s="163"/>
      <c r="F23" s="163"/>
      <c r="G23" s="163"/>
      <c r="H23" s="163"/>
      <c r="I23" s="163"/>
      <c r="J23" s="163"/>
      <c r="K23" s="163"/>
      <c r="L23" s="163"/>
      <c r="M23" s="164"/>
      <c r="N23" s="164"/>
      <c r="O23" s="164"/>
      <c r="P23" s="164"/>
      <c r="Q23" s="164"/>
      <c r="R23" s="164"/>
      <c r="S23" s="164"/>
      <c r="T23" s="164"/>
      <c r="U23" s="164"/>
      <c r="V23" s="164"/>
      <c r="W23" s="165"/>
    </row>
    <row r="24" spans="1:23">
      <c r="A24" s="156"/>
      <c r="B24" s="158" t="s">
        <v>1</v>
      </c>
      <c r="C24" s="159">
        <f>C5</f>
        <v>2016</v>
      </c>
      <c r="D24" s="159">
        <f t="shared" ref="D24:V24" si="2">D5</f>
        <v>2017</v>
      </c>
      <c r="E24" s="159">
        <f t="shared" si="2"/>
        <v>2018</v>
      </c>
      <c r="F24" s="159">
        <f t="shared" si="2"/>
        <v>2019</v>
      </c>
      <c r="G24" s="159">
        <f t="shared" si="2"/>
        <v>2020</v>
      </c>
      <c r="H24" s="159">
        <f t="shared" si="2"/>
        <v>2021</v>
      </c>
      <c r="I24" s="159">
        <f t="shared" si="2"/>
        <v>2022</v>
      </c>
      <c r="J24" s="159">
        <f t="shared" si="2"/>
        <v>2023</v>
      </c>
      <c r="K24" s="159">
        <f t="shared" si="2"/>
        <v>2024</v>
      </c>
      <c r="L24" s="159">
        <f t="shared" si="2"/>
        <v>2025</v>
      </c>
      <c r="M24" s="159">
        <f t="shared" si="2"/>
        <v>2026</v>
      </c>
      <c r="N24" s="159">
        <f t="shared" si="2"/>
        <v>2027</v>
      </c>
      <c r="O24" s="159">
        <f t="shared" si="2"/>
        <v>2028</v>
      </c>
      <c r="P24" s="159">
        <f t="shared" si="2"/>
        <v>2029</v>
      </c>
      <c r="Q24" s="159">
        <f t="shared" si="2"/>
        <v>2030</v>
      </c>
      <c r="R24" s="159">
        <f t="shared" si="2"/>
        <v>2031</v>
      </c>
      <c r="S24" s="159">
        <f t="shared" si="2"/>
        <v>2032</v>
      </c>
      <c r="T24" s="159">
        <f t="shared" si="2"/>
        <v>2033</v>
      </c>
      <c r="U24" s="159">
        <f t="shared" si="2"/>
        <v>2034</v>
      </c>
      <c r="V24" s="159">
        <f t="shared" si="2"/>
        <v>2035</v>
      </c>
      <c r="W24" s="160"/>
    </row>
    <row r="25" spans="1:23">
      <c r="A25" s="156"/>
      <c r="B25" s="158" t="s">
        <v>227</v>
      </c>
      <c r="C25" s="174">
        <v>0.05</v>
      </c>
      <c r="D25" s="174">
        <v>0.2</v>
      </c>
      <c r="E25" s="174">
        <v>0.2</v>
      </c>
      <c r="F25" s="174">
        <v>0.2</v>
      </c>
      <c r="G25" s="174">
        <v>0.2</v>
      </c>
      <c r="H25" s="174">
        <v>0.15</v>
      </c>
      <c r="I25" s="174">
        <v>0</v>
      </c>
      <c r="J25" s="174">
        <v>0</v>
      </c>
      <c r="K25" s="174">
        <v>0</v>
      </c>
      <c r="L25" s="174">
        <v>0</v>
      </c>
      <c r="M25" s="174">
        <v>0</v>
      </c>
      <c r="N25" s="174">
        <v>0</v>
      </c>
      <c r="O25" s="174">
        <v>0</v>
      </c>
      <c r="P25" s="174">
        <v>0</v>
      </c>
      <c r="Q25" s="174">
        <v>0</v>
      </c>
      <c r="R25" s="174">
        <v>0</v>
      </c>
      <c r="S25" s="174">
        <v>0</v>
      </c>
      <c r="T25" s="174">
        <v>0</v>
      </c>
      <c r="U25" s="174">
        <v>0</v>
      </c>
      <c r="V25" s="174">
        <v>0</v>
      </c>
      <c r="W25" s="174"/>
    </row>
    <row r="26" spans="1:23">
      <c r="A26" s="156"/>
      <c r="B26" s="158" t="s">
        <v>233</v>
      </c>
      <c r="C26" s="174">
        <f>C25</f>
        <v>0.05</v>
      </c>
      <c r="D26" s="174">
        <f>C26+D25</f>
        <v>0.25</v>
      </c>
      <c r="E26" s="174">
        <f t="shared" ref="E26:V26" si="3">D26+E25</f>
        <v>0.45</v>
      </c>
      <c r="F26" s="174">
        <f t="shared" si="3"/>
        <v>0.65</v>
      </c>
      <c r="G26" s="174">
        <f t="shared" si="3"/>
        <v>0.85000000000000009</v>
      </c>
      <c r="H26" s="174">
        <f t="shared" si="3"/>
        <v>1</v>
      </c>
      <c r="I26" s="174">
        <f t="shared" si="3"/>
        <v>1</v>
      </c>
      <c r="J26" s="174">
        <f t="shared" si="3"/>
        <v>1</v>
      </c>
      <c r="K26" s="174">
        <f t="shared" si="3"/>
        <v>1</v>
      </c>
      <c r="L26" s="174">
        <f t="shared" si="3"/>
        <v>1</v>
      </c>
      <c r="M26" s="174">
        <f t="shared" si="3"/>
        <v>1</v>
      </c>
      <c r="N26" s="174">
        <f t="shared" si="3"/>
        <v>1</v>
      </c>
      <c r="O26" s="174">
        <f t="shared" si="3"/>
        <v>1</v>
      </c>
      <c r="P26" s="174">
        <f t="shared" si="3"/>
        <v>1</v>
      </c>
      <c r="Q26" s="174">
        <f t="shared" si="3"/>
        <v>1</v>
      </c>
      <c r="R26" s="174">
        <f t="shared" si="3"/>
        <v>1</v>
      </c>
      <c r="S26" s="174">
        <f t="shared" si="3"/>
        <v>1</v>
      </c>
      <c r="T26" s="174">
        <f t="shared" si="3"/>
        <v>1</v>
      </c>
      <c r="U26" s="174">
        <f t="shared" si="3"/>
        <v>1</v>
      </c>
      <c r="V26" s="174">
        <f t="shared" si="3"/>
        <v>1</v>
      </c>
      <c r="W26" s="174"/>
    </row>
    <row r="27" spans="1:23">
      <c r="A27" s="156"/>
      <c r="B27" s="158" t="s">
        <v>228</v>
      </c>
      <c r="C27" s="174">
        <v>0.01</v>
      </c>
      <c r="D27" s="174">
        <v>0.01</v>
      </c>
      <c r="E27" s="174">
        <v>0.01</v>
      </c>
      <c r="F27" s="174">
        <v>0.01</v>
      </c>
      <c r="G27" s="174">
        <v>0.01</v>
      </c>
      <c r="H27" s="174">
        <v>0.01</v>
      </c>
      <c r="I27" s="174">
        <v>0.01</v>
      </c>
      <c r="J27" s="174">
        <v>0.01</v>
      </c>
      <c r="K27" s="174">
        <v>0.01</v>
      </c>
      <c r="L27" s="174">
        <v>0.01</v>
      </c>
      <c r="M27" s="174">
        <v>0.01</v>
      </c>
      <c r="N27" s="174">
        <v>0.01</v>
      </c>
      <c r="O27" s="174">
        <v>0.01</v>
      </c>
      <c r="P27" s="174">
        <v>0.01</v>
      </c>
      <c r="Q27" s="174">
        <v>0.01</v>
      </c>
      <c r="R27" s="174">
        <v>0.01</v>
      </c>
      <c r="S27" s="174">
        <v>0.01</v>
      </c>
      <c r="T27" s="174">
        <v>0.01</v>
      </c>
      <c r="U27" s="174">
        <v>0.01</v>
      </c>
      <c r="V27" s="174">
        <v>0.01</v>
      </c>
      <c r="W27" s="174"/>
    </row>
    <row r="28" spans="1:23">
      <c r="A28" s="156"/>
      <c r="B28" s="158" t="s">
        <v>326</v>
      </c>
      <c r="C28" s="174">
        <f>1-'Com-Capacity-Base'!C28</f>
        <v>0.5</v>
      </c>
      <c r="D28" s="174">
        <f>1-'Com-Capacity-Base'!D28</f>
        <v>0.55000000000000004</v>
      </c>
      <c r="E28" s="174">
        <f>1-'Com-Capacity-Base'!E28</f>
        <v>0.6</v>
      </c>
      <c r="F28" s="174">
        <f>1-'Com-Capacity-Base'!F28</f>
        <v>0.64999999999999991</v>
      </c>
      <c r="G28" s="174">
        <f>1-'Com-Capacity-Base'!G28</f>
        <v>0.7</v>
      </c>
      <c r="H28" s="174">
        <f>1-'Com-Capacity-Base'!H28</f>
        <v>0.7</v>
      </c>
      <c r="I28" s="174">
        <f>1-'Com-Capacity-Base'!I28</f>
        <v>0.7</v>
      </c>
      <c r="J28" s="174">
        <f>1-'Com-Capacity-Base'!J28</f>
        <v>0.7</v>
      </c>
      <c r="K28" s="174">
        <f>1-'Com-Capacity-Base'!K28</f>
        <v>0.7</v>
      </c>
      <c r="L28" s="174">
        <f>1-'Com-Capacity-Base'!L28</f>
        <v>0.7</v>
      </c>
      <c r="M28" s="174">
        <f>1-'Com-Capacity-Base'!M28</f>
        <v>0.7</v>
      </c>
      <c r="N28" s="174">
        <f>1-'Com-Capacity-Base'!N28</f>
        <v>0.7</v>
      </c>
      <c r="O28" s="174">
        <f>1-'Com-Capacity-Base'!O28</f>
        <v>0.7</v>
      </c>
      <c r="P28" s="174">
        <f>1-'Com-Capacity-Base'!P28</f>
        <v>0.7</v>
      </c>
      <c r="Q28" s="174">
        <f>1-'Com-Capacity-Base'!Q28</f>
        <v>0.7</v>
      </c>
      <c r="R28" s="174">
        <f>1-'Com-Capacity-Base'!R28</f>
        <v>0.7</v>
      </c>
      <c r="S28" s="174">
        <f>1-'Com-Capacity-Base'!S28</f>
        <v>0.7</v>
      </c>
      <c r="T28" s="174">
        <f>1-'Com-Capacity-Base'!T28</f>
        <v>0.7</v>
      </c>
      <c r="U28" s="174">
        <f>1-'Com-Capacity-Base'!U28</f>
        <v>0.7</v>
      </c>
      <c r="V28" s="174">
        <f>1-'Com-Capacity-Base'!V28</f>
        <v>0.7</v>
      </c>
      <c r="W28" s="174"/>
    </row>
    <row r="29" spans="1:23" ht="16.5" thickBot="1">
      <c r="A29" s="167"/>
      <c r="B29" s="167"/>
      <c r="C29" s="167"/>
      <c r="D29" s="175"/>
      <c r="E29" s="175"/>
      <c r="F29" s="175"/>
      <c r="G29" s="175"/>
      <c r="H29" s="175"/>
      <c r="I29" s="175"/>
      <c r="J29" s="175"/>
      <c r="K29" s="175"/>
      <c r="L29" s="175"/>
      <c r="M29" s="176"/>
      <c r="N29" s="176"/>
      <c r="O29" s="176"/>
      <c r="P29" s="176"/>
      <c r="Q29" s="176"/>
      <c r="R29" s="176"/>
      <c r="S29" s="176"/>
      <c r="T29" s="176"/>
      <c r="U29" s="176"/>
      <c r="V29" s="176"/>
      <c r="W29" s="176"/>
    </row>
    <row r="30" spans="1:23" ht="15.75">
      <c r="A30" s="151" t="s">
        <v>341</v>
      </c>
      <c r="B30" s="152"/>
      <c r="C30" s="152"/>
      <c r="D30" s="153"/>
      <c r="E30" s="153"/>
      <c r="F30" s="153"/>
      <c r="G30" s="153"/>
      <c r="H30" s="153"/>
      <c r="I30" s="153"/>
      <c r="J30" s="153"/>
      <c r="K30" s="153"/>
      <c r="L30" s="153"/>
      <c r="M30" s="154"/>
      <c r="N30" s="154"/>
      <c r="O30" s="154"/>
      <c r="P30" s="154"/>
      <c r="Q30" s="154"/>
      <c r="R30" s="154"/>
      <c r="S30" s="154"/>
      <c r="T30" s="154"/>
      <c r="U30" s="154"/>
      <c r="V30" s="154"/>
      <c r="W30" s="155"/>
    </row>
    <row r="31" spans="1:23" ht="15.75">
      <c r="A31" s="185"/>
      <c r="B31" s="158" t="s">
        <v>237</v>
      </c>
      <c r="C31" s="173">
        <f>KeyAssumptions!AA10</f>
        <v>0.25</v>
      </c>
      <c r="D31" s="163"/>
      <c r="E31" s="163"/>
      <c r="F31" s="163"/>
      <c r="G31" s="163"/>
      <c r="H31" s="163"/>
      <c r="I31" s="163"/>
      <c r="J31" s="163"/>
      <c r="K31" s="163"/>
      <c r="L31" s="163"/>
      <c r="M31" s="164"/>
      <c r="N31" s="164"/>
      <c r="O31" s="164"/>
      <c r="P31" s="164"/>
      <c r="Q31" s="164"/>
      <c r="R31" s="164"/>
      <c r="S31" s="164"/>
      <c r="T31" s="164"/>
      <c r="U31" s="164"/>
      <c r="V31" s="164"/>
      <c r="W31" s="165"/>
    </row>
    <row r="32" spans="1:23" ht="15.75">
      <c r="A32" s="185"/>
      <c r="B32" s="158" t="s">
        <v>203</v>
      </c>
      <c r="C32" s="174">
        <f>KeyAssumptions!AB10</f>
        <v>0.15</v>
      </c>
      <c r="D32" s="163"/>
      <c r="E32" s="163"/>
      <c r="F32" s="163"/>
      <c r="G32" s="163"/>
      <c r="H32" s="163"/>
      <c r="I32" s="163"/>
      <c r="J32" s="163"/>
      <c r="K32" s="163"/>
      <c r="L32" s="163"/>
      <c r="M32" s="164"/>
      <c r="N32" s="164"/>
      <c r="O32" s="164"/>
      <c r="P32" s="164"/>
      <c r="Q32" s="164"/>
      <c r="R32" s="164"/>
      <c r="S32" s="164"/>
      <c r="T32" s="164"/>
      <c r="U32" s="164"/>
      <c r="V32" s="164"/>
      <c r="W32" s="165"/>
    </row>
    <row r="33" spans="1:23" ht="15.75" customHeight="1">
      <c r="A33" s="185"/>
      <c r="B33" s="188" t="s">
        <v>338</v>
      </c>
      <c r="C33" s="174">
        <v>0.95</v>
      </c>
      <c r="D33" s="163"/>
      <c r="E33" s="163"/>
      <c r="F33" s="163"/>
      <c r="G33" s="163"/>
      <c r="H33" s="163"/>
      <c r="I33" s="163"/>
      <c r="J33" s="163"/>
      <c r="K33" s="163"/>
      <c r="L33" s="163"/>
      <c r="M33" s="164"/>
      <c r="N33" s="164"/>
      <c r="O33" s="164"/>
      <c r="P33" s="164"/>
      <c r="Q33" s="164"/>
      <c r="R33" s="164"/>
      <c r="S33" s="164"/>
      <c r="T33" s="164"/>
      <c r="U33" s="164"/>
      <c r="V33" s="164"/>
      <c r="W33" s="165"/>
    </row>
    <row r="34" spans="1:23" ht="15.75">
      <c r="A34" s="185"/>
      <c r="B34" s="157"/>
      <c r="C34" s="157"/>
      <c r="D34" s="163"/>
      <c r="E34" s="163"/>
      <c r="F34" s="163"/>
      <c r="G34" s="163"/>
      <c r="H34" s="163"/>
      <c r="I34" s="163"/>
      <c r="J34" s="163"/>
      <c r="K34" s="163"/>
      <c r="L34" s="163"/>
      <c r="M34" s="164"/>
      <c r="N34" s="164"/>
      <c r="O34" s="164"/>
      <c r="P34" s="164"/>
      <c r="Q34" s="164"/>
      <c r="R34" s="164"/>
      <c r="S34" s="164"/>
      <c r="T34" s="164"/>
      <c r="U34" s="164"/>
      <c r="V34" s="164"/>
      <c r="W34" s="165"/>
    </row>
    <row r="35" spans="1:23">
      <c r="A35" s="156"/>
      <c r="B35" s="158" t="s">
        <v>1</v>
      </c>
      <c r="C35" s="159">
        <f>C5</f>
        <v>2016</v>
      </c>
      <c r="D35" s="159">
        <f t="shared" ref="D35:V35" si="4">D5</f>
        <v>2017</v>
      </c>
      <c r="E35" s="159">
        <f t="shared" si="4"/>
        <v>2018</v>
      </c>
      <c r="F35" s="159">
        <f t="shared" si="4"/>
        <v>2019</v>
      </c>
      <c r="G35" s="159">
        <f t="shared" si="4"/>
        <v>2020</v>
      </c>
      <c r="H35" s="159">
        <f t="shared" si="4"/>
        <v>2021</v>
      </c>
      <c r="I35" s="159">
        <f t="shared" si="4"/>
        <v>2022</v>
      </c>
      <c r="J35" s="159">
        <f t="shared" si="4"/>
        <v>2023</v>
      </c>
      <c r="K35" s="159">
        <f t="shared" si="4"/>
        <v>2024</v>
      </c>
      <c r="L35" s="159">
        <f t="shared" si="4"/>
        <v>2025</v>
      </c>
      <c r="M35" s="159">
        <f t="shared" si="4"/>
        <v>2026</v>
      </c>
      <c r="N35" s="159">
        <f t="shared" si="4"/>
        <v>2027</v>
      </c>
      <c r="O35" s="159">
        <f t="shared" si="4"/>
        <v>2028</v>
      </c>
      <c r="P35" s="159">
        <f t="shared" si="4"/>
        <v>2029</v>
      </c>
      <c r="Q35" s="159">
        <f t="shared" si="4"/>
        <v>2030</v>
      </c>
      <c r="R35" s="159">
        <f t="shared" si="4"/>
        <v>2031</v>
      </c>
      <c r="S35" s="159">
        <f t="shared" si="4"/>
        <v>2032</v>
      </c>
      <c r="T35" s="159">
        <f t="shared" si="4"/>
        <v>2033</v>
      </c>
      <c r="U35" s="159">
        <f t="shared" si="4"/>
        <v>2034</v>
      </c>
      <c r="V35" s="159">
        <f t="shared" si="4"/>
        <v>2035</v>
      </c>
      <c r="W35" s="160"/>
    </row>
    <row r="36" spans="1:23">
      <c r="A36" s="156"/>
      <c r="B36" s="158" t="s">
        <v>227</v>
      </c>
      <c r="C36" s="174">
        <v>0.05</v>
      </c>
      <c r="D36" s="174">
        <v>0.2</v>
      </c>
      <c r="E36" s="174">
        <v>0.2</v>
      </c>
      <c r="F36" s="174">
        <v>0.2</v>
      </c>
      <c r="G36" s="174">
        <v>0.2</v>
      </c>
      <c r="H36" s="174">
        <v>0.15</v>
      </c>
      <c r="I36" s="174">
        <v>0</v>
      </c>
      <c r="J36" s="174">
        <v>0</v>
      </c>
      <c r="K36" s="174">
        <v>0</v>
      </c>
      <c r="L36" s="174">
        <v>0</v>
      </c>
      <c r="M36" s="174">
        <v>0</v>
      </c>
      <c r="N36" s="174">
        <v>0</v>
      </c>
      <c r="O36" s="174">
        <v>0</v>
      </c>
      <c r="P36" s="174">
        <v>0</v>
      </c>
      <c r="Q36" s="174">
        <v>0</v>
      </c>
      <c r="R36" s="174">
        <v>0</v>
      </c>
      <c r="S36" s="174">
        <v>0</v>
      </c>
      <c r="T36" s="174">
        <v>0</v>
      </c>
      <c r="U36" s="174">
        <v>0</v>
      </c>
      <c r="V36" s="174">
        <v>0</v>
      </c>
      <c r="W36" s="174"/>
    </row>
    <row r="37" spans="1:23">
      <c r="A37" s="156"/>
      <c r="B37" s="158" t="s">
        <v>233</v>
      </c>
      <c r="C37" s="174">
        <f>C36</f>
        <v>0.05</v>
      </c>
      <c r="D37" s="174">
        <f t="shared" ref="D37:V37" si="5">C37+D36</f>
        <v>0.25</v>
      </c>
      <c r="E37" s="174">
        <f t="shared" si="5"/>
        <v>0.45</v>
      </c>
      <c r="F37" s="174">
        <f t="shared" si="5"/>
        <v>0.65</v>
      </c>
      <c r="G37" s="174">
        <f t="shared" si="5"/>
        <v>0.85000000000000009</v>
      </c>
      <c r="H37" s="174">
        <f t="shared" si="5"/>
        <v>1</v>
      </c>
      <c r="I37" s="174">
        <f t="shared" si="5"/>
        <v>1</v>
      </c>
      <c r="J37" s="174">
        <f t="shared" si="5"/>
        <v>1</v>
      </c>
      <c r="K37" s="174">
        <f t="shared" si="5"/>
        <v>1</v>
      </c>
      <c r="L37" s="174">
        <f t="shared" si="5"/>
        <v>1</v>
      </c>
      <c r="M37" s="174">
        <f t="shared" si="5"/>
        <v>1</v>
      </c>
      <c r="N37" s="174">
        <f t="shared" si="5"/>
        <v>1</v>
      </c>
      <c r="O37" s="174">
        <f t="shared" si="5"/>
        <v>1</v>
      </c>
      <c r="P37" s="174">
        <f t="shared" si="5"/>
        <v>1</v>
      </c>
      <c r="Q37" s="174">
        <f t="shared" si="5"/>
        <v>1</v>
      </c>
      <c r="R37" s="174">
        <f t="shared" si="5"/>
        <v>1</v>
      </c>
      <c r="S37" s="174">
        <f t="shared" si="5"/>
        <v>1</v>
      </c>
      <c r="T37" s="174">
        <f t="shared" si="5"/>
        <v>1</v>
      </c>
      <c r="U37" s="174">
        <f t="shared" si="5"/>
        <v>1</v>
      </c>
      <c r="V37" s="174">
        <f t="shared" si="5"/>
        <v>1</v>
      </c>
      <c r="W37" s="174"/>
    </row>
    <row r="38" spans="1:23">
      <c r="A38" s="156"/>
      <c r="B38" s="158" t="s">
        <v>228</v>
      </c>
      <c r="C38" s="174">
        <v>0.01</v>
      </c>
      <c r="D38" s="174">
        <v>0.01</v>
      </c>
      <c r="E38" s="174">
        <v>0.01</v>
      </c>
      <c r="F38" s="174">
        <v>0.01</v>
      </c>
      <c r="G38" s="174">
        <v>0.01</v>
      </c>
      <c r="H38" s="174">
        <v>0.01</v>
      </c>
      <c r="I38" s="174">
        <v>0.01</v>
      </c>
      <c r="J38" s="174">
        <v>0.01</v>
      </c>
      <c r="K38" s="174">
        <v>0.01</v>
      </c>
      <c r="L38" s="174">
        <v>0.01</v>
      </c>
      <c r="M38" s="174">
        <v>0.01</v>
      </c>
      <c r="N38" s="174">
        <v>0.01</v>
      </c>
      <c r="O38" s="174">
        <v>0.01</v>
      </c>
      <c r="P38" s="174">
        <v>0.01</v>
      </c>
      <c r="Q38" s="174">
        <v>0.01</v>
      </c>
      <c r="R38" s="174">
        <v>0.01</v>
      </c>
      <c r="S38" s="174">
        <v>0.01</v>
      </c>
      <c r="T38" s="174">
        <v>0.01</v>
      </c>
      <c r="U38" s="174">
        <v>0.01</v>
      </c>
      <c r="V38" s="174">
        <v>0.01</v>
      </c>
      <c r="W38" s="174"/>
    </row>
    <row r="39" spans="1:23">
      <c r="A39" s="156"/>
      <c r="B39" s="158" t="s">
        <v>293</v>
      </c>
      <c r="C39" s="174">
        <v>0.2</v>
      </c>
      <c r="D39" s="174">
        <v>0.2</v>
      </c>
      <c r="E39" s="174">
        <v>0.2</v>
      </c>
      <c r="F39" s="174">
        <v>0.2</v>
      </c>
      <c r="G39" s="174">
        <v>0.2</v>
      </c>
      <c r="H39" s="174">
        <v>0.2</v>
      </c>
      <c r="I39" s="174">
        <v>0.2</v>
      </c>
      <c r="J39" s="174">
        <v>0.2</v>
      </c>
      <c r="K39" s="174">
        <v>0.2</v>
      </c>
      <c r="L39" s="174">
        <v>0.2</v>
      </c>
      <c r="M39" s="174">
        <v>0.2</v>
      </c>
      <c r="N39" s="174">
        <v>0.2</v>
      </c>
      <c r="O39" s="174">
        <v>0.2</v>
      </c>
      <c r="P39" s="174">
        <v>0.2</v>
      </c>
      <c r="Q39" s="174">
        <v>0.2</v>
      </c>
      <c r="R39" s="174">
        <v>0.2</v>
      </c>
      <c r="S39" s="174">
        <v>0.2</v>
      </c>
      <c r="T39" s="174">
        <v>0.2</v>
      </c>
      <c r="U39" s="174">
        <v>0.2</v>
      </c>
      <c r="V39" s="174">
        <v>0.2</v>
      </c>
      <c r="W39" s="174"/>
    </row>
    <row r="40" spans="1:23" ht="13.5" thickBot="1">
      <c r="A40" s="177"/>
      <c r="B40" s="177"/>
      <c r="C40" s="172"/>
      <c r="D40" s="172"/>
      <c r="E40" s="172"/>
      <c r="F40" s="172"/>
      <c r="G40" s="172"/>
      <c r="H40" s="172"/>
      <c r="I40" s="172"/>
      <c r="J40" s="172"/>
      <c r="K40" s="172"/>
      <c r="L40" s="172"/>
      <c r="M40" s="172"/>
      <c r="N40" s="172"/>
      <c r="O40" s="172"/>
      <c r="P40" s="172"/>
      <c r="Q40" s="172"/>
      <c r="R40" s="172"/>
      <c r="S40" s="172"/>
      <c r="T40" s="172"/>
      <c r="U40" s="172"/>
      <c r="V40" s="172"/>
      <c r="W40" s="172"/>
    </row>
    <row r="41" spans="1:23" ht="15.75" thickBot="1">
      <c r="A41" s="186" t="s">
        <v>236</v>
      </c>
      <c r="B41" s="187"/>
      <c r="C41" s="180"/>
      <c r="D41" s="180"/>
      <c r="E41" s="180"/>
      <c r="F41" s="180"/>
      <c r="G41" s="180"/>
      <c r="H41" s="180"/>
      <c r="I41" s="180"/>
      <c r="J41" s="180"/>
      <c r="K41" s="180"/>
      <c r="L41" s="180"/>
      <c r="M41" s="180"/>
      <c r="N41" s="180"/>
      <c r="O41" s="180"/>
      <c r="P41" s="180"/>
      <c r="Q41" s="180"/>
      <c r="R41" s="180"/>
      <c r="S41" s="180"/>
      <c r="T41" s="180"/>
      <c r="U41" s="180"/>
      <c r="V41" s="180"/>
      <c r="W41" s="181"/>
    </row>
    <row r="42" spans="1:23">
      <c r="A42" s="77" t="s">
        <v>208</v>
      </c>
      <c r="B42" s="77"/>
      <c r="F42" s="78"/>
      <c r="G42" s="78"/>
    </row>
    <row r="44" spans="1:23">
      <c r="A44" s="79"/>
      <c r="B44" s="183"/>
      <c r="C44" s="531" t="s">
        <v>209</v>
      </c>
      <c r="D44" s="531"/>
      <c r="E44" s="531"/>
      <c r="F44" s="531"/>
      <c r="G44" s="531"/>
      <c r="H44" s="531"/>
      <c r="I44" s="531"/>
      <c r="J44" s="531"/>
      <c r="K44" s="531"/>
      <c r="L44" s="531"/>
      <c r="M44" s="531"/>
      <c r="N44" s="531"/>
      <c r="O44" s="531"/>
      <c r="P44" s="531"/>
      <c r="Q44" s="531"/>
      <c r="R44" s="531"/>
      <c r="S44" s="531"/>
      <c r="T44" s="531"/>
      <c r="U44" s="531"/>
      <c r="V44" s="531"/>
      <c r="W44" s="531"/>
    </row>
    <row r="45" spans="1:23" ht="16.5" customHeight="1">
      <c r="A45" s="80" t="s">
        <v>210</v>
      </c>
      <c r="B45" s="81"/>
      <c r="C45" s="184">
        <f>C35</f>
        <v>2016</v>
      </c>
      <c r="D45" s="322">
        <f t="shared" ref="D45:V45" si="6">D35</f>
        <v>2017</v>
      </c>
      <c r="E45" s="322">
        <f t="shared" si="6"/>
        <v>2018</v>
      </c>
      <c r="F45" s="322">
        <f t="shared" si="6"/>
        <v>2019</v>
      </c>
      <c r="G45" s="322">
        <f t="shared" si="6"/>
        <v>2020</v>
      </c>
      <c r="H45" s="322">
        <f t="shared" si="6"/>
        <v>2021</v>
      </c>
      <c r="I45" s="322">
        <f t="shared" si="6"/>
        <v>2022</v>
      </c>
      <c r="J45" s="322">
        <f t="shared" si="6"/>
        <v>2023</v>
      </c>
      <c r="K45" s="322">
        <f t="shared" si="6"/>
        <v>2024</v>
      </c>
      <c r="L45" s="322">
        <f t="shared" si="6"/>
        <v>2025</v>
      </c>
      <c r="M45" s="322">
        <f t="shared" si="6"/>
        <v>2026</v>
      </c>
      <c r="N45" s="322">
        <f t="shared" si="6"/>
        <v>2027</v>
      </c>
      <c r="O45" s="322">
        <f t="shared" si="6"/>
        <v>2028</v>
      </c>
      <c r="P45" s="322">
        <f t="shared" si="6"/>
        <v>2029</v>
      </c>
      <c r="Q45" s="322">
        <f t="shared" si="6"/>
        <v>2030</v>
      </c>
      <c r="R45" s="322">
        <f t="shared" si="6"/>
        <v>2031</v>
      </c>
      <c r="S45" s="322">
        <f t="shared" si="6"/>
        <v>2032</v>
      </c>
      <c r="T45" s="322">
        <f t="shared" si="6"/>
        <v>2033</v>
      </c>
      <c r="U45" s="322">
        <f t="shared" si="6"/>
        <v>2034</v>
      </c>
      <c r="V45" s="322">
        <f t="shared" si="6"/>
        <v>2035</v>
      </c>
      <c r="W45" s="184"/>
    </row>
    <row r="46" spans="1:23" ht="12.75" customHeight="1">
      <c r="A46" s="82"/>
      <c r="B46" s="83"/>
      <c r="C46" s="82"/>
      <c r="D46" s="82"/>
      <c r="E46" s="82"/>
      <c r="F46" s="82"/>
      <c r="G46" s="82"/>
      <c r="H46" s="84"/>
      <c r="I46" s="82"/>
      <c r="J46" s="82"/>
      <c r="K46" s="82"/>
      <c r="L46" s="82"/>
      <c r="M46" s="82"/>
      <c r="N46" s="82"/>
      <c r="O46" s="82"/>
      <c r="P46" s="82"/>
      <c r="Q46" s="82"/>
      <c r="R46" s="82"/>
      <c r="S46" s="82"/>
      <c r="T46" s="82"/>
      <c r="U46" s="82"/>
      <c r="V46" s="82"/>
      <c r="W46" s="82"/>
    </row>
    <row r="47" spans="1:23" ht="12.75" customHeight="1">
      <c r="A47" s="166" t="s">
        <v>307</v>
      </c>
      <c r="B47" s="83"/>
      <c r="C47" s="86">
        <f>C58</f>
        <v>254.6282913324653</v>
      </c>
      <c r="D47" s="86">
        <f t="shared" ref="D47:E49" si="7">D58-C58</f>
        <v>1162.6476190904505</v>
      </c>
      <c r="E47" s="86">
        <f t="shared" si="7"/>
        <v>1402.7145510570595</v>
      </c>
      <c r="F47" s="86">
        <f t="shared" ref="F47:V48" si="8">F58-E58</f>
        <v>1650.0910328411092</v>
      </c>
      <c r="G47" s="86">
        <f t="shared" si="8"/>
        <v>1909.8132703582241</v>
      </c>
      <c r="H47" s="86">
        <f t="shared" si="8"/>
        <v>1221.6648977495479</v>
      </c>
      <c r="I47" s="86">
        <f t="shared" si="8"/>
        <v>94.134959057654669</v>
      </c>
      <c r="J47" s="86">
        <f t="shared" si="8"/>
        <v>92.87726318125533</v>
      </c>
      <c r="K47" s="86">
        <f t="shared" si="8"/>
        <v>92.556639564995749</v>
      </c>
      <c r="L47" s="86">
        <f t="shared" si="8"/>
        <v>92.027127418958116</v>
      </c>
      <c r="M47" s="86">
        <f t="shared" si="8"/>
        <v>88.121933850313326</v>
      </c>
      <c r="N47" s="86">
        <f t="shared" si="8"/>
        <v>91.2013543194671</v>
      </c>
      <c r="O47" s="86">
        <f t="shared" si="8"/>
        <v>94.929117061527904</v>
      </c>
      <c r="P47" s="86">
        <f t="shared" si="8"/>
        <v>95.475401901607256</v>
      </c>
      <c r="Q47" s="86">
        <f t="shared" si="8"/>
        <v>93.313104477159868</v>
      </c>
      <c r="R47" s="86">
        <f t="shared" si="8"/>
        <v>94.356788655435594</v>
      </c>
      <c r="S47" s="86">
        <f t="shared" si="8"/>
        <v>95.412146185177335</v>
      </c>
      <c r="T47" s="86">
        <f t="shared" si="8"/>
        <v>96.479307629937466</v>
      </c>
      <c r="U47" s="86">
        <f t="shared" si="8"/>
        <v>97.558405013620359</v>
      </c>
      <c r="V47" s="86">
        <f t="shared" si="8"/>
        <v>98.649571836773248</v>
      </c>
      <c r="W47" s="86"/>
    </row>
    <row r="48" spans="1:23" ht="12.75" customHeight="1">
      <c r="A48" s="166" t="s">
        <v>308</v>
      </c>
      <c r="B48" s="83"/>
      <c r="C48" s="86">
        <f>C59</f>
        <v>509.25658266493059</v>
      </c>
      <c r="D48" s="86">
        <f t="shared" si="7"/>
        <v>2325.2952381809009</v>
      </c>
      <c r="E48" s="86">
        <f t="shared" si="7"/>
        <v>2805.4291021141189</v>
      </c>
      <c r="F48" s="86">
        <f t="shared" si="8"/>
        <v>3300.1820656822183</v>
      </c>
      <c r="G48" s="86">
        <f t="shared" si="8"/>
        <v>3819.6265407164483</v>
      </c>
      <c r="H48" s="86">
        <f t="shared" si="8"/>
        <v>2443.3297954990958</v>
      </c>
      <c r="I48" s="86">
        <f t="shared" si="8"/>
        <v>188.26991811530934</v>
      </c>
      <c r="J48" s="86">
        <f t="shared" si="8"/>
        <v>185.75452636251066</v>
      </c>
      <c r="K48" s="86">
        <f t="shared" si="8"/>
        <v>185.1132791299915</v>
      </c>
      <c r="L48" s="86">
        <f t="shared" si="8"/>
        <v>184.05425483791623</v>
      </c>
      <c r="M48" s="86">
        <f t="shared" si="8"/>
        <v>176.24386770062665</v>
      </c>
      <c r="N48" s="86">
        <f t="shared" si="8"/>
        <v>182.4027086389342</v>
      </c>
      <c r="O48" s="86">
        <f t="shared" si="8"/>
        <v>189.85823412305581</v>
      </c>
      <c r="P48" s="86">
        <f t="shared" si="8"/>
        <v>190.95080380321451</v>
      </c>
      <c r="Q48" s="86">
        <f t="shared" si="8"/>
        <v>186.62620895431974</v>
      </c>
      <c r="R48" s="86">
        <f t="shared" si="8"/>
        <v>188.71357731087119</v>
      </c>
      <c r="S48" s="86">
        <f t="shared" si="8"/>
        <v>190.82429237035467</v>
      </c>
      <c r="T48" s="86">
        <f t="shared" si="8"/>
        <v>192.95861525987493</v>
      </c>
      <c r="U48" s="86">
        <f t="shared" si="8"/>
        <v>195.11681002724072</v>
      </c>
      <c r="V48" s="86">
        <f t="shared" si="8"/>
        <v>197.2991436735465</v>
      </c>
      <c r="W48" s="86"/>
    </row>
    <row r="49" spans="1:23" ht="12.75" customHeight="1">
      <c r="A49" s="166" t="s">
        <v>342</v>
      </c>
      <c r="B49" s="83"/>
      <c r="C49" s="86">
        <f>C60</f>
        <v>146.33809846693407</v>
      </c>
      <c r="D49" s="86">
        <f t="shared" si="7"/>
        <v>594.14043362445352</v>
      </c>
      <c r="E49" s="86">
        <f t="shared" si="7"/>
        <v>610.09161229557355</v>
      </c>
      <c r="F49" s="86">
        <f t="shared" ref="F49" si="9">F60-E60</f>
        <v>625.59320411926592</v>
      </c>
      <c r="G49" s="86">
        <f t="shared" ref="G49" si="10">G60-F60</f>
        <v>642.8410704918474</v>
      </c>
      <c r="H49" s="86">
        <f t="shared" ref="H49" si="11">H60-G60</f>
        <v>501.50447362460955</v>
      </c>
      <c r="I49" s="86">
        <f t="shared" ref="I49" si="12">I60-H60</f>
        <v>38.643250844685554</v>
      </c>
      <c r="J49" s="86">
        <f t="shared" ref="J49" si="13">J60-I60</f>
        <v>38.126955328922577</v>
      </c>
      <c r="K49" s="86">
        <f t="shared" ref="K49" si="14">K60-J60</f>
        <v>37.99533643883251</v>
      </c>
      <c r="L49" s="86">
        <f t="shared" ref="L49" si="15">L60-K60</f>
        <v>37.777966920753897</v>
      </c>
      <c r="M49" s="86">
        <f t="shared" ref="M49" si="16">M60-L60</f>
        <v>36.17484969224688</v>
      </c>
      <c r="N49" s="86">
        <f t="shared" ref="N49" si="17">N60-M60</f>
        <v>37.438979605692566</v>
      </c>
      <c r="O49" s="86">
        <f t="shared" ref="O49" si="18">O60-N60</f>
        <v>38.969259877474997</v>
      </c>
      <c r="P49" s="86">
        <f t="shared" ref="P49" si="19">P60-O60</f>
        <v>39.193514737934038</v>
      </c>
      <c r="Q49" s="86">
        <f t="shared" ref="Q49" si="20">Q60-P60</f>
        <v>38.305872117060517</v>
      </c>
      <c r="R49" s="86">
        <f t="shared" ref="R49" si="21">R60-Q60</f>
        <v>38.734313897963148</v>
      </c>
      <c r="S49" s="86">
        <f t="shared" ref="S49" si="22">S60-R60</f>
        <v>39.167547695063149</v>
      </c>
      <c r="T49" s="86">
        <f t="shared" ref="T49" si="23">T60-S60</f>
        <v>39.60562710588556</v>
      </c>
      <c r="U49" s="86">
        <f t="shared" ref="U49" si="24">U60-T60</f>
        <v>40.048606327430662</v>
      </c>
      <c r="V49" s="86">
        <f t="shared" ref="V49" si="25">V60-U60</f>
        <v>40.496540162880137</v>
      </c>
      <c r="W49" s="86"/>
    </row>
    <row r="50" spans="1:23" ht="12.75" customHeight="1">
      <c r="A50" s="166"/>
      <c r="B50" s="83"/>
      <c r="C50" s="86"/>
      <c r="D50" s="86"/>
      <c r="E50" s="86"/>
      <c r="F50" s="86"/>
      <c r="G50" s="86"/>
      <c r="H50" s="86"/>
      <c r="I50" s="86"/>
      <c r="J50" s="86"/>
      <c r="K50" s="86"/>
      <c r="L50" s="86"/>
      <c r="M50" s="86"/>
      <c r="N50" s="86"/>
      <c r="O50" s="86"/>
      <c r="P50" s="86"/>
      <c r="Q50" s="86"/>
      <c r="R50" s="86"/>
      <c r="S50" s="86"/>
      <c r="T50" s="86"/>
      <c r="U50" s="86"/>
      <c r="V50" s="86"/>
      <c r="W50" s="86"/>
    </row>
    <row r="51" spans="1:23">
      <c r="A51" s="91" t="s">
        <v>212</v>
      </c>
      <c r="B51" s="92"/>
      <c r="C51" s="93">
        <f>SUM(C47:C49)</f>
        <v>910.22297246432993</v>
      </c>
      <c r="D51" s="93">
        <f t="shared" ref="D51:V51" si="26">SUM(D47:D49)</f>
        <v>4082.083290895805</v>
      </c>
      <c r="E51" s="93">
        <f t="shared" si="26"/>
        <v>4818.235265466752</v>
      </c>
      <c r="F51" s="93">
        <f t="shared" si="26"/>
        <v>5575.8663026425929</v>
      </c>
      <c r="G51" s="93">
        <f t="shared" si="26"/>
        <v>6372.2808815665194</v>
      </c>
      <c r="H51" s="93">
        <f t="shared" si="26"/>
        <v>4166.4991668732528</v>
      </c>
      <c r="I51" s="93">
        <f t="shared" si="26"/>
        <v>321.04812801764956</v>
      </c>
      <c r="J51" s="93">
        <f t="shared" si="26"/>
        <v>316.75874487268857</v>
      </c>
      <c r="K51" s="93">
        <f t="shared" si="26"/>
        <v>315.66525513381976</v>
      </c>
      <c r="L51" s="93">
        <f t="shared" si="26"/>
        <v>313.85934917762825</v>
      </c>
      <c r="M51" s="93">
        <f t="shared" si="26"/>
        <v>300.54065124318686</v>
      </c>
      <c r="N51" s="93">
        <f t="shared" si="26"/>
        <v>311.04304256409387</v>
      </c>
      <c r="O51" s="93">
        <f t="shared" si="26"/>
        <v>323.75661106205871</v>
      </c>
      <c r="P51" s="93">
        <f t="shared" si="26"/>
        <v>325.61972044275581</v>
      </c>
      <c r="Q51" s="93">
        <f t="shared" si="26"/>
        <v>318.24518554854012</v>
      </c>
      <c r="R51" s="93">
        <f t="shared" si="26"/>
        <v>321.80467986426993</v>
      </c>
      <c r="S51" s="93">
        <f t="shared" si="26"/>
        <v>325.40398625059515</v>
      </c>
      <c r="T51" s="93">
        <f t="shared" si="26"/>
        <v>329.04354999569796</v>
      </c>
      <c r="U51" s="93">
        <f t="shared" si="26"/>
        <v>332.72382136829174</v>
      </c>
      <c r="V51" s="93">
        <f t="shared" si="26"/>
        <v>336.44525567319988</v>
      </c>
      <c r="W51" s="93"/>
    </row>
    <row r="52" spans="1:23">
      <c r="A52" s="94"/>
      <c r="B52" s="94"/>
      <c r="C52" s="95"/>
      <c r="D52" s="95"/>
      <c r="E52" s="95"/>
      <c r="F52" s="95"/>
      <c r="G52" s="95"/>
      <c r="H52" s="95"/>
      <c r="I52" s="95"/>
      <c r="J52" s="94"/>
      <c r="K52" s="94"/>
      <c r="L52" s="94"/>
    </row>
    <row r="53" spans="1:23">
      <c r="A53" s="96" t="s">
        <v>213</v>
      </c>
      <c r="B53" s="96"/>
      <c r="C53" s="97"/>
      <c r="D53" s="97"/>
      <c r="E53" s="97"/>
      <c r="F53" s="97"/>
      <c r="G53" s="97"/>
      <c r="H53" s="97"/>
      <c r="I53" s="97"/>
      <c r="J53" s="98"/>
      <c r="K53" s="98"/>
      <c r="L53" s="98"/>
    </row>
    <row r="54" spans="1:23">
      <c r="A54" s="96"/>
      <c r="B54" s="96"/>
      <c r="C54" s="97"/>
      <c r="D54" s="97"/>
      <c r="E54" s="97"/>
      <c r="F54" s="97"/>
      <c r="G54" s="97"/>
      <c r="H54" s="97"/>
      <c r="I54" s="97"/>
      <c r="J54" s="98"/>
      <c r="K54" s="98"/>
      <c r="L54" s="98"/>
    </row>
    <row r="55" spans="1:23">
      <c r="A55" s="532" t="s">
        <v>210</v>
      </c>
      <c r="B55" s="534"/>
      <c r="C55" s="531" t="s">
        <v>214</v>
      </c>
      <c r="D55" s="531"/>
      <c r="E55" s="531"/>
      <c r="F55" s="531"/>
      <c r="G55" s="531"/>
      <c r="H55" s="531"/>
      <c r="I55" s="531"/>
      <c r="J55" s="531"/>
      <c r="K55" s="531"/>
      <c r="L55" s="531"/>
      <c r="M55" s="531"/>
      <c r="N55" s="531"/>
      <c r="O55" s="531"/>
      <c r="P55" s="531"/>
      <c r="Q55" s="531"/>
      <c r="R55" s="531"/>
      <c r="S55" s="531"/>
      <c r="T55" s="531"/>
      <c r="U55" s="531"/>
      <c r="V55" s="531"/>
      <c r="W55" s="531"/>
    </row>
    <row r="56" spans="1:23">
      <c r="A56" s="533"/>
      <c r="B56" s="535"/>
      <c r="C56" s="184">
        <f>C45</f>
        <v>2016</v>
      </c>
      <c r="D56" s="322">
        <f t="shared" ref="D56:V56" si="27">D45</f>
        <v>2017</v>
      </c>
      <c r="E56" s="322">
        <f t="shared" si="27"/>
        <v>2018</v>
      </c>
      <c r="F56" s="322">
        <f t="shared" si="27"/>
        <v>2019</v>
      </c>
      <c r="G56" s="322">
        <f t="shared" si="27"/>
        <v>2020</v>
      </c>
      <c r="H56" s="322">
        <f t="shared" si="27"/>
        <v>2021</v>
      </c>
      <c r="I56" s="322">
        <f t="shared" si="27"/>
        <v>2022</v>
      </c>
      <c r="J56" s="322">
        <f t="shared" si="27"/>
        <v>2023</v>
      </c>
      <c r="K56" s="322">
        <f t="shared" si="27"/>
        <v>2024</v>
      </c>
      <c r="L56" s="322">
        <f t="shared" si="27"/>
        <v>2025</v>
      </c>
      <c r="M56" s="322">
        <f t="shared" si="27"/>
        <v>2026</v>
      </c>
      <c r="N56" s="322">
        <f t="shared" si="27"/>
        <v>2027</v>
      </c>
      <c r="O56" s="322">
        <f t="shared" si="27"/>
        <v>2028</v>
      </c>
      <c r="P56" s="322">
        <f t="shared" si="27"/>
        <v>2029</v>
      </c>
      <c r="Q56" s="322">
        <f t="shared" si="27"/>
        <v>2030</v>
      </c>
      <c r="R56" s="322">
        <f t="shared" si="27"/>
        <v>2031</v>
      </c>
      <c r="S56" s="322">
        <f t="shared" si="27"/>
        <v>2032</v>
      </c>
      <c r="T56" s="322">
        <f t="shared" si="27"/>
        <v>2033</v>
      </c>
      <c r="U56" s="322">
        <f t="shared" si="27"/>
        <v>2034</v>
      </c>
      <c r="V56" s="322">
        <f t="shared" si="27"/>
        <v>2035</v>
      </c>
      <c r="W56" s="184"/>
    </row>
    <row r="57" spans="1:23">
      <c r="A57" s="82"/>
      <c r="B57" s="85"/>
      <c r="C57" s="90"/>
      <c r="D57" s="90"/>
      <c r="E57" s="90"/>
      <c r="F57" s="90"/>
      <c r="G57" s="90"/>
      <c r="H57" s="90"/>
      <c r="I57" s="90"/>
      <c r="J57" s="90"/>
      <c r="K57" s="90"/>
      <c r="L57" s="90"/>
      <c r="M57" s="90"/>
      <c r="N57" s="90"/>
      <c r="O57" s="90"/>
      <c r="P57" s="90"/>
      <c r="Q57" s="90"/>
      <c r="R57" s="90"/>
      <c r="S57" s="90"/>
      <c r="T57" s="90"/>
      <c r="U57" s="90"/>
      <c r="V57" s="90"/>
      <c r="W57" s="90"/>
    </row>
    <row r="58" spans="1:23">
      <c r="A58" s="101" t="str">
        <f>+A47</f>
        <v>a. Space Cooling, Small - PCT</v>
      </c>
      <c r="B58" s="102"/>
      <c r="C58" s="90">
        <f t="shared" ref="C58:V58" si="28">C6*$C$20*$C$21*C28*C26*(1-C27)</f>
        <v>254.6282913324653</v>
      </c>
      <c r="D58" s="90">
        <f t="shared" si="28"/>
        <v>1417.2759104229158</v>
      </c>
      <c r="E58" s="90">
        <f t="shared" si="28"/>
        <v>2819.9904614799752</v>
      </c>
      <c r="F58" s="90">
        <f t="shared" si="28"/>
        <v>4470.0814943210844</v>
      </c>
      <c r="G58" s="90">
        <f t="shared" si="28"/>
        <v>6379.8947646793085</v>
      </c>
      <c r="H58" s="90">
        <f t="shared" si="28"/>
        <v>7601.5596624288564</v>
      </c>
      <c r="I58" s="90">
        <f t="shared" si="28"/>
        <v>7695.6946214865111</v>
      </c>
      <c r="J58" s="90">
        <f t="shared" si="28"/>
        <v>7788.5718846677664</v>
      </c>
      <c r="K58" s="90">
        <f t="shared" si="28"/>
        <v>7881.1285242327622</v>
      </c>
      <c r="L58" s="90">
        <f t="shared" si="28"/>
        <v>7973.1556516517203</v>
      </c>
      <c r="M58" s="90">
        <f t="shared" si="28"/>
        <v>8061.2775855020336</v>
      </c>
      <c r="N58" s="90">
        <f t="shared" si="28"/>
        <v>8152.4789398215007</v>
      </c>
      <c r="O58" s="90">
        <f t="shared" si="28"/>
        <v>8247.4080568830286</v>
      </c>
      <c r="P58" s="90">
        <f t="shared" si="28"/>
        <v>8342.8834587846359</v>
      </c>
      <c r="Q58" s="90">
        <f t="shared" si="28"/>
        <v>8436.1965632617957</v>
      </c>
      <c r="R58" s="90">
        <f t="shared" si="28"/>
        <v>8530.5533519172313</v>
      </c>
      <c r="S58" s="90">
        <f t="shared" si="28"/>
        <v>8625.9654981024087</v>
      </c>
      <c r="T58" s="90">
        <f t="shared" si="28"/>
        <v>8722.4448057323461</v>
      </c>
      <c r="U58" s="90">
        <f t="shared" si="28"/>
        <v>8820.0032107459665</v>
      </c>
      <c r="V58" s="90">
        <f t="shared" si="28"/>
        <v>8918.6527825827397</v>
      </c>
      <c r="W58" s="90"/>
    </row>
    <row r="59" spans="1:23">
      <c r="A59" s="101" t="str">
        <f>+A48</f>
        <v>b. Space Cooling, Medium - AutoDR</v>
      </c>
      <c r="B59" s="102"/>
      <c r="C59" s="90">
        <f t="shared" ref="C59:V59" si="29">C6*$C$9*$C$10*C17*C15*(1-C16)</f>
        <v>509.25658266493059</v>
      </c>
      <c r="D59" s="90">
        <f t="shared" si="29"/>
        <v>2834.5518208458316</v>
      </c>
      <c r="E59" s="90">
        <f t="shared" si="29"/>
        <v>5639.9809229599505</v>
      </c>
      <c r="F59" s="90">
        <f t="shared" si="29"/>
        <v>8940.1629886421688</v>
      </c>
      <c r="G59" s="90">
        <f t="shared" si="29"/>
        <v>12759.789529358617</v>
      </c>
      <c r="H59" s="90">
        <f t="shared" si="29"/>
        <v>15203.119324857713</v>
      </c>
      <c r="I59" s="90">
        <f t="shared" si="29"/>
        <v>15391.389242973022</v>
      </c>
      <c r="J59" s="90">
        <f t="shared" si="29"/>
        <v>15577.143769335533</v>
      </c>
      <c r="K59" s="90">
        <f t="shared" si="29"/>
        <v>15762.257048465524</v>
      </c>
      <c r="L59" s="90">
        <f t="shared" si="29"/>
        <v>15946.311303303441</v>
      </c>
      <c r="M59" s="90">
        <f t="shared" si="29"/>
        <v>16122.555171004067</v>
      </c>
      <c r="N59" s="90">
        <f t="shared" si="29"/>
        <v>16304.957879643001</v>
      </c>
      <c r="O59" s="90">
        <f t="shared" si="29"/>
        <v>16494.816113766057</v>
      </c>
      <c r="P59" s="90">
        <f t="shared" si="29"/>
        <v>16685.766917569272</v>
      </c>
      <c r="Q59" s="90">
        <f t="shared" si="29"/>
        <v>16872.393126523591</v>
      </c>
      <c r="R59" s="90">
        <f t="shared" si="29"/>
        <v>17061.106703834463</v>
      </c>
      <c r="S59" s="90">
        <f t="shared" si="29"/>
        <v>17251.930996204817</v>
      </c>
      <c r="T59" s="90">
        <f t="shared" si="29"/>
        <v>17444.889611464692</v>
      </c>
      <c r="U59" s="90">
        <f t="shared" si="29"/>
        <v>17640.006421491933</v>
      </c>
      <c r="V59" s="90">
        <f t="shared" si="29"/>
        <v>17837.305565165479</v>
      </c>
      <c r="W59" s="90"/>
    </row>
    <row r="60" spans="1:23">
      <c r="A60" s="101" t="str">
        <f>A49</f>
        <v>c. Lighting Controls - AutoDR</v>
      </c>
      <c r="B60" s="102"/>
      <c r="C60" s="90">
        <f>C6*$C$31*$C$32*C39*C37*(1-C38)</f>
        <v>146.33809846693407</v>
      </c>
      <c r="D60" s="90">
        <f t="shared" ref="D60:V60" si="30">D6*$C$31*$C$32*D39*D37*(1-D38)</f>
        <v>740.47853209138759</v>
      </c>
      <c r="E60" s="90">
        <f t="shared" si="30"/>
        <v>1350.5701443869611</v>
      </c>
      <c r="F60" s="90">
        <f t="shared" si="30"/>
        <v>1976.1633485062271</v>
      </c>
      <c r="G60" s="90">
        <f t="shared" si="30"/>
        <v>2619.0044189980745</v>
      </c>
      <c r="H60" s="90">
        <f t="shared" si="30"/>
        <v>3120.508892622684</v>
      </c>
      <c r="I60" s="90">
        <f t="shared" si="30"/>
        <v>3159.1521434673696</v>
      </c>
      <c r="J60" s="90">
        <f t="shared" si="30"/>
        <v>3197.2790987962921</v>
      </c>
      <c r="K60" s="90">
        <f t="shared" si="30"/>
        <v>3235.2744352351247</v>
      </c>
      <c r="L60" s="90">
        <f t="shared" si="30"/>
        <v>3273.0524021558786</v>
      </c>
      <c r="M60" s="90">
        <f t="shared" si="30"/>
        <v>3309.2272518481254</v>
      </c>
      <c r="N60" s="90">
        <f t="shared" si="30"/>
        <v>3346.666231453818</v>
      </c>
      <c r="O60" s="90">
        <f t="shared" si="30"/>
        <v>3385.635491331293</v>
      </c>
      <c r="P60" s="90">
        <f t="shared" si="30"/>
        <v>3424.829006069227</v>
      </c>
      <c r="Q60" s="90">
        <f t="shared" si="30"/>
        <v>3463.1348781862876</v>
      </c>
      <c r="R60" s="90">
        <f t="shared" si="30"/>
        <v>3501.8691920842507</v>
      </c>
      <c r="S60" s="90">
        <f t="shared" si="30"/>
        <v>3541.0367397793138</v>
      </c>
      <c r="T60" s="90">
        <f t="shared" si="30"/>
        <v>3580.6423668851994</v>
      </c>
      <c r="U60" s="90">
        <f t="shared" si="30"/>
        <v>3620.6909732126301</v>
      </c>
      <c r="V60" s="90">
        <f t="shared" si="30"/>
        <v>3661.1875133755102</v>
      </c>
      <c r="W60" s="90"/>
    </row>
    <row r="61" spans="1:23">
      <c r="A61" s="85"/>
      <c r="B61" s="85"/>
      <c r="C61" s="103"/>
      <c r="D61" s="103"/>
      <c r="E61" s="103"/>
      <c r="F61" s="103"/>
      <c r="G61" s="103"/>
      <c r="H61" s="103"/>
      <c r="I61" s="103"/>
      <c r="J61" s="103"/>
      <c r="K61" s="103"/>
      <c r="L61" s="103"/>
      <c r="M61" s="103"/>
      <c r="N61" s="103"/>
      <c r="O61" s="103"/>
      <c r="P61" s="103"/>
      <c r="Q61" s="103"/>
      <c r="R61" s="103"/>
      <c r="S61" s="103"/>
      <c r="T61" s="103"/>
      <c r="U61" s="103"/>
      <c r="V61" s="103"/>
      <c r="W61" s="103"/>
    </row>
    <row r="62" spans="1:23">
      <c r="A62" s="91" t="s">
        <v>215</v>
      </c>
      <c r="B62" s="91"/>
      <c r="C62" s="93">
        <f>SUM(C58:C60)</f>
        <v>910.22297246432993</v>
      </c>
      <c r="D62" s="93">
        <f t="shared" ref="D62:V62" si="31">SUM(D58:D60)</f>
        <v>4992.3062633601357</v>
      </c>
      <c r="E62" s="93">
        <f t="shared" si="31"/>
        <v>9810.5415288268887</v>
      </c>
      <c r="F62" s="93">
        <f t="shared" si="31"/>
        <v>15386.40783146948</v>
      </c>
      <c r="G62" s="93">
        <f t="shared" si="31"/>
        <v>21758.688713035997</v>
      </c>
      <c r="H62" s="93">
        <f t="shared" si="31"/>
        <v>25925.187879909256</v>
      </c>
      <c r="I62" s="93">
        <f t="shared" si="31"/>
        <v>26246.236007926906</v>
      </c>
      <c r="J62" s="93">
        <f t="shared" si="31"/>
        <v>26562.99475279959</v>
      </c>
      <c r="K62" s="93">
        <f t="shared" si="31"/>
        <v>26878.660007933413</v>
      </c>
      <c r="L62" s="93">
        <f t="shared" si="31"/>
        <v>27192.519357111039</v>
      </c>
      <c r="M62" s="93">
        <f t="shared" si="31"/>
        <v>27493.060008354227</v>
      </c>
      <c r="N62" s="93">
        <f t="shared" si="31"/>
        <v>27804.103050918322</v>
      </c>
      <c r="O62" s="93">
        <f t="shared" si="31"/>
        <v>28127.859661980379</v>
      </c>
      <c r="P62" s="93">
        <f t="shared" si="31"/>
        <v>28453.479382423135</v>
      </c>
      <c r="Q62" s="93">
        <f t="shared" si="31"/>
        <v>28771.724567971676</v>
      </c>
      <c r="R62" s="93">
        <f t="shared" si="31"/>
        <v>29093.529247835944</v>
      </c>
      <c r="S62" s="93">
        <f t="shared" si="31"/>
        <v>29418.93323408654</v>
      </c>
      <c r="T62" s="93">
        <f t="shared" si="31"/>
        <v>29747.976784082239</v>
      </c>
      <c r="U62" s="93">
        <f t="shared" si="31"/>
        <v>30080.700605450529</v>
      </c>
      <c r="V62" s="93">
        <f t="shared" si="31"/>
        <v>30417.145861123729</v>
      </c>
      <c r="W62" s="93"/>
    </row>
    <row r="64" spans="1:23">
      <c r="A64" s="77" t="s">
        <v>216</v>
      </c>
      <c r="B64" s="77"/>
      <c r="D64" s="214"/>
      <c r="E64" s="78"/>
      <c r="F64" s="78"/>
      <c r="G64" s="215"/>
    </row>
    <row r="66" spans="1:23">
      <c r="A66" s="104"/>
      <c r="B66" s="477" t="s">
        <v>238</v>
      </c>
      <c r="C66" s="537" t="s">
        <v>217</v>
      </c>
      <c r="D66" s="538"/>
      <c r="E66" s="538"/>
      <c r="F66" s="538"/>
      <c r="G66" s="538"/>
      <c r="H66" s="538"/>
      <c r="I66" s="538"/>
      <c r="J66" s="538"/>
      <c r="K66" s="538"/>
      <c r="L66" s="538"/>
      <c r="M66" s="538"/>
      <c r="N66" s="538"/>
      <c r="O66" s="538"/>
      <c r="P66" s="538"/>
      <c r="Q66" s="538"/>
      <c r="R66" s="538"/>
      <c r="S66" s="538"/>
      <c r="T66" s="538"/>
      <c r="U66" s="538"/>
      <c r="V66" s="538"/>
      <c r="W66" s="538"/>
    </row>
    <row r="67" spans="1:23">
      <c r="A67" s="182" t="s">
        <v>210</v>
      </c>
      <c r="B67" s="536"/>
      <c r="C67" s="184">
        <f>C56</f>
        <v>2016</v>
      </c>
      <c r="D67" s="322">
        <f t="shared" ref="D67:V67" si="32">D56</f>
        <v>2017</v>
      </c>
      <c r="E67" s="322">
        <f t="shared" si="32"/>
        <v>2018</v>
      </c>
      <c r="F67" s="322">
        <f t="shared" si="32"/>
        <v>2019</v>
      </c>
      <c r="G67" s="322">
        <f t="shared" si="32"/>
        <v>2020</v>
      </c>
      <c r="H67" s="322">
        <f t="shared" si="32"/>
        <v>2021</v>
      </c>
      <c r="I67" s="322">
        <f t="shared" si="32"/>
        <v>2022</v>
      </c>
      <c r="J67" s="322">
        <f t="shared" si="32"/>
        <v>2023</v>
      </c>
      <c r="K67" s="322">
        <f t="shared" si="32"/>
        <v>2024</v>
      </c>
      <c r="L67" s="322">
        <f t="shared" si="32"/>
        <v>2025</v>
      </c>
      <c r="M67" s="322">
        <f t="shared" si="32"/>
        <v>2026</v>
      </c>
      <c r="N67" s="322">
        <f t="shared" si="32"/>
        <v>2027</v>
      </c>
      <c r="O67" s="322">
        <f t="shared" si="32"/>
        <v>2028</v>
      </c>
      <c r="P67" s="322">
        <f t="shared" si="32"/>
        <v>2029</v>
      </c>
      <c r="Q67" s="322">
        <f t="shared" si="32"/>
        <v>2030</v>
      </c>
      <c r="R67" s="322">
        <f t="shared" si="32"/>
        <v>2031</v>
      </c>
      <c r="S67" s="322">
        <f t="shared" si="32"/>
        <v>2032</v>
      </c>
      <c r="T67" s="322">
        <f t="shared" si="32"/>
        <v>2033</v>
      </c>
      <c r="U67" s="322">
        <f t="shared" si="32"/>
        <v>2034</v>
      </c>
      <c r="V67" s="322">
        <f t="shared" si="32"/>
        <v>2035</v>
      </c>
      <c r="W67" s="184"/>
    </row>
    <row r="68" spans="1:23" ht="17.100000000000001" customHeight="1">
      <c r="A68" s="82"/>
      <c r="B68" s="105"/>
      <c r="C68" s="82"/>
      <c r="D68" s="105"/>
      <c r="E68" s="82"/>
      <c r="F68" s="82"/>
      <c r="G68" s="82"/>
      <c r="H68" s="82"/>
      <c r="I68" s="82"/>
      <c r="J68" s="82"/>
      <c r="K68" s="82"/>
      <c r="L68" s="82"/>
      <c r="M68" s="82"/>
      <c r="N68" s="82"/>
      <c r="O68" s="82"/>
      <c r="P68" s="82"/>
      <c r="Q68" s="82"/>
      <c r="R68" s="82"/>
      <c r="S68" s="82"/>
      <c r="T68" s="82"/>
      <c r="U68" s="82"/>
      <c r="V68" s="82"/>
      <c r="W68" s="82"/>
    </row>
    <row r="69" spans="1:23">
      <c r="A69" s="85" t="str">
        <f>+A47</f>
        <v>a. Space Cooling, Small - PCT</v>
      </c>
      <c r="B69" s="238">
        <f>KeyAssumptions!Z8</f>
        <v>2.8</v>
      </c>
      <c r="C69" s="189">
        <f>$B69/1000*C58*$C$11</f>
        <v>0.67731125494435762</v>
      </c>
      <c r="D69" s="189">
        <f t="shared" ref="D69:V69" si="33">$B69/1000*D58*$C$11</f>
        <v>3.769953921724956</v>
      </c>
      <c r="E69" s="189">
        <f t="shared" si="33"/>
        <v>7.5011746275367344</v>
      </c>
      <c r="F69" s="189">
        <f t="shared" si="33"/>
        <v>11.890416774894083</v>
      </c>
      <c r="G69" s="189">
        <f t="shared" si="33"/>
        <v>16.970520074046963</v>
      </c>
      <c r="H69" s="189">
        <f t="shared" si="33"/>
        <v>20.220148702060754</v>
      </c>
      <c r="I69" s="189">
        <f t="shared" si="33"/>
        <v>20.470547693154121</v>
      </c>
      <c r="J69" s="189">
        <f t="shared" si="33"/>
        <v>20.717601213216259</v>
      </c>
      <c r="K69" s="189">
        <f t="shared" si="33"/>
        <v>20.963801874459147</v>
      </c>
      <c r="L69" s="189">
        <f t="shared" si="33"/>
        <v>21.208594033393574</v>
      </c>
      <c r="M69" s="189">
        <f t="shared" si="33"/>
        <v>21.442998377435408</v>
      </c>
      <c r="N69" s="189">
        <f t="shared" si="33"/>
        <v>21.685593979925191</v>
      </c>
      <c r="O69" s="189">
        <f t="shared" si="33"/>
        <v>21.938105431308855</v>
      </c>
      <c r="P69" s="189">
        <f t="shared" si="33"/>
        <v>22.192070000367131</v>
      </c>
      <c r="Q69" s="189">
        <f t="shared" si="33"/>
        <v>22.440282858276376</v>
      </c>
      <c r="R69" s="189">
        <f t="shared" si="33"/>
        <v>22.691271916099833</v>
      </c>
      <c r="S69" s="189">
        <f t="shared" si="33"/>
        <v>22.945068224952404</v>
      </c>
      <c r="T69" s="189">
        <f t="shared" si="33"/>
        <v>23.201703183248039</v>
      </c>
      <c r="U69" s="189">
        <f t="shared" si="33"/>
        <v>23.46120854058427</v>
      </c>
      <c r="V69" s="189">
        <f t="shared" si="33"/>
        <v>23.723616401670085</v>
      </c>
      <c r="W69" s="189"/>
    </row>
    <row r="70" spans="1:23">
      <c r="A70" s="85" t="str">
        <f>+A48</f>
        <v>b. Space Cooling, Medium - AutoDR</v>
      </c>
      <c r="B70" s="238">
        <f>KeyAssumptions!Z9</f>
        <v>15</v>
      </c>
      <c r="C70" s="189">
        <f>$B70/1000*C59*$C$22</f>
        <v>7.2569063029752607</v>
      </c>
      <c r="D70" s="189">
        <f t="shared" ref="D70:V70" si="34">$B70/1000*D59*$C$22</f>
        <v>40.3923634470531</v>
      </c>
      <c r="E70" s="189">
        <f t="shared" si="34"/>
        <v>80.369728152179277</v>
      </c>
      <c r="F70" s="189">
        <f t="shared" si="34"/>
        <v>127.3973225881509</v>
      </c>
      <c r="G70" s="189">
        <f t="shared" si="34"/>
        <v>181.8270007933603</v>
      </c>
      <c r="H70" s="189">
        <f t="shared" si="34"/>
        <v>216.64445037922238</v>
      </c>
      <c r="I70" s="189">
        <f t="shared" si="34"/>
        <v>219.32729671236555</v>
      </c>
      <c r="J70" s="189">
        <f t="shared" si="34"/>
        <v>221.97429871303132</v>
      </c>
      <c r="K70" s="189">
        <f t="shared" si="34"/>
        <v>224.61216294063371</v>
      </c>
      <c r="L70" s="189">
        <f t="shared" si="34"/>
        <v>227.23493607207402</v>
      </c>
      <c r="M70" s="189">
        <f t="shared" si="34"/>
        <v>229.74641118680793</v>
      </c>
      <c r="N70" s="189">
        <f t="shared" si="34"/>
        <v>232.34564978491275</v>
      </c>
      <c r="O70" s="189">
        <f t="shared" si="34"/>
        <v>235.0511296211663</v>
      </c>
      <c r="P70" s="189">
        <f t="shared" si="34"/>
        <v>237.77217857536209</v>
      </c>
      <c r="Q70" s="189">
        <f t="shared" si="34"/>
        <v>240.43160205296115</v>
      </c>
      <c r="R70" s="189">
        <f t="shared" si="34"/>
        <v>243.12077052964108</v>
      </c>
      <c r="S70" s="189">
        <f t="shared" si="34"/>
        <v>245.84001669591862</v>
      </c>
      <c r="T70" s="189">
        <f t="shared" si="34"/>
        <v>248.58967696337183</v>
      </c>
      <c r="U70" s="189">
        <f t="shared" si="34"/>
        <v>251.37009150626002</v>
      </c>
      <c r="V70" s="189">
        <f t="shared" si="34"/>
        <v>254.18160430360808</v>
      </c>
      <c r="W70" s="189"/>
    </row>
    <row r="71" spans="1:23">
      <c r="A71" s="85" t="str">
        <f>A49</f>
        <v>c. Lighting Controls - AutoDR</v>
      </c>
      <c r="B71" s="238">
        <f>KeyAssumptions!Z10</f>
        <v>57</v>
      </c>
      <c r="C71" s="189">
        <f>$B71/1000*C60*$C$33</f>
        <v>7.9242080319844801</v>
      </c>
      <c r="D71" s="189">
        <f t="shared" ref="D71:V71" si="35">$B71/1000*D60*$C$33</f>
        <v>40.096912512748638</v>
      </c>
      <c r="E71" s="189">
        <f t="shared" si="35"/>
        <v>73.13337331855395</v>
      </c>
      <c r="F71" s="189">
        <f t="shared" si="35"/>
        <v>107.0092453216122</v>
      </c>
      <c r="G71" s="189">
        <f t="shared" si="35"/>
        <v>141.81908928874574</v>
      </c>
      <c r="H71" s="189">
        <f t="shared" si="35"/>
        <v>168.97555653551834</v>
      </c>
      <c r="I71" s="189">
        <f t="shared" si="35"/>
        <v>171.06808856875804</v>
      </c>
      <c r="J71" s="189">
        <f t="shared" si="35"/>
        <v>173.13266319981921</v>
      </c>
      <c r="K71" s="189">
        <f t="shared" si="35"/>
        <v>175.190110667982</v>
      </c>
      <c r="L71" s="189">
        <f t="shared" si="35"/>
        <v>177.23578757674082</v>
      </c>
      <c r="M71" s="189">
        <f t="shared" si="35"/>
        <v>179.19465568757599</v>
      </c>
      <c r="N71" s="189">
        <f t="shared" si="35"/>
        <v>181.22197643322426</v>
      </c>
      <c r="O71" s="189">
        <f t="shared" si="35"/>
        <v>183.33216185558953</v>
      </c>
      <c r="P71" s="189">
        <f t="shared" si="35"/>
        <v>185.45449067864863</v>
      </c>
      <c r="Q71" s="189">
        <f t="shared" si="35"/>
        <v>187.52875365378748</v>
      </c>
      <c r="R71" s="189">
        <f t="shared" si="35"/>
        <v>189.62621675136216</v>
      </c>
      <c r="S71" s="189">
        <f t="shared" si="35"/>
        <v>191.74713945904986</v>
      </c>
      <c r="T71" s="189">
        <f t="shared" si="35"/>
        <v>193.89178416683356</v>
      </c>
      <c r="U71" s="189">
        <f t="shared" si="35"/>
        <v>196.06041619946393</v>
      </c>
      <c r="V71" s="189">
        <f t="shared" si="35"/>
        <v>198.25330384928387</v>
      </c>
      <c r="W71" s="189"/>
    </row>
    <row r="72" spans="1:23">
      <c r="A72" s="87"/>
      <c r="B72" s="239"/>
      <c r="C72" s="106"/>
      <c r="D72" s="106"/>
      <c r="E72" s="106"/>
      <c r="F72" s="106"/>
      <c r="G72" s="106"/>
      <c r="H72" s="106"/>
      <c r="I72" s="106"/>
      <c r="J72" s="106"/>
      <c r="K72" s="106"/>
      <c r="L72" s="106"/>
      <c r="M72" s="106"/>
      <c r="N72" s="106"/>
      <c r="O72" s="106"/>
      <c r="P72" s="106"/>
      <c r="Q72" s="106"/>
      <c r="R72" s="106"/>
      <c r="S72" s="106"/>
      <c r="T72" s="106"/>
      <c r="U72" s="106"/>
      <c r="V72" s="106"/>
      <c r="W72" s="106"/>
    </row>
    <row r="73" spans="1:23">
      <c r="A73" s="107" t="s">
        <v>265</v>
      </c>
      <c r="B73" s="108"/>
      <c r="C73" s="109">
        <f>SUM(C69:C71)</f>
        <v>15.858425589904098</v>
      </c>
      <c r="D73" s="109">
        <f t="shared" ref="D73:V73" si="36">SUM(D69:D71)</f>
        <v>84.259229881526693</v>
      </c>
      <c r="E73" s="109">
        <f t="shared" si="36"/>
        <v>161.00427609826994</v>
      </c>
      <c r="F73" s="109">
        <f t="shared" si="36"/>
        <v>246.29698468465716</v>
      </c>
      <c r="G73" s="109">
        <f t="shared" si="36"/>
        <v>340.616610156153</v>
      </c>
      <c r="H73" s="109">
        <f t="shared" si="36"/>
        <v>405.84015561680144</v>
      </c>
      <c r="I73" s="109">
        <f t="shared" si="36"/>
        <v>410.86593297427771</v>
      </c>
      <c r="J73" s="109">
        <f t="shared" si="36"/>
        <v>415.82456312606678</v>
      </c>
      <c r="K73" s="109">
        <f t="shared" si="36"/>
        <v>420.76607548307481</v>
      </c>
      <c r="L73" s="109">
        <f t="shared" si="36"/>
        <v>425.67931768220842</v>
      </c>
      <c r="M73" s="109">
        <f t="shared" si="36"/>
        <v>430.38406525181932</v>
      </c>
      <c r="N73" s="109">
        <f t="shared" si="36"/>
        <v>435.25322019806219</v>
      </c>
      <c r="O73" s="109">
        <f t="shared" si="36"/>
        <v>440.32139690806468</v>
      </c>
      <c r="P73" s="109">
        <f t="shared" si="36"/>
        <v>445.4187392543779</v>
      </c>
      <c r="Q73" s="109">
        <f t="shared" si="36"/>
        <v>450.40063856502502</v>
      </c>
      <c r="R73" s="109">
        <f t="shared" si="36"/>
        <v>455.43825919710309</v>
      </c>
      <c r="S73" s="109">
        <f t="shared" si="36"/>
        <v>460.53222437992088</v>
      </c>
      <c r="T73" s="109">
        <f t="shared" si="36"/>
        <v>465.6831643134534</v>
      </c>
      <c r="U73" s="109">
        <f t="shared" si="36"/>
        <v>470.89171624630825</v>
      </c>
      <c r="V73" s="109">
        <f t="shared" si="36"/>
        <v>476.15852455456206</v>
      </c>
      <c r="W73" s="109"/>
    </row>
    <row r="74" spans="1:23">
      <c r="A74" s="110"/>
      <c r="B74" s="110"/>
      <c r="C74" s="111"/>
      <c r="D74" s="111"/>
      <c r="E74" s="112"/>
      <c r="F74" s="112"/>
      <c r="G74" s="112"/>
      <c r="H74" s="112"/>
      <c r="I74" s="112"/>
      <c r="J74" s="112"/>
      <c r="K74" s="112"/>
      <c r="L74" s="112"/>
      <c r="M74" s="112"/>
      <c r="N74" s="112"/>
      <c r="O74" s="112"/>
      <c r="P74" s="112"/>
      <c r="Q74" s="112"/>
      <c r="R74" s="112"/>
      <c r="S74" s="112"/>
      <c r="T74" s="112"/>
      <c r="U74" s="112"/>
      <c r="V74" s="112"/>
      <c r="W74" s="112"/>
    </row>
    <row r="75" spans="1:23">
      <c r="A75" s="77" t="s">
        <v>272</v>
      </c>
      <c r="B75" s="110"/>
      <c r="C75" s="98"/>
      <c r="D75" s="122"/>
      <c r="E75" s="121"/>
      <c r="F75" s="121"/>
      <c r="G75" s="121"/>
      <c r="H75" s="121"/>
      <c r="I75" s="121"/>
      <c r="J75" s="121"/>
      <c r="K75" s="121"/>
      <c r="L75" s="121"/>
      <c r="M75" s="121"/>
      <c r="N75" s="121"/>
      <c r="O75" s="121"/>
      <c r="P75" s="121"/>
      <c r="Q75" s="121"/>
      <c r="R75" s="121"/>
      <c r="S75" s="121"/>
      <c r="T75" s="121"/>
      <c r="U75" s="121"/>
      <c r="V75" s="121"/>
      <c r="W75" s="121"/>
    </row>
    <row r="76" spans="1:23">
      <c r="A76" s="113"/>
      <c r="B76" s="110"/>
      <c r="C76" s="98"/>
      <c r="D76" s="121"/>
      <c r="E76" s="121"/>
      <c r="F76" s="121"/>
      <c r="G76" s="121"/>
      <c r="H76" s="121"/>
      <c r="I76" s="121"/>
      <c r="J76" s="121"/>
      <c r="K76" s="121"/>
      <c r="L76" s="121"/>
      <c r="M76" s="121"/>
      <c r="N76" s="121"/>
      <c r="O76" s="121"/>
      <c r="P76" s="121"/>
      <c r="Q76" s="121"/>
      <c r="R76" s="121"/>
      <c r="S76" s="121"/>
      <c r="T76" s="121"/>
      <c r="U76" s="121"/>
      <c r="V76" s="121"/>
      <c r="W76" s="121"/>
    </row>
    <row r="77" spans="1:23" ht="12.75" customHeight="1">
      <c r="A77" s="474" t="s">
        <v>210</v>
      </c>
      <c r="B77" s="477" t="s">
        <v>300</v>
      </c>
      <c r="C77" s="531" t="s">
        <v>218</v>
      </c>
      <c r="D77" s="531"/>
      <c r="E77" s="531"/>
      <c r="F77" s="531"/>
      <c r="G77" s="531"/>
      <c r="H77" s="531"/>
      <c r="I77" s="531"/>
      <c r="J77" s="531"/>
      <c r="K77" s="531"/>
      <c r="L77" s="531"/>
      <c r="M77" s="531"/>
      <c r="N77" s="531"/>
      <c r="O77" s="531"/>
      <c r="P77" s="531"/>
      <c r="Q77" s="531"/>
      <c r="R77" s="531"/>
      <c r="S77" s="531"/>
      <c r="T77" s="531"/>
      <c r="U77" s="531"/>
      <c r="V77" s="531"/>
      <c r="W77" s="531"/>
    </row>
    <row r="78" spans="1:23">
      <c r="A78" s="475"/>
      <c r="B78" s="478"/>
      <c r="C78" s="184">
        <f>C67</f>
        <v>2016</v>
      </c>
      <c r="D78" s="322">
        <f t="shared" ref="D78:V78" si="37">D67</f>
        <v>2017</v>
      </c>
      <c r="E78" s="322">
        <f t="shared" si="37"/>
        <v>2018</v>
      </c>
      <c r="F78" s="322">
        <f t="shared" si="37"/>
        <v>2019</v>
      </c>
      <c r="G78" s="322">
        <f t="shared" si="37"/>
        <v>2020</v>
      </c>
      <c r="H78" s="322">
        <f t="shared" si="37"/>
        <v>2021</v>
      </c>
      <c r="I78" s="322">
        <f t="shared" si="37"/>
        <v>2022</v>
      </c>
      <c r="J78" s="322">
        <f t="shared" si="37"/>
        <v>2023</v>
      </c>
      <c r="K78" s="322">
        <f t="shared" si="37"/>
        <v>2024</v>
      </c>
      <c r="L78" s="322">
        <f t="shared" si="37"/>
        <v>2025</v>
      </c>
      <c r="M78" s="322">
        <f t="shared" si="37"/>
        <v>2026</v>
      </c>
      <c r="N78" s="322">
        <f t="shared" si="37"/>
        <v>2027</v>
      </c>
      <c r="O78" s="322">
        <f t="shared" si="37"/>
        <v>2028</v>
      </c>
      <c r="P78" s="322">
        <f t="shared" si="37"/>
        <v>2029</v>
      </c>
      <c r="Q78" s="322">
        <f t="shared" si="37"/>
        <v>2030</v>
      </c>
      <c r="R78" s="322">
        <f t="shared" si="37"/>
        <v>2031</v>
      </c>
      <c r="S78" s="322">
        <f t="shared" si="37"/>
        <v>2032</v>
      </c>
      <c r="T78" s="322">
        <f t="shared" si="37"/>
        <v>2033</v>
      </c>
      <c r="U78" s="322">
        <f t="shared" si="37"/>
        <v>2034</v>
      </c>
      <c r="V78" s="322">
        <f t="shared" si="37"/>
        <v>2035</v>
      </c>
      <c r="W78" s="184"/>
    </row>
    <row r="79" spans="1:23">
      <c r="A79" s="123"/>
      <c r="B79" s="124"/>
      <c r="C79" s="78"/>
      <c r="D79" s="82"/>
      <c r="E79" s="82"/>
      <c r="F79" s="82"/>
      <c r="G79" s="82"/>
      <c r="H79" s="82"/>
      <c r="I79" s="82"/>
      <c r="J79" s="82"/>
      <c r="K79" s="82"/>
      <c r="L79" s="82"/>
      <c r="M79" s="82"/>
      <c r="N79" s="82"/>
      <c r="O79" s="82"/>
      <c r="P79" s="82"/>
      <c r="Q79" s="82"/>
      <c r="R79" s="82"/>
      <c r="S79" s="82"/>
      <c r="T79" s="82"/>
      <c r="U79" s="82"/>
      <c r="V79" s="82"/>
      <c r="W79" s="82"/>
    </row>
    <row r="80" spans="1:23">
      <c r="A80" s="85" t="str">
        <f>+A47</f>
        <v>a. Space Cooling, Small - PCT</v>
      </c>
      <c r="B80" s="136">
        <f>SUM(KeyAssumptions!S8:U8)</f>
        <v>1028.2719999999999</v>
      </c>
      <c r="C80" s="116">
        <f t="shared" ref="C80:V80" si="38">MAX(0,($B$80*C47))</f>
        <v>261827.14238501675</v>
      </c>
      <c r="D80" s="116">
        <f t="shared" si="38"/>
        <v>1195517.9925773756</v>
      </c>
      <c r="E80" s="116">
        <f t="shared" si="38"/>
        <v>1442372.0968445446</v>
      </c>
      <c r="F80" s="116">
        <f t="shared" si="38"/>
        <v>1696742.406521593</v>
      </c>
      <c r="G80" s="116">
        <f t="shared" si="38"/>
        <v>1963807.5111377917</v>
      </c>
      <c r="H80" s="116">
        <f t="shared" si="38"/>
        <v>1256203.807738723</v>
      </c>
      <c r="I80" s="116">
        <f t="shared" si="38"/>
        <v>96796.34262013268</v>
      </c>
      <c r="J80" s="116">
        <f t="shared" si="38"/>
        <v>95503.089165915779</v>
      </c>
      <c r="K80" s="116">
        <f t="shared" si="38"/>
        <v>95173.400878777305</v>
      </c>
      <c r="L80" s="116">
        <f t="shared" si="38"/>
        <v>94628.918365346894</v>
      </c>
      <c r="M80" s="116">
        <f t="shared" si="38"/>
        <v>90613.317164129374</v>
      </c>
      <c r="N80" s="116">
        <f t="shared" si="38"/>
        <v>93779.799008787071</v>
      </c>
      <c r="O80" s="116">
        <f t="shared" si="38"/>
        <v>97612.953059091422</v>
      </c>
      <c r="P80" s="116">
        <f t="shared" si="38"/>
        <v>98174.682464169484</v>
      </c>
      <c r="Q80" s="116">
        <f t="shared" si="38"/>
        <v>95951.252566938128</v>
      </c>
      <c r="R80" s="116">
        <f t="shared" si="38"/>
        <v>97024.443784302057</v>
      </c>
      <c r="S80" s="116">
        <f t="shared" si="38"/>
        <v>98109.638382124656</v>
      </c>
      <c r="T80" s="116">
        <f t="shared" si="38"/>
        <v>99206.970615251048</v>
      </c>
      <c r="U80" s="116">
        <f t="shared" si="38"/>
        <v>100316.57624016542</v>
      </c>
      <c r="V80" s="116">
        <f t="shared" si="38"/>
        <v>101438.5925317425</v>
      </c>
      <c r="W80" s="116"/>
    </row>
    <row r="81" spans="1:23">
      <c r="A81" s="85" t="str">
        <f>A48</f>
        <v>b. Space Cooling, Medium - AutoDR</v>
      </c>
      <c r="B81" s="136">
        <f>SUM(KeyAssumptions!S9:U9)</f>
        <v>3517.5</v>
      </c>
      <c r="C81" s="116">
        <f t="shared" ref="C81:V81" si="39">MAX(0,($B$81*C48))</f>
        <v>1791310.0295238933</v>
      </c>
      <c r="D81" s="116">
        <f t="shared" si="39"/>
        <v>8179226.0003013192</v>
      </c>
      <c r="E81" s="116">
        <f t="shared" si="39"/>
        <v>9868096.8666864131</v>
      </c>
      <c r="F81" s="116">
        <f t="shared" si="39"/>
        <v>11608390.416037204</v>
      </c>
      <c r="G81" s="116">
        <f t="shared" si="39"/>
        <v>13435536.356970107</v>
      </c>
      <c r="H81" s="116">
        <f t="shared" si="39"/>
        <v>8594412.555668069</v>
      </c>
      <c r="I81" s="116">
        <f t="shared" si="39"/>
        <v>662239.43697060063</v>
      </c>
      <c r="J81" s="116">
        <f t="shared" si="39"/>
        <v>653391.54648013122</v>
      </c>
      <c r="K81" s="116">
        <f t="shared" si="39"/>
        <v>651135.95933974511</v>
      </c>
      <c r="L81" s="116">
        <f t="shared" si="39"/>
        <v>647410.84139237041</v>
      </c>
      <c r="M81" s="116">
        <f t="shared" si="39"/>
        <v>619937.80463695421</v>
      </c>
      <c r="N81" s="116">
        <f t="shared" si="39"/>
        <v>641601.52763745107</v>
      </c>
      <c r="O81" s="116">
        <f t="shared" si="39"/>
        <v>667826.33852784883</v>
      </c>
      <c r="P81" s="116">
        <f t="shared" si="39"/>
        <v>671669.452377807</v>
      </c>
      <c r="Q81" s="116">
        <f t="shared" si="39"/>
        <v>656457.68999681971</v>
      </c>
      <c r="R81" s="116">
        <f t="shared" si="39"/>
        <v>663800.00819098938</v>
      </c>
      <c r="S81" s="116">
        <f t="shared" si="39"/>
        <v>671224.44841272256</v>
      </c>
      <c r="T81" s="116">
        <f t="shared" si="39"/>
        <v>678731.92917661008</v>
      </c>
      <c r="U81" s="116">
        <f t="shared" si="39"/>
        <v>686323.37927081925</v>
      </c>
      <c r="V81" s="116">
        <f t="shared" si="39"/>
        <v>693999.73787169985</v>
      </c>
      <c r="W81" s="116"/>
    </row>
    <row r="82" spans="1:23">
      <c r="A82" s="85" t="str">
        <f>A49</f>
        <v>c. Lighting Controls - AutoDR</v>
      </c>
      <c r="B82" s="136">
        <f>SUM(KeyAssumptions!S10:U10)</f>
        <v>13366.5</v>
      </c>
      <c r="C82" s="116">
        <f>MAX(0,($B$82*C49))</f>
        <v>1956028.1931582743</v>
      </c>
      <c r="D82" s="116">
        <f t="shared" ref="D82:V82" si="40">MAX(0,($B$82*D49))</f>
        <v>7941578.1060412582</v>
      </c>
      <c r="E82" s="116">
        <f t="shared" si="40"/>
        <v>8154789.5357487835</v>
      </c>
      <c r="F82" s="116">
        <f t="shared" si="40"/>
        <v>8361991.5628601676</v>
      </c>
      <c r="G82" s="116">
        <f t="shared" si="40"/>
        <v>8592535.1687292792</v>
      </c>
      <c r="H82" s="116">
        <f t="shared" si="40"/>
        <v>6703359.5467033433</v>
      </c>
      <c r="I82" s="116">
        <f t="shared" si="40"/>
        <v>516525.01241548947</v>
      </c>
      <c r="J82" s="116">
        <f t="shared" si="40"/>
        <v>509623.94840404362</v>
      </c>
      <c r="K82" s="116">
        <f t="shared" si="40"/>
        <v>507864.66450965474</v>
      </c>
      <c r="L82" s="116">
        <f t="shared" si="40"/>
        <v>504959.19484625699</v>
      </c>
      <c r="M82" s="116">
        <f t="shared" si="40"/>
        <v>483531.12841141794</v>
      </c>
      <c r="N82" s="116">
        <f t="shared" si="40"/>
        <v>500428.12089948967</v>
      </c>
      <c r="O82" s="116">
        <f t="shared" si="40"/>
        <v>520882.61215226952</v>
      </c>
      <c r="P82" s="116">
        <f t="shared" si="40"/>
        <v>523880.11474459531</v>
      </c>
      <c r="Q82" s="116">
        <f t="shared" si="40"/>
        <v>512015.43965268938</v>
      </c>
      <c r="R82" s="116">
        <f t="shared" si="40"/>
        <v>517742.20671712444</v>
      </c>
      <c r="S82" s="116">
        <f t="shared" si="40"/>
        <v>523533.02626606158</v>
      </c>
      <c r="T82" s="116">
        <f t="shared" si="40"/>
        <v>529388.61471081933</v>
      </c>
      <c r="U82" s="116">
        <f t="shared" si="40"/>
        <v>535309.69647560199</v>
      </c>
      <c r="V82" s="116">
        <f t="shared" si="40"/>
        <v>541297.00408713741</v>
      </c>
      <c r="W82" s="116"/>
    </row>
    <row r="83" spans="1:23">
      <c r="A83" s="85"/>
      <c r="B83" s="125"/>
      <c r="C83" s="116"/>
      <c r="D83" s="116"/>
      <c r="E83" s="116"/>
      <c r="F83" s="116"/>
      <c r="G83" s="116"/>
      <c r="H83" s="116"/>
      <c r="I83" s="116"/>
      <c r="J83" s="116"/>
      <c r="K83" s="116"/>
      <c r="L83" s="116"/>
      <c r="M83" s="116"/>
      <c r="N83" s="116"/>
      <c r="O83" s="116"/>
      <c r="P83" s="116"/>
      <c r="Q83" s="116"/>
      <c r="R83" s="116"/>
      <c r="S83" s="116"/>
      <c r="T83" s="116"/>
      <c r="U83" s="116"/>
      <c r="V83" s="116"/>
      <c r="W83" s="116"/>
    </row>
    <row r="84" spans="1:23">
      <c r="A84" s="126" t="s">
        <v>283</v>
      </c>
      <c r="B84" s="107"/>
      <c r="C84" s="119">
        <f>SUM(C80:C82)</f>
        <v>4009165.365067184</v>
      </c>
      <c r="D84" s="119">
        <f t="shared" ref="D84:V84" si="41">SUM(D80:D82)</f>
        <v>17316322.09891995</v>
      </c>
      <c r="E84" s="119">
        <f t="shared" si="41"/>
        <v>19465258.499279741</v>
      </c>
      <c r="F84" s="119">
        <f t="shared" si="41"/>
        <v>21667124.385418963</v>
      </c>
      <c r="G84" s="119">
        <f t="shared" si="41"/>
        <v>23991879.036837175</v>
      </c>
      <c r="H84" s="119">
        <f t="shared" si="41"/>
        <v>16553975.910110135</v>
      </c>
      <c r="I84" s="119">
        <f t="shared" si="41"/>
        <v>1275560.7920062228</v>
      </c>
      <c r="J84" s="119">
        <f t="shared" si="41"/>
        <v>1258518.5840500905</v>
      </c>
      <c r="K84" s="119">
        <f t="shared" si="41"/>
        <v>1254174.0247281771</v>
      </c>
      <c r="L84" s="119">
        <f t="shared" si="41"/>
        <v>1246998.9546039742</v>
      </c>
      <c r="M84" s="119">
        <f t="shared" si="41"/>
        <v>1194082.2502125015</v>
      </c>
      <c r="N84" s="119">
        <f t="shared" si="41"/>
        <v>1235809.4475457277</v>
      </c>
      <c r="O84" s="119">
        <f t="shared" si="41"/>
        <v>1286321.9037392098</v>
      </c>
      <c r="P84" s="119">
        <f t="shared" si="41"/>
        <v>1293724.2495865717</v>
      </c>
      <c r="Q84" s="119">
        <f t="shared" si="41"/>
        <v>1264424.3822164473</v>
      </c>
      <c r="R84" s="119">
        <f t="shared" si="41"/>
        <v>1278566.6586924158</v>
      </c>
      <c r="S84" s="119">
        <f t="shared" si="41"/>
        <v>1292867.1130609089</v>
      </c>
      <c r="T84" s="119">
        <f t="shared" si="41"/>
        <v>1307327.5145026804</v>
      </c>
      <c r="U84" s="119">
        <f t="shared" si="41"/>
        <v>1321949.6519865866</v>
      </c>
      <c r="V84" s="119">
        <f t="shared" si="41"/>
        <v>1336735.3344905798</v>
      </c>
      <c r="W84" s="119"/>
    </row>
    <row r="85" spans="1:23">
      <c r="A85" s="110"/>
      <c r="B85" s="110"/>
      <c r="C85" s="121"/>
      <c r="D85" s="121"/>
      <c r="E85" s="121"/>
      <c r="F85" s="121"/>
      <c r="G85" s="121"/>
      <c r="H85" s="121"/>
      <c r="I85" s="121"/>
      <c r="J85" s="121"/>
      <c r="K85" s="121"/>
      <c r="L85" s="121"/>
      <c r="M85" s="121"/>
      <c r="N85" s="121"/>
      <c r="O85" s="121"/>
      <c r="P85" s="121"/>
      <c r="Q85" s="121"/>
      <c r="R85" s="121"/>
      <c r="S85" s="121"/>
      <c r="T85" s="121"/>
      <c r="U85" s="121"/>
      <c r="V85" s="121"/>
      <c r="W85" s="121"/>
    </row>
    <row r="86" spans="1:23">
      <c r="A86" s="96" t="s">
        <v>273</v>
      </c>
      <c r="B86" s="96"/>
      <c r="C86" s="111"/>
      <c r="D86" s="127"/>
      <c r="E86" s="128"/>
      <c r="F86" s="129"/>
      <c r="G86" s="120"/>
      <c r="H86" s="130"/>
      <c r="I86" s="120"/>
      <c r="J86" s="78"/>
      <c r="L86" s="78"/>
    </row>
    <row r="87" spans="1:23">
      <c r="A87" s="110"/>
      <c r="B87" s="110"/>
      <c r="C87" s="111"/>
      <c r="D87" s="127"/>
      <c r="E87" s="128"/>
      <c r="F87" s="129"/>
      <c r="G87" s="120"/>
      <c r="H87" s="130"/>
      <c r="I87" s="120"/>
      <c r="J87" s="78"/>
      <c r="L87" s="78"/>
    </row>
    <row r="88" spans="1:23">
      <c r="A88" s="549" t="s">
        <v>210</v>
      </c>
      <c r="B88" s="525" t="s">
        <v>339</v>
      </c>
      <c r="C88" s="476" t="s">
        <v>219</v>
      </c>
      <c r="D88" s="476"/>
      <c r="E88" s="476"/>
      <c r="F88" s="476"/>
      <c r="G88" s="476"/>
      <c r="H88" s="476"/>
      <c r="I88" s="476"/>
      <c r="J88" s="476"/>
      <c r="K88" s="476"/>
      <c r="L88" s="476"/>
      <c r="M88" s="476"/>
      <c r="N88" s="476"/>
      <c r="O88" s="476"/>
      <c r="P88" s="476"/>
      <c r="Q88" s="476"/>
      <c r="R88" s="476"/>
      <c r="S88" s="476"/>
      <c r="T88" s="476"/>
      <c r="U88" s="476"/>
      <c r="V88" s="476"/>
      <c r="W88" s="476"/>
    </row>
    <row r="89" spans="1:23">
      <c r="A89" s="462"/>
      <c r="B89" s="525"/>
      <c r="C89" s="184">
        <f>C78</f>
        <v>2016</v>
      </c>
      <c r="D89" s="322">
        <f t="shared" ref="D89:V89" si="42">D78</f>
        <v>2017</v>
      </c>
      <c r="E89" s="322">
        <f t="shared" si="42"/>
        <v>2018</v>
      </c>
      <c r="F89" s="322">
        <f t="shared" si="42"/>
        <v>2019</v>
      </c>
      <c r="G89" s="322">
        <f t="shared" si="42"/>
        <v>2020</v>
      </c>
      <c r="H89" s="322">
        <f t="shared" si="42"/>
        <v>2021</v>
      </c>
      <c r="I89" s="322">
        <f t="shared" si="42"/>
        <v>2022</v>
      </c>
      <c r="J89" s="322">
        <f t="shared" si="42"/>
        <v>2023</v>
      </c>
      <c r="K89" s="322">
        <f t="shared" si="42"/>
        <v>2024</v>
      </c>
      <c r="L89" s="322">
        <f t="shared" si="42"/>
        <v>2025</v>
      </c>
      <c r="M89" s="322">
        <f t="shared" si="42"/>
        <v>2026</v>
      </c>
      <c r="N89" s="322">
        <f t="shared" si="42"/>
        <v>2027</v>
      </c>
      <c r="O89" s="322">
        <f t="shared" si="42"/>
        <v>2028</v>
      </c>
      <c r="P89" s="322">
        <f t="shared" si="42"/>
        <v>2029</v>
      </c>
      <c r="Q89" s="322">
        <f t="shared" si="42"/>
        <v>2030</v>
      </c>
      <c r="R89" s="322">
        <f t="shared" si="42"/>
        <v>2031</v>
      </c>
      <c r="S89" s="322">
        <f t="shared" si="42"/>
        <v>2032</v>
      </c>
      <c r="T89" s="322">
        <f t="shared" si="42"/>
        <v>2033</v>
      </c>
      <c r="U89" s="322">
        <f t="shared" si="42"/>
        <v>2034</v>
      </c>
      <c r="V89" s="322">
        <f t="shared" si="42"/>
        <v>2035</v>
      </c>
      <c r="W89" s="184"/>
    </row>
    <row r="90" spans="1:23">
      <c r="A90" s="131"/>
      <c r="B90" s="132"/>
      <c r="C90" s="132"/>
      <c r="D90" s="133"/>
      <c r="E90" s="133"/>
      <c r="F90" s="133"/>
      <c r="G90" s="133"/>
      <c r="H90" s="133"/>
      <c r="I90" s="133"/>
      <c r="J90" s="133"/>
      <c r="K90" s="133"/>
      <c r="L90" s="133"/>
      <c r="M90" s="133"/>
      <c r="N90" s="133"/>
      <c r="O90" s="133"/>
      <c r="P90" s="133"/>
      <c r="Q90" s="133"/>
      <c r="R90" s="133"/>
      <c r="S90" s="133"/>
      <c r="T90" s="133"/>
      <c r="U90" s="133"/>
      <c r="V90" s="133"/>
      <c r="W90" s="133"/>
    </row>
    <row r="91" spans="1:23">
      <c r="A91" s="135" t="str">
        <f>A47</f>
        <v>a. Space Cooling, Small - PCT</v>
      </c>
      <c r="B91" s="136">
        <f>KeyAssumptions!W8</f>
        <v>50</v>
      </c>
      <c r="C91" s="89">
        <f>($B91-IF('7thPlanAssumptions'!$D$14=1,'7thPlanAssumptions'!$B$14,0))*C69*1000</f>
        <v>16255.470118664583</v>
      </c>
      <c r="D91" s="89">
        <f>($B91-IF('7thPlanAssumptions'!$D$14=1,'7thPlanAssumptions'!$B$14,0))*D69*1000</f>
        <v>90478.894121398946</v>
      </c>
      <c r="E91" s="89">
        <f>($B91-IF('7thPlanAssumptions'!$D$14=1,'7thPlanAssumptions'!$B$14,0))*E69*1000</f>
        <v>180028.19106088163</v>
      </c>
      <c r="F91" s="89">
        <f>($B91-IF('7thPlanAssumptions'!$D$14=1,'7thPlanAssumptions'!$B$14,0))*F69*1000</f>
        <v>285370.00259745796</v>
      </c>
      <c r="G91" s="89">
        <f>($B91-IF('7thPlanAssumptions'!$D$14=1,'7thPlanAssumptions'!$B$14,0))*G69*1000</f>
        <v>407292.48177712713</v>
      </c>
      <c r="H91" s="89">
        <f>($B91-IF('7thPlanAssumptions'!$D$14=1,'7thPlanAssumptions'!$B$14,0))*H69*1000</f>
        <v>485283.56884945813</v>
      </c>
      <c r="I91" s="89">
        <f>($B91-IF('7thPlanAssumptions'!$D$14=1,'7thPlanAssumptions'!$B$14,0))*I69*1000</f>
        <v>491293.14463569893</v>
      </c>
      <c r="J91" s="89">
        <f>($B91-IF('7thPlanAssumptions'!$D$14=1,'7thPlanAssumptions'!$B$14,0))*J69*1000</f>
        <v>497222.42911719024</v>
      </c>
      <c r="K91" s="89">
        <f>($B91-IF('7thPlanAssumptions'!$D$14=1,'7thPlanAssumptions'!$B$14,0))*K69*1000</f>
        <v>503131.24498701951</v>
      </c>
      <c r="L91" s="89">
        <f>($B91-IF('7thPlanAssumptions'!$D$14=1,'7thPlanAssumptions'!$B$14,0))*L69*1000</f>
        <v>509006.25680144579</v>
      </c>
      <c r="M91" s="89">
        <f>($B91-IF('7thPlanAssumptions'!$D$14=1,'7thPlanAssumptions'!$B$14,0))*M69*1000</f>
        <v>514631.96105844987</v>
      </c>
      <c r="N91" s="89">
        <f>($B91-IF('7thPlanAssumptions'!$D$14=1,'7thPlanAssumptions'!$B$14,0))*N69*1000</f>
        <v>520454.25551820459</v>
      </c>
      <c r="O91" s="89">
        <f>($B91-IF('7thPlanAssumptions'!$D$14=1,'7thPlanAssumptions'!$B$14,0))*O69*1000</f>
        <v>526514.53035141248</v>
      </c>
      <c r="P91" s="89">
        <f>($B91-IF('7thPlanAssumptions'!$D$14=1,'7thPlanAssumptions'!$B$14,0))*P69*1000</f>
        <v>532609.68000881118</v>
      </c>
      <c r="Q91" s="89">
        <f>($B91-IF('7thPlanAssumptions'!$D$14=1,'7thPlanAssumptions'!$B$14,0))*Q69*1000</f>
        <v>538566.78859863302</v>
      </c>
      <c r="R91" s="89">
        <f>($B91-IF('7thPlanAssumptions'!$D$14=1,'7thPlanAssumptions'!$B$14,0))*R69*1000</f>
        <v>544590.52598639601</v>
      </c>
      <c r="S91" s="89">
        <f>($B91-IF('7thPlanAssumptions'!$D$14=1,'7thPlanAssumptions'!$B$14,0))*S69*1000</f>
        <v>550681.63739885762</v>
      </c>
      <c r="T91" s="89">
        <f>($B91-IF('7thPlanAssumptions'!$D$14=1,'7thPlanAssumptions'!$B$14,0))*T69*1000</f>
        <v>556840.8763979529</v>
      </c>
      <c r="U91" s="89">
        <f>($B91-IF('7thPlanAssumptions'!$D$14=1,'7thPlanAssumptions'!$B$14,0))*U69*1000</f>
        <v>563069.00497402251</v>
      </c>
      <c r="V91" s="89">
        <f>($B91-IF('7thPlanAssumptions'!$D$14=1,'7thPlanAssumptions'!$B$14,0))*V69*1000</f>
        <v>569366.793640082</v>
      </c>
      <c r="W91" s="89"/>
    </row>
    <row r="92" spans="1:23">
      <c r="A92" s="135" t="str">
        <f t="shared" ref="A92:A93" si="43">A48</f>
        <v>b. Space Cooling, Medium - AutoDR</v>
      </c>
      <c r="B92" s="136">
        <f>KeyAssumptions!W9</f>
        <v>50</v>
      </c>
      <c r="C92" s="89">
        <f>($B92-IF('7thPlanAssumptions'!$D$14=1,'7thPlanAssumptions'!$B$14,0))*C70*1000</f>
        <v>174165.75127140628</v>
      </c>
      <c r="D92" s="89">
        <f>($B92-IF('7thPlanAssumptions'!$D$14=1,'7thPlanAssumptions'!$B$14,0))*D70*1000</f>
        <v>969416.72272927442</v>
      </c>
      <c r="E92" s="89">
        <f>($B92-IF('7thPlanAssumptions'!$D$14=1,'7thPlanAssumptions'!$B$14,0))*E70*1000</f>
        <v>1928873.4756523026</v>
      </c>
      <c r="F92" s="89">
        <f>($B92-IF('7thPlanAssumptions'!$D$14=1,'7thPlanAssumptions'!$B$14,0))*F70*1000</f>
        <v>3057535.7421156215</v>
      </c>
      <c r="G92" s="89">
        <f>($B92-IF('7thPlanAssumptions'!$D$14=1,'7thPlanAssumptions'!$B$14,0))*G70*1000</f>
        <v>4363848.019040647</v>
      </c>
      <c r="H92" s="89">
        <f>($B92-IF('7thPlanAssumptions'!$D$14=1,'7thPlanAssumptions'!$B$14,0))*H70*1000</f>
        <v>5199466.8091013376</v>
      </c>
      <c r="I92" s="89">
        <f>($B92-IF('7thPlanAssumptions'!$D$14=1,'7thPlanAssumptions'!$B$14,0))*I70*1000</f>
        <v>5263855.1210967731</v>
      </c>
      <c r="J92" s="89">
        <f>($B92-IF('7thPlanAssumptions'!$D$14=1,'7thPlanAssumptions'!$B$14,0))*J70*1000</f>
        <v>5327383.1691127513</v>
      </c>
      <c r="K92" s="89">
        <f>($B92-IF('7thPlanAssumptions'!$D$14=1,'7thPlanAssumptions'!$B$14,0))*K70*1000</f>
        <v>5390691.9105752092</v>
      </c>
      <c r="L92" s="89">
        <f>($B92-IF('7thPlanAssumptions'!$D$14=1,'7thPlanAssumptions'!$B$14,0))*L70*1000</f>
        <v>5453638.4657297768</v>
      </c>
      <c r="M92" s="89">
        <f>($B92-IF('7thPlanAssumptions'!$D$14=1,'7thPlanAssumptions'!$B$14,0))*M70*1000</f>
        <v>5513913.8684833907</v>
      </c>
      <c r="N92" s="89">
        <f>($B92-IF('7thPlanAssumptions'!$D$14=1,'7thPlanAssumptions'!$B$14,0))*N70*1000</f>
        <v>5576295.5948379058</v>
      </c>
      <c r="O92" s="89">
        <f>($B92-IF('7thPlanAssumptions'!$D$14=1,'7thPlanAssumptions'!$B$14,0))*O70*1000</f>
        <v>5641227.1109079914</v>
      </c>
      <c r="P92" s="89">
        <f>($B92-IF('7thPlanAssumptions'!$D$14=1,'7thPlanAssumptions'!$B$14,0))*P70*1000</f>
        <v>5706532.2858086899</v>
      </c>
      <c r="Q92" s="89">
        <f>($B92-IF('7thPlanAssumptions'!$D$14=1,'7thPlanAssumptions'!$B$14,0))*Q70*1000</f>
        <v>5770358.449271068</v>
      </c>
      <c r="R92" s="89">
        <f>($B92-IF('7thPlanAssumptions'!$D$14=1,'7thPlanAssumptions'!$B$14,0))*R70*1000</f>
        <v>5834898.4927113857</v>
      </c>
      <c r="S92" s="89">
        <f>($B92-IF('7thPlanAssumptions'!$D$14=1,'7thPlanAssumptions'!$B$14,0))*S70*1000</f>
        <v>5900160.4007020472</v>
      </c>
      <c r="T92" s="89">
        <f>($B92-IF('7thPlanAssumptions'!$D$14=1,'7thPlanAssumptions'!$B$14,0))*T70*1000</f>
        <v>5966152.2471209234</v>
      </c>
      <c r="U92" s="89">
        <f>($B92-IF('7thPlanAssumptions'!$D$14=1,'7thPlanAssumptions'!$B$14,0))*U70*1000</f>
        <v>6032882.1961502405</v>
      </c>
      <c r="V92" s="89">
        <f>($B92-IF('7thPlanAssumptions'!$D$14=1,'7thPlanAssumptions'!$B$14,0))*V70*1000</f>
        <v>6100358.5032865936</v>
      </c>
      <c r="W92" s="89"/>
    </row>
    <row r="93" spans="1:23">
      <c r="A93" s="135" t="str">
        <f t="shared" si="43"/>
        <v>c. Lighting Controls - AutoDR</v>
      </c>
      <c r="B93" s="136">
        <f>KeyAssumptions!W10</f>
        <v>20</v>
      </c>
      <c r="C93" s="89">
        <f>($B93-IF('7thPlanAssumptions'!$D$14=1,'7thPlanAssumptions'!$B$14,0))*C71*1000</f>
        <v>-47545.248191906881</v>
      </c>
      <c r="D93" s="89">
        <f>($B93-IF('7thPlanAssumptions'!$D$14=1,'7thPlanAssumptions'!$B$14,0))*D71*1000</f>
        <v>-240581.4750764918</v>
      </c>
      <c r="E93" s="89">
        <f>($B93-IF('7thPlanAssumptions'!$D$14=1,'7thPlanAssumptions'!$B$14,0))*E71*1000</f>
        <v>-438800.2399113237</v>
      </c>
      <c r="F93" s="89">
        <f>($B93-IF('7thPlanAssumptions'!$D$14=1,'7thPlanAssumptions'!$B$14,0))*F71*1000</f>
        <v>-642055.47192967322</v>
      </c>
      <c r="G93" s="89">
        <f>($B93-IF('7thPlanAssumptions'!$D$14=1,'7thPlanAssumptions'!$B$14,0))*G71*1000</f>
        <v>-850914.53573247441</v>
      </c>
      <c r="H93" s="89">
        <f>($B93-IF('7thPlanAssumptions'!$D$14=1,'7thPlanAssumptions'!$B$14,0))*H71*1000</f>
        <v>-1013853.33921311</v>
      </c>
      <c r="I93" s="89">
        <f>($B93-IF('7thPlanAssumptions'!$D$14=1,'7thPlanAssumptions'!$B$14,0))*I71*1000</f>
        <v>-1026408.5314125482</v>
      </c>
      <c r="J93" s="89">
        <f>($B93-IF('7thPlanAssumptions'!$D$14=1,'7thPlanAssumptions'!$B$14,0))*J71*1000</f>
        <v>-1038795.9791989151</v>
      </c>
      <c r="K93" s="89">
        <f>($B93-IF('7thPlanAssumptions'!$D$14=1,'7thPlanAssumptions'!$B$14,0))*K71*1000</f>
        <v>-1051140.6640078919</v>
      </c>
      <c r="L93" s="89">
        <f>($B93-IF('7thPlanAssumptions'!$D$14=1,'7thPlanAssumptions'!$B$14,0))*L71*1000</f>
        <v>-1063414.725460445</v>
      </c>
      <c r="M93" s="89">
        <f>($B93-IF('7thPlanAssumptions'!$D$14=1,'7thPlanAssumptions'!$B$14,0))*M71*1000</f>
        <v>-1075167.934125456</v>
      </c>
      <c r="N93" s="89">
        <f>($B93-IF('7thPlanAssumptions'!$D$14=1,'7thPlanAssumptions'!$B$14,0))*N71*1000</f>
        <v>-1087331.8585993457</v>
      </c>
      <c r="O93" s="89">
        <f>($B93-IF('7thPlanAssumptions'!$D$14=1,'7thPlanAssumptions'!$B$14,0))*O71*1000</f>
        <v>-1099992.9711335371</v>
      </c>
      <c r="P93" s="89">
        <f>($B93-IF('7thPlanAssumptions'!$D$14=1,'7thPlanAssumptions'!$B$14,0))*P71*1000</f>
        <v>-1112726.9440718917</v>
      </c>
      <c r="Q93" s="89">
        <f>($B93-IF('7thPlanAssumptions'!$D$14=1,'7thPlanAssumptions'!$B$14,0))*Q71*1000</f>
        <v>-1125172.5219227248</v>
      </c>
      <c r="R93" s="89">
        <f>($B93-IF('7thPlanAssumptions'!$D$14=1,'7thPlanAssumptions'!$B$14,0))*R71*1000</f>
        <v>-1137757.3005081732</v>
      </c>
      <c r="S93" s="89">
        <f>($B93-IF('7thPlanAssumptions'!$D$14=1,'7thPlanAssumptions'!$B$14,0))*S71*1000</f>
        <v>-1150482.836754299</v>
      </c>
      <c r="T93" s="89">
        <f>($B93-IF('7thPlanAssumptions'!$D$14=1,'7thPlanAssumptions'!$B$14,0))*T71*1000</f>
        <v>-1163350.7050010015</v>
      </c>
      <c r="U93" s="89">
        <f>($B93-IF('7thPlanAssumptions'!$D$14=1,'7thPlanAssumptions'!$B$14,0))*U71*1000</f>
        <v>-1176362.4971967835</v>
      </c>
      <c r="V93" s="89">
        <f>($B93-IF('7thPlanAssumptions'!$D$14=1,'7thPlanAssumptions'!$B$14,0))*V71*1000</f>
        <v>-1189519.8230957033</v>
      </c>
      <c r="W93" s="89"/>
    </row>
    <row r="94" spans="1:23">
      <c r="A94" s="141"/>
      <c r="B94" s="142"/>
      <c r="C94" s="134"/>
      <c r="D94" s="134"/>
      <c r="E94" s="134"/>
      <c r="F94" s="134"/>
      <c r="G94" s="134"/>
      <c r="H94" s="134"/>
      <c r="I94" s="134"/>
      <c r="J94" s="134"/>
      <c r="K94" s="134"/>
      <c r="L94" s="134"/>
      <c r="M94" s="134"/>
      <c r="N94" s="134"/>
      <c r="O94" s="134"/>
      <c r="P94" s="134"/>
      <c r="Q94" s="134"/>
      <c r="R94" s="134"/>
      <c r="S94" s="134"/>
      <c r="T94" s="134"/>
      <c r="U94" s="134"/>
      <c r="V94" s="134"/>
      <c r="W94" s="134"/>
    </row>
    <row r="95" spans="1:23">
      <c r="A95" s="143" t="s">
        <v>220</v>
      </c>
      <c r="B95" s="144"/>
      <c r="C95" s="145">
        <f>SUM(C91:C93)</f>
        <v>142875.97319816396</v>
      </c>
      <c r="D95" s="145">
        <f t="shared" ref="D95:V95" si="44">SUM(D91:D93)</f>
        <v>819314.14177418163</v>
      </c>
      <c r="E95" s="145">
        <f t="shared" si="44"/>
        <v>1670101.4268018606</v>
      </c>
      <c r="F95" s="145">
        <f t="shared" si="44"/>
        <v>2700850.2727834061</v>
      </c>
      <c r="G95" s="145">
        <f t="shared" si="44"/>
        <v>3920225.9650852997</v>
      </c>
      <c r="H95" s="145">
        <f t="shared" si="44"/>
        <v>4670897.0387376864</v>
      </c>
      <c r="I95" s="145">
        <f t="shared" si="44"/>
        <v>4728739.7343199234</v>
      </c>
      <c r="J95" s="145">
        <f t="shared" si="44"/>
        <v>4785809.619031027</v>
      </c>
      <c r="K95" s="145">
        <f t="shared" si="44"/>
        <v>4842682.4915543366</v>
      </c>
      <c r="L95" s="145">
        <f t="shared" si="44"/>
        <v>4899229.9970707782</v>
      </c>
      <c r="M95" s="145">
        <f t="shared" si="44"/>
        <v>4953377.8954163846</v>
      </c>
      <c r="N95" s="145">
        <f t="shared" si="44"/>
        <v>5009417.9917567652</v>
      </c>
      <c r="O95" s="145">
        <f t="shared" si="44"/>
        <v>5067748.6701258663</v>
      </c>
      <c r="P95" s="145">
        <f t="shared" si="44"/>
        <v>5126415.0217456091</v>
      </c>
      <c r="Q95" s="145">
        <f t="shared" si="44"/>
        <v>5183752.7159469761</v>
      </c>
      <c r="R95" s="145">
        <f t="shared" si="44"/>
        <v>5241731.7181896083</v>
      </c>
      <c r="S95" s="145">
        <f t="shared" si="44"/>
        <v>5300359.201346606</v>
      </c>
      <c r="T95" s="145">
        <f t="shared" si="44"/>
        <v>5359642.4185178755</v>
      </c>
      <c r="U95" s="145">
        <f t="shared" si="44"/>
        <v>5419588.7039274797</v>
      </c>
      <c r="V95" s="145">
        <f t="shared" si="44"/>
        <v>5480205.4738309719</v>
      </c>
      <c r="W95" s="145"/>
    </row>
    <row r="96" spans="1:23">
      <c r="A96" s="120"/>
      <c r="B96" s="120"/>
      <c r="C96" s="146"/>
      <c r="D96" s="146"/>
      <c r="E96" s="146"/>
      <c r="F96" s="146"/>
      <c r="G96" s="146"/>
      <c r="H96" s="146"/>
      <c r="I96" s="146"/>
      <c r="J96" s="146"/>
      <c r="K96" s="146"/>
      <c r="L96" s="146"/>
      <c r="M96" s="146"/>
      <c r="N96" s="146"/>
      <c r="O96" s="146"/>
      <c r="P96" s="146"/>
      <c r="Q96" s="146"/>
      <c r="R96" s="146"/>
      <c r="S96" s="146"/>
      <c r="T96" s="146"/>
      <c r="U96" s="146"/>
      <c r="V96" s="146"/>
      <c r="W96" s="146"/>
    </row>
    <row r="97" spans="1:23">
      <c r="A97" s="96" t="s">
        <v>304</v>
      </c>
      <c r="B97" s="96"/>
      <c r="C97" s="111"/>
      <c r="D97" s="127"/>
      <c r="E97" s="128"/>
      <c r="F97" s="190"/>
      <c r="G97" s="120"/>
      <c r="H97" s="130"/>
      <c r="I97" s="120"/>
      <c r="J97" s="78"/>
      <c r="L97" s="78"/>
    </row>
    <row r="98" spans="1:23">
      <c r="A98" s="110"/>
      <c r="B98" s="110"/>
      <c r="C98" s="111"/>
      <c r="D98" s="127"/>
      <c r="E98" s="128"/>
      <c r="F98" s="129"/>
      <c r="G98" s="120"/>
      <c r="H98" s="130"/>
      <c r="I98" s="120"/>
      <c r="J98" s="78"/>
      <c r="L98" s="78"/>
    </row>
    <row r="99" spans="1:23" ht="17.100000000000001" customHeight="1">
      <c r="A99" s="547" t="s">
        <v>210</v>
      </c>
      <c r="B99" s="548"/>
      <c r="C99" s="206">
        <f>C89</f>
        <v>2016</v>
      </c>
      <c r="D99" s="321">
        <f t="shared" ref="D99:V99" si="45">D89</f>
        <v>2017</v>
      </c>
      <c r="E99" s="321">
        <f t="shared" si="45"/>
        <v>2018</v>
      </c>
      <c r="F99" s="321">
        <f t="shared" si="45"/>
        <v>2019</v>
      </c>
      <c r="G99" s="321">
        <f t="shared" si="45"/>
        <v>2020</v>
      </c>
      <c r="H99" s="321">
        <f t="shared" si="45"/>
        <v>2021</v>
      </c>
      <c r="I99" s="321">
        <f t="shared" si="45"/>
        <v>2022</v>
      </c>
      <c r="J99" s="321">
        <f t="shared" si="45"/>
        <v>2023</v>
      </c>
      <c r="K99" s="321">
        <f t="shared" si="45"/>
        <v>2024</v>
      </c>
      <c r="L99" s="321">
        <f t="shared" si="45"/>
        <v>2025</v>
      </c>
      <c r="M99" s="321">
        <f t="shared" si="45"/>
        <v>2026</v>
      </c>
      <c r="N99" s="321">
        <f t="shared" si="45"/>
        <v>2027</v>
      </c>
      <c r="O99" s="321">
        <f t="shared" si="45"/>
        <v>2028</v>
      </c>
      <c r="P99" s="321">
        <f t="shared" si="45"/>
        <v>2029</v>
      </c>
      <c r="Q99" s="321">
        <f t="shared" si="45"/>
        <v>2030</v>
      </c>
      <c r="R99" s="321">
        <f t="shared" si="45"/>
        <v>2031</v>
      </c>
      <c r="S99" s="321">
        <f t="shared" si="45"/>
        <v>2032</v>
      </c>
      <c r="T99" s="321">
        <f t="shared" si="45"/>
        <v>2033</v>
      </c>
      <c r="U99" s="321">
        <f t="shared" si="45"/>
        <v>2034</v>
      </c>
      <c r="V99" s="321">
        <f t="shared" si="45"/>
        <v>2035</v>
      </c>
      <c r="W99" s="206"/>
    </row>
    <row r="100" spans="1:23">
      <c r="A100" s="143" t="str">
        <f>A84</f>
        <v xml:space="preserve">TOTAL ENABLEMENT COST </v>
      </c>
      <c r="B100" s="147"/>
      <c r="C100" s="148">
        <f>C84</f>
        <v>4009165.365067184</v>
      </c>
      <c r="D100" s="148">
        <f t="shared" ref="D100:V100" si="46">D84</f>
        <v>17316322.09891995</v>
      </c>
      <c r="E100" s="148">
        <f t="shared" si="46"/>
        <v>19465258.499279741</v>
      </c>
      <c r="F100" s="148">
        <f t="shared" si="46"/>
        <v>21667124.385418963</v>
      </c>
      <c r="G100" s="148">
        <f t="shared" si="46"/>
        <v>23991879.036837175</v>
      </c>
      <c r="H100" s="148">
        <f t="shared" si="46"/>
        <v>16553975.910110135</v>
      </c>
      <c r="I100" s="148">
        <f t="shared" si="46"/>
        <v>1275560.7920062228</v>
      </c>
      <c r="J100" s="148">
        <f t="shared" si="46"/>
        <v>1258518.5840500905</v>
      </c>
      <c r="K100" s="148">
        <f t="shared" si="46"/>
        <v>1254174.0247281771</v>
      </c>
      <c r="L100" s="148">
        <f t="shared" si="46"/>
        <v>1246998.9546039742</v>
      </c>
      <c r="M100" s="148">
        <f t="shared" si="46"/>
        <v>1194082.2502125015</v>
      </c>
      <c r="N100" s="148">
        <f t="shared" si="46"/>
        <v>1235809.4475457277</v>
      </c>
      <c r="O100" s="148">
        <f t="shared" si="46"/>
        <v>1286321.9037392098</v>
      </c>
      <c r="P100" s="148">
        <f t="shared" si="46"/>
        <v>1293724.2495865717</v>
      </c>
      <c r="Q100" s="148">
        <f t="shared" si="46"/>
        <v>1264424.3822164473</v>
      </c>
      <c r="R100" s="148">
        <f t="shared" si="46"/>
        <v>1278566.6586924158</v>
      </c>
      <c r="S100" s="148">
        <f t="shared" si="46"/>
        <v>1292867.1130609089</v>
      </c>
      <c r="T100" s="148">
        <f t="shared" si="46"/>
        <v>1307327.5145026804</v>
      </c>
      <c r="U100" s="148">
        <f t="shared" si="46"/>
        <v>1321949.6519865866</v>
      </c>
      <c r="V100" s="148">
        <f t="shared" si="46"/>
        <v>1336735.3344905798</v>
      </c>
      <c r="W100" s="148"/>
    </row>
    <row r="101" spans="1:23">
      <c r="A101" s="143" t="str">
        <f>A95</f>
        <v>TOTAL IMPLEMENTATION COST</v>
      </c>
      <c r="B101" s="147"/>
      <c r="C101" s="148">
        <f>C95</f>
        <v>142875.97319816396</v>
      </c>
      <c r="D101" s="148">
        <f t="shared" ref="D101:V101" si="47">D95</f>
        <v>819314.14177418163</v>
      </c>
      <c r="E101" s="148">
        <f t="shared" si="47"/>
        <v>1670101.4268018606</v>
      </c>
      <c r="F101" s="148">
        <f t="shared" si="47"/>
        <v>2700850.2727834061</v>
      </c>
      <c r="G101" s="148">
        <f t="shared" si="47"/>
        <v>3920225.9650852997</v>
      </c>
      <c r="H101" s="148">
        <f t="shared" si="47"/>
        <v>4670897.0387376864</v>
      </c>
      <c r="I101" s="148">
        <f t="shared" si="47"/>
        <v>4728739.7343199234</v>
      </c>
      <c r="J101" s="148">
        <f t="shared" si="47"/>
        <v>4785809.619031027</v>
      </c>
      <c r="K101" s="148">
        <f t="shared" si="47"/>
        <v>4842682.4915543366</v>
      </c>
      <c r="L101" s="148">
        <f t="shared" si="47"/>
        <v>4899229.9970707782</v>
      </c>
      <c r="M101" s="148">
        <f t="shared" si="47"/>
        <v>4953377.8954163846</v>
      </c>
      <c r="N101" s="148">
        <f t="shared" si="47"/>
        <v>5009417.9917567652</v>
      </c>
      <c r="O101" s="148">
        <f t="shared" si="47"/>
        <v>5067748.6701258663</v>
      </c>
      <c r="P101" s="148">
        <f t="shared" si="47"/>
        <v>5126415.0217456091</v>
      </c>
      <c r="Q101" s="148">
        <f t="shared" si="47"/>
        <v>5183752.7159469761</v>
      </c>
      <c r="R101" s="148">
        <f t="shared" si="47"/>
        <v>5241731.7181896083</v>
      </c>
      <c r="S101" s="148">
        <f t="shared" si="47"/>
        <v>5300359.201346606</v>
      </c>
      <c r="T101" s="148">
        <f t="shared" si="47"/>
        <v>5359642.4185178755</v>
      </c>
      <c r="U101" s="148">
        <f t="shared" si="47"/>
        <v>5419588.7039274797</v>
      </c>
      <c r="V101" s="148">
        <f t="shared" si="47"/>
        <v>5480205.4738309719</v>
      </c>
      <c r="W101" s="148"/>
    </row>
    <row r="102" spans="1:23">
      <c r="A102" s="149" t="s">
        <v>222</v>
      </c>
      <c r="B102" s="147"/>
      <c r="C102" s="150">
        <f>SUM(C100:C101)</f>
        <v>4152041.3382653478</v>
      </c>
      <c r="D102" s="150">
        <f t="shared" ref="D102:V102" si="48">SUM(D100:D101)</f>
        <v>18135636.240694132</v>
      </c>
      <c r="E102" s="150">
        <f t="shared" si="48"/>
        <v>21135359.926081602</v>
      </c>
      <c r="F102" s="150">
        <f t="shared" si="48"/>
        <v>24367974.658202369</v>
      </c>
      <c r="G102" s="150">
        <f t="shared" si="48"/>
        <v>27912105.001922473</v>
      </c>
      <c r="H102" s="150">
        <f t="shared" si="48"/>
        <v>21224872.948847823</v>
      </c>
      <c r="I102" s="150">
        <f t="shared" si="48"/>
        <v>6004300.526326146</v>
      </c>
      <c r="J102" s="150">
        <f t="shared" si="48"/>
        <v>6044328.2030811179</v>
      </c>
      <c r="K102" s="150">
        <f t="shared" si="48"/>
        <v>6096856.5162825137</v>
      </c>
      <c r="L102" s="150">
        <f t="shared" si="48"/>
        <v>6146228.9516747519</v>
      </c>
      <c r="M102" s="150">
        <f t="shared" si="48"/>
        <v>6147460.1456288863</v>
      </c>
      <c r="N102" s="150">
        <f t="shared" si="48"/>
        <v>6245227.4393024929</v>
      </c>
      <c r="O102" s="150">
        <f t="shared" si="48"/>
        <v>6354070.5738650765</v>
      </c>
      <c r="P102" s="150">
        <f t="shared" si="48"/>
        <v>6420139.2713321811</v>
      </c>
      <c r="Q102" s="150">
        <f t="shared" si="48"/>
        <v>6448177.0981634231</v>
      </c>
      <c r="R102" s="150">
        <f t="shared" si="48"/>
        <v>6520298.3768820241</v>
      </c>
      <c r="S102" s="150">
        <f t="shared" si="48"/>
        <v>6593226.3144075144</v>
      </c>
      <c r="T102" s="150">
        <f t="shared" si="48"/>
        <v>6666969.9330205563</v>
      </c>
      <c r="U102" s="150">
        <f t="shared" si="48"/>
        <v>6741538.3559140665</v>
      </c>
      <c r="V102" s="150">
        <f t="shared" si="48"/>
        <v>6816940.8083215514</v>
      </c>
      <c r="W102" s="150"/>
    </row>
  </sheetData>
  <mergeCells count="15">
    <mergeCell ref="B88:B89"/>
    <mergeCell ref="A88:A89"/>
    <mergeCell ref="C88:W88"/>
    <mergeCell ref="A99:B99"/>
    <mergeCell ref="A1:W1"/>
    <mergeCell ref="C4:W4"/>
    <mergeCell ref="C44:W44"/>
    <mergeCell ref="A55:A56"/>
    <mergeCell ref="B55:B56"/>
    <mergeCell ref="C55:W55"/>
    <mergeCell ref="B66:B67"/>
    <mergeCell ref="C66:W66"/>
    <mergeCell ref="B77:B78"/>
    <mergeCell ref="A77:A78"/>
    <mergeCell ref="C77:W77"/>
  </mergeCells>
  <pageMargins left="0.75" right="0.75" top="1" bottom="1" header="0.5" footer="0.5"/>
  <pageSetup orientation="portrait" r:id="rId1"/>
  <headerFooter alignWithMargins="0"/>
</worksheet>
</file>

<file path=xl/worksheets/sheet18.xml><?xml version="1.0" encoding="utf-8"?>
<worksheet xmlns="http://schemas.openxmlformats.org/spreadsheetml/2006/main" xmlns:r="http://schemas.openxmlformats.org/officeDocument/2006/relationships">
  <sheetPr>
    <tabColor theme="4" tint="0.39997558519241921"/>
  </sheetPr>
  <dimension ref="A1:W120"/>
  <sheetViews>
    <sheetView topLeftCell="A39" workbookViewId="0">
      <selection activeCell="C58" sqref="C58"/>
    </sheetView>
  </sheetViews>
  <sheetFormatPr defaultRowHeight="12.75"/>
  <cols>
    <col min="1" max="1" width="39.42578125" style="76" customWidth="1"/>
    <col min="2" max="2" width="28.5703125" style="76" customWidth="1"/>
    <col min="3" max="3" width="19.85546875" style="76" bestFit="1" customWidth="1"/>
    <col min="4" max="4" width="15" style="76" customWidth="1"/>
    <col min="5" max="5" width="17" style="76" bestFit="1" customWidth="1"/>
    <col min="6" max="7" width="12.85546875" style="76" customWidth="1"/>
    <col min="8" max="8" width="13.7109375" style="76" customWidth="1"/>
    <col min="9" max="23" width="12.85546875" style="76" customWidth="1"/>
    <col min="24" max="255" width="9.140625" style="76"/>
    <col min="256" max="256" width="33.85546875" style="76" customWidth="1"/>
    <col min="257" max="257" width="19.28515625" style="76" customWidth="1"/>
    <col min="258" max="279" width="12.85546875" style="76" customWidth="1"/>
    <col min="280" max="511" width="9.140625" style="76"/>
    <col min="512" max="512" width="33.85546875" style="76" customWidth="1"/>
    <col min="513" max="513" width="19.28515625" style="76" customWidth="1"/>
    <col min="514" max="535" width="12.85546875" style="76" customWidth="1"/>
    <col min="536" max="767" width="9.140625" style="76"/>
    <col min="768" max="768" width="33.85546875" style="76" customWidth="1"/>
    <col min="769" max="769" width="19.28515625" style="76" customWidth="1"/>
    <col min="770" max="791" width="12.85546875" style="76" customWidth="1"/>
    <col min="792" max="1023" width="9.140625" style="76"/>
    <col min="1024" max="1024" width="33.85546875" style="76" customWidth="1"/>
    <col min="1025" max="1025" width="19.28515625" style="76" customWidth="1"/>
    <col min="1026" max="1047" width="12.85546875" style="76" customWidth="1"/>
    <col min="1048" max="1279" width="9.140625" style="76"/>
    <col min="1280" max="1280" width="33.85546875" style="76" customWidth="1"/>
    <col min="1281" max="1281" width="19.28515625" style="76" customWidth="1"/>
    <col min="1282" max="1303" width="12.85546875" style="76" customWidth="1"/>
    <col min="1304" max="1535" width="9.140625" style="76"/>
    <col min="1536" max="1536" width="33.85546875" style="76" customWidth="1"/>
    <col min="1537" max="1537" width="19.28515625" style="76" customWidth="1"/>
    <col min="1538" max="1559" width="12.85546875" style="76" customWidth="1"/>
    <col min="1560" max="1791" width="9.140625" style="76"/>
    <col min="1792" max="1792" width="33.85546875" style="76" customWidth="1"/>
    <col min="1793" max="1793" width="19.28515625" style="76" customWidth="1"/>
    <col min="1794" max="1815" width="12.85546875" style="76" customWidth="1"/>
    <col min="1816" max="2047" width="9.140625" style="76"/>
    <col min="2048" max="2048" width="33.85546875" style="76" customWidth="1"/>
    <col min="2049" max="2049" width="19.28515625" style="76" customWidth="1"/>
    <col min="2050" max="2071" width="12.85546875" style="76" customWidth="1"/>
    <col min="2072" max="2303" width="9.140625" style="76"/>
    <col min="2304" max="2304" width="33.85546875" style="76" customWidth="1"/>
    <col min="2305" max="2305" width="19.28515625" style="76" customWidth="1"/>
    <col min="2306" max="2327" width="12.85546875" style="76" customWidth="1"/>
    <col min="2328" max="2559" width="9.140625" style="76"/>
    <col min="2560" max="2560" width="33.85546875" style="76" customWidth="1"/>
    <col min="2561" max="2561" width="19.28515625" style="76" customWidth="1"/>
    <col min="2562" max="2583" width="12.85546875" style="76" customWidth="1"/>
    <col min="2584" max="2815" width="9.140625" style="76"/>
    <col min="2816" max="2816" width="33.85546875" style="76" customWidth="1"/>
    <col min="2817" max="2817" width="19.28515625" style="76" customWidth="1"/>
    <col min="2818" max="2839" width="12.85546875" style="76" customWidth="1"/>
    <col min="2840" max="3071" width="9.140625" style="76"/>
    <col min="3072" max="3072" width="33.85546875" style="76" customWidth="1"/>
    <col min="3073" max="3073" width="19.28515625" style="76" customWidth="1"/>
    <col min="3074" max="3095" width="12.85546875" style="76" customWidth="1"/>
    <col min="3096" max="3327" width="9.140625" style="76"/>
    <col min="3328" max="3328" width="33.85546875" style="76" customWidth="1"/>
    <col min="3329" max="3329" width="19.28515625" style="76" customWidth="1"/>
    <col min="3330" max="3351" width="12.85546875" style="76" customWidth="1"/>
    <col min="3352" max="3583" width="9.140625" style="76"/>
    <col min="3584" max="3584" width="33.85546875" style="76" customWidth="1"/>
    <col min="3585" max="3585" width="19.28515625" style="76" customWidth="1"/>
    <col min="3586" max="3607" width="12.85546875" style="76" customWidth="1"/>
    <col min="3608" max="3839" width="9.140625" style="76"/>
    <col min="3840" max="3840" width="33.85546875" style="76" customWidth="1"/>
    <col min="3841" max="3841" width="19.28515625" style="76" customWidth="1"/>
    <col min="3842" max="3863" width="12.85546875" style="76" customWidth="1"/>
    <col min="3864" max="4095" width="9.140625" style="76"/>
    <col min="4096" max="4096" width="33.85546875" style="76" customWidth="1"/>
    <col min="4097" max="4097" width="19.28515625" style="76" customWidth="1"/>
    <col min="4098" max="4119" width="12.85546875" style="76" customWidth="1"/>
    <col min="4120" max="4351" width="9.140625" style="76"/>
    <col min="4352" max="4352" width="33.85546875" style="76" customWidth="1"/>
    <col min="4353" max="4353" width="19.28515625" style="76" customWidth="1"/>
    <col min="4354" max="4375" width="12.85546875" style="76" customWidth="1"/>
    <col min="4376" max="4607" width="9.140625" style="76"/>
    <col min="4608" max="4608" width="33.85546875" style="76" customWidth="1"/>
    <col min="4609" max="4609" width="19.28515625" style="76" customWidth="1"/>
    <col min="4610" max="4631" width="12.85546875" style="76" customWidth="1"/>
    <col min="4632" max="4863" width="9.140625" style="76"/>
    <col min="4864" max="4864" width="33.85546875" style="76" customWidth="1"/>
    <col min="4865" max="4865" width="19.28515625" style="76" customWidth="1"/>
    <col min="4866" max="4887" width="12.85546875" style="76" customWidth="1"/>
    <col min="4888" max="5119" width="9.140625" style="76"/>
    <col min="5120" max="5120" width="33.85546875" style="76" customWidth="1"/>
    <col min="5121" max="5121" width="19.28515625" style="76" customWidth="1"/>
    <col min="5122" max="5143" width="12.85546875" style="76" customWidth="1"/>
    <col min="5144" max="5375" width="9.140625" style="76"/>
    <col min="5376" max="5376" width="33.85546875" style="76" customWidth="1"/>
    <col min="5377" max="5377" width="19.28515625" style="76" customWidth="1"/>
    <col min="5378" max="5399" width="12.85546875" style="76" customWidth="1"/>
    <col min="5400" max="5631" width="9.140625" style="76"/>
    <col min="5632" max="5632" width="33.85546875" style="76" customWidth="1"/>
    <col min="5633" max="5633" width="19.28515625" style="76" customWidth="1"/>
    <col min="5634" max="5655" width="12.85546875" style="76" customWidth="1"/>
    <col min="5656" max="5887" width="9.140625" style="76"/>
    <col min="5888" max="5888" width="33.85546875" style="76" customWidth="1"/>
    <col min="5889" max="5889" width="19.28515625" style="76" customWidth="1"/>
    <col min="5890" max="5911" width="12.85546875" style="76" customWidth="1"/>
    <col min="5912" max="6143" width="9.140625" style="76"/>
    <col min="6144" max="6144" width="33.85546875" style="76" customWidth="1"/>
    <col min="6145" max="6145" width="19.28515625" style="76" customWidth="1"/>
    <col min="6146" max="6167" width="12.85546875" style="76" customWidth="1"/>
    <col min="6168" max="6399" width="9.140625" style="76"/>
    <col min="6400" max="6400" width="33.85546875" style="76" customWidth="1"/>
    <col min="6401" max="6401" width="19.28515625" style="76" customWidth="1"/>
    <col min="6402" max="6423" width="12.85546875" style="76" customWidth="1"/>
    <col min="6424" max="6655" width="9.140625" style="76"/>
    <col min="6656" max="6656" width="33.85546875" style="76" customWidth="1"/>
    <col min="6657" max="6657" width="19.28515625" style="76" customWidth="1"/>
    <col min="6658" max="6679" width="12.85546875" style="76" customWidth="1"/>
    <col min="6680" max="6911" width="9.140625" style="76"/>
    <col min="6912" max="6912" width="33.85546875" style="76" customWidth="1"/>
    <col min="6913" max="6913" width="19.28515625" style="76" customWidth="1"/>
    <col min="6914" max="6935" width="12.85546875" style="76" customWidth="1"/>
    <col min="6936" max="7167" width="9.140625" style="76"/>
    <col min="7168" max="7168" width="33.85546875" style="76" customWidth="1"/>
    <col min="7169" max="7169" width="19.28515625" style="76" customWidth="1"/>
    <col min="7170" max="7191" width="12.85546875" style="76" customWidth="1"/>
    <col min="7192" max="7423" width="9.140625" style="76"/>
    <col min="7424" max="7424" width="33.85546875" style="76" customWidth="1"/>
    <col min="7425" max="7425" width="19.28515625" style="76" customWidth="1"/>
    <col min="7426" max="7447" width="12.85546875" style="76" customWidth="1"/>
    <col min="7448" max="7679" width="9.140625" style="76"/>
    <col min="7680" max="7680" width="33.85546875" style="76" customWidth="1"/>
    <col min="7681" max="7681" width="19.28515625" style="76" customWidth="1"/>
    <col min="7682" max="7703" width="12.85546875" style="76" customWidth="1"/>
    <col min="7704" max="7935" width="9.140625" style="76"/>
    <col min="7936" max="7936" width="33.85546875" style="76" customWidth="1"/>
    <col min="7937" max="7937" width="19.28515625" style="76" customWidth="1"/>
    <col min="7938" max="7959" width="12.85546875" style="76" customWidth="1"/>
    <col min="7960" max="8191" width="9.140625" style="76"/>
    <col min="8192" max="8192" width="33.85546875" style="76" customWidth="1"/>
    <col min="8193" max="8193" width="19.28515625" style="76" customWidth="1"/>
    <col min="8194" max="8215" width="12.85546875" style="76" customWidth="1"/>
    <col min="8216" max="8447" width="9.140625" style="76"/>
    <col min="8448" max="8448" width="33.85546875" style="76" customWidth="1"/>
    <col min="8449" max="8449" width="19.28515625" style="76" customWidth="1"/>
    <col min="8450" max="8471" width="12.85546875" style="76" customWidth="1"/>
    <col min="8472" max="8703" width="9.140625" style="76"/>
    <col min="8704" max="8704" width="33.85546875" style="76" customWidth="1"/>
    <col min="8705" max="8705" width="19.28515625" style="76" customWidth="1"/>
    <col min="8706" max="8727" width="12.85546875" style="76" customWidth="1"/>
    <col min="8728" max="8959" width="9.140625" style="76"/>
    <col min="8960" max="8960" width="33.85546875" style="76" customWidth="1"/>
    <col min="8961" max="8961" width="19.28515625" style="76" customWidth="1"/>
    <col min="8962" max="8983" width="12.85546875" style="76" customWidth="1"/>
    <col min="8984" max="9215" width="9.140625" style="76"/>
    <col min="9216" max="9216" width="33.85546875" style="76" customWidth="1"/>
    <col min="9217" max="9217" width="19.28515625" style="76" customWidth="1"/>
    <col min="9218" max="9239" width="12.85546875" style="76" customWidth="1"/>
    <col min="9240" max="9471" width="9.140625" style="76"/>
    <col min="9472" max="9472" width="33.85546875" style="76" customWidth="1"/>
    <col min="9473" max="9473" width="19.28515625" style="76" customWidth="1"/>
    <col min="9474" max="9495" width="12.85546875" style="76" customWidth="1"/>
    <col min="9496" max="9727" width="9.140625" style="76"/>
    <col min="9728" max="9728" width="33.85546875" style="76" customWidth="1"/>
    <col min="9729" max="9729" width="19.28515625" style="76" customWidth="1"/>
    <col min="9730" max="9751" width="12.85546875" style="76" customWidth="1"/>
    <col min="9752" max="9983" width="9.140625" style="76"/>
    <col min="9984" max="9984" width="33.85546875" style="76" customWidth="1"/>
    <col min="9985" max="9985" width="19.28515625" style="76" customWidth="1"/>
    <col min="9986" max="10007" width="12.85546875" style="76" customWidth="1"/>
    <col min="10008" max="10239" width="9.140625" style="76"/>
    <col min="10240" max="10240" width="33.85546875" style="76" customWidth="1"/>
    <col min="10241" max="10241" width="19.28515625" style="76" customWidth="1"/>
    <col min="10242" max="10263" width="12.85546875" style="76" customWidth="1"/>
    <col min="10264" max="10495" width="9.140625" style="76"/>
    <col min="10496" max="10496" width="33.85546875" style="76" customWidth="1"/>
    <col min="10497" max="10497" width="19.28515625" style="76" customWidth="1"/>
    <col min="10498" max="10519" width="12.85546875" style="76" customWidth="1"/>
    <col min="10520" max="10751" width="9.140625" style="76"/>
    <col min="10752" max="10752" width="33.85546875" style="76" customWidth="1"/>
    <col min="10753" max="10753" width="19.28515625" style="76" customWidth="1"/>
    <col min="10754" max="10775" width="12.85546875" style="76" customWidth="1"/>
    <col min="10776" max="11007" width="9.140625" style="76"/>
    <col min="11008" max="11008" width="33.85546875" style="76" customWidth="1"/>
    <col min="11009" max="11009" width="19.28515625" style="76" customWidth="1"/>
    <col min="11010" max="11031" width="12.85546875" style="76" customWidth="1"/>
    <col min="11032" max="11263" width="9.140625" style="76"/>
    <col min="11264" max="11264" width="33.85546875" style="76" customWidth="1"/>
    <col min="11265" max="11265" width="19.28515625" style="76" customWidth="1"/>
    <col min="11266" max="11287" width="12.85546875" style="76" customWidth="1"/>
    <col min="11288" max="11519" width="9.140625" style="76"/>
    <col min="11520" max="11520" width="33.85546875" style="76" customWidth="1"/>
    <col min="11521" max="11521" width="19.28515625" style="76" customWidth="1"/>
    <col min="11522" max="11543" width="12.85546875" style="76" customWidth="1"/>
    <col min="11544" max="11775" width="9.140625" style="76"/>
    <col min="11776" max="11776" width="33.85546875" style="76" customWidth="1"/>
    <col min="11777" max="11777" width="19.28515625" style="76" customWidth="1"/>
    <col min="11778" max="11799" width="12.85546875" style="76" customWidth="1"/>
    <col min="11800" max="12031" width="9.140625" style="76"/>
    <col min="12032" max="12032" width="33.85546875" style="76" customWidth="1"/>
    <col min="12033" max="12033" width="19.28515625" style="76" customWidth="1"/>
    <col min="12034" max="12055" width="12.85546875" style="76" customWidth="1"/>
    <col min="12056" max="12287" width="9.140625" style="76"/>
    <col min="12288" max="12288" width="33.85546875" style="76" customWidth="1"/>
    <col min="12289" max="12289" width="19.28515625" style="76" customWidth="1"/>
    <col min="12290" max="12311" width="12.85546875" style="76" customWidth="1"/>
    <col min="12312" max="12543" width="9.140625" style="76"/>
    <col min="12544" max="12544" width="33.85546875" style="76" customWidth="1"/>
    <col min="12545" max="12545" width="19.28515625" style="76" customWidth="1"/>
    <col min="12546" max="12567" width="12.85546875" style="76" customWidth="1"/>
    <col min="12568" max="12799" width="9.140625" style="76"/>
    <col min="12800" max="12800" width="33.85546875" style="76" customWidth="1"/>
    <col min="12801" max="12801" width="19.28515625" style="76" customWidth="1"/>
    <col min="12802" max="12823" width="12.85546875" style="76" customWidth="1"/>
    <col min="12824" max="13055" width="9.140625" style="76"/>
    <col min="13056" max="13056" width="33.85546875" style="76" customWidth="1"/>
    <col min="13057" max="13057" width="19.28515625" style="76" customWidth="1"/>
    <col min="13058" max="13079" width="12.85546875" style="76" customWidth="1"/>
    <col min="13080" max="13311" width="9.140625" style="76"/>
    <col min="13312" max="13312" width="33.85546875" style="76" customWidth="1"/>
    <col min="13313" max="13313" width="19.28515625" style="76" customWidth="1"/>
    <col min="13314" max="13335" width="12.85546875" style="76" customWidth="1"/>
    <col min="13336" max="13567" width="9.140625" style="76"/>
    <col min="13568" max="13568" width="33.85546875" style="76" customWidth="1"/>
    <col min="13569" max="13569" width="19.28515625" style="76" customWidth="1"/>
    <col min="13570" max="13591" width="12.85546875" style="76" customWidth="1"/>
    <col min="13592" max="13823" width="9.140625" style="76"/>
    <col min="13824" max="13824" width="33.85546875" style="76" customWidth="1"/>
    <col min="13825" max="13825" width="19.28515625" style="76" customWidth="1"/>
    <col min="13826" max="13847" width="12.85546875" style="76" customWidth="1"/>
    <col min="13848" max="14079" width="9.140625" style="76"/>
    <col min="14080" max="14080" width="33.85546875" style="76" customWidth="1"/>
    <col min="14081" max="14081" width="19.28515625" style="76" customWidth="1"/>
    <col min="14082" max="14103" width="12.85546875" style="76" customWidth="1"/>
    <col min="14104" max="14335" width="9.140625" style="76"/>
    <col min="14336" max="14336" width="33.85546875" style="76" customWidth="1"/>
    <col min="14337" max="14337" width="19.28515625" style="76" customWidth="1"/>
    <col min="14338" max="14359" width="12.85546875" style="76" customWidth="1"/>
    <col min="14360" max="14591" width="9.140625" style="76"/>
    <col min="14592" max="14592" width="33.85546875" style="76" customWidth="1"/>
    <col min="14593" max="14593" width="19.28515625" style="76" customWidth="1"/>
    <col min="14594" max="14615" width="12.85546875" style="76" customWidth="1"/>
    <col min="14616" max="14847" width="9.140625" style="76"/>
    <col min="14848" max="14848" width="33.85546875" style="76" customWidth="1"/>
    <col min="14849" max="14849" width="19.28515625" style="76" customWidth="1"/>
    <col min="14850" max="14871" width="12.85546875" style="76" customWidth="1"/>
    <col min="14872" max="15103" width="9.140625" style="76"/>
    <col min="15104" max="15104" width="33.85546875" style="76" customWidth="1"/>
    <col min="15105" max="15105" width="19.28515625" style="76" customWidth="1"/>
    <col min="15106" max="15127" width="12.85546875" style="76" customWidth="1"/>
    <col min="15128" max="15359" width="9.140625" style="76"/>
    <col min="15360" max="15360" width="33.85546875" style="76" customWidth="1"/>
    <col min="15361" max="15361" width="19.28515625" style="76" customWidth="1"/>
    <col min="15362" max="15383" width="12.85546875" style="76" customWidth="1"/>
    <col min="15384" max="15615" width="9.140625" style="76"/>
    <col min="15616" max="15616" width="33.85546875" style="76" customWidth="1"/>
    <col min="15617" max="15617" width="19.28515625" style="76" customWidth="1"/>
    <col min="15618" max="15639" width="12.85546875" style="76" customWidth="1"/>
    <col min="15640" max="15871" width="9.140625" style="76"/>
    <col min="15872" max="15872" width="33.85546875" style="76" customWidth="1"/>
    <col min="15873" max="15873" width="19.28515625" style="76" customWidth="1"/>
    <col min="15874" max="15895" width="12.85546875" style="76" customWidth="1"/>
    <col min="15896" max="16127" width="9.140625" style="76"/>
    <col min="16128" max="16128" width="33.85546875" style="76" customWidth="1"/>
    <col min="16129" max="16129" width="19.28515625" style="76" customWidth="1"/>
    <col min="16130" max="16151" width="12.85546875" style="76" customWidth="1"/>
    <col min="16152" max="16384" width="9.140625" style="76"/>
  </cols>
  <sheetData>
    <row r="1" spans="1:23" ht="16.5" thickBot="1">
      <c r="A1" s="526" t="s">
        <v>344</v>
      </c>
      <c r="B1" s="527"/>
      <c r="C1" s="527"/>
      <c r="D1" s="527"/>
      <c r="E1" s="527"/>
      <c r="F1" s="527"/>
      <c r="G1" s="527"/>
      <c r="H1" s="527"/>
      <c r="I1" s="527"/>
      <c r="J1" s="527"/>
      <c r="K1" s="527"/>
      <c r="L1" s="527"/>
      <c r="M1" s="527"/>
      <c r="N1" s="527"/>
      <c r="O1" s="527"/>
      <c r="P1" s="527"/>
      <c r="Q1" s="527"/>
      <c r="R1" s="527"/>
      <c r="S1" s="527"/>
      <c r="T1" s="527"/>
      <c r="U1" s="527"/>
      <c r="V1" s="527"/>
      <c r="W1" s="528"/>
    </row>
    <row r="2" spans="1:23" ht="16.5" thickBot="1">
      <c r="A2" s="178" t="s">
        <v>231</v>
      </c>
      <c r="B2" s="179"/>
      <c r="C2" s="179"/>
      <c r="D2" s="179"/>
      <c r="E2" s="179"/>
      <c r="F2" s="179"/>
      <c r="G2" s="179"/>
      <c r="H2" s="179"/>
      <c r="I2" s="179"/>
      <c r="J2" s="179"/>
      <c r="K2" s="179"/>
      <c r="L2" s="179"/>
      <c r="M2" s="180"/>
      <c r="N2" s="180"/>
      <c r="O2" s="180"/>
      <c r="P2" s="180"/>
      <c r="Q2" s="180"/>
      <c r="R2" s="180"/>
      <c r="S2" s="180"/>
      <c r="T2" s="180"/>
      <c r="U2" s="180"/>
      <c r="V2" s="180"/>
      <c r="W2" s="181"/>
    </row>
    <row r="3" spans="1:23" ht="15.75">
      <c r="A3" s="151" t="s">
        <v>229</v>
      </c>
      <c r="B3" s="152"/>
      <c r="C3" s="152"/>
      <c r="D3" s="153"/>
      <c r="E3" s="153"/>
      <c r="F3" s="153"/>
      <c r="G3" s="153"/>
      <c r="H3" s="153"/>
      <c r="I3" s="153"/>
      <c r="J3" s="153"/>
      <c r="K3" s="153"/>
      <c r="L3" s="153"/>
      <c r="M3" s="154"/>
      <c r="N3" s="154"/>
      <c r="O3" s="154"/>
      <c r="P3" s="154"/>
      <c r="Q3" s="154"/>
      <c r="R3" s="154"/>
      <c r="S3" s="154"/>
      <c r="T3" s="154"/>
      <c r="U3" s="154"/>
      <c r="V3" s="153"/>
      <c r="W3" s="155"/>
    </row>
    <row r="4" spans="1:23">
      <c r="A4" s="156"/>
      <c r="B4" s="157"/>
      <c r="C4" s="529" t="s">
        <v>226</v>
      </c>
      <c r="D4" s="529"/>
      <c r="E4" s="529"/>
      <c r="F4" s="529"/>
      <c r="G4" s="529"/>
      <c r="H4" s="529"/>
      <c r="I4" s="529"/>
      <c r="J4" s="529"/>
      <c r="K4" s="529"/>
      <c r="L4" s="529"/>
      <c r="M4" s="529"/>
      <c r="N4" s="529"/>
      <c r="O4" s="529"/>
      <c r="P4" s="529"/>
      <c r="Q4" s="529"/>
      <c r="R4" s="529"/>
      <c r="S4" s="529"/>
      <c r="T4" s="529"/>
      <c r="U4" s="529"/>
      <c r="V4" s="529"/>
      <c r="W4" s="530"/>
    </row>
    <row r="5" spans="1:23">
      <c r="A5" s="156"/>
      <c r="B5" s="158" t="s">
        <v>1</v>
      </c>
      <c r="C5" s="159">
        <v>2016</v>
      </c>
      <c r="D5" s="159">
        <v>2017</v>
      </c>
      <c r="E5" s="159">
        <v>2018</v>
      </c>
      <c r="F5" s="159">
        <v>2019</v>
      </c>
      <c r="G5" s="159">
        <v>2020</v>
      </c>
      <c r="H5" s="159">
        <v>2021</v>
      </c>
      <c r="I5" s="159">
        <v>2022</v>
      </c>
      <c r="J5" s="159">
        <v>2023</v>
      </c>
      <c r="K5" s="159">
        <v>2024</v>
      </c>
      <c r="L5" s="159">
        <v>2025</v>
      </c>
      <c r="M5" s="159">
        <v>2026</v>
      </c>
      <c r="N5" s="159">
        <v>2027</v>
      </c>
      <c r="O5" s="159">
        <v>2028</v>
      </c>
      <c r="P5" s="159">
        <v>2029</v>
      </c>
      <c r="Q5" s="159">
        <v>2030</v>
      </c>
      <c r="R5" s="159">
        <v>2031</v>
      </c>
      <c r="S5" s="159">
        <v>2032</v>
      </c>
      <c r="T5" s="159">
        <v>2033</v>
      </c>
      <c r="U5" s="159">
        <v>2034</v>
      </c>
      <c r="V5" s="160">
        <v>2035</v>
      </c>
      <c r="W5" s="160"/>
    </row>
    <row r="6" spans="1:23" s="98" customFormat="1" ht="13.5" thickBot="1">
      <c r="A6" s="156"/>
      <c r="B6" s="158" t="s">
        <v>316</v>
      </c>
      <c r="C6" s="326">
        <f>HLOOKUP('Res-Capacity-Base'!C$5,'NW Customers'!$B$2:$AO$5,4)-C7</f>
        <v>31353.145008649793</v>
      </c>
      <c r="D6" s="326">
        <f>HLOOKUP('Res-Capacity-Base'!D$5,'NW Customers'!$B$2:$AO$5,4)-D7</f>
        <v>31729.715003368419</v>
      </c>
      <c r="E6" s="326">
        <f>HLOOKUP('Res-Capacity-Base'!E$5,'NW Customers'!$B$2:$AO$5,4)-E7</f>
        <v>32151.285295967089</v>
      </c>
      <c r="F6" s="326">
        <f>HLOOKUP('Res-Capacity-Base'!F$5,'NW Customers'!$B$2:$AO$5,4)-F7</f>
        <v>32568.907563842458</v>
      </c>
      <c r="G6" s="326">
        <f>HLOOKUP('Res-Capacity-Base'!G$5,'NW Customers'!$B$2:$AO$5,4)-G7</f>
        <v>33007.376988986252</v>
      </c>
      <c r="H6" s="326">
        <f>HLOOKUP('Res-Capacity-Base'!H$5,'NW Customers'!$B$2:$AO$5,4)-H7</f>
        <v>33428.672654676862</v>
      </c>
      <c r="I6" s="326">
        <f>HLOOKUP('Res-Capacity-Base'!I$5,'NW Customers'!$B$2:$AO$5,4)-I7</f>
        <v>33842.64121789857</v>
      </c>
      <c r="J6" s="326">
        <f>HLOOKUP('Res-Capacity-Base'!J$5,'NW Customers'!$B$2:$AO$5,4)-J7</f>
        <v>34251.07892881913</v>
      </c>
      <c r="K6" s="326">
        <f>HLOOKUP('Res-Capacity-Base'!K$5,'NW Customers'!$B$2:$AO$5,4)-K7</f>
        <v>34658.106663052095</v>
      </c>
      <c r="L6" s="326">
        <f>HLOOKUP('Res-Capacity-Base'!L$5,'NW Customers'!$B$2:$AO$5,4)-L7</f>
        <v>35062.805810918224</v>
      </c>
      <c r="M6" s="326">
        <f>HLOOKUP('Res-Capacity-Base'!M$5,'NW Customers'!$B$2:$AO$5,4)-M7</f>
        <v>35450.331451865175</v>
      </c>
      <c r="N6" s="326">
        <f>HLOOKUP('Res-Capacity-Base'!N$5,'NW Customers'!$B$2:$AO$5,4)-N7</f>
        <v>35851.399174095553</v>
      </c>
      <c r="O6" s="326">
        <f>HLOOKUP('Res-Capacity-Base'!O$5,'NW Customers'!$B$2:$AO$5,4)-O7</f>
        <v>36268.860132184433</v>
      </c>
      <c r="P6" s="326">
        <f>HLOOKUP('Res-Capacity-Base'!P$5,'NW Customers'!$B$2:$AO$5,4)-P7</f>
        <v>36688.723436358341</v>
      </c>
      <c r="Q6" s="326">
        <f>HLOOKUP('Res-Capacity-Base'!Q$5,'NW Customers'!$B$2:$AO$5,4)-Q7</f>
        <v>37099.077806051202</v>
      </c>
      <c r="R6" s="326">
        <f>HLOOKUP('Res-Capacity-Base'!R$5,'NW Customers'!$B$2:$AO$5,4)-R7</f>
        <v>37514.021888684547</v>
      </c>
      <c r="S6" s="326">
        <f>HLOOKUP('Res-Capacity-Base'!S$5,'NW Customers'!$B$2:$AO$5,4)-S7</f>
        <v>37933.607019071489</v>
      </c>
      <c r="T6" s="326">
        <f>HLOOKUP('Res-Capacity-Base'!T$5,'NW Customers'!$B$2:$AO$5,4)-T7</f>
        <v>38357.885106192436</v>
      </c>
      <c r="U6" s="326">
        <f>HLOOKUP('Res-Capacity-Base'!U$5,'NW Customers'!$B$2:$AO$5,4)-U7</f>
        <v>38786.908639616981</v>
      </c>
      <c r="V6" s="326">
        <f>HLOOKUP('Res-Capacity-Base'!V$5,'NW Customers'!$B$2:$AO$5,4)-V7</f>
        <v>39220.730695997692</v>
      </c>
      <c r="W6" s="242"/>
    </row>
    <row r="7" spans="1:23" ht="13.5" thickBot="1">
      <c r="A7" s="156"/>
      <c r="B7" s="241" t="s">
        <v>315</v>
      </c>
      <c r="C7" s="243">
        <f>C8*0.15</f>
        <v>5532.9079427029046</v>
      </c>
      <c r="D7" s="243">
        <f t="shared" ref="D7:V7" si="0">D8*0.15</f>
        <v>5599.3614711826622</v>
      </c>
      <c r="E7" s="243">
        <f t="shared" si="0"/>
        <v>5673.7562287000737</v>
      </c>
      <c r="F7" s="243">
        <f t="shared" si="0"/>
        <v>5747.454275972198</v>
      </c>
      <c r="G7" s="243">
        <f t="shared" si="0"/>
        <v>5824.8312333505155</v>
      </c>
      <c r="H7" s="243">
        <f t="shared" si="0"/>
        <v>5899.1775272959176</v>
      </c>
      <c r="I7" s="243">
        <f t="shared" si="0"/>
        <v>5972.2308031585708</v>
      </c>
      <c r="J7" s="243">
        <f t="shared" si="0"/>
        <v>6044.3080462621983</v>
      </c>
      <c r="K7" s="243">
        <f t="shared" si="0"/>
        <v>6116.1364699503692</v>
      </c>
      <c r="L7" s="243">
        <f t="shared" si="0"/>
        <v>6187.5539666326276</v>
      </c>
      <c r="M7" s="243">
        <f t="shared" si="0"/>
        <v>6255.9408444467945</v>
      </c>
      <c r="N7" s="243">
        <f t="shared" si="0"/>
        <v>6326.71750131098</v>
      </c>
      <c r="O7" s="243">
        <f t="shared" si="0"/>
        <v>6400.3870821501932</v>
      </c>
      <c r="P7" s="243">
        <f t="shared" si="0"/>
        <v>6474.4806064161785</v>
      </c>
      <c r="Q7" s="243">
        <f t="shared" si="0"/>
        <v>6546.8960834208001</v>
      </c>
      <c r="R7" s="243">
        <f t="shared" si="0"/>
        <v>6620.1215097678605</v>
      </c>
      <c r="S7" s="243">
        <f t="shared" si="0"/>
        <v>6694.1659445420273</v>
      </c>
      <c r="T7" s="243">
        <f t="shared" si="0"/>
        <v>6769.0385481516059</v>
      </c>
      <c r="U7" s="243">
        <f t="shared" si="0"/>
        <v>6844.7485834618201</v>
      </c>
      <c r="V7" s="243">
        <f t="shared" si="0"/>
        <v>6921.3054169407687</v>
      </c>
      <c r="W7" s="243"/>
    </row>
    <row r="8" spans="1:23" ht="13.5" thickBot="1">
      <c r="A8" s="244"/>
      <c r="B8" s="246" t="s">
        <v>314</v>
      </c>
      <c r="C8" s="326">
        <f>HLOOKUP('Res-Capacity-Base'!C$5,'NW Customers'!$B$2:$AO$5,4)</f>
        <v>36886.0529513527</v>
      </c>
      <c r="D8" s="326">
        <f>HLOOKUP('Res-Capacity-Base'!D$5,'NW Customers'!$B$2:$AO$5,4)</f>
        <v>37329.076474551082</v>
      </c>
      <c r="E8" s="326">
        <f>HLOOKUP('Res-Capacity-Base'!E$5,'NW Customers'!$B$2:$AO$5,4)</f>
        <v>37825.041524667162</v>
      </c>
      <c r="F8" s="326">
        <f>HLOOKUP('Res-Capacity-Base'!F$5,'NW Customers'!$B$2:$AO$5,4)</f>
        <v>38316.361839814657</v>
      </c>
      <c r="G8" s="326">
        <f>HLOOKUP('Res-Capacity-Base'!G$5,'NW Customers'!$B$2:$AO$5,4)</f>
        <v>38832.208222336769</v>
      </c>
      <c r="H8" s="326">
        <f>HLOOKUP('Res-Capacity-Base'!H$5,'NW Customers'!$B$2:$AO$5,4)</f>
        <v>39327.850181972783</v>
      </c>
      <c r="I8" s="326">
        <f>HLOOKUP('Res-Capacity-Base'!I$5,'NW Customers'!$B$2:$AO$5,4)</f>
        <v>39814.872021057141</v>
      </c>
      <c r="J8" s="326">
        <f>HLOOKUP('Res-Capacity-Base'!J$5,'NW Customers'!$B$2:$AO$5,4)</f>
        <v>40295.386975081325</v>
      </c>
      <c r="K8" s="326">
        <f>HLOOKUP('Res-Capacity-Base'!K$5,'NW Customers'!$B$2:$AO$5,4)</f>
        <v>40774.243133002463</v>
      </c>
      <c r="L8" s="326">
        <f>HLOOKUP('Res-Capacity-Base'!L$5,'NW Customers'!$B$2:$AO$5,4)</f>
        <v>41250.359777550853</v>
      </c>
      <c r="M8" s="326">
        <f>HLOOKUP('Res-Capacity-Base'!M$5,'NW Customers'!$B$2:$AO$5,4)</f>
        <v>41706.272296311967</v>
      </c>
      <c r="N8" s="326">
        <f>HLOOKUP('Res-Capacity-Base'!N$5,'NW Customers'!$B$2:$AO$5,4)</f>
        <v>42178.116675406534</v>
      </c>
      <c r="O8" s="326">
        <f>HLOOKUP('Res-Capacity-Base'!O$5,'NW Customers'!$B$2:$AO$5,4)</f>
        <v>42669.247214334624</v>
      </c>
      <c r="P8" s="326">
        <f>HLOOKUP('Res-Capacity-Base'!P$5,'NW Customers'!$B$2:$AO$5,4)</f>
        <v>43163.204042774523</v>
      </c>
      <c r="Q8" s="326">
        <f>HLOOKUP('Res-Capacity-Base'!Q$5,'NW Customers'!$B$2:$AO$5,4)</f>
        <v>43645.973889471999</v>
      </c>
      <c r="R8" s="326">
        <f>HLOOKUP('Res-Capacity-Base'!R$5,'NW Customers'!$B$2:$AO$5,4)</f>
        <v>44134.143398452405</v>
      </c>
      <c r="S8" s="326">
        <f>HLOOKUP('Res-Capacity-Base'!S$5,'NW Customers'!$B$2:$AO$5,4)</f>
        <v>44627.772963613519</v>
      </c>
      <c r="T8" s="326">
        <f>HLOOKUP('Res-Capacity-Base'!T$5,'NW Customers'!$B$2:$AO$5,4)</f>
        <v>45126.923654344042</v>
      </c>
      <c r="U8" s="326">
        <f>HLOOKUP('Res-Capacity-Base'!U$5,'NW Customers'!$B$2:$AO$5,4)</f>
        <v>45631.657223078801</v>
      </c>
      <c r="V8" s="326">
        <f>HLOOKUP('Res-Capacity-Base'!V$5,'NW Customers'!$B$2:$AO$5,4)</f>
        <v>46142.036112938462</v>
      </c>
      <c r="W8" s="245"/>
    </row>
    <row r="9" spans="1:23" ht="16.5" thickBot="1">
      <c r="A9" s="170"/>
      <c r="B9" s="170"/>
      <c r="C9" s="170"/>
      <c r="D9" s="171"/>
      <c r="E9" s="171"/>
      <c r="F9" s="171"/>
      <c r="G9" s="171"/>
      <c r="H9" s="171"/>
      <c r="I9" s="171"/>
      <c r="J9" s="171"/>
      <c r="K9" s="171"/>
      <c r="L9" s="171"/>
      <c r="M9" s="172"/>
      <c r="N9" s="172"/>
      <c r="O9" s="172"/>
      <c r="P9" s="172"/>
      <c r="Q9" s="172"/>
      <c r="R9" s="172"/>
      <c r="S9" s="172"/>
      <c r="T9" s="172"/>
      <c r="U9" s="172"/>
      <c r="V9" s="172"/>
      <c r="W9" s="172"/>
    </row>
    <row r="10" spans="1:23" ht="15.75">
      <c r="A10" s="151" t="s">
        <v>305</v>
      </c>
      <c r="B10" s="152"/>
      <c r="C10" s="152"/>
      <c r="D10" s="153"/>
      <c r="E10" s="153"/>
      <c r="F10" s="153"/>
      <c r="G10" s="153"/>
      <c r="H10" s="153"/>
      <c r="I10" s="153"/>
      <c r="J10" s="153"/>
      <c r="K10" s="153"/>
      <c r="L10" s="153"/>
      <c r="M10" s="154"/>
      <c r="N10" s="154"/>
      <c r="O10" s="154"/>
      <c r="P10" s="154"/>
      <c r="Q10" s="154"/>
      <c r="R10" s="154"/>
      <c r="S10" s="154"/>
      <c r="T10" s="154"/>
      <c r="U10" s="154"/>
      <c r="V10" s="154"/>
      <c r="W10" s="155"/>
    </row>
    <row r="11" spans="1:23" ht="15.75">
      <c r="A11" s="185"/>
      <c r="B11" s="158" t="s">
        <v>237</v>
      </c>
      <c r="C11" s="174">
        <f>KeyAssumptions!AA11</f>
        <v>0.35</v>
      </c>
      <c r="D11" s="163"/>
      <c r="E11" s="163"/>
      <c r="F11" s="163"/>
      <c r="G11" s="163"/>
      <c r="H11" s="163"/>
      <c r="I11" s="163"/>
      <c r="J11" s="163"/>
      <c r="K11" s="163"/>
      <c r="L11" s="163"/>
      <c r="M11" s="164"/>
      <c r="N11" s="164"/>
      <c r="O11" s="164"/>
      <c r="P11" s="164"/>
      <c r="Q11" s="164"/>
      <c r="R11" s="164"/>
      <c r="S11" s="164"/>
      <c r="T11" s="164"/>
      <c r="U11" s="164"/>
      <c r="V11" s="164"/>
      <c r="W11" s="165"/>
    </row>
    <row r="12" spans="1:23" ht="15.75">
      <c r="A12" s="185"/>
      <c r="B12" s="158" t="s">
        <v>203</v>
      </c>
      <c r="C12" s="174">
        <f>KeyAssumptions!AB11</f>
        <v>0.2</v>
      </c>
      <c r="D12" s="163"/>
      <c r="E12" s="163"/>
      <c r="F12" s="163"/>
      <c r="G12" s="163"/>
      <c r="H12" s="163"/>
      <c r="I12" s="163"/>
      <c r="J12" s="163"/>
      <c r="K12" s="163"/>
      <c r="L12" s="163"/>
      <c r="M12" s="164"/>
      <c r="N12" s="164"/>
      <c r="O12" s="164"/>
      <c r="P12" s="164"/>
      <c r="Q12" s="164"/>
      <c r="R12" s="164"/>
      <c r="S12" s="164"/>
      <c r="T12" s="164"/>
      <c r="U12" s="164"/>
      <c r="V12" s="164"/>
      <c r="W12" s="165"/>
    </row>
    <row r="13" spans="1:23" ht="15.75" customHeight="1">
      <c r="A13" s="185"/>
      <c r="B13" s="188" t="s">
        <v>338</v>
      </c>
      <c r="C13" s="174">
        <v>0.95</v>
      </c>
      <c r="D13" s="163"/>
      <c r="E13" s="163"/>
      <c r="F13" s="163"/>
      <c r="G13" s="163"/>
      <c r="H13" s="163"/>
      <c r="I13" s="163"/>
      <c r="J13" s="163"/>
      <c r="K13" s="163"/>
      <c r="L13" s="163"/>
      <c r="M13" s="164"/>
      <c r="N13" s="164"/>
      <c r="O13" s="164"/>
      <c r="P13" s="164"/>
      <c r="Q13" s="164"/>
      <c r="R13" s="164"/>
      <c r="S13" s="164"/>
      <c r="T13" s="164"/>
      <c r="U13" s="164"/>
      <c r="V13" s="164"/>
      <c r="W13" s="165"/>
    </row>
    <row r="14" spans="1:23" ht="15.75">
      <c r="A14" s="185"/>
      <c r="B14" s="157"/>
      <c r="C14" s="157"/>
      <c r="D14" s="163"/>
      <c r="E14" s="163"/>
      <c r="F14" s="163"/>
      <c r="G14" s="163"/>
      <c r="H14" s="163"/>
      <c r="I14" s="163"/>
      <c r="J14" s="163"/>
      <c r="K14" s="163"/>
      <c r="L14" s="163"/>
      <c r="M14" s="164"/>
      <c r="N14" s="164"/>
      <c r="O14" s="164"/>
      <c r="P14" s="164"/>
      <c r="Q14" s="164"/>
      <c r="R14" s="164"/>
      <c r="S14" s="164"/>
      <c r="T14" s="164"/>
      <c r="U14" s="164"/>
      <c r="V14" s="164"/>
      <c r="W14" s="165"/>
    </row>
    <row r="15" spans="1:23">
      <c r="A15" s="156"/>
      <c r="B15" s="158" t="s">
        <v>1</v>
      </c>
      <c r="C15" s="159">
        <f>C5</f>
        <v>2016</v>
      </c>
      <c r="D15" s="159">
        <f t="shared" ref="D15:V15" si="1">D5</f>
        <v>2017</v>
      </c>
      <c r="E15" s="159">
        <f t="shared" si="1"/>
        <v>2018</v>
      </c>
      <c r="F15" s="159">
        <f t="shared" si="1"/>
        <v>2019</v>
      </c>
      <c r="G15" s="159">
        <f t="shared" si="1"/>
        <v>2020</v>
      </c>
      <c r="H15" s="159">
        <f t="shared" si="1"/>
        <v>2021</v>
      </c>
      <c r="I15" s="159">
        <f t="shared" si="1"/>
        <v>2022</v>
      </c>
      <c r="J15" s="159">
        <f t="shared" si="1"/>
        <v>2023</v>
      </c>
      <c r="K15" s="159">
        <f t="shared" si="1"/>
        <v>2024</v>
      </c>
      <c r="L15" s="159">
        <f t="shared" si="1"/>
        <v>2025</v>
      </c>
      <c r="M15" s="159">
        <f t="shared" si="1"/>
        <v>2026</v>
      </c>
      <c r="N15" s="159">
        <f t="shared" si="1"/>
        <v>2027</v>
      </c>
      <c r="O15" s="159">
        <f t="shared" si="1"/>
        <v>2028</v>
      </c>
      <c r="P15" s="159">
        <f t="shared" si="1"/>
        <v>2029</v>
      </c>
      <c r="Q15" s="159">
        <f t="shared" si="1"/>
        <v>2030</v>
      </c>
      <c r="R15" s="159">
        <f t="shared" si="1"/>
        <v>2031</v>
      </c>
      <c r="S15" s="159">
        <f t="shared" si="1"/>
        <v>2032</v>
      </c>
      <c r="T15" s="159">
        <f t="shared" si="1"/>
        <v>2033</v>
      </c>
      <c r="U15" s="159">
        <f t="shared" si="1"/>
        <v>2034</v>
      </c>
      <c r="V15" s="159">
        <f t="shared" si="1"/>
        <v>2035</v>
      </c>
      <c r="W15" s="160"/>
    </row>
    <row r="16" spans="1:23">
      <c r="A16" s="156"/>
      <c r="B16" s="158" t="s">
        <v>227</v>
      </c>
      <c r="C16" s="174">
        <v>0.05</v>
      </c>
      <c r="D16" s="174">
        <v>0.2</v>
      </c>
      <c r="E16" s="174">
        <v>0.2</v>
      </c>
      <c r="F16" s="174">
        <v>0.2</v>
      </c>
      <c r="G16" s="174">
        <v>0.2</v>
      </c>
      <c r="H16" s="174">
        <v>0.15</v>
      </c>
      <c r="I16" s="174">
        <v>0</v>
      </c>
      <c r="J16" s="174">
        <v>0</v>
      </c>
      <c r="K16" s="174">
        <v>0</v>
      </c>
      <c r="L16" s="174">
        <v>0</v>
      </c>
      <c r="M16" s="174">
        <v>0</v>
      </c>
      <c r="N16" s="174">
        <v>0</v>
      </c>
      <c r="O16" s="174">
        <v>0</v>
      </c>
      <c r="P16" s="174">
        <v>0</v>
      </c>
      <c r="Q16" s="174">
        <v>0</v>
      </c>
      <c r="R16" s="174">
        <v>0</v>
      </c>
      <c r="S16" s="174">
        <v>0</v>
      </c>
      <c r="T16" s="174">
        <v>0</v>
      </c>
      <c r="U16" s="174">
        <v>0</v>
      </c>
      <c r="V16" s="174">
        <v>0</v>
      </c>
      <c r="W16" s="216"/>
    </row>
    <row r="17" spans="1:23">
      <c r="A17" s="156"/>
      <c r="B17" s="158" t="s">
        <v>233</v>
      </c>
      <c r="C17" s="174">
        <f>C16</f>
        <v>0.05</v>
      </c>
      <c r="D17" s="174">
        <f>C17+D16</f>
        <v>0.25</v>
      </c>
      <c r="E17" s="174">
        <f t="shared" ref="E17:V17" si="2">D17+E16</f>
        <v>0.45</v>
      </c>
      <c r="F17" s="174">
        <f t="shared" si="2"/>
        <v>0.65</v>
      </c>
      <c r="G17" s="174">
        <f t="shared" si="2"/>
        <v>0.85000000000000009</v>
      </c>
      <c r="H17" s="174">
        <f t="shared" si="2"/>
        <v>1</v>
      </c>
      <c r="I17" s="174">
        <f t="shared" si="2"/>
        <v>1</v>
      </c>
      <c r="J17" s="174">
        <f t="shared" si="2"/>
        <v>1</v>
      </c>
      <c r="K17" s="174">
        <f t="shared" si="2"/>
        <v>1</v>
      </c>
      <c r="L17" s="174">
        <f t="shared" si="2"/>
        <v>1</v>
      </c>
      <c r="M17" s="174">
        <f t="shared" si="2"/>
        <v>1</v>
      </c>
      <c r="N17" s="174">
        <f t="shared" si="2"/>
        <v>1</v>
      </c>
      <c r="O17" s="174">
        <f t="shared" si="2"/>
        <v>1</v>
      </c>
      <c r="P17" s="174">
        <f t="shared" si="2"/>
        <v>1</v>
      </c>
      <c r="Q17" s="174">
        <f t="shared" si="2"/>
        <v>1</v>
      </c>
      <c r="R17" s="174">
        <f t="shared" si="2"/>
        <v>1</v>
      </c>
      <c r="S17" s="174">
        <f t="shared" si="2"/>
        <v>1</v>
      </c>
      <c r="T17" s="174">
        <f t="shared" si="2"/>
        <v>1</v>
      </c>
      <c r="U17" s="174">
        <f t="shared" si="2"/>
        <v>1</v>
      </c>
      <c r="V17" s="174">
        <f t="shared" si="2"/>
        <v>1</v>
      </c>
      <c r="W17" s="216"/>
    </row>
    <row r="18" spans="1:23">
      <c r="A18" s="156"/>
      <c r="B18" s="158" t="s">
        <v>228</v>
      </c>
      <c r="C18" s="174">
        <v>0.01</v>
      </c>
      <c r="D18" s="174">
        <v>0.01</v>
      </c>
      <c r="E18" s="174">
        <v>0.01</v>
      </c>
      <c r="F18" s="174">
        <v>0.01</v>
      </c>
      <c r="G18" s="174">
        <v>0.01</v>
      </c>
      <c r="H18" s="174">
        <v>0.01</v>
      </c>
      <c r="I18" s="174">
        <v>0.01</v>
      </c>
      <c r="J18" s="174">
        <v>0.01</v>
      </c>
      <c r="K18" s="174">
        <v>0.01</v>
      </c>
      <c r="L18" s="174">
        <v>0.01</v>
      </c>
      <c r="M18" s="174">
        <v>0.01</v>
      </c>
      <c r="N18" s="174">
        <v>0.01</v>
      </c>
      <c r="O18" s="174">
        <v>0.01</v>
      </c>
      <c r="P18" s="174">
        <v>0.01</v>
      </c>
      <c r="Q18" s="174">
        <v>0.01</v>
      </c>
      <c r="R18" s="174">
        <v>0.01</v>
      </c>
      <c r="S18" s="174">
        <v>0.01</v>
      </c>
      <c r="T18" s="174">
        <v>0.01</v>
      </c>
      <c r="U18" s="174">
        <v>0.01</v>
      </c>
      <c r="V18" s="174">
        <v>0.01</v>
      </c>
      <c r="W18" s="216"/>
    </row>
    <row r="19" spans="1:23" ht="13.5" thickBot="1">
      <c r="A19" s="161"/>
      <c r="B19" s="162" t="s">
        <v>293</v>
      </c>
      <c r="C19" s="217">
        <f>1-'Ag-Ind-Capacity-Base'!C19</f>
        <v>0.5</v>
      </c>
      <c r="D19" s="217">
        <f>1-'Ag-Ind-Capacity-Base'!D19</f>
        <v>0.5</v>
      </c>
      <c r="E19" s="217">
        <f>1-'Ag-Ind-Capacity-Base'!E19</f>
        <v>0.5</v>
      </c>
      <c r="F19" s="217">
        <f>1-'Ag-Ind-Capacity-Base'!F19</f>
        <v>0.5</v>
      </c>
      <c r="G19" s="217">
        <f>1-'Ag-Ind-Capacity-Base'!G19</f>
        <v>0.5</v>
      </c>
      <c r="H19" s="217">
        <f>1-'Ag-Ind-Capacity-Base'!H19</f>
        <v>0.5</v>
      </c>
      <c r="I19" s="217">
        <f>1-'Ag-Ind-Capacity-Base'!I19</f>
        <v>0.5</v>
      </c>
      <c r="J19" s="217">
        <f>1-'Ag-Ind-Capacity-Base'!J19</f>
        <v>0.5</v>
      </c>
      <c r="K19" s="217">
        <f>1-'Ag-Ind-Capacity-Base'!K19</f>
        <v>0.5</v>
      </c>
      <c r="L19" s="217">
        <f>1-'Ag-Ind-Capacity-Base'!L19</f>
        <v>0.5</v>
      </c>
      <c r="M19" s="217">
        <f>1-'Ag-Ind-Capacity-Base'!M19</f>
        <v>0.5</v>
      </c>
      <c r="N19" s="217">
        <f>1-'Ag-Ind-Capacity-Base'!N19</f>
        <v>0.5</v>
      </c>
      <c r="O19" s="217">
        <f>1-'Ag-Ind-Capacity-Base'!O19</f>
        <v>0.5</v>
      </c>
      <c r="P19" s="217">
        <f>1-'Ag-Ind-Capacity-Base'!P19</f>
        <v>0.5</v>
      </c>
      <c r="Q19" s="217">
        <f>1-'Ag-Ind-Capacity-Base'!Q19</f>
        <v>0.5</v>
      </c>
      <c r="R19" s="217">
        <f>1-'Ag-Ind-Capacity-Base'!R19</f>
        <v>0.5</v>
      </c>
      <c r="S19" s="217">
        <f>1-'Ag-Ind-Capacity-Base'!S19</f>
        <v>0.5</v>
      </c>
      <c r="T19" s="217">
        <f>1-'Ag-Ind-Capacity-Base'!T19</f>
        <v>0.5</v>
      </c>
      <c r="U19" s="217">
        <f>1-'Ag-Ind-Capacity-Base'!U19</f>
        <v>0.5</v>
      </c>
      <c r="V19" s="217">
        <f>1-'Ag-Ind-Capacity-Base'!V19</f>
        <v>0.5</v>
      </c>
      <c r="W19" s="217"/>
    </row>
    <row r="20" spans="1:23" ht="16.5" thickBot="1">
      <c r="A20" s="170"/>
      <c r="B20" s="170"/>
      <c r="C20" s="170"/>
      <c r="D20" s="171"/>
      <c r="E20" s="171"/>
      <c r="F20" s="171"/>
      <c r="G20" s="171"/>
      <c r="H20" s="171"/>
      <c r="I20" s="171"/>
      <c r="J20" s="171"/>
      <c r="K20" s="171"/>
      <c r="L20" s="171"/>
      <c r="M20" s="172"/>
      <c r="N20" s="172"/>
      <c r="O20" s="172"/>
      <c r="P20" s="172"/>
      <c r="Q20" s="172"/>
      <c r="R20" s="172"/>
      <c r="S20" s="172"/>
      <c r="T20" s="172"/>
      <c r="U20" s="172"/>
      <c r="V20" s="172"/>
      <c r="W20" s="172"/>
    </row>
    <row r="21" spans="1:23" ht="15.75">
      <c r="A21" s="151" t="s">
        <v>313</v>
      </c>
      <c r="B21" s="152"/>
      <c r="C21" s="152"/>
      <c r="D21" s="153"/>
      <c r="E21" s="153"/>
      <c r="F21" s="153"/>
      <c r="G21" s="153"/>
      <c r="H21" s="153"/>
      <c r="I21" s="153"/>
      <c r="J21" s="153"/>
      <c r="K21" s="153"/>
      <c r="L21" s="153"/>
      <c r="M21" s="154"/>
      <c r="N21" s="154"/>
      <c r="O21" s="154"/>
      <c r="P21" s="154"/>
      <c r="Q21" s="154"/>
      <c r="R21" s="154"/>
      <c r="S21" s="154"/>
      <c r="T21" s="154"/>
      <c r="U21" s="154"/>
      <c r="V21" s="154"/>
      <c r="W21" s="155"/>
    </row>
    <row r="22" spans="1:23" ht="15.75">
      <c r="A22" s="185"/>
      <c r="B22" s="158" t="s">
        <v>237</v>
      </c>
      <c r="C22" s="173">
        <f>KeyAssumptions!AA12</f>
        <v>0.17499999999999999</v>
      </c>
      <c r="D22" s="163"/>
      <c r="E22" s="163"/>
      <c r="F22" s="163"/>
      <c r="G22" s="163"/>
      <c r="H22" s="163"/>
      <c r="I22" s="163"/>
      <c r="J22" s="163"/>
      <c r="K22" s="163"/>
      <c r="L22" s="163"/>
      <c r="M22" s="164"/>
      <c r="N22" s="164"/>
      <c r="O22" s="164"/>
      <c r="P22" s="164"/>
      <c r="Q22" s="164"/>
      <c r="R22" s="164"/>
      <c r="S22" s="164"/>
      <c r="T22" s="164"/>
      <c r="U22" s="164"/>
      <c r="V22" s="164"/>
      <c r="W22" s="165"/>
    </row>
    <row r="23" spans="1:23" ht="15.75">
      <c r="A23" s="185"/>
      <c r="B23" s="158" t="s">
        <v>203</v>
      </c>
      <c r="C23" s="174">
        <f>KeyAssumptions!AB12</f>
        <v>0.25</v>
      </c>
      <c r="D23" s="163"/>
      <c r="E23" s="163"/>
      <c r="F23" s="163"/>
      <c r="G23" s="163"/>
      <c r="H23" s="163"/>
      <c r="I23" s="163"/>
      <c r="J23" s="163"/>
      <c r="K23" s="163"/>
      <c r="L23" s="163"/>
      <c r="M23" s="164"/>
      <c r="N23" s="164"/>
      <c r="O23" s="164"/>
      <c r="P23" s="164"/>
      <c r="Q23" s="164"/>
      <c r="R23" s="164"/>
      <c r="S23" s="164"/>
      <c r="T23" s="164"/>
      <c r="U23" s="164"/>
      <c r="V23" s="164"/>
      <c r="W23" s="165"/>
    </row>
    <row r="24" spans="1:23" ht="15.75" customHeight="1">
      <c r="A24" s="185"/>
      <c r="B24" s="188" t="s">
        <v>338</v>
      </c>
      <c r="C24" s="174">
        <v>0.95</v>
      </c>
      <c r="D24" s="163"/>
      <c r="E24" s="163"/>
      <c r="F24" s="163"/>
      <c r="G24" s="163"/>
      <c r="H24" s="163"/>
      <c r="I24" s="163"/>
      <c r="J24" s="163"/>
      <c r="K24" s="163"/>
      <c r="L24" s="163"/>
      <c r="M24" s="164"/>
      <c r="N24" s="164"/>
      <c r="O24" s="164"/>
      <c r="P24" s="164"/>
      <c r="Q24" s="164"/>
      <c r="R24" s="164"/>
      <c r="S24" s="164"/>
      <c r="T24" s="164"/>
      <c r="U24" s="164"/>
      <c r="V24" s="164"/>
      <c r="W24" s="165"/>
    </row>
    <row r="25" spans="1:23" ht="15.75">
      <c r="A25" s="185"/>
      <c r="B25" s="157"/>
      <c r="C25" s="157"/>
      <c r="D25" s="163"/>
      <c r="E25" s="163"/>
      <c r="F25" s="163"/>
      <c r="G25" s="163"/>
      <c r="H25" s="163"/>
      <c r="I25" s="163"/>
      <c r="J25" s="163"/>
      <c r="K25" s="163"/>
      <c r="L25" s="163"/>
      <c r="M25" s="164"/>
      <c r="N25" s="164"/>
      <c r="O25" s="164"/>
      <c r="P25" s="164"/>
      <c r="Q25" s="164"/>
      <c r="R25" s="164"/>
      <c r="S25" s="164"/>
      <c r="T25" s="164"/>
      <c r="U25" s="164"/>
      <c r="V25" s="164"/>
      <c r="W25" s="165"/>
    </row>
    <row r="26" spans="1:23">
      <c r="A26" s="156"/>
      <c r="B26" s="158" t="s">
        <v>1</v>
      </c>
      <c r="C26" s="159">
        <f>C15</f>
        <v>2016</v>
      </c>
      <c r="D26" s="159">
        <f t="shared" ref="D26:V26" si="3">D15</f>
        <v>2017</v>
      </c>
      <c r="E26" s="159">
        <f t="shared" si="3"/>
        <v>2018</v>
      </c>
      <c r="F26" s="159">
        <f t="shared" si="3"/>
        <v>2019</v>
      </c>
      <c r="G26" s="159">
        <f t="shared" si="3"/>
        <v>2020</v>
      </c>
      <c r="H26" s="159">
        <f t="shared" si="3"/>
        <v>2021</v>
      </c>
      <c r="I26" s="159">
        <f t="shared" si="3"/>
        <v>2022</v>
      </c>
      <c r="J26" s="159">
        <f t="shared" si="3"/>
        <v>2023</v>
      </c>
      <c r="K26" s="159">
        <f t="shared" si="3"/>
        <v>2024</v>
      </c>
      <c r="L26" s="159">
        <f t="shared" si="3"/>
        <v>2025</v>
      </c>
      <c r="M26" s="159">
        <f t="shared" si="3"/>
        <v>2026</v>
      </c>
      <c r="N26" s="159">
        <f t="shared" si="3"/>
        <v>2027</v>
      </c>
      <c r="O26" s="159">
        <f t="shared" si="3"/>
        <v>2028</v>
      </c>
      <c r="P26" s="159">
        <f t="shared" si="3"/>
        <v>2029</v>
      </c>
      <c r="Q26" s="159">
        <f t="shared" si="3"/>
        <v>2030</v>
      </c>
      <c r="R26" s="159">
        <f t="shared" si="3"/>
        <v>2031</v>
      </c>
      <c r="S26" s="159">
        <f t="shared" si="3"/>
        <v>2032</v>
      </c>
      <c r="T26" s="159">
        <f t="shared" si="3"/>
        <v>2033</v>
      </c>
      <c r="U26" s="159">
        <f t="shared" si="3"/>
        <v>2034</v>
      </c>
      <c r="V26" s="159">
        <f t="shared" si="3"/>
        <v>2035</v>
      </c>
      <c r="W26" s="160"/>
    </row>
    <row r="27" spans="1:23">
      <c r="A27" s="156"/>
      <c r="B27" s="158" t="s">
        <v>227</v>
      </c>
      <c r="C27" s="174">
        <v>0.05</v>
      </c>
      <c r="D27" s="174">
        <v>0.2</v>
      </c>
      <c r="E27" s="174">
        <v>0.2</v>
      </c>
      <c r="F27" s="174">
        <v>0.2</v>
      </c>
      <c r="G27" s="174">
        <v>0.2</v>
      </c>
      <c r="H27" s="174">
        <v>0.15</v>
      </c>
      <c r="I27" s="174">
        <v>0</v>
      </c>
      <c r="J27" s="174">
        <v>0</v>
      </c>
      <c r="K27" s="174">
        <v>0</v>
      </c>
      <c r="L27" s="174">
        <v>0</v>
      </c>
      <c r="M27" s="174">
        <v>0</v>
      </c>
      <c r="N27" s="174">
        <v>0</v>
      </c>
      <c r="O27" s="174">
        <v>0</v>
      </c>
      <c r="P27" s="174">
        <v>0</v>
      </c>
      <c r="Q27" s="174">
        <v>0</v>
      </c>
      <c r="R27" s="174">
        <v>0</v>
      </c>
      <c r="S27" s="174">
        <v>0</v>
      </c>
      <c r="T27" s="174">
        <v>0</v>
      </c>
      <c r="U27" s="174">
        <v>0</v>
      </c>
      <c r="V27" s="174">
        <v>0</v>
      </c>
      <c r="W27" s="216"/>
    </row>
    <row r="28" spans="1:23">
      <c r="A28" s="156"/>
      <c r="B28" s="158" t="s">
        <v>233</v>
      </c>
      <c r="C28" s="174">
        <f>C27</f>
        <v>0.05</v>
      </c>
      <c r="D28" s="174">
        <f>C28+D27</f>
        <v>0.25</v>
      </c>
      <c r="E28" s="174">
        <f t="shared" ref="E28:V28" si="4">D28+E27</f>
        <v>0.45</v>
      </c>
      <c r="F28" s="174">
        <f t="shared" si="4"/>
        <v>0.65</v>
      </c>
      <c r="G28" s="174">
        <f t="shared" si="4"/>
        <v>0.85000000000000009</v>
      </c>
      <c r="H28" s="174">
        <f t="shared" si="4"/>
        <v>1</v>
      </c>
      <c r="I28" s="174">
        <f t="shared" si="4"/>
        <v>1</v>
      </c>
      <c r="J28" s="174">
        <f t="shared" si="4"/>
        <v>1</v>
      </c>
      <c r="K28" s="174">
        <f t="shared" si="4"/>
        <v>1</v>
      </c>
      <c r="L28" s="174">
        <f t="shared" si="4"/>
        <v>1</v>
      </c>
      <c r="M28" s="174">
        <f t="shared" si="4"/>
        <v>1</v>
      </c>
      <c r="N28" s="174">
        <f t="shared" si="4"/>
        <v>1</v>
      </c>
      <c r="O28" s="174">
        <f t="shared" si="4"/>
        <v>1</v>
      </c>
      <c r="P28" s="174">
        <f t="shared" si="4"/>
        <v>1</v>
      </c>
      <c r="Q28" s="174">
        <f t="shared" si="4"/>
        <v>1</v>
      </c>
      <c r="R28" s="174">
        <f t="shared" si="4"/>
        <v>1</v>
      </c>
      <c r="S28" s="174">
        <f t="shared" si="4"/>
        <v>1</v>
      </c>
      <c r="T28" s="174">
        <f t="shared" si="4"/>
        <v>1</v>
      </c>
      <c r="U28" s="174">
        <f t="shared" si="4"/>
        <v>1</v>
      </c>
      <c r="V28" s="174">
        <f t="shared" si="4"/>
        <v>1</v>
      </c>
      <c r="W28" s="216"/>
    </row>
    <row r="29" spans="1:23">
      <c r="A29" s="156"/>
      <c r="B29" s="158" t="s">
        <v>228</v>
      </c>
      <c r="C29" s="174">
        <v>0.01</v>
      </c>
      <c r="D29" s="174">
        <v>0.01</v>
      </c>
      <c r="E29" s="174">
        <v>0.01</v>
      </c>
      <c r="F29" s="174">
        <v>0.01</v>
      </c>
      <c r="G29" s="174">
        <v>0.01</v>
      </c>
      <c r="H29" s="174">
        <v>0.01</v>
      </c>
      <c r="I29" s="174">
        <v>0.01</v>
      </c>
      <c r="J29" s="174">
        <v>0.01</v>
      </c>
      <c r="K29" s="174">
        <v>0.01</v>
      </c>
      <c r="L29" s="174">
        <v>0.01</v>
      </c>
      <c r="M29" s="174">
        <v>0.01</v>
      </c>
      <c r="N29" s="174">
        <v>0.01</v>
      </c>
      <c r="O29" s="174">
        <v>0.01</v>
      </c>
      <c r="P29" s="174">
        <v>0.01</v>
      </c>
      <c r="Q29" s="174">
        <v>0.01</v>
      </c>
      <c r="R29" s="174">
        <v>0.01</v>
      </c>
      <c r="S29" s="174">
        <v>0.01</v>
      </c>
      <c r="T29" s="174">
        <v>0.01</v>
      </c>
      <c r="U29" s="174">
        <v>0.01</v>
      </c>
      <c r="V29" s="174">
        <v>0.01</v>
      </c>
      <c r="W29" s="216"/>
    </row>
    <row r="30" spans="1:23" ht="13.5" thickBot="1">
      <c r="A30" s="161"/>
      <c r="B30" s="162" t="s">
        <v>293</v>
      </c>
      <c r="C30" s="217">
        <f>1-'Ag-Ind-Capacity-Base'!C30</f>
        <v>0.8</v>
      </c>
      <c r="D30" s="217">
        <f>1-'Ag-Ind-Capacity-Base'!D30</f>
        <v>0.8</v>
      </c>
      <c r="E30" s="217">
        <f>1-'Ag-Ind-Capacity-Base'!E30</f>
        <v>0.8</v>
      </c>
      <c r="F30" s="217">
        <f>1-'Ag-Ind-Capacity-Base'!F30</f>
        <v>0.8</v>
      </c>
      <c r="G30" s="217">
        <f>1-'Ag-Ind-Capacity-Base'!G30</f>
        <v>0.8</v>
      </c>
      <c r="H30" s="217">
        <f>1-'Ag-Ind-Capacity-Base'!H30</f>
        <v>0.8</v>
      </c>
      <c r="I30" s="217">
        <f>1-'Ag-Ind-Capacity-Base'!I30</f>
        <v>0.8</v>
      </c>
      <c r="J30" s="217">
        <f>1-'Ag-Ind-Capacity-Base'!J30</f>
        <v>0.8</v>
      </c>
      <c r="K30" s="217">
        <f>1-'Ag-Ind-Capacity-Base'!K30</f>
        <v>0.8</v>
      </c>
      <c r="L30" s="217">
        <f>1-'Ag-Ind-Capacity-Base'!L30</f>
        <v>0.8</v>
      </c>
      <c r="M30" s="217">
        <f>1-'Ag-Ind-Capacity-Base'!M30</f>
        <v>0.8</v>
      </c>
      <c r="N30" s="217">
        <f>1-'Ag-Ind-Capacity-Base'!N30</f>
        <v>0.8</v>
      </c>
      <c r="O30" s="217">
        <f>1-'Ag-Ind-Capacity-Base'!O30</f>
        <v>0.8</v>
      </c>
      <c r="P30" s="217">
        <f>1-'Ag-Ind-Capacity-Base'!P30</f>
        <v>0.8</v>
      </c>
      <c r="Q30" s="217">
        <f>1-'Ag-Ind-Capacity-Base'!Q30</f>
        <v>0.8</v>
      </c>
      <c r="R30" s="217">
        <f>1-'Ag-Ind-Capacity-Base'!R30</f>
        <v>0.8</v>
      </c>
      <c r="S30" s="217">
        <f>1-'Ag-Ind-Capacity-Base'!S30</f>
        <v>0.8</v>
      </c>
      <c r="T30" s="217">
        <f>1-'Ag-Ind-Capacity-Base'!T30</f>
        <v>0.8</v>
      </c>
      <c r="U30" s="217">
        <f>1-'Ag-Ind-Capacity-Base'!U30</f>
        <v>0.8</v>
      </c>
      <c r="V30" s="217">
        <f>1-'Ag-Ind-Capacity-Base'!V30</f>
        <v>0.8</v>
      </c>
      <c r="W30" s="217"/>
    </row>
    <row r="31" spans="1:23" ht="13.5" thickBot="1">
      <c r="A31" s="177"/>
      <c r="B31" s="177"/>
      <c r="C31" s="172"/>
      <c r="D31" s="172"/>
      <c r="E31" s="172"/>
      <c r="F31" s="172"/>
      <c r="G31" s="172"/>
      <c r="H31" s="172"/>
      <c r="I31" s="172"/>
      <c r="J31" s="172"/>
      <c r="K31" s="172"/>
      <c r="L31" s="172"/>
      <c r="M31" s="172"/>
      <c r="N31" s="172"/>
      <c r="O31" s="172"/>
      <c r="P31" s="172"/>
      <c r="Q31" s="172"/>
      <c r="R31" s="172"/>
      <c r="S31" s="172"/>
      <c r="T31" s="172"/>
      <c r="U31" s="172"/>
      <c r="V31" s="172"/>
      <c r="W31" s="172"/>
    </row>
    <row r="32" spans="1:23" ht="15.75">
      <c r="A32" s="151" t="s">
        <v>317</v>
      </c>
      <c r="B32" s="152"/>
      <c r="C32" s="152"/>
      <c r="D32" s="153"/>
      <c r="E32" s="153"/>
      <c r="F32" s="153"/>
      <c r="G32" s="153"/>
      <c r="H32" s="153"/>
      <c r="I32" s="153"/>
      <c r="J32" s="153"/>
      <c r="K32" s="153"/>
      <c r="L32" s="153"/>
      <c r="M32" s="154"/>
      <c r="N32" s="154"/>
      <c r="O32" s="154"/>
      <c r="P32" s="154"/>
      <c r="Q32" s="154"/>
      <c r="R32" s="154"/>
      <c r="S32" s="154"/>
      <c r="T32" s="154"/>
      <c r="U32" s="154"/>
      <c r="V32" s="154"/>
      <c r="W32" s="155"/>
    </row>
    <row r="33" spans="1:23" ht="15.75">
      <c r="A33" s="185"/>
      <c r="B33" s="158" t="s">
        <v>237</v>
      </c>
      <c r="C33" s="173">
        <f>KeyAssumptions!AA13</f>
        <v>0.17499999999999999</v>
      </c>
      <c r="D33" s="163"/>
      <c r="E33" s="163"/>
      <c r="F33" s="163"/>
      <c r="G33" s="163"/>
      <c r="H33" s="163"/>
      <c r="I33" s="163"/>
      <c r="J33" s="163"/>
      <c r="K33" s="163"/>
      <c r="L33" s="163"/>
      <c r="M33" s="164"/>
      <c r="N33" s="164"/>
      <c r="O33" s="164"/>
      <c r="P33" s="164"/>
      <c r="Q33" s="164"/>
      <c r="R33" s="164"/>
      <c r="S33" s="164"/>
      <c r="T33" s="164"/>
      <c r="U33" s="164"/>
      <c r="V33" s="164"/>
      <c r="W33" s="165"/>
    </row>
    <row r="34" spans="1:23" ht="15.75">
      <c r="A34" s="185"/>
      <c r="B34" s="158" t="s">
        <v>203</v>
      </c>
      <c r="C34" s="174">
        <f>KeyAssumptions!AB13</f>
        <v>0.25</v>
      </c>
      <c r="D34" s="163"/>
      <c r="E34" s="163"/>
      <c r="F34" s="163"/>
      <c r="G34" s="163"/>
      <c r="H34" s="163"/>
      <c r="I34" s="163"/>
      <c r="J34" s="163"/>
      <c r="K34" s="163"/>
      <c r="L34" s="163"/>
      <c r="M34" s="164"/>
      <c r="N34" s="164"/>
      <c r="O34" s="164"/>
      <c r="P34" s="164"/>
      <c r="Q34" s="164"/>
      <c r="R34" s="164"/>
      <c r="S34" s="164"/>
      <c r="T34" s="164"/>
      <c r="U34" s="164"/>
      <c r="V34" s="164"/>
      <c r="W34" s="165"/>
    </row>
    <row r="35" spans="1:23" ht="15.75" customHeight="1">
      <c r="A35" s="185"/>
      <c r="B35" s="188" t="s">
        <v>338</v>
      </c>
      <c r="C35" s="174">
        <v>0.95</v>
      </c>
      <c r="D35" s="163"/>
      <c r="E35" s="163"/>
      <c r="F35" s="163"/>
      <c r="G35" s="163"/>
      <c r="H35" s="163"/>
      <c r="I35" s="163"/>
      <c r="J35" s="163"/>
      <c r="K35" s="163"/>
      <c r="L35" s="163"/>
      <c r="M35" s="164"/>
      <c r="N35" s="164"/>
      <c r="O35" s="164"/>
      <c r="P35" s="164"/>
      <c r="Q35" s="164"/>
      <c r="R35" s="164"/>
      <c r="S35" s="164"/>
      <c r="T35" s="164"/>
      <c r="U35" s="164"/>
      <c r="V35" s="164"/>
      <c r="W35" s="165"/>
    </row>
    <row r="36" spans="1:23" ht="15.75">
      <c r="A36" s="185"/>
      <c r="B36" s="157"/>
      <c r="C36" s="157"/>
      <c r="D36" s="163"/>
      <c r="E36" s="163"/>
      <c r="F36" s="163"/>
      <c r="G36" s="163"/>
      <c r="H36" s="163"/>
      <c r="I36" s="163"/>
      <c r="J36" s="163"/>
      <c r="K36" s="163"/>
      <c r="L36" s="163"/>
      <c r="M36" s="164"/>
      <c r="N36" s="164"/>
      <c r="O36" s="164"/>
      <c r="P36" s="164"/>
      <c r="Q36" s="164"/>
      <c r="R36" s="164"/>
      <c r="S36" s="164"/>
      <c r="T36" s="164"/>
      <c r="U36" s="164"/>
      <c r="V36" s="164"/>
      <c r="W36" s="165"/>
    </row>
    <row r="37" spans="1:23">
      <c r="A37" s="156"/>
      <c r="B37" s="158" t="s">
        <v>1</v>
      </c>
      <c r="C37" s="159">
        <f>C26</f>
        <v>2016</v>
      </c>
      <c r="D37" s="159">
        <f t="shared" ref="D37:V37" si="5">D26</f>
        <v>2017</v>
      </c>
      <c r="E37" s="159">
        <f t="shared" si="5"/>
        <v>2018</v>
      </c>
      <c r="F37" s="159">
        <f t="shared" si="5"/>
        <v>2019</v>
      </c>
      <c r="G37" s="159">
        <f t="shared" si="5"/>
        <v>2020</v>
      </c>
      <c r="H37" s="159">
        <f t="shared" si="5"/>
        <v>2021</v>
      </c>
      <c r="I37" s="159">
        <f t="shared" si="5"/>
        <v>2022</v>
      </c>
      <c r="J37" s="159">
        <f t="shared" si="5"/>
        <v>2023</v>
      </c>
      <c r="K37" s="159">
        <f t="shared" si="5"/>
        <v>2024</v>
      </c>
      <c r="L37" s="159">
        <f t="shared" si="5"/>
        <v>2025</v>
      </c>
      <c r="M37" s="159">
        <f t="shared" si="5"/>
        <v>2026</v>
      </c>
      <c r="N37" s="159">
        <f t="shared" si="5"/>
        <v>2027</v>
      </c>
      <c r="O37" s="159">
        <f t="shared" si="5"/>
        <v>2028</v>
      </c>
      <c r="P37" s="159">
        <f t="shared" si="5"/>
        <v>2029</v>
      </c>
      <c r="Q37" s="159">
        <f t="shared" si="5"/>
        <v>2030</v>
      </c>
      <c r="R37" s="159">
        <f t="shared" si="5"/>
        <v>2031</v>
      </c>
      <c r="S37" s="159">
        <f t="shared" si="5"/>
        <v>2032</v>
      </c>
      <c r="T37" s="159">
        <f t="shared" si="5"/>
        <v>2033</v>
      </c>
      <c r="U37" s="159">
        <f t="shared" si="5"/>
        <v>2034</v>
      </c>
      <c r="V37" s="159">
        <f t="shared" si="5"/>
        <v>2035</v>
      </c>
      <c r="W37" s="160"/>
    </row>
    <row r="38" spans="1:23">
      <c r="A38" s="156"/>
      <c r="B38" s="158" t="s">
        <v>227</v>
      </c>
      <c r="C38" s="174">
        <v>0.05</v>
      </c>
      <c r="D38" s="174">
        <v>0.2</v>
      </c>
      <c r="E38" s="174">
        <v>0.2</v>
      </c>
      <c r="F38" s="174">
        <v>0.2</v>
      </c>
      <c r="G38" s="174">
        <v>0.2</v>
      </c>
      <c r="H38" s="174">
        <v>0.15</v>
      </c>
      <c r="I38" s="174">
        <v>0</v>
      </c>
      <c r="J38" s="174">
        <v>0</v>
      </c>
      <c r="K38" s="174">
        <v>0</v>
      </c>
      <c r="L38" s="174">
        <v>0</v>
      </c>
      <c r="M38" s="174">
        <v>0</v>
      </c>
      <c r="N38" s="174">
        <v>0</v>
      </c>
      <c r="O38" s="174">
        <v>0</v>
      </c>
      <c r="P38" s="174">
        <v>0</v>
      </c>
      <c r="Q38" s="174">
        <v>0</v>
      </c>
      <c r="R38" s="174">
        <v>0</v>
      </c>
      <c r="S38" s="174">
        <v>0</v>
      </c>
      <c r="T38" s="174">
        <v>0</v>
      </c>
      <c r="U38" s="174">
        <v>0</v>
      </c>
      <c r="V38" s="174">
        <v>0</v>
      </c>
      <c r="W38" s="216"/>
    </row>
    <row r="39" spans="1:23">
      <c r="A39" s="156"/>
      <c r="B39" s="158" t="s">
        <v>233</v>
      </c>
      <c r="C39" s="174">
        <f>C38</f>
        <v>0.05</v>
      </c>
      <c r="D39" s="174">
        <f>C39+D38</f>
        <v>0.25</v>
      </c>
      <c r="E39" s="174">
        <f t="shared" ref="E39:V39" si="6">D39+E38</f>
        <v>0.45</v>
      </c>
      <c r="F39" s="174">
        <f t="shared" si="6"/>
        <v>0.65</v>
      </c>
      <c r="G39" s="174">
        <f t="shared" si="6"/>
        <v>0.85000000000000009</v>
      </c>
      <c r="H39" s="174">
        <f t="shared" si="6"/>
        <v>1</v>
      </c>
      <c r="I39" s="174">
        <f t="shared" si="6"/>
        <v>1</v>
      </c>
      <c r="J39" s="174">
        <f t="shared" si="6"/>
        <v>1</v>
      </c>
      <c r="K39" s="174">
        <f t="shared" si="6"/>
        <v>1</v>
      </c>
      <c r="L39" s="174">
        <f t="shared" si="6"/>
        <v>1</v>
      </c>
      <c r="M39" s="174">
        <f t="shared" si="6"/>
        <v>1</v>
      </c>
      <c r="N39" s="174">
        <f t="shared" si="6"/>
        <v>1</v>
      </c>
      <c r="O39" s="174">
        <f t="shared" si="6"/>
        <v>1</v>
      </c>
      <c r="P39" s="174">
        <f t="shared" si="6"/>
        <v>1</v>
      </c>
      <c r="Q39" s="174">
        <f t="shared" si="6"/>
        <v>1</v>
      </c>
      <c r="R39" s="174">
        <f t="shared" si="6"/>
        <v>1</v>
      </c>
      <c r="S39" s="174">
        <f t="shared" si="6"/>
        <v>1</v>
      </c>
      <c r="T39" s="174">
        <f t="shared" si="6"/>
        <v>1</v>
      </c>
      <c r="U39" s="174">
        <f t="shared" si="6"/>
        <v>1</v>
      </c>
      <c r="V39" s="174">
        <f t="shared" si="6"/>
        <v>1</v>
      </c>
      <c r="W39" s="216"/>
    </row>
    <row r="40" spans="1:23">
      <c r="A40" s="156"/>
      <c r="B40" s="158" t="s">
        <v>228</v>
      </c>
      <c r="C40" s="174">
        <v>0.01</v>
      </c>
      <c r="D40" s="174">
        <v>0.01</v>
      </c>
      <c r="E40" s="174">
        <v>0.01</v>
      </c>
      <c r="F40" s="174">
        <v>0.01</v>
      </c>
      <c r="G40" s="174">
        <v>0.01</v>
      </c>
      <c r="H40" s="174">
        <v>0.01</v>
      </c>
      <c r="I40" s="174">
        <v>0.01</v>
      </c>
      <c r="J40" s="174">
        <v>0.01</v>
      </c>
      <c r="K40" s="174">
        <v>0.01</v>
      </c>
      <c r="L40" s="174">
        <v>0.01</v>
      </c>
      <c r="M40" s="174">
        <v>0.01</v>
      </c>
      <c r="N40" s="174">
        <v>0.01</v>
      </c>
      <c r="O40" s="174">
        <v>0.01</v>
      </c>
      <c r="P40" s="174">
        <v>0.01</v>
      </c>
      <c r="Q40" s="174">
        <v>0.01</v>
      </c>
      <c r="R40" s="174">
        <v>0.01</v>
      </c>
      <c r="S40" s="174">
        <v>0.01</v>
      </c>
      <c r="T40" s="174">
        <v>0.01</v>
      </c>
      <c r="U40" s="174">
        <v>0.01</v>
      </c>
      <c r="V40" s="174">
        <v>0.01</v>
      </c>
      <c r="W40" s="216"/>
    </row>
    <row r="41" spans="1:23" ht="13.5" thickBot="1">
      <c r="A41" s="161"/>
      <c r="B41" s="162" t="s">
        <v>293</v>
      </c>
      <c r="C41" s="217">
        <v>1</v>
      </c>
      <c r="D41" s="217">
        <v>1</v>
      </c>
      <c r="E41" s="217">
        <v>1</v>
      </c>
      <c r="F41" s="217">
        <v>1</v>
      </c>
      <c r="G41" s="217">
        <v>1</v>
      </c>
      <c r="H41" s="217">
        <v>1</v>
      </c>
      <c r="I41" s="217">
        <v>1</v>
      </c>
      <c r="J41" s="217">
        <v>1</v>
      </c>
      <c r="K41" s="217">
        <v>1</v>
      </c>
      <c r="L41" s="217">
        <v>1</v>
      </c>
      <c r="M41" s="217">
        <v>1</v>
      </c>
      <c r="N41" s="217">
        <v>1</v>
      </c>
      <c r="O41" s="217">
        <v>1</v>
      </c>
      <c r="P41" s="217">
        <v>1</v>
      </c>
      <c r="Q41" s="217">
        <v>1</v>
      </c>
      <c r="R41" s="217">
        <v>1</v>
      </c>
      <c r="S41" s="217">
        <v>1</v>
      </c>
      <c r="T41" s="217">
        <v>1</v>
      </c>
      <c r="U41" s="217">
        <v>1</v>
      </c>
      <c r="V41" s="217">
        <v>1</v>
      </c>
      <c r="W41" s="217"/>
    </row>
    <row r="42" spans="1:23" ht="13.5" thickBot="1">
      <c r="A42" s="177"/>
      <c r="B42" s="177"/>
      <c r="C42" s="172"/>
      <c r="D42" s="172"/>
      <c r="E42" s="172"/>
      <c r="F42" s="172"/>
      <c r="G42" s="172"/>
      <c r="H42" s="172"/>
      <c r="I42" s="172"/>
      <c r="J42" s="172"/>
      <c r="K42" s="172"/>
      <c r="L42" s="172"/>
      <c r="M42" s="172"/>
      <c r="N42" s="172"/>
      <c r="O42" s="172"/>
      <c r="P42" s="172"/>
      <c r="Q42" s="172"/>
      <c r="R42" s="172"/>
      <c r="S42" s="172"/>
      <c r="T42" s="172"/>
      <c r="U42" s="172"/>
      <c r="V42" s="172"/>
      <c r="W42" s="172"/>
    </row>
    <row r="43" spans="1:23" ht="16.5" thickBot="1">
      <c r="A43" s="151" t="s">
        <v>318</v>
      </c>
      <c r="B43" s="152"/>
      <c r="C43" s="152"/>
      <c r="D43" s="153" t="s">
        <v>470</v>
      </c>
      <c r="E43" s="153" t="s">
        <v>489</v>
      </c>
      <c r="F43" s="153"/>
      <c r="G43" s="153"/>
      <c r="H43" s="153"/>
      <c r="I43" s="153"/>
      <c r="J43" s="153"/>
      <c r="K43" s="153"/>
      <c r="L43" s="153"/>
      <c r="M43" s="154"/>
      <c r="N43" s="154"/>
      <c r="O43" s="154"/>
      <c r="P43" s="154"/>
      <c r="Q43" s="154"/>
      <c r="R43" s="154"/>
      <c r="S43" s="154"/>
      <c r="T43" s="154"/>
      <c r="U43" s="154"/>
      <c r="V43" s="154"/>
      <c r="W43" s="155"/>
    </row>
    <row r="44" spans="1:23" ht="16.5" thickBot="1">
      <c r="A44" s="185"/>
      <c r="B44" s="158" t="s">
        <v>237</v>
      </c>
      <c r="C44" s="173">
        <f>IF('Ag-Ind-Capacity-Smart'!$F$44=1,'Ag-Ind-Capacity-Smart'!$D$44,'Ag-Ind-Capacity-Smart'!$E$44)</f>
        <v>6.4000000000000001E-2</v>
      </c>
      <c r="D44" s="163">
        <v>0.17499999999999999</v>
      </c>
      <c r="E44" s="163">
        <v>6.4000000000000001E-2</v>
      </c>
      <c r="F44" s="368">
        <v>0</v>
      </c>
      <c r="G44" s="377" t="s">
        <v>490</v>
      </c>
      <c r="H44" s="378"/>
      <c r="I44" s="378"/>
      <c r="J44" s="378"/>
      <c r="K44" s="378"/>
      <c r="L44" s="378"/>
      <c r="M44" s="164"/>
      <c r="N44" s="164"/>
      <c r="O44" s="164"/>
      <c r="P44" s="164"/>
      <c r="Q44" s="164"/>
      <c r="R44" s="164"/>
      <c r="S44" s="164"/>
      <c r="T44" s="164"/>
      <c r="U44" s="164"/>
      <c r="V44" s="164"/>
      <c r="W44" s="165"/>
    </row>
    <row r="45" spans="1:23" ht="15.75">
      <c r="A45" s="185"/>
      <c r="B45" s="158" t="s">
        <v>203</v>
      </c>
      <c r="C45" s="174">
        <f>KeyAssumptions!AB14</f>
        <v>0.2</v>
      </c>
      <c r="D45" s="163"/>
      <c r="E45" s="163"/>
      <c r="F45" s="163"/>
      <c r="G45" s="379" t="s">
        <v>491</v>
      </c>
      <c r="H45" s="163"/>
      <c r="I45" s="163"/>
      <c r="J45" s="163"/>
      <c r="K45" s="163"/>
      <c r="L45" s="163"/>
      <c r="M45" s="164"/>
      <c r="N45" s="164"/>
      <c r="O45" s="164"/>
      <c r="P45" s="164"/>
      <c r="Q45" s="164"/>
      <c r="R45" s="164"/>
      <c r="S45" s="164"/>
      <c r="T45" s="164"/>
      <c r="U45" s="164"/>
      <c r="V45" s="164"/>
      <c r="W45" s="165"/>
    </row>
    <row r="46" spans="1:23" ht="15.75" customHeight="1">
      <c r="A46" s="185"/>
      <c r="B46" s="188" t="s">
        <v>338</v>
      </c>
      <c r="C46" s="174">
        <v>0.95</v>
      </c>
      <c r="D46" s="163"/>
      <c r="E46" s="163"/>
      <c r="F46" s="163"/>
      <c r="G46" s="163"/>
      <c r="H46" s="163"/>
      <c r="I46" s="163"/>
      <c r="J46" s="163"/>
      <c r="K46" s="163"/>
      <c r="L46" s="163"/>
      <c r="M46" s="164"/>
      <c r="N46" s="164"/>
      <c r="O46" s="164"/>
      <c r="P46" s="164"/>
      <c r="Q46" s="164"/>
      <c r="R46" s="164"/>
      <c r="S46" s="164"/>
      <c r="T46" s="164"/>
      <c r="U46" s="164"/>
      <c r="V46" s="164"/>
      <c r="W46" s="165"/>
    </row>
    <row r="47" spans="1:23" ht="15.75">
      <c r="A47" s="185"/>
      <c r="B47" s="157"/>
      <c r="C47" s="157"/>
      <c r="D47" s="163"/>
      <c r="E47" s="163"/>
      <c r="F47" s="163"/>
      <c r="G47" s="163"/>
      <c r="H47" s="163"/>
      <c r="I47" s="163"/>
      <c r="J47" s="163"/>
      <c r="K47" s="163"/>
      <c r="L47" s="163"/>
      <c r="M47" s="164"/>
      <c r="N47" s="164"/>
      <c r="O47" s="164"/>
      <c r="P47" s="164"/>
      <c r="Q47" s="164"/>
      <c r="R47" s="164"/>
      <c r="S47" s="164"/>
      <c r="T47" s="164"/>
      <c r="U47" s="164"/>
      <c r="V47" s="164"/>
      <c r="W47" s="165"/>
    </row>
    <row r="48" spans="1:23">
      <c r="A48" s="156"/>
      <c r="B48" s="158" t="s">
        <v>1</v>
      </c>
      <c r="C48" s="159">
        <f>C37</f>
        <v>2016</v>
      </c>
      <c r="D48" s="159">
        <f t="shared" ref="D48:V48" si="7">D37</f>
        <v>2017</v>
      </c>
      <c r="E48" s="159">
        <f t="shared" si="7"/>
        <v>2018</v>
      </c>
      <c r="F48" s="159">
        <f t="shared" si="7"/>
        <v>2019</v>
      </c>
      <c r="G48" s="159">
        <f t="shared" si="7"/>
        <v>2020</v>
      </c>
      <c r="H48" s="159">
        <f t="shared" si="7"/>
        <v>2021</v>
      </c>
      <c r="I48" s="159">
        <f t="shared" si="7"/>
        <v>2022</v>
      </c>
      <c r="J48" s="159">
        <f t="shared" si="7"/>
        <v>2023</v>
      </c>
      <c r="K48" s="159">
        <f t="shared" si="7"/>
        <v>2024</v>
      </c>
      <c r="L48" s="159">
        <f t="shared" si="7"/>
        <v>2025</v>
      </c>
      <c r="M48" s="159">
        <f t="shared" si="7"/>
        <v>2026</v>
      </c>
      <c r="N48" s="159">
        <f t="shared" si="7"/>
        <v>2027</v>
      </c>
      <c r="O48" s="159">
        <f t="shared" si="7"/>
        <v>2028</v>
      </c>
      <c r="P48" s="159">
        <f t="shared" si="7"/>
        <v>2029</v>
      </c>
      <c r="Q48" s="159">
        <f t="shared" si="7"/>
        <v>2030</v>
      </c>
      <c r="R48" s="159">
        <f t="shared" si="7"/>
        <v>2031</v>
      </c>
      <c r="S48" s="159">
        <f t="shared" si="7"/>
        <v>2032</v>
      </c>
      <c r="T48" s="159">
        <f t="shared" si="7"/>
        <v>2033</v>
      </c>
      <c r="U48" s="159">
        <f t="shared" si="7"/>
        <v>2034</v>
      </c>
      <c r="V48" s="159">
        <f t="shared" si="7"/>
        <v>2035</v>
      </c>
      <c r="W48" s="160"/>
    </row>
    <row r="49" spans="1:23">
      <c r="A49" s="156"/>
      <c r="B49" s="158" t="s">
        <v>227</v>
      </c>
      <c r="C49" s="174">
        <v>0.05</v>
      </c>
      <c r="D49" s="174">
        <v>0.2</v>
      </c>
      <c r="E49" s="174">
        <v>0.2</v>
      </c>
      <c r="F49" s="174">
        <v>0.2</v>
      </c>
      <c r="G49" s="174">
        <v>0.2</v>
      </c>
      <c r="H49" s="174">
        <v>0.15</v>
      </c>
      <c r="I49" s="174">
        <v>0</v>
      </c>
      <c r="J49" s="174">
        <v>0</v>
      </c>
      <c r="K49" s="174">
        <v>0</v>
      </c>
      <c r="L49" s="174">
        <v>0</v>
      </c>
      <c r="M49" s="174">
        <v>0</v>
      </c>
      <c r="N49" s="174">
        <v>0</v>
      </c>
      <c r="O49" s="174">
        <v>0</v>
      </c>
      <c r="P49" s="174">
        <v>0</v>
      </c>
      <c r="Q49" s="174">
        <v>0</v>
      </c>
      <c r="R49" s="174">
        <v>0</v>
      </c>
      <c r="S49" s="174">
        <v>0</v>
      </c>
      <c r="T49" s="174">
        <v>0</v>
      </c>
      <c r="U49" s="174">
        <v>0</v>
      </c>
      <c r="V49" s="174">
        <v>0</v>
      </c>
      <c r="W49" s="216"/>
    </row>
    <row r="50" spans="1:23">
      <c r="A50" s="156"/>
      <c r="B50" s="158" t="s">
        <v>233</v>
      </c>
      <c r="C50" s="174">
        <f>C49</f>
        <v>0.05</v>
      </c>
      <c r="D50" s="174">
        <f>C50+D49</f>
        <v>0.25</v>
      </c>
      <c r="E50" s="174">
        <f t="shared" ref="E50" si="8">D50+E49</f>
        <v>0.45</v>
      </c>
      <c r="F50" s="174">
        <f t="shared" ref="F50" si="9">E50+F49</f>
        <v>0.65</v>
      </c>
      <c r="G50" s="174">
        <f t="shared" ref="G50" si="10">F50+G49</f>
        <v>0.85000000000000009</v>
      </c>
      <c r="H50" s="174">
        <f t="shared" ref="H50" si="11">G50+H49</f>
        <v>1</v>
      </c>
      <c r="I50" s="174">
        <f t="shared" ref="I50" si="12">H50+I49</f>
        <v>1</v>
      </c>
      <c r="J50" s="174">
        <f t="shared" ref="J50" si="13">I50+J49</f>
        <v>1</v>
      </c>
      <c r="K50" s="174">
        <f t="shared" ref="K50" si="14">J50+K49</f>
        <v>1</v>
      </c>
      <c r="L50" s="174">
        <f t="shared" ref="L50" si="15">K50+L49</f>
        <v>1</v>
      </c>
      <c r="M50" s="174">
        <f t="shared" ref="M50" si="16">L50+M49</f>
        <v>1</v>
      </c>
      <c r="N50" s="174">
        <f t="shared" ref="N50" si="17">M50+N49</f>
        <v>1</v>
      </c>
      <c r="O50" s="174">
        <f t="shared" ref="O50" si="18">N50+O49</f>
        <v>1</v>
      </c>
      <c r="P50" s="174">
        <f t="shared" ref="P50" si="19">O50+P49</f>
        <v>1</v>
      </c>
      <c r="Q50" s="174">
        <f t="shared" ref="Q50" si="20">P50+Q49</f>
        <v>1</v>
      </c>
      <c r="R50" s="174">
        <f t="shared" ref="R50" si="21">Q50+R49</f>
        <v>1</v>
      </c>
      <c r="S50" s="174">
        <f t="shared" ref="S50" si="22">R50+S49</f>
        <v>1</v>
      </c>
      <c r="T50" s="174">
        <f t="shared" ref="T50" si="23">S50+T49</f>
        <v>1</v>
      </c>
      <c r="U50" s="174">
        <f t="shared" ref="U50" si="24">T50+U49</f>
        <v>1</v>
      </c>
      <c r="V50" s="174">
        <f t="shared" ref="V50" si="25">U50+V49</f>
        <v>1</v>
      </c>
      <c r="W50" s="216"/>
    </row>
    <row r="51" spans="1:23">
      <c r="A51" s="156"/>
      <c r="B51" s="158" t="s">
        <v>228</v>
      </c>
      <c r="C51" s="174">
        <v>0.01</v>
      </c>
      <c r="D51" s="174">
        <v>0.01</v>
      </c>
      <c r="E51" s="174">
        <v>0.01</v>
      </c>
      <c r="F51" s="174">
        <v>0.01</v>
      </c>
      <c r="G51" s="174">
        <v>0.01</v>
      </c>
      <c r="H51" s="174">
        <v>0.01</v>
      </c>
      <c r="I51" s="174">
        <v>0.01</v>
      </c>
      <c r="J51" s="174">
        <v>0.01</v>
      </c>
      <c r="K51" s="174">
        <v>0.01</v>
      </c>
      <c r="L51" s="174">
        <v>0.01</v>
      </c>
      <c r="M51" s="174">
        <v>0.01</v>
      </c>
      <c r="N51" s="174">
        <v>0.01</v>
      </c>
      <c r="O51" s="174">
        <v>0.01</v>
      </c>
      <c r="P51" s="174">
        <v>0.01</v>
      </c>
      <c r="Q51" s="174">
        <v>0.01</v>
      </c>
      <c r="R51" s="174">
        <v>0.01</v>
      </c>
      <c r="S51" s="174">
        <v>0.01</v>
      </c>
      <c r="T51" s="174">
        <v>0.01</v>
      </c>
      <c r="U51" s="174">
        <v>0.01</v>
      </c>
      <c r="V51" s="174">
        <v>0.01</v>
      </c>
      <c r="W51" s="216"/>
    </row>
    <row r="52" spans="1:23" ht="13.5" thickBot="1">
      <c r="A52" s="161"/>
      <c r="B52" s="162" t="s">
        <v>293</v>
      </c>
      <c r="C52" s="217">
        <v>1</v>
      </c>
      <c r="D52" s="217">
        <v>1</v>
      </c>
      <c r="E52" s="217">
        <v>1</v>
      </c>
      <c r="F52" s="217">
        <v>1</v>
      </c>
      <c r="G52" s="217">
        <v>1</v>
      </c>
      <c r="H52" s="217">
        <v>1</v>
      </c>
      <c r="I52" s="217">
        <v>1</v>
      </c>
      <c r="J52" s="217">
        <v>1</v>
      </c>
      <c r="K52" s="217">
        <v>1</v>
      </c>
      <c r="L52" s="217">
        <v>1</v>
      </c>
      <c r="M52" s="217">
        <v>1</v>
      </c>
      <c r="N52" s="217">
        <v>1</v>
      </c>
      <c r="O52" s="217">
        <v>1</v>
      </c>
      <c r="P52" s="217">
        <v>1</v>
      </c>
      <c r="Q52" s="217">
        <v>1</v>
      </c>
      <c r="R52" s="217">
        <v>1</v>
      </c>
      <c r="S52" s="217">
        <v>1</v>
      </c>
      <c r="T52" s="217">
        <v>1</v>
      </c>
      <c r="U52" s="217">
        <v>1</v>
      </c>
      <c r="V52" s="217">
        <v>1</v>
      </c>
      <c r="W52" s="217"/>
    </row>
    <row r="53" spans="1:23" ht="13.5" thickBot="1">
      <c r="A53" s="177"/>
      <c r="B53" s="177"/>
      <c r="C53" s="172"/>
      <c r="D53" s="172"/>
      <c r="E53" s="172"/>
      <c r="F53" s="172"/>
      <c r="G53" s="172"/>
      <c r="H53" s="172"/>
      <c r="I53" s="172"/>
      <c r="J53" s="172"/>
      <c r="K53" s="172"/>
      <c r="L53" s="172"/>
      <c r="M53" s="172"/>
      <c r="N53" s="172"/>
      <c r="O53" s="172"/>
      <c r="P53" s="172"/>
      <c r="Q53" s="172"/>
      <c r="R53" s="172"/>
      <c r="S53" s="172"/>
      <c r="T53" s="172"/>
      <c r="U53" s="172"/>
      <c r="V53" s="172"/>
      <c r="W53" s="172"/>
    </row>
    <row r="54" spans="1:23" ht="15.75" thickBot="1">
      <c r="A54" s="186" t="s">
        <v>236</v>
      </c>
      <c r="B54" s="187"/>
      <c r="C54" s="180"/>
      <c r="D54" s="180"/>
      <c r="E54" s="180"/>
      <c r="F54" s="180"/>
      <c r="G54" s="180"/>
      <c r="H54" s="180"/>
      <c r="I54" s="180"/>
      <c r="J54" s="180"/>
      <c r="K54" s="180"/>
      <c r="L54" s="180"/>
      <c r="M54" s="180"/>
      <c r="N54" s="180"/>
      <c r="O54" s="180"/>
      <c r="P54" s="180"/>
      <c r="Q54" s="180"/>
      <c r="R54" s="180"/>
      <c r="S54" s="180"/>
      <c r="T54" s="180"/>
      <c r="U54" s="180"/>
      <c r="V54" s="180"/>
      <c r="W54" s="181"/>
    </row>
    <row r="55" spans="1:23">
      <c r="A55" s="77" t="s">
        <v>208</v>
      </c>
      <c r="B55" s="77"/>
      <c r="F55" s="78"/>
      <c r="G55" s="78"/>
    </row>
    <row r="57" spans="1:23">
      <c r="A57" s="79"/>
      <c r="B57" s="183"/>
      <c r="C57" s="531" t="s">
        <v>209</v>
      </c>
      <c r="D57" s="531"/>
      <c r="E57" s="531"/>
      <c r="F57" s="531"/>
      <c r="G57" s="531"/>
      <c r="H57" s="531"/>
      <c r="I57" s="531"/>
      <c r="J57" s="531"/>
      <c r="K57" s="531"/>
      <c r="L57" s="531"/>
      <c r="M57" s="531"/>
      <c r="N57" s="531"/>
      <c r="O57" s="531"/>
      <c r="P57" s="531"/>
      <c r="Q57" s="531"/>
      <c r="R57" s="531"/>
      <c r="S57" s="531"/>
      <c r="T57" s="531"/>
      <c r="U57" s="531"/>
      <c r="V57" s="531"/>
      <c r="W57" s="531"/>
    </row>
    <row r="58" spans="1:23" ht="16.5" customHeight="1">
      <c r="A58" s="80" t="s">
        <v>210</v>
      </c>
      <c r="B58" s="81"/>
      <c r="C58" s="184">
        <f>C48</f>
        <v>2016</v>
      </c>
      <c r="D58" s="322">
        <f t="shared" ref="D58:V58" si="26">D48</f>
        <v>2017</v>
      </c>
      <c r="E58" s="322">
        <f t="shared" si="26"/>
        <v>2018</v>
      </c>
      <c r="F58" s="322">
        <f t="shared" si="26"/>
        <v>2019</v>
      </c>
      <c r="G58" s="322">
        <f t="shared" si="26"/>
        <v>2020</v>
      </c>
      <c r="H58" s="322">
        <f t="shared" si="26"/>
        <v>2021</v>
      </c>
      <c r="I58" s="322">
        <f t="shared" si="26"/>
        <v>2022</v>
      </c>
      <c r="J58" s="322">
        <f t="shared" si="26"/>
        <v>2023</v>
      </c>
      <c r="K58" s="322">
        <f t="shared" si="26"/>
        <v>2024</v>
      </c>
      <c r="L58" s="322">
        <f t="shared" si="26"/>
        <v>2025</v>
      </c>
      <c r="M58" s="322">
        <f t="shared" si="26"/>
        <v>2026</v>
      </c>
      <c r="N58" s="322">
        <f t="shared" si="26"/>
        <v>2027</v>
      </c>
      <c r="O58" s="322">
        <f t="shared" si="26"/>
        <v>2028</v>
      </c>
      <c r="P58" s="322">
        <f t="shared" si="26"/>
        <v>2029</v>
      </c>
      <c r="Q58" s="322">
        <f t="shared" si="26"/>
        <v>2030</v>
      </c>
      <c r="R58" s="322">
        <f t="shared" si="26"/>
        <v>2031</v>
      </c>
      <c r="S58" s="322">
        <f t="shared" si="26"/>
        <v>2032</v>
      </c>
      <c r="T58" s="322">
        <f t="shared" si="26"/>
        <v>2033</v>
      </c>
      <c r="U58" s="322">
        <f t="shared" si="26"/>
        <v>2034</v>
      </c>
      <c r="V58" s="322">
        <f t="shared" si="26"/>
        <v>2035</v>
      </c>
      <c r="W58" s="184"/>
    </row>
    <row r="59" spans="1:23">
      <c r="A59" s="82"/>
      <c r="B59" s="83"/>
      <c r="C59" s="82"/>
      <c r="D59" s="82"/>
      <c r="E59" s="82"/>
      <c r="F59" s="82"/>
      <c r="G59" s="82"/>
      <c r="H59" s="84"/>
      <c r="I59" s="82"/>
      <c r="J59" s="82"/>
      <c r="K59" s="82"/>
      <c r="L59" s="82"/>
      <c r="M59" s="82"/>
      <c r="N59" s="82"/>
      <c r="O59" s="82"/>
      <c r="P59" s="82"/>
      <c r="Q59" s="82"/>
      <c r="R59" s="82"/>
      <c r="S59" s="82"/>
      <c r="T59" s="82"/>
      <c r="U59" s="82"/>
      <c r="V59" s="82"/>
      <c r="W59" s="82"/>
    </row>
    <row r="60" spans="1:23">
      <c r="A60" s="166" t="s">
        <v>322</v>
      </c>
      <c r="B60" s="83"/>
      <c r="C60" s="86">
        <f>C72</f>
        <v>9.5857630107327818</v>
      </c>
      <c r="D60" s="86">
        <f t="shared" ref="D60:V60" si="27">D72-C72</f>
        <v>38.918705733387029</v>
      </c>
      <c r="E60" s="86">
        <f t="shared" si="27"/>
        <v>39.963575251886091</v>
      </c>
      <c r="F60" s="86">
        <f t="shared" si="27"/>
        <v>40.978994934577926</v>
      </c>
      <c r="G60" s="86">
        <f t="shared" si="27"/>
        <v>42.10880296967224</v>
      </c>
      <c r="H60" s="86">
        <f t="shared" si="27"/>
        <v>32.850659420547487</v>
      </c>
      <c r="I60" s="86">
        <f t="shared" si="27"/>
        <v>2.5312960086409078</v>
      </c>
      <c r="J60" s="86">
        <f t="shared" si="27"/>
        <v>2.4974764735407291</v>
      </c>
      <c r="K60" s="86">
        <f t="shared" si="27"/>
        <v>2.4888548807951167</v>
      </c>
      <c r="L60" s="86">
        <f t="shared" si="27"/>
        <v>2.4746162600402215</v>
      </c>
      <c r="M60" s="86">
        <f t="shared" si="27"/>
        <v>2.3696053162609019</v>
      </c>
      <c r="N60" s="86">
        <f t="shared" si="27"/>
        <v>2.4524111603440133</v>
      </c>
      <c r="O60" s="86">
        <f t="shared" si="27"/>
        <v>2.5526509760787519</v>
      </c>
      <c r="P60" s="86">
        <f t="shared" si="27"/>
        <v>2.5673406158163914</v>
      </c>
      <c r="Q60" s="86">
        <f t="shared" si="27"/>
        <v>2.5091962782101405</v>
      </c>
      <c r="R60" s="86">
        <f t="shared" si="27"/>
        <v>2.5372610229256054</v>
      </c>
      <c r="S60" s="86">
        <f t="shared" si="27"/>
        <v>2.5656396649249018</v>
      </c>
      <c r="T60" s="86">
        <f t="shared" si="27"/>
        <v>2.5943357150718782</v>
      </c>
      <c r="U60" s="86">
        <f t="shared" si="27"/>
        <v>2.6233527234989538</v>
      </c>
      <c r="V60" s="86">
        <f t="shared" si="27"/>
        <v>2.6526942800455515</v>
      </c>
      <c r="W60" s="86"/>
    </row>
    <row r="61" spans="1:23">
      <c r="A61" s="166" t="s">
        <v>320</v>
      </c>
      <c r="B61" s="83"/>
      <c r="C61" s="86">
        <f>C73</f>
        <v>54.319323727485774</v>
      </c>
      <c r="D61" s="86">
        <f t="shared" ref="D61:V61" si="28">D73-C73</f>
        <v>220.53933248919316</v>
      </c>
      <c r="E61" s="86">
        <f t="shared" si="28"/>
        <v>226.4602597606879</v>
      </c>
      <c r="F61" s="86">
        <f t="shared" si="28"/>
        <v>232.21430462927492</v>
      </c>
      <c r="G61" s="86">
        <f t="shared" si="28"/>
        <v>238.61655016147608</v>
      </c>
      <c r="H61" s="86">
        <f t="shared" si="28"/>
        <v>186.15373671643533</v>
      </c>
      <c r="I61" s="86">
        <f t="shared" si="28"/>
        <v>14.344010715632294</v>
      </c>
      <c r="J61" s="86">
        <f t="shared" si="28"/>
        <v>14.152366683397304</v>
      </c>
      <c r="K61" s="86">
        <f t="shared" si="28"/>
        <v>14.10351099117247</v>
      </c>
      <c r="L61" s="86">
        <f t="shared" si="28"/>
        <v>14.02282547356117</v>
      </c>
      <c r="M61" s="86">
        <f t="shared" si="28"/>
        <v>13.427763458811796</v>
      </c>
      <c r="N61" s="86">
        <f t="shared" si="28"/>
        <v>13.896996575282628</v>
      </c>
      <c r="O61" s="86">
        <f t="shared" si="28"/>
        <v>14.465022197779717</v>
      </c>
      <c r="P61" s="86">
        <f t="shared" si="28"/>
        <v>14.548263489626152</v>
      </c>
      <c r="Q61" s="86">
        <f t="shared" si="28"/>
        <v>14.218778909857292</v>
      </c>
      <c r="R61" s="86">
        <f t="shared" si="28"/>
        <v>14.377812463245618</v>
      </c>
      <c r="S61" s="86">
        <f t="shared" si="28"/>
        <v>14.53862476790755</v>
      </c>
      <c r="T61" s="86">
        <f t="shared" si="28"/>
        <v>14.701235718740691</v>
      </c>
      <c r="U61" s="86">
        <f t="shared" si="28"/>
        <v>14.86566543316053</v>
      </c>
      <c r="V61" s="86">
        <f t="shared" si="28"/>
        <v>15.031934253591544</v>
      </c>
      <c r="W61" s="86"/>
    </row>
    <row r="62" spans="1:23">
      <c r="A62" s="166" t="s">
        <v>321</v>
      </c>
      <c r="B62" s="83"/>
      <c r="C62" s="86">
        <f>C74</f>
        <v>67.899154659357208</v>
      </c>
      <c r="D62" s="86">
        <f t="shared" ref="D62:V62" si="29">D74-C74</f>
        <v>275.67416561149139</v>
      </c>
      <c r="E62" s="86">
        <f t="shared" si="29"/>
        <v>283.07532470085994</v>
      </c>
      <c r="F62" s="86">
        <f t="shared" si="29"/>
        <v>290.26788078659354</v>
      </c>
      <c r="G62" s="86">
        <f t="shared" si="29"/>
        <v>298.27068770184508</v>
      </c>
      <c r="H62" s="86">
        <f t="shared" si="29"/>
        <v>232.69217089554422</v>
      </c>
      <c r="I62" s="86">
        <f t="shared" si="29"/>
        <v>17.93001339454031</v>
      </c>
      <c r="J62" s="86">
        <f t="shared" si="29"/>
        <v>17.69045835424663</v>
      </c>
      <c r="K62" s="86">
        <f t="shared" si="29"/>
        <v>17.629388738965417</v>
      </c>
      <c r="L62" s="86">
        <f t="shared" si="29"/>
        <v>17.52853184195169</v>
      </c>
      <c r="M62" s="86">
        <f t="shared" si="29"/>
        <v>16.784704323514916</v>
      </c>
      <c r="N62" s="86">
        <f t="shared" si="29"/>
        <v>17.371245719103172</v>
      </c>
      <c r="O62" s="86">
        <f t="shared" si="29"/>
        <v>18.081277747224476</v>
      </c>
      <c r="P62" s="86">
        <f t="shared" si="29"/>
        <v>18.185329362032689</v>
      </c>
      <c r="Q62" s="86">
        <f t="shared" si="29"/>
        <v>17.773473637321786</v>
      </c>
      <c r="R62" s="86">
        <f t="shared" si="29"/>
        <v>17.972265579056966</v>
      </c>
      <c r="S62" s="86">
        <f t="shared" si="29"/>
        <v>18.173280959884323</v>
      </c>
      <c r="T62" s="86">
        <f t="shared" si="29"/>
        <v>18.376544648426034</v>
      </c>
      <c r="U62" s="86">
        <f t="shared" si="29"/>
        <v>18.582081791450491</v>
      </c>
      <c r="V62" s="86">
        <f t="shared" si="29"/>
        <v>18.7899178169896</v>
      </c>
      <c r="W62" s="86"/>
    </row>
    <row r="63" spans="1:23">
      <c r="A63" s="166" t="s">
        <v>323</v>
      </c>
      <c r="B63" s="83"/>
      <c r="C63" s="86">
        <f>C75</f>
        <v>19.865352677480512</v>
      </c>
      <c r="D63" s="86">
        <f t="shared" ref="D63:V63" si="30">D75-C75</f>
        <v>80.654384453190644</v>
      </c>
      <c r="E63" s="86">
        <f t="shared" si="30"/>
        <v>82.819752141051623</v>
      </c>
      <c r="F63" s="86">
        <f t="shared" si="30"/>
        <v>84.924088550134826</v>
      </c>
      <c r="G63" s="86">
        <f t="shared" si="30"/>
        <v>87.2654812019112</v>
      </c>
      <c r="H63" s="86">
        <f t="shared" si="30"/>
        <v>68.079080856296457</v>
      </c>
      <c r="I63" s="86">
        <f t="shared" si="30"/>
        <v>5.245809633145484</v>
      </c>
      <c r="J63" s="86">
        <f t="shared" si="30"/>
        <v>5.1757226727852981</v>
      </c>
      <c r="K63" s="86">
        <f t="shared" si="30"/>
        <v>5.1578554482001095</v>
      </c>
      <c r="L63" s="86">
        <f t="shared" si="30"/>
        <v>5.1283476017596286</v>
      </c>
      <c r="M63" s="86">
        <f t="shared" si="30"/>
        <v>4.9107249220797371</v>
      </c>
      <c r="N63" s="86">
        <f t="shared" si="30"/>
        <v>5.082330176103369</v>
      </c>
      <c r="O63" s="86">
        <f t="shared" si="30"/>
        <v>5.2900652609023382</v>
      </c>
      <c r="P63" s="86">
        <f t="shared" si="30"/>
        <v>5.3205077904917744</v>
      </c>
      <c r="Q63" s="86">
        <f t="shared" si="30"/>
        <v>5.2000105727478854</v>
      </c>
      <c r="R63" s="86">
        <f t="shared" si="30"/>
        <v>5.2581714151297092</v>
      </c>
      <c r="S63" s="86">
        <f t="shared" si="30"/>
        <v>5.3169827722633158</v>
      </c>
      <c r="T63" s="86">
        <f t="shared" si="30"/>
        <v>5.3764519199966685</v>
      </c>
      <c r="U63" s="86">
        <f t="shared" si="30"/>
        <v>5.4365862155558489</v>
      </c>
      <c r="V63" s="86">
        <f t="shared" si="30"/>
        <v>5.4973930984563708</v>
      </c>
      <c r="W63" s="86"/>
    </row>
    <row r="64" spans="1:23">
      <c r="A64" s="87"/>
      <c r="B64" s="88"/>
      <c r="C64" s="89"/>
      <c r="D64" s="90"/>
      <c r="E64" s="90"/>
      <c r="F64" s="90"/>
      <c r="G64" s="90"/>
      <c r="H64" s="90"/>
      <c r="I64" s="90"/>
      <c r="J64" s="90"/>
      <c r="K64" s="90"/>
      <c r="L64" s="90"/>
      <c r="M64" s="90"/>
      <c r="N64" s="90"/>
      <c r="O64" s="90"/>
      <c r="P64" s="90"/>
      <c r="Q64" s="90"/>
      <c r="R64" s="90"/>
      <c r="S64" s="90"/>
      <c r="T64" s="90"/>
      <c r="U64" s="90"/>
      <c r="V64" s="90"/>
      <c r="W64" s="90"/>
    </row>
    <row r="65" spans="1:23">
      <c r="A65" s="91" t="s">
        <v>212</v>
      </c>
      <c r="B65" s="92"/>
      <c r="C65" s="93">
        <f>SUM(C60:C63)</f>
        <v>151.66959407505627</v>
      </c>
      <c r="D65" s="93">
        <f t="shared" ref="D65:V65" si="31">SUM(D60:D63)</f>
        <v>615.78658828726225</v>
      </c>
      <c r="E65" s="93">
        <f t="shared" si="31"/>
        <v>632.31891185448558</v>
      </c>
      <c r="F65" s="93">
        <f t="shared" si="31"/>
        <v>648.3852689005812</v>
      </c>
      <c r="G65" s="93">
        <f t="shared" si="31"/>
        <v>666.2615220349046</v>
      </c>
      <c r="H65" s="93">
        <f t="shared" si="31"/>
        <v>519.77564788882341</v>
      </c>
      <c r="I65" s="93">
        <f t="shared" si="31"/>
        <v>40.051129751958996</v>
      </c>
      <c r="J65" s="93">
        <f t="shared" si="31"/>
        <v>39.516024183969961</v>
      </c>
      <c r="K65" s="93">
        <f t="shared" si="31"/>
        <v>39.379610059133114</v>
      </c>
      <c r="L65" s="93">
        <f t="shared" si="31"/>
        <v>39.15432117731271</v>
      </c>
      <c r="M65" s="93">
        <f t="shared" si="31"/>
        <v>37.492798020667351</v>
      </c>
      <c r="N65" s="93">
        <f t="shared" si="31"/>
        <v>38.802983630833182</v>
      </c>
      <c r="O65" s="93">
        <f t="shared" si="31"/>
        <v>40.389016181985284</v>
      </c>
      <c r="P65" s="93">
        <f t="shared" si="31"/>
        <v>40.621441257967007</v>
      </c>
      <c r="Q65" s="93">
        <f t="shared" si="31"/>
        <v>39.701459398137104</v>
      </c>
      <c r="R65" s="93">
        <f t="shared" si="31"/>
        <v>40.145510480357899</v>
      </c>
      <c r="S65" s="93">
        <f t="shared" si="31"/>
        <v>40.59452816498009</v>
      </c>
      <c r="T65" s="93">
        <f t="shared" si="31"/>
        <v>41.048568002235271</v>
      </c>
      <c r="U65" s="93">
        <f t="shared" si="31"/>
        <v>41.507686163665824</v>
      </c>
      <c r="V65" s="93">
        <f t="shared" si="31"/>
        <v>41.971939449083067</v>
      </c>
      <c r="W65" s="93"/>
    </row>
    <row r="66" spans="1:23">
      <c r="A66" s="94"/>
      <c r="B66" s="94"/>
      <c r="C66" s="95"/>
      <c r="D66" s="95"/>
      <c r="E66" s="95"/>
      <c r="F66" s="95"/>
      <c r="G66" s="95"/>
      <c r="H66" s="95"/>
      <c r="I66" s="95"/>
      <c r="J66" s="94"/>
      <c r="K66" s="94"/>
      <c r="L66" s="94"/>
    </row>
    <row r="67" spans="1:23">
      <c r="A67" s="96" t="s">
        <v>213</v>
      </c>
      <c r="B67" s="96"/>
      <c r="C67" s="97"/>
      <c r="D67" s="97"/>
      <c r="E67" s="97"/>
      <c r="F67" s="97"/>
      <c r="G67" s="97"/>
      <c r="H67" s="97"/>
      <c r="I67" s="97"/>
      <c r="J67" s="98"/>
      <c r="K67" s="98"/>
      <c r="L67" s="98"/>
    </row>
    <row r="68" spans="1:23">
      <c r="A68" s="96"/>
      <c r="B68" s="96"/>
      <c r="C68" s="97"/>
      <c r="D68" s="97"/>
      <c r="E68" s="97"/>
      <c r="F68" s="97"/>
      <c r="G68" s="97"/>
      <c r="H68" s="97"/>
      <c r="I68" s="97"/>
      <c r="J68" s="98"/>
      <c r="K68" s="98"/>
      <c r="L68" s="98"/>
    </row>
    <row r="69" spans="1:23">
      <c r="A69" s="532" t="s">
        <v>210</v>
      </c>
      <c r="B69" s="534"/>
      <c r="C69" s="531" t="s">
        <v>214</v>
      </c>
      <c r="D69" s="531"/>
      <c r="E69" s="531"/>
      <c r="F69" s="531"/>
      <c r="G69" s="531"/>
      <c r="H69" s="531"/>
      <c r="I69" s="531"/>
      <c r="J69" s="531"/>
      <c r="K69" s="531"/>
      <c r="L69" s="531"/>
      <c r="M69" s="531"/>
      <c r="N69" s="531"/>
      <c r="O69" s="531"/>
      <c r="P69" s="531"/>
      <c r="Q69" s="531"/>
      <c r="R69" s="531"/>
      <c r="S69" s="531"/>
      <c r="T69" s="531"/>
      <c r="U69" s="531"/>
      <c r="V69" s="531"/>
      <c r="W69" s="531"/>
    </row>
    <row r="70" spans="1:23">
      <c r="A70" s="533"/>
      <c r="B70" s="535"/>
      <c r="C70" s="184">
        <f>C58</f>
        <v>2016</v>
      </c>
      <c r="D70" s="322">
        <f t="shared" ref="D70:V70" si="32">D58</f>
        <v>2017</v>
      </c>
      <c r="E70" s="322">
        <f t="shared" si="32"/>
        <v>2018</v>
      </c>
      <c r="F70" s="322">
        <f t="shared" si="32"/>
        <v>2019</v>
      </c>
      <c r="G70" s="322">
        <f t="shared" si="32"/>
        <v>2020</v>
      </c>
      <c r="H70" s="322">
        <f t="shared" si="32"/>
        <v>2021</v>
      </c>
      <c r="I70" s="322">
        <f t="shared" si="32"/>
        <v>2022</v>
      </c>
      <c r="J70" s="322">
        <f t="shared" si="32"/>
        <v>2023</v>
      </c>
      <c r="K70" s="322">
        <f t="shared" si="32"/>
        <v>2024</v>
      </c>
      <c r="L70" s="322">
        <f t="shared" si="32"/>
        <v>2025</v>
      </c>
      <c r="M70" s="322">
        <f t="shared" si="32"/>
        <v>2026</v>
      </c>
      <c r="N70" s="322">
        <f t="shared" si="32"/>
        <v>2027</v>
      </c>
      <c r="O70" s="322">
        <f t="shared" si="32"/>
        <v>2028</v>
      </c>
      <c r="P70" s="322">
        <f t="shared" si="32"/>
        <v>2029</v>
      </c>
      <c r="Q70" s="322">
        <f t="shared" si="32"/>
        <v>2030</v>
      </c>
      <c r="R70" s="322">
        <f t="shared" si="32"/>
        <v>2031</v>
      </c>
      <c r="S70" s="322">
        <f t="shared" si="32"/>
        <v>2032</v>
      </c>
      <c r="T70" s="322">
        <f t="shared" si="32"/>
        <v>2033</v>
      </c>
      <c r="U70" s="322">
        <f t="shared" si="32"/>
        <v>2034</v>
      </c>
      <c r="V70" s="322">
        <f t="shared" si="32"/>
        <v>2035</v>
      </c>
      <c r="W70" s="184"/>
    </row>
    <row r="71" spans="1:23">
      <c r="A71" s="82"/>
      <c r="B71" s="85"/>
      <c r="C71" s="90"/>
      <c r="D71" s="90"/>
      <c r="E71" s="90"/>
      <c r="F71" s="90"/>
      <c r="G71" s="90"/>
      <c r="H71" s="90"/>
      <c r="I71" s="90"/>
      <c r="J71" s="90"/>
      <c r="K71" s="90"/>
      <c r="L71" s="90"/>
      <c r="M71" s="90"/>
      <c r="N71" s="90"/>
      <c r="O71" s="90"/>
      <c r="P71" s="90"/>
      <c r="Q71" s="90"/>
      <c r="R71" s="90"/>
      <c r="S71" s="90"/>
      <c r="T71" s="90"/>
      <c r="U71" s="90"/>
      <c r="V71" s="90"/>
      <c r="W71" s="90"/>
    </row>
    <row r="72" spans="1:23">
      <c r="A72" s="101" t="str">
        <f>A60</f>
        <v>a. Irrigation Pumping - AutoDR</v>
      </c>
      <c r="B72" s="85"/>
      <c r="C72" s="90">
        <f>C7*$C$11*$C$12*C19*C17*(1-C18)</f>
        <v>9.5857630107327818</v>
      </c>
      <c r="D72" s="90">
        <f t="shared" ref="D72:V72" si="33">D7*$C$11*$C$12*D19*D17*(1-D18)</f>
        <v>48.504468744119812</v>
      </c>
      <c r="E72" s="90">
        <f t="shared" si="33"/>
        <v>88.468043996005903</v>
      </c>
      <c r="F72" s="90">
        <f t="shared" si="33"/>
        <v>129.44703893058383</v>
      </c>
      <c r="G72" s="90">
        <f t="shared" si="33"/>
        <v>171.55584190025607</v>
      </c>
      <c r="H72" s="90">
        <f t="shared" si="33"/>
        <v>204.40650132080356</v>
      </c>
      <c r="I72" s="90">
        <f t="shared" si="33"/>
        <v>206.93779732944446</v>
      </c>
      <c r="J72" s="90">
        <f t="shared" si="33"/>
        <v>209.43527380298519</v>
      </c>
      <c r="K72" s="90">
        <f t="shared" si="33"/>
        <v>211.92412868378031</v>
      </c>
      <c r="L72" s="90">
        <f t="shared" si="33"/>
        <v>214.39874494382053</v>
      </c>
      <c r="M72" s="90">
        <f t="shared" si="33"/>
        <v>216.76835026008143</v>
      </c>
      <c r="N72" s="90">
        <f t="shared" si="33"/>
        <v>219.22076142042545</v>
      </c>
      <c r="O72" s="90">
        <f t="shared" si="33"/>
        <v>221.7734123965042</v>
      </c>
      <c r="P72" s="90">
        <f t="shared" si="33"/>
        <v>224.34075301232059</v>
      </c>
      <c r="Q72" s="90">
        <f t="shared" si="33"/>
        <v>226.84994929053073</v>
      </c>
      <c r="R72" s="90">
        <f t="shared" si="33"/>
        <v>229.38721031345634</v>
      </c>
      <c r="S72" s="90">
        <f t="shared" si="33"/>
        <v>231.95284997838124</v>
      </c>
      <c r="T72" s="90">
        <f t="shared" si="33"/>
        <v>234.54718569345312</v>
      </c>
      <c r="U72" s="90">
        <f t="shared" si="33"/>
        <v>237.17053841695207</v>
      </c>
      <c r="V72" s="90">
        <f t="shared" si="33"/>
        <v>239.82323269699762</v>
      </c>
      <c r="W72" s="90"/>
    </row>
    <row r="73" spans="1:23">
      <c r="A73" s="101" t="str">
        <f>+A61</f>
        <v>b. Curtailable/Interruptible - AutoDR</v>
      </c>
      <c r="B73" s="102"/>
      <c r="C73" s="90">
        <f>C6*$C$22*$C$23*C30*C28*(1-C29)</f>
        <v>54.319323727485774</v>
      </c>
      <c r="D73" s="90">
        <f t="shared" ref="D73:V73" si="34">D6*$C$22*$C$23*D30*D28*(1-D29)</f>
        <v>274.85865621667892</v>
      </c>
      <c r="E73" s="90">
        <f t="shared" si="34"/>
        <v>501.31891597736683</v>
      </c>
      <c r="F73" s="90">
        <f t="shared" si="34"/>
        <v>733.53322060664175</v>
      </c>
      <c r="G73" s="90">
        <f t="shared" si="34"/>
        <v>972.14977076811783</v>
      </c>
      <c r="H73" s="90">
        <f t="shared" si="34"/>
        <v>1158.3035074845532</v>
      </c>
      <c r="I73" s="90">
        <f t="shared" si="34"/>
        <v>1172.6475182001855</v>
      </c>
      <c r="J73" s="90">
        <f t="shared" si="34"/>
        <v>1186.7998848835828</v>
      </c>
      <c r="K73" s="90">
        <f t="shared" si="34"/>
        <v>1200.9033958747552</v>
      </c>
      <c r="L73" s="90">
        <f t="shared" si="34"/>
        <v>1214.9262213483164</v>
      </c>
      <c r="M73" s="90">
        <f t="shared" si="34"/>
        <v>1228.3539848071282</v>
      </c>
      <c r="N73" s="90">
        <f t="shared" si="34"/>
        <v>1242.2509813824108</v>
      </c>
      <c r="O73" s="90">
        <f t="shared" si="34"/>
        <v>1256.7160035801905</v>
      </c>
      <c r="P73" s="90">
        <f t="shared" si="34"/>
        <v>1271.2642670698167</v>
      </c>
      <c r="Q73" s="90">
        <f t="shared" si="34"/>
        <v>1285.483045979674</v>
      </c>
      <c r="R73" s="90">
        <f t="shared" si="34"/>
        <v>1299.8608584429196</v>
      </c>
      <c r="S73" s="90">
        <f t="shared" si="34"/>
        <v>1314.3994832108272</v>
      </c>
      <c r="T73" s="90">
        <f t="shared" si="34"/>
        <v>1329.1007189295678</v>
      </c>
      <c r="U73" s="90">
        <f t="shared" si="34"/>
        <v>1343.9663843627284</v>
      </c>
      <c r="V73" s="90">
        <f t="shared" si="34"/>
        <v>1358.9983186163199</v>
      </c>
      <c r="W73" s="90"/>
    </row>
    <row r="74" spans="1:23">
      <c r="A74" s="101" t="str">
        <f>+A62</f>
        <v>c. Load Aggregator - AutoDR</v>
      </c>
      <c r="B74" s="102"/>
      <c r="C74" s="90">
        <f>C6*$C$33*$C$34*C41*C39*(1-C40)</f>
        <v>67.899154659357208</v>
      </c>
      <c r="D74" s="90">
        <f t="shared" ref="D74:V74" si="35">D6*$C$33*$C$34*D41*D39*(1-D40)</f>
        <v>343.57332027084863</v>
      </c>
      <c r="E74" s="90">
        <f t="shared" si="35"/>
        <v>626.64864497170856</v>
      </c>
      <c r="F74" s="90">
        <f t="shared" si="35"/>
        <v>916.9165257583021</v>
      </c>
      <c r="G74" s="90">
        <f t="shared" si="35"/>
        <v>1215.1872134601472</v>
      </c>
      <c r="H74" s="90">
        <f t="shared" si="35"/>
        <v>1447.8793843556914</v>
      </c>
      <c r="I74" s="90">
        <f t="shared" si="35"/>
        <v>1465.8093977502317</v>
      </c>
      <c r="J74" s="90">
        <f t="shared" si="35"/>
        <v>1483.4998561044783</v>
      </c>
      <c r="K74" s="90">
        <f t="shared" si="35"/>
        <v>1501.1292448434438</v>
      </c>
      <c r="L74" s="90">
        <f t="shared" si="35"/>
        <v>1518.6577766853954</v>
      </c>
      <c r="M74" s="90">
        <f t="shared" si="35"/>
        <v>1535.4424810089104</v>
      </c>
      <c r="N74" s="90">
        <f t="shared" si="35"/>
        <v>1552.8137267280135</v>
      </c>
      <c r="O74" s="90">
        <f t="shared" si="35"/>
        <v>1570.895004475238</v>
      </c>
      <c r="P74" s="90">
        <f t="shared" si="35"/>
        <v>1589.0803338372707</v>
      </c>
      <c r="Q74" s="90">
        <f t="shared" si="35"/>
        <v>1606.8538074745925</v>
      </c>
      <c r="R74" s="90">
        <f t="shared" si="35"/>
        <v>1624.8260730536495</v>
      </c>
      <c r="S74" s="90">
        <f t="shared" si="35"/>
        <v>1642.9993540135338</v>
      </c>
      <c r="T74" s="90">
        <f t="shared" si="35"/>
        <v>1661.3758986619598</v>
      </c>
      <c r="U74" s="90">
        <f t="shared" si="35"/>
        <v>1679.9579804534103</v>
      </c>
      <c r="V74" s="90">
        <f t="shared" si="35"/>
        <v>1698.7478982703999</v>
      </c>
      <c r="W74" s="90"/>
    </row>
    <row r="75" spans="1:23">
      <c r="A75" s="101" t="str">
        <f>A63</f>
        <v>d. Refrigerated Warehouses - Controls</v>
      </c>
      <c r="B75" s="102"/>
      <c r="C75" s="90">
        <f t="shared" ref="C75:V75" si="36">C6*$C$44*$C$45*C52*C50*(1-C51)</f>
        <v>19.865352677480512</v>
      </c>
      <c r="D75" s="90">
        <f t="shared" si="36"/>
        <v>100.51973713067116</v>
      </c>
      <c r="E75" s="90">
        <f t="shared" si="36"/>
        <v>183.33948927172278</v>
      </c>
      <c r="F75" s="90">
        <f t="shared" si="36"/>
        <v>268.26357782185761</v>
      </c>
      <c r="G75" s="90">
        <f t="shared" si="36"/>
        <v>355.52905902376881</v>
      </c>
      <c r="H75" s="90">
        <f t="shared" si="36"/>
        <v>423.60813988006527</v>
      </c>
      <c r="I75" s="90">
        <f t="shared" si="36"/>
        <v>428.85394951321075</v>
      </c>
      <c r="J75" s="90">
        <f t="shared" si="36"/>
        <v>434.02967218599605</v>
      </c>
      <c r="K75" s="90">
        <f t="shared" si="36"/>
        <v>439.18752763419616</v>
      </c>
      <c r="L75" s="90">
        <f t="shared" si="36"/>
        <v>444.31587523595579</v>
      </c>
      <c r="M75" s="90">
        <f t="shared" si="36"/>
        <v>449.22660015803552</v>
      </c>
      <c r="N75" s="90">
        <f t="shared" si="36"/>
        <v>454.30893033413889</v>
      </c>
      <c r="O75" s="90">
        <f t="shared" si="36"/>
        <v>459.59899559504123</v>
      </c>
      <c r="P75" s="90">
        <f t="shared" si="36"/>
        <v>464.91950338553301</v>
      </c>
      <c r="Q75" s="90">
        <f t="shared" si="36"/>
        <v>470.11951395828089</v>
      </c>
      <c r="R75" s="90">
        <f t="shared" si="36"/>
        <v>475.3776853734106</v>
      </c>
      <c r="S75" s="90">
        <f t="shared" si="36"/>
        <v>480.69466814567392</v>
      </c>
      <c r="T75" s="90">
        <f t="shared" si="36"/>
        <v>486.07112006567058</v>
      </c>
      <c r="U75" s="90">
        <f t="shared" si="36"/>
        <v>491.50770628122643</v>
      </c>
      <c r="V75" s="90">
        <f t="shared" si="36"/>
        <v>497.0050993796828</v>
      </c>
      <c r="W75" s="90"/>
    </row>
    <row r="76" spans="1:23">
      <c r="A76" s="85"/>
      <c r="B76" s="85"/>
      <c r="C76" s="103"/>
      <c r="D76" s="103"/>
      <c r="E76" s="103"/>
      <c r="F76" s="103"/>
      <c r="G76" s="103"/>
      <c r="H76" s="103"/>
      <c r="I76" s="103"/>
      <c r="J76" s="103"/>
      <c r="K76" s="103"/>
      <c r="L76" s="103"/>
      <c r="M76" s="103"/>
      <c r="N76" s="103"/>
      <c r="O76" s="103"/>
      <c r="P76" s="103"/>
      <c r="Q76" s="103"/>
      <c r="R76" s="103"/>
      <c r="S76" s="103"/>
      <c r="T76" s="103"/>
      <c r="U76" s="103"/>
      <c r="V76" s="103"/>
      <c r="W76" s="103"/>
    </row>
    <row r="77" spans="1:23">
      <c r="A77" s="91" t="s">
        <v>215</v>
      </c>
      <c r="B77" s="91"/>
      <c r="C77" s="93">
        <f>SUM(C72:C75)</f>
        <v>151.66959407505627</v>
      </c>
      <c r="D77" s="93">
        <f t="shared" ref="D77:V77" si="37">SUM(D72:D75)</f>
        <v>767.4561823623186</v>
      </c>
      <c r="E77" s="93">
        <f t="shared" si="37"/>
        <v>1399.7750942168041</v>
      </c>
      <c r="F77" s="93">
        <f t="shared" si="37"/>
        <v>2048.1603631173853</v>
      </c>
      <c r="G77" s="93">
        <f t="shared" si="37"/>
        <v>2714.4218851522896</v>
      </c>
      <c r="H77" s="93">
        <f t="shared" si="37"/>
        <v>3234.1975330411133</v>
      </c>
      <c r="I77" s="93">
        <f t="shared" si="37"/>
        <v>3274.2486627930725</v>
      </c>
      <c r="J77" s="93">
        <f t="shared" si="37"/>
        <v>3313.7646869770424</v>
      </c>
      <c r="K77" s="93">
        <f t="shared" si="37"/>
        <v>3353.1442970361754</v>
      </c>
      <c r="L77" s="93">
        <f t="shared" si="37"/>
        <v>3392.2986182134882</v>
      </c>
      <c r="M77" s="93">
        <f t="shared" si="37"/>
        <v>3429.7914162341558</v>
      </c>
      <c r="N77" s="93">
        <f t="shared" si="37"/>
        <v>3468.5943998649886</v>
      </c>
      <c r="O77" s="93">
        <f t="shared" si="37"/>
        <v>3508.9834160469741</v>
      </c>
      <c r="P77" s="93">
        <f t="shared" si="37"/>
        <v>3549.6048573049411</v>
      </c>
      <c r="Q77" s="93">
        <f t="shared" si="37"/>
        <v>3589.3063167030782</v>
      </c>
      <c r="R77" s="93">
        <f t="shared" si="37"/>
        <v>3629.4518271834359</v>
      </c>
      <c r="S77" s="93">
        <f t="shared" si="37"/>
        <v>3670.046355348416</v>
      </c>
      <c r="T77" s="93">
        <f t="shared" si="37"/>
        <v>3711.0949233506517</v>
      </c>
      <c r="U77" s="93">
        <f t="shared" si="37"/>
        <v>3752.6026095143175</v>
      </c>
      <c r="V77" s="93">
        <f t="shared" si="37"/>
        <v>3794.5745489634</v>
      </c>
      <c r="W77" s="93"/>
    </row>
    <row r="79" spans="1:23">
      <c r="A79" s="77" t="s">
        <v>216</v>
      </c>
      <c r="B79" s="77"/>
      <c r="D79" s="214"/>
      <c r="E79" s="78"/>
      <c r="F79" s="78"/>
      <c r="G79" s="215"/>
      <c r="H79" s="78"/>
    </row>
    <row r="81" spans="1:23">
      <c r="A81" s="104"/>
      <c r="B81" s="477" t="s">
        <v>238</v>
      </c>
      <c r="C81" s="537" t="s">
        <v>217</v>
      </c>
      <c r="D81" s="538"/>
      <c r="E81" s="538"/>
      <c r="F81" s="538"/>
      <c r="G81" s="538"/>
      <c r="H81" s="538"/>
      <c r="I81" s="538"/>
      <c r="J81" s="538"/>
      <c r="K81" s="538"/>
      <c r="L81" s="538"/>
      <c r="M81" s="538"/>
      <c r="N81" s="538"/>
      <c r="O81" s="538"/>
      <c r="P81" s="538"/>
      <c r="Q81" s="538"/>
      <c r="R81" s="538"/>
      <c r="S81" s="538"/>
      <c r="T81" s="538"/>
      <c r="U81" s="538"/>
      <c r="V81" s="538"/>
      <c r="W81" s="538"/>
    </row>
    <row r="82" spans="1:23">
      <c r="A82" s="182" t="s">
        <v>210</v>
      </c>
      <c r="B82" s="536"/>
      <c r="C82" s="184">
        <f>C70</f>
        <v>2016</v>
      </c>
      <c r="D82" s="322">
        <f t="shared" ref="D82:V82" si="38">D70</f>
        <v>2017</v>
      </c>
      <c r="E82" s="322">
        <f t="shared" si="38"/>
        <v>2018</v>
      </c>
      <c r="F82" s="322">
        <f t="shared" si="38"/>
        <v>2019</v>
      </c>
      <c r="G82" s="322">
        <f t="shared" si="38"/>
        <v>2020</v>
      </c>
      <c r="H82" s="322">
        <f t="shared" si="38"/>
        <v>2021</v>
      </c>
      <c r="I82" s="322">
        <f t="shared" si="38"/>
        <v>2022</v>
      </c>
      <c r="J82" s="322">
        <f t="shared" si="38"/>
        <v>2023</v>
      </c>
      <c r="K82" s="322">
        <f t="shared" si="38"/>
        <v>2024</v>
      </c>
      <c r="L82" s="322">
        <f t="shared" si="38"/>
        <v>2025</v>
      </c>
      <c r="M82" s="322">
        <f t="shared" si="38"/>
        <v>2026</v>
      </c>
      <c r="N82" s="322">
        <f t="shared" si="38"/>
        <v>2027</v>
      </c>
      <c r="O82" s="322">
        <f t="shared" si="38"/>
        <v>2028</v>
      </c>
      <c r="P82" s="322">
        <f t="shared" si="38"/>
        <v>2029</v>
      </c>
      <c r="Q82" s="322">
        <f t="shared" si="38"/>
        <v>2030</v>
      </c>
      <c r="R82" s="322">
        <f t="shared" si="38"/>
        <v>2031</v>
      </c>
      <c r="S82" s="322">
        <f t="shared" si="38"/>
        <v>2032</v>
      </c>
      <c r="T82" s="322">
        <f t="shared" si="38"/>
        <v>2033</v>
      </c>
      <c r="U82" s="322">
        <f t="shared" si="38"/>
        <v>2034</v>
      </c>
      <c r="V82" s="322">
        <f t="shared" si="38"/>
        <v>2035</v>
      </c>
      <c r="W82" s="184"/>
    </row>
    <row r="83" spans="1:23">
      <c r="A83" s="115"/>
      <c r="B83" s="82"/>
      <c r="C83" s="82"/>
      <c r="D83" s="105"/>
      <c r="E83" s="82"/>
      <c r="F83" s="82"/>
      <c r="G83" s="82"/>
      <c r="H83" s="82"/>
      <c r="I83" s="82"/>
      <c r="J83" s="82"/>
      <c r="K83" s="82"/>
      <c r="L83" s="82"/>
      <c r="M83" s="82"/>
      <c r="N83" s="82"/>
      <c r="O83" s="82"/>
      <c r="P83" s="82"/>
      <c r="Q83" s="82"/>
      <c r="R83" s="82"/>
      <c r="S83" s="82"/>
      <c r="T83" s="82"/>
      <c r="U83" s="82"/>
      <c r="V83" s="82"/>
      <c r="W83" s="82"/>
    </row>
    <row r="84" spans="1:23">
      <c r="A84" s="101" t="str">
        <f>A60</f>
        <v>a. Irrigation Pumping - AutoDR</v>
      </c>
      <c r="B84" s="222">
        <f>KeyAssumptions!Z11</f>
        <v>25</v>
      </c>
      <c r="C84" s="189">
        <f>$B84/1000*C72*$C$13</f>
        <v>0.22766187150490355</v>
      </c>
      <c r="D84" s="189">
        <f t="shared" ref="D84:V84" si="39">$B84/1000*D72*$C$13</f>
        <v>1.1519811326728455</v>
      </c>
      <c r="E84" s="189">
        <f t="shared" si="39"/>
        <v>2.1011160449051403</v>
      </c>
      <c r="F84" s="189">
        <f t="shared" si="39"/>
        <v>3.0743671746013659</v>
      </c>
      <c r="G84" s="189">
        <f t="shared" si="39"/>
        <v>4.0744512451310815</v>
      </c>
      <c r="H84" s="189">
        <f t="shared" si="39"/>
        <v>4.8546544063690842</v>
      </c>
      <c r="I84" s="189">
        <f t="shared" si="39"/>
        <v>4.9147726865743069</v>
      </c>
      <c r="J84" s="189">
        <f t="shared" si="39"/>
        <v>4.974087752820898</v>
      </c>
      <c r="K84" s="189">
        <f t="shared" si="39"/>
        <v>5.0331980562397822</v>
      </c>
      <c r="L84" s="189">
        <f t="shared" si="39"/>
        <v>5.0919701924157375</v>
      </c>
      <c r="M84" s="189">
        <f t="shared" si="39"/>
        <v>5.1482483186769343</v>
      </c>
      <c r="N84" s="189">
        <f t="shared" si="39"/>
        <v>5.2064930837351042</v>
      </c>
      <c r="O84" s="189">
        <f t="shared" si="39"/>
        <v>5.2671185444169746</v>
      </c>
      <c r="P84" s="189">
        <f t="shared" si="39"/>
        <v>5.3280928840426141</v>
      </c>
      <c r="Q84" s="189">
        <f t="shared" si="39"/>
        <v>5.3876862956501057</v>
      </c>
      <c r="R84" s="189">
        <f t="shared" si="39"/>
        <v>5.4479462449445881</v>
      </c>
      <c r="S84" s="189">
        <f t="shared" si="39"/>
        <v>5.5088801869865547</v>
      </c>
      <c r="T84" s="189">
        <f t="shared" si="39"/>
        <v>5.5704956602195121</v>
      </c>
      <c r="U84" s="189">
        <f t="shared" si="39"/>
        <v>5.6328002874026115</v>
      </c>
      <c r="V84" s="189">
        <f t="shared" si="39"/>
        <v>5.6958017765536937</v>
      </c>
      <c r="W84" s="189"/>
    </row>
    <row r="85" spans="1:23">
      <c r="A85" s="101" t="str">
        <f>+A61</f>
        <v>b. Curtailable/Interruptible - AutoDR</v>
      </c>
      <c r="B85" s="222">
        <f>KeyAssumptions!Z12</f>
        <v>500</v>
      </c>
      <c r="C85" s="189">
        <f>$B85/1000*C73*$C$24</f>
        <v>25.801678770555743</v>
      </c>
      <c r="D85" s="189">
        <f t="shared" ref="D85:V85" si="40">$B85/1000*D73*$C$24</f>
        <v>130.55786170292248</v>
      </c>
      <c r="E85" s="189">
        <f t="shared" si="40"/>
        <v>238.12648508924923</v>
      </c>
      <c r="F85" s="189">
        <f t="shared" si="40"/>
        <v>348.42827978815484</v>
      </c>
      <c r="G85" s="189">
        <f t="shared" si="40"/>
        <v>461.77114111485594</v>
      </c>
      <c r="H85" s="189">
        <f t="shared" si="40"/>
        <v>550.19416605516278</v>
      </c>
      <c r="I85" s="189">
        <f t="shared" si="40"/>
        <v>557.00757114508804</v>
      </c>
      <c r="J85" s="189">
        <f t="shared" si="40"/>
        <v>563.72994531970176</v>
      </c>
      <c r="K85" s="189">
        <f t="shared" si="40"/>
        <v>570.4291130405087</v>
      </c>
      <c r="L85" s="189">
        <f t="shared" si="40"/>
        <v>577.08995514045023</v>
      </c>
      <c r="M85" s="189">
        <f t="shared" si="40"/>
        <v>583.46814278338582</v>
      </c>
      <c r="N85" s="189">
        <f t="shared" si="40"/>
        <v>590.0692161566451</v>
      </c>
      <c r="O85" s="189">
        <f t="shared" si="40"/>
        <v>596.9401017005905</v>
      </c>
      <c r="P85" s="189">
        <f t="shared" si="40"/>
        <v>603.85052685816288</v>
      </c>
      <c r="Q85" s="189">
        <f t="shared" si="40"/>
        <v>610.60444684034508</v>
      </c>
      <c r="R85" s="189">
        <f t="shared" si="40"/>
        <v>617.43390776038677</v>
      </c>
      <c r="S85" s="189">
        <f t="shared" si="40"/>
        <v>624.33975452514289</v>
      </c>
      <c r="T85" s="189">
        <f t="shared" si="40"/>
        <v>631.32284149154475</v>
      </c>
      <c r="U85" s="189">
        <f t="shared" si="40"/>
        <v>638.38403257229595</v>
      </c>
      <c r="V85" s="189">
        <f t="shared" si="40"/>
        <v>645.52420134275189</v>
      </c>
      <c r="W85" s="189"/>
    </row>
    <row r="86" spans="1:23">
      <c r="A86" s="101" t="str">
        <f>A62</f>
        <v>c. Load Aggregator - AutoDR</v>
      </c>
      <c r="B86" s="222">
        <f>KeyAssumptions!Z13</f>
        <v>100</v>
      </c>
      <c r="C86" s="189">
        <f>$B86/1000*C74*$C$35</f>
        <v>6.4504196926389348</v>
      </c>
      <c r="D86" s="189">
        <f t="shared" ref="D86:V86" si="41">$B86/1000*D74*$C$35</f>
        <v>32.63946542573062</v>
      </c>
      <c r="E86" s="189">
        <f t="shared" si="41"/>
        <v>59.531621272312314</v>
      </c>
      <c r="F86" s="189">
        <f t="shared" si="41"/>
        <v>87.10706994703871</v>
      </c>
      <c r="G86" s="189">
        <f t="shared" si="41"/>
        <v>115.44278527871398</v>
      </c>
      <c r="H86" s="189">
        <f t="shared" si="41"/>
        <v>137.5485415137907</v>
      </c>
      <c r="I86" s="189">
        <f t="shared" si="41"/>
        <v>139.25189278627201</v>
      </c>
      <c r="J86" s="189">
        <f t="shared" si="41"/>
        <v>140.93248632992544</v>
      </c>
      <c r="K86" s="189">
        <f t="shared" si="41"/>
        <v>142.60727826012715</v>
      </c>
      <c r="L86" s="189">
        <f t="shared" si="41"/>
        <v>144.27248878511256</v>
      </c>
      <c r="M86" s="189">
        <f t="shared" si="41"/>
        <v>145.86703569584648</v>
      </c>
      <c r="N86" s="189">
        <f t="shared" si="41"/>
        <v>147.51730403916127</v>
      </c>
      <c r="O86" s="189">
        <f t="shared" si="41"/>
        <v>149.23502542514763</v>
      </c>
      <c r="P86" s="189">
        <f t="shared" si="41"/>
        <v>150.96263171454072</v>
      </c>
      <c r="Q86" s="189">
        <f t="shared" si="41"/>
        <v>152.65111171008627</v>
      </c>
      <c r="R86" s="189">
        <f t="shared" si="41"/>
        <v>154.35847694009669</v>
      </c>
      <c r="S86" s="189">
        <f t="shared" si="41"/>
        <v>156.08493863128572</v>
      </c>
      <c r="T86" s="189">
        <f t="shared" si="41"/>
        <v>157.83071037288619</v>
      </c>
      <c r="U86" s="189">
        <f t="shared" si="41"/>
        <v>159.59600814307399</v>
      </c>
      <c r="V86" s="189">
        <f t="shared" si="41"/>
        <v>161.38105033568797</v>
      </c>
      <c r="W86" s="189"/>
    </row>
    <row r="87" spans="1:23">
      <c r="A87" s="101" t="str">
        <f>A63</f>
        <v>d. Refrigerated Warehouses - Controls</v>
      </c>
      <c r="B87" s="222">
        <f>KeyAssumptions!$Z$14</f>
        <v>250</v>
      </c>
      <c r="C87" s="189">
        <f>$B87/1000*C75*$C$46</f>
        <v>4.7180212609016214</v>
      </c>
      <c r="D87" s="189">
        <f t="shared" ref="D87:V87" si="42">$B87/1000*D75*$C$46</f>
        <v>23.873437568534399</v>
      </c>
      <c r="E87" s="189">
        <f t="shared" si="42"/>
        <v>43.54312870203416</v>
      </c>
      <c r="F87" s="189">
        <f t="shared" si="42"/>
        <v>63.712599732691181</v>
      </c>
      <c r="G87" s="189">
        <f t="shared" si="42"/>
        <v>84.438151518145091</v>
      </c>
      <c r="H87" s="189">
        <f t="shared" si="42"/>
        <v>100.60693322151549</v>
      </c>
      <c r="I87" s="189">
        <f t="shared" si="42"/>
        <v>101.85281300938755</v>
      </c>
      <c r="J87" s="189">
        <f t="shared" si="42"/>
        <v>103.08204714417406</v>
      </c>
      <c r="K87" s="189">
        <f t="shared" si="42"/>
        <v>104.30703781312158</v>
      </c>
      <c r="L87" s="189">
        <f t="shared" si="42"/>
        <v>105.5250203685395</v>
      </c>
      <c r="M87" s="189">
        <f t="shared" si="42"/>
        <v>106.69131753753344</v>
      </c>
      <c r="N87" s="189">
        <f t="shared" si="42"/>
        <v>107.89837095435799</v>
      </c>
      <c r="O87" s="189">
        <f t="shared" si="42"/>
        <v>109.15476145382229</v>
      </c>
      <c r="P87" s="189">
        <f t="shared" si="42"/>
        <v>110.41838205406408</v>
      </c>
      <c r="Q87" s="189">
        <f t="shared" si="42"/>
        <v>111.65338456509171</v>
      </c>
      <c r="R87" s="189">
        <f t="shared" si="42"/>
        <v>112.90220027618501</v>
      </c>
      <c r="S87" s="189">
        <f t="shared" si="42"/>
        <v>114.16498368459754</v>
      </c>
      <c r="T87" s="189">
        <f t="shared" si="42"/>
        <v>115.44189101559675</v>
      </c>
      <c r="U87" s="189">
        <f t="shared" si="42"/>
        <v>116.73308024179127</v>
      </c>
      <c r="V87" s="189">
        <f t="shared" si="42"/>
        <v>118.03871110267465</v>
      </c>
      <c r="W87" s="189"/>
    </row>
    <row r="88" spans="1:23">
      <c r="A88" s="101"/>
      <c r="B88" s="87"/>
      <c r="C88" s="106"/>
      <c r="D88" s="106"/>
      <c r="E88" s="106"/>
      <c r="F88" s="106"/>
      <c r="G88" s="106"/>
      <c r="H88" s="106"/>
      <c r="I88" s="106"/>
      <c r="J88" s="106"/>
      <c r="K88" s="106"/>
      <c r="L88" s="106"/>
      <c r="M88" s="106"/>
      <c r="N88" s="106"/>
      <c r="O88" s="106"/>
      <c r="P88" s="106"/>
      <c r="Q88" s="106"/>
      <c r="R88" s="106"/>
      <c r="S88" s="106"/>
      <c r="T88" s="106"/>
      <c r="U88" s="106"/>
      <c r="V88" s="106"/>
      <c r="W88" s="106"/>
    </row>
    <row r="89" spans="1:23">
      <c r="A89" s="107" t="s">
        <v>265</v>
      </c>
      <c r="B89" s="108"/>
      <c r="C89" s="220">
        <f>SUM(C84:C87)</f>
        <v>37.197781595601199</v>
      </c>
      <c r="D89" s="220">
        <f t="shared" ref="D89:V89" si="43">SUM(D84:D87)</f>
        <v>188.22274582986037</v>
      </c>
      <c r="E89" s="220">
        <f t="shared" si="43"/>
        <v>343.30235110850083</v>
      </c>
      <c r="F89" s="220">
        <f t="shared" si="43"/>
        <v>502.3223166424861</v>
      </c>
      <c r="G89" s="220">
        <f t="shared" si="43"/>
        <v>665.72652915684603</v>
      </c>
      <c r="H89" s="220">
        <f t="shared" si="43"/>
        <v>793.20429519683807</v>
      </c>
      <c r="I89" s="220">
        <f t="shared" si="43"/>
        <v>803.02704962732196</v>
      </c>
      <c r="J89" s="220">
        <f t="shared" si="43"/>
        <v>812.71856654662224</v>
      </c>
      <c r="K89" s="220">
        <f t="shared" si="43"/>
        <v>822.37662716999728</v>
      </c>
      <c r="L89" s="220">
        <f t="shared" si="43"/>
        <v>831.97943448651802</v>
      </c>
      <c r="M89" s="220">
        <f t="shared" si="43"/>
        <v>841.17474433544271</v>
      </c>
      <c r="N89" s="220">
        <f t="shared" si="43"/>
        <v>850.69138423389961</v>
      </c>
      <c r="O89" s="220">
        <f t="shared" si="43"/>
        <v>860.59700712397751</v>
      </c>
      <c r="P89" s="220">
        <f t="shared" si="43"/>
        <v>870.55963351081027</v>
      </c>
      <c r="Q89" s="220">
        <f t="shared" si="43"/>
        <v>880.29662941117329</v>
      </c>
      <c r="R89" s="220">
        <f t="shared" si="43"/>
        <v>890.14253122161301</v>
      </c>
      <c r="S89" s="220">
        <f t="shared" si="43"/>
        <v>900.09855702801269</v>
      </c>
      <c r="T89" s="220">
        <f t="shared" si="43"/>
        <v>910.16593854024723</v>
      </c>
      <c r="U89" s="220">
        <f t="shared" si="43"/>
        <v>920.34592124456378</v>
      </c>
      <c r="V89" s="220">
        <f t="shared" si="43"/>
        <v>930.63976455766829</v>
      </c>
      <c r="W89" s="220"/>
    </row>
    <row r="90" spans="1:23">
      <c r="A90" s="110"/>
      <c r="B90" s="110"/>
      <c r="C90" s="111"/>
      <c r="D90" s="111"/>
      <c r="E90" s="112"/>
      <c r="F90" s="112"/>
      <c r="G90" s="112"/>
      <c r="H90" s="112"/>
      <c r="I90" s="112"/>
      <c r="J90" s="112"/>
      <c r="K90" s="112"/>
      <c r="L90" s="112"/>
      <c r="M90" s="112"/>
      <c r="N90" s="112"/>
      <c r="O90" s="112"/>
      <c r="P90" s="112"/>
      <c r="Q90" s="112"/>
      <c r="R90" s="112"/>
      <c r="S90" s="112"/>
      <c r="T90" s="112"/>
      <c r="U90" s="112"/>
      <c r="V90" s="112"/>
      <c r="W90" s="112"/>
    </row>
    <row r="91" spans="1:23">
      <c r="A91" s="77" t="s">
        <v>272</v>
      </c>
      <c r="B91" s="110"/>
      <c r="C91" s="98"/>
      <c r="D91" s="122"/>
      <c r="E91" s="121"/>
      <c r="F91" s="121"/>
      <c r="G91" s="121"/>
      <c r="H91" s="121"/>
      <c r="I91" s="121"/>
      <c r="J91" s="121"/>
      <c r="K91" s="121"/>
      <c r="L91" s="121"/>
      <c r="M91" s="121"/>
      <c r="N91" s="121"/>
      <c r="O91" s="121"/>
      <c r="P91" s="121"/>
      <c r="Q91" s="121"/>
      <c r="R91" s="121"/>
      <c r="S91" s="121"/>
      <c r="T91" s="121"/>
      <c r="U91" s="121"/>
      <c r="V91" s="121"/>
      <c r="W91" s="121"/>
    </row>
    <row r="92" spans="1:23">
      <c r="A92" s="113"/>
      <c r="B92" s="110"/>
      <c r="C92" s="98"/>
      <c r="D92" s="121"/>
      <c r="E92" s="121"/>
      <c r="F92" s="121"/>
      <c r="G92" s="121"/>
      <c r="H92" s="121"/>
      <c r="I92" s="121"/>
      <c r="J92" s="121"/>
      <c r="K92" s="121"/>
      <c r="L92" s="121"/>
      <c r="M92" s="121"/>
      <c r="N92" s="121"/>
      <c r="O92" s="121"/>
      <c r="P92" s="121"/>
      <c r="Q92" s="121"/>
      <c r="R92" s="121"/>
      <c r="S92" s="121"/>
      <c r="T92" s="121"/>
      <c r="U92" s="121"/>
      <c r="V92" s="121"/>
      <c r="W92" s="121"/>
    </row>
    <row r="93" spans="1:23" ht="12.75" customHeight="1">
      <c r="A93" s="474" t="s">
        <v>210</v>
      </c>
      <c r="B93" s="477" t="s">
        <v>300</v>
      </c>
      <c r="C93" s="531" t="s">
        <v>218</v>
      </c>
      <c r="D93" s="531"/>
      <c r="E93" s="531"/>
      <c r="F93" s="531"/>
      <c r="G93" s="531"/>
      <c r="H93" s="531"/>
      <c r="I93" s="531"/>
      <c r="J93" s="531"/>
      <c r="K93" s="531"/>
      <c r="L93" s="531"/>
      <c r="M93" s="531"/>
      <c r="N93" s="531"/>
      <c r="O93" s="531"/>
      <c r="P93" s="531"/>
      <c r="Q93" s="531"/>
      <c r="R93" s="531"/>
      <c r="S93" s="531"/>
      <c r="T93" s="531"/>
      <c r="U93" s="531"/>
      <c r="V93" s="531"/>
      <c r="W93" s="531"/>
    </row>
    <row r="94" spans="1:23">
      <c r="A94" s="475"/>
      <c r="B94" s="478"/>
      <c r="C94" s="184">
        <f>C82</f>
        <v>2016</v>
      </c>
      <c r="D94" s="322">
        <f t="shared" ref="D94:V94" si="44">D82</f>
        <v>2017</v>
      </c>
      <c r="E94" s="322">
        <f t="shared" si="44"/>
        <v>2018</v>
      </c>
      <c r="F94" s="322">
        <f t="shared" si="44"/>
        <v>2019</v>
      </c>
      <c r="G94" s="322">
        <f t="shared" si="44"/>
        <v>2020</v>
      </c>
      <c r="H94" s="322">
        <f t="shared" si="44"/>
        <v>2021</v>
      </c>
      <c r="I94" s="322">
        <f t="shared" si="44"/>
        <v>2022</v>
      </c>
      <c r="J94" s="322">
        <f t="shared" si="44"/>
        <v>2023</v>
      </c>
      <c r="K94" s="322">
        <f t="shared" si="44"/>
        <v>2024</v>
      </c>
      <c r="L94" s="322">
        <f t="shared" si="44"/>
        <v>2025</v>
      </c>
      <c r="M94" s="322">
        <f t="shared" si="44"/>
        <v>2026</v>
      </c>
      <c r="N94" s="322">
        <f t="shared" si="44"/>
        <v>2027</v>
      </c>
      <c r="O94" s="322">
        <f t="shared" si="44"/>
        <v>2028</v>
      </c>
      <c r="P94" s="322">
        <f t="shared" si="44"/>
        <v>2029</v>
      </c>
      <c r="Q94" s="322">
        <f t="shared" si="44"/>
        <v>2030</v>
      </c>
      <c r="R94" s="322">
        <f t="shared" si="44"/>
        <v>2031</v>
      </c>
      <c r="S94" s="322">
        <f t="shared" si="44"/>
        <v>2032</v>
      </c>
      <c r="T94" s="322">
        <f t="shared" si="44"/>
        <v>2033</v>
      </c>
      <c r="U94" s="322">
        <f t="shared" si="44"/>
        <v>2034</v>
      </c>
      <c r="V94" s="322">
        <f t="shared" si="44"/>
        <v>2035</v>
      </c>
      <c r="W94" s="184"/>
    </row>
    <row r="95" spans="1:23">
      <c r="A95" s="123"/>
      <c r="B95" s="124"/>
      <c r="C95" s="78"/>
      <c r="D95" s="82"/>
      <c r="E95" s="82"/>
      <c r="F95" s="82"/>
      <c r="G95" s="82"/>
      <c r="H95" s="82"/>
      <c r="I95" s="82"/>
      <c r="J95" s="82"/>
      <c r="K95" s="82"/>
      <c r="L95" s="82"/>
      <c r="M95" s="82"/>
      <c r="N95" s="82"/>
      <c r="O95" s="82"/>
      <c r="P95" s="82"/>
      <c r="Q95" s="82"/>
      <c r="R95" s="82"/>
      <c r="S95" s="82"/>
      <c r="T95" s="82"/>
      <c r="U95" s="82"/>
      <c r="V95" s="82"/>
      <c r="W95" s="82"/>
    </row>
    <row r="96" spans="1:23">
      <c r="A96" s="166" t="str">
        <f>A60</f>
        <v>a. Irrigation Pumping - AutoDR</v>
      </c>
      <c r="B96" s="223">
        <f>SUM(KeyAssumptions!$S$11:$U$11)</f>
        <v>5862.5</v>
      </c>
      <c r="C96" s="116">
        <f>MAX(0,($B$96*C60))</f>
        <v>56196.535650420934</v>
      </c>
      <c r="D96" s="116">
        <f t="shared" ref="D96:V96" si="45">MAX(0,($B$96*D60))</f>
        <v>228160.91236198146</v>
      </c>
      <c r="E96" s="116">
        <f t="shared" si="45"/>
        <v>234286.4599141822</v>
      </c>
      <c r="F96" s="116">
        <f t="shared" si="45"/>
        <v>240239.3578039631</v>
      </c>
      <c r="G96" s="116">
        <f t="shared" si="45"/>
        <v>246862.85740970352</v>
      </c>
      <c r="H96" s="116">
        <f t="shared" si="45"/>
        <v>192586.99085295963</v>
      </c>
      <c r="I96" s="116">
        <f t="shared" si="45"/>
        <v>14839.722850657321</v>
      </c>
      <c r="J96" s="116">
        <f t="shared" si="45"/>
        <v>14641.455826132524</v>
      </c>
      <c r="K96" s="116">
        <f t="shared" si="45"/>
        <v>14590.911738661373</v>
      </c>
      <c r="L96" s="116">
        <f t="shared" si="45"/>
        <v>14507.437824485798</v>
      </c>
      <c r="M96" s="116">
        <f t="shared" si="45"/>
        <v>13891.811166579537</v>
      </c>
      <c r="N96" s="116">
        <f t="shared" si="45"/>
        <v>14377.260427516778</v>
      </c>
      <c r="O96" s="116">
        <f t="shared" si="45"/>
        <v>14964.916347261684</v>
      </c>
      <c r="P96" s="116">
        <f t="shared" si="45"/>
        <v>15051.034360223595</v>
      </c>
      <c r="Q96" s="116">
        <f t="shared" si="45"/>
        <v>14710.163181006948</v>
      </c>
      <c r="R96" s="116">
        <f t="shared" si="45"/>
        <v>14874.692746901361</v>
      </c>
      <c r="S96" s="116">
        <f t="shared" si="45"/>
        <v>15041.062535622237</v>
      </c>
      <c r="T96" s="116">
        <f t="shared" si="45"/>
        <v>15209.293129608886</v>
      </c>
      <c r="U96" s="116">
        <f t="shared" si="45"/>
        <v>15379.405341512616</v>
      </c>
      <c r="V96" s="116">
        <f t="shared" si="45"/>
        <v>15551.420216767046</v>
      </c>
      <c r="W96" s="116"/>
    </row>
    <row r="97" spans="1:23">
      <c r="A97" s="85" t="str">
        <f>+A61</f>
        <v>b. Curtailable/Interruptible - AutoDR</v>
      </c>
      <c r="B97" s="223">
        <f>SUM(KeyAssumptions!$S$12:$U$12)</f>
        <v>3750</v>
      </c>
      <c r="C97" s="116">
        <f t="shared" ref="C97:V97" si="46">MAX(0,($B$97*C61))</f>
        <v>203697.46397807164</v>
      </c>
      <c r="D97" s="116">
        <f t="shared" si="46"/>
        <v>827022.49683447438</v>
      </c>
      <c r="E97" s="116">
        <f t="shared" si="46"/>
        <v>849225.97410257964</v>
      </c>
      <c r="F97" s="116">
        <f t="shared" si="46"/>
        <v>870803.64235978096</v>
      </c>
      <c r="G97" s="116">
        <f t="shared" si="46"/>
        <v>894812.06310553534</v>
      </c>
      <c r="H97" s="116">
        <f t="shared" si="46"/>
        <v>698076.51268663246</v>
      </c>
      <c r="I97" s="116">
        <f t="shared" si="46"/>
        <v>53790.040183621102</v>
      </c>
      <c r="J97" s="116">
        <f t="shared" si="46"/>
        <v>53071.375062739891</v>
      </c>
      <c r="K97" s="116">
        <f t="shared" si="46"/>
        <v>52888.166216896767</v>
      </c>
      <c r="L97" s="116">
        <f t="shared" si="46"/>
        <v>52585.595525854384</v>
      </c>
      <c r="M97" s="116">
        <f t="shared" si="46"/>
        <v>50354.112970544236</v>
      </c>
      <c r="N97" s="116">
        <f t="shared" si="46"/>
        <v>52113.737157309857</v>
      </c>
      <c r="O97" s="116">
        <f t="shared" si="46"/>
        <v>54243.833241673943</v>
      </c>
      <c r="P97" s="116">
        <f t="shared" si="46"/>
        <v>54555.98808609807</v>
      </c>
      <c r="Q97" s="116">
        <f t="shared" si="46"/>
        <v>53320.420911964844</v>
      </c>
      <c r="R97" s="116">
        <f t="shared" si="46"/>
        <v>53916.796737171069</v>
      </c>
      <c r="S97" s="116">
        <f t="shared" si="46"/>
        <v>54519.842879653312</v>
      </c>
      <c r="T97" s="116">
        <f t="shared" si="46"/>
        <v>55129.633945277586</v>
      </c>
      <c r="U97" s="116">
        <f t="shared" si="46"/>
        <v>55746.245374351987</v>
      </c>
      <c r="V97" s="116">
        <f t="shared" si="46"/>
        <v>56369.753450968288</v>
      </c>
      <c r="W97" s="116"/>
    </row>
    <row r="98" spans="1:23">
      <c r="A98" s="85" t="str">
        <f>+A62</f>
        <v>c. Load Aggregator - AutoDR</v>
      </c>
      <c r="B98" s="223">
        <f>SUM(KeyAssumptions!S13:$U$13)</f>
        <v>3750</v>
      </c>
      <c r="C98" s="116">
        <f t="shared" ref="C98:V98" si="47">MAX(0,($B$98*C62))</f>
        <v>254621.82997258953</v>
      </c>
      <c r="D98" s="116">
        <f t="shared" si="47"/>
        <v>1033778.1210430927</v>
      </c>
      <c r="E98" s="116">
        <f t="shared" si="47"/>
        <v>1061532.4676282248</v>
      </c>
      <c r="F98" s="116">
        <f t="shared" si="47"/>
        <v>1088504.5529497257</v>
      </c>
      <c r="G98" s="116">
        <f t="shared" si="47"/>
        <v>1118515.0788819192</v>
      </c>
      <c r="H98" s="116">
        <f t="shared" si="47"/>
        <v>872595.64085829083</v>
      </c>
      <c r="I98" s="116">
        <f t="shared" si="47"/>
        <v>67237.550229526169</v>
      </c>
      <c r="J98" s="116">
        <f t="shared" si="47"/>
        <v>66339.218828424855</v>
      </c>
      <c r="K98" s="116">
        <f t="shared" si="47"/>
        <v>66110.207771120316</v>
      </c>
      <c r="L98" s="116">
        <f t="shared" si="47"/>
        <v>65731.994407318838</v>
      </c>
      <c r="M98" s="116">
        <f t="shared" si="47"/>
        <v>62942.641213180934</v>
      </c>
      <c r="N98" s="116">
        <f t="shared" si="47"/>
        <v>65142.171446636894</v>
      </c>
      <c r="O98" s="116">
        <f t="shared" si="47"/>
        <v>67804.791552091789</v>
      </c>
      <c r="P98" s="116">
        <f t="shared" si="47"/>
        <v>68194.98510762259</v>
      </c>
      <c r="Q98" s="116">
        <f t="shared" si="47"/>
        <v>66650.526139956695</v>
      </c>
      <c r="R98" s="116">
        <f t="shared" si="47"/>
        <v>67395.995921463618</v>
      </c>
      <c r="S98" s="116">
        <f t="shared" si="47"/>
        <v>68149.803599566207</v>
      </c>
      <c r="T98" s="116">
        <f t="shared" si="47"/>
        <v>68912.042431597627</v>
      </c>
      <c r="U98" s="116">
        <f t="shared" si="47"/>
        <v>69682.80671793934</v>
      </c>
      <c r="V98" s="116">
        <f t="shared" si="47"/>
        <v>70462.191813711004</v>
      </c>
      <c r="W98" s="116"/>
    </row>
    <row r="99" spans="1:23">
      <c r="A99" s="85" t="str">
        <f>A63</f>
        <v>d. Refrigerated Warehouses - Controls</v>
      </c>
      <c r="B99" s="223">
        <f>SUM(KeyAssumptions!S14:$U$14)</f>
        <v>7500</v>
      </c>
      <c r="C99" s="116">
        <f>MAX(0,($B$99*C63))</f>
        <v>148990.14508110384</v>
      </c>
      <c r="D99" s="116">
        <f t="shared" ref="D99:V99" si="48">MAX(0,($B$99*D63))</f>
        <v>604907.88339892984</v>
      </c>
      <c r="E99" s="116">
        <f t="shared" si="48"/>
        <v>621148.14105788723</v>
      </c>
      <c r="F99" s="116">
        <f t="shared" si="48"/>
        <v>636930.66412601119</v>
      </c>
      <c r="G99" s="116">
        <f t="shared" si="48"/>
        <v>654491.10901433404</v>
      </c>
      <c r="H99" s="116">
        <f t="shared" si="48"/>
        <v>510593.10642222344</v>
      </c>
      <c r="I99" s="116">
        <f t="shared" si="48"/>
        <v>39343.572248591132</v>
      </c>
      <c r="J99" s="116">
        <f t="shared" si="48"/>
        <v>38817.920045889732</v>
      </c>
      <c r="K99" s="116">
        <f t="shared" si="48"/>
        <v>38683.91586150082</v>
      </c>
      <c r="L99" s="116">
        <f t="shared" si="48"/>
        <v>38462.607013197216</v>
      </c>
      <c r="M99" s="116">
        <f t="shared" si="48"/>
        <v>36830.436915598031</v>
      </c>
      <c r="N99" s="116">
        <f t="shared" si="48"/>
        <v>38117.476320775269</v>
      </c>
      <c r="O99" s="116">
        <f t="shared" si="48"/>
        <v>39675.489456767536</v>
      </c>
      <c r="P99" s="116">
        <f t="shared" si="48"/>
        <v>39903.80842868831</v>
      </c>
      <c r="Q99" s="116">
        <f t="shared" si="48"/>
        <v>39000.079295609139</v>
      </c>
      <c r="R99" s="116">
        <f t="shared" si="48"/>
        <v>39436.285613472821</v>
      </c>
      <c r="S99" s="116">
        <f t="shared" si="48"/>
        <v>39877.37079197487</v>
      </c>
      <c r="T99" s="116">
        <f t="shared" si="48"/>
        <v>40323.389399975014</v>
      </c>
      <c r="U99" s="116">
        <f t="shared" si="48"/>
        <v>40774.39661666887</v>
      </c>
      <c r="V99" s="116">
        <f t="shared" si="48"/>
        <v>41230.448238422781</v>
      </c>
      <c r="W99" s="116"/>
    </row>
    <row r="100" spans="1:23">
      <c r="A100" s="85"/>
      <c r="B100" s="110"/>
      <c r="C100" s="117"/>
      <c r="D100" s="117"/>
      <c r="E100" s="117"/>
      <c r="F100" s="117"/>
      <c r="G100" s="117"/>
      <c r="H100" s="117"/>
      <c r="I100" s="117"/>
      <c r="J100" s="117"/>
      <c r="K100" s="117"/>
      <c r="L100" s="117"/>
      <c r="M100" s="117"/>
      <c r="N100" s="117"/>
      <c r="O100" s="117"/>
      <c r="P100" s="117"/>
      <c r="Q100" s="117"/>
      <c r="R100" s="117"/>
      <c r="S100" s="117"/>
      <c r="T100" s="117"/>
      <c r="U100" s="117"/>
      <c r="V100" s="117"/>
      <c r="W100" s="117"/>
    </row>
    <row r="101" spans="1:23">
      <c r="A101" s="126" t="s">
        <v>283</v>
      </c>
      <c r="B101" s="107"/>
      <c r="C101" s="119">
        <f>SUM(C96:C99)</f>
        <v>663505.97468218603</v>
      </c>
      <c r="D101" s="119">
        <f t="shared" ref="D101:V101" si="49">SUM(D96:D99)</f>
        <v>2693869.4136384781</v>
      </c>
      <c r="E101" s="119">
        <f t="shared" si="49"/>
        <v>2766193.0427028737</v>
      </c>
      <c r="F101" s="119">
        <f t="shared" si="49"/>
        <v>2836478.2172394809</v>
      </c>
      <c r="G101" s="119">
        <f t="shared" si="49"/>
        <v>2914681.1084114918</v>
      </c>
      <c r="H101" s="119">
        <f t="shared" si="49"/>
        <v>2273852.2508201064</v>
      </c>
      <c r="I101" s="119">
        <f t="shared" si="49"/>
        <v>175210.88551239573</v>
      </c>
      <c r="J101" s="119">
        <f t="shared" si="49"/>
        <v>172869.96976318699</v>
      </c>
      <c r="K101" s="119">
        <f t="shared" si="49"/>
        <v>172273.20158817928</v>
      </c>
      <c r="L101" s="119">
        <f t="shared" si="49"/>
        <v>171287.63477085624</v>
      </c>
      <c r="M101" s="119">
        <f t="shared" si="49"/>
        <v>164019.00226590273</v>
      </c>
      <c r="N101" s="119">
        <f t="shared" si="49"/>
        <v>169750.64535223879</v>
      </c>
      <c r="O101" s="119">
        <f t="shared" si="49"/>
        <v>176689.03059779495</v>
      </c>
      <c r="P101" s="119">
        <f t="shared" si="49"/>
        <v>177705.81598263257</v>
      </c>
      <c r="Q101" s="119">
        <f t="shared" si="49"/>
        <v>173681.18952853762</v>
      </c>
      <c r="R101" s="119">
        <f t="shared" si="49"/>
        <v>175623.77101900888</v>
      </c>
      <c r="S101" s="119">
        <f t="shared" si="49"/>
        <v>177588.07980681665</v>
      </c>
      <c r="T101" s="119">
        <f t="shared" si="49"/>
        <v>179574.35890645912</v>
      </c>
      <c r="U101" s="119">
        <f t="shared" si="49"/>
        <v>181582.85405047282</v>
      </c>
      <c r="V101" s="119">
        <f t="shared" si="49"/>
        <v>183613.8137198691</v>
      </c>
      <c r="W101" s="119"/>
    </row>
    <row r="102" spans="1:23">
      <c r="A102" s="110"/>
      <c r="B102" s="110"/>
      <c r="C102" s="121"/>
      <c r="D102" s="121"/>
      <c r="E102" s="121"/>
      <c r="F102" s="121"/>
      <c r="G102" s="121"/>
      <c r="H102" s="121"/>
      <c r="I102" s="121"/>
      <c r="J102" s="121"/>
      <c r="K102" s="121"/>
      <c r="L102" s="121"/>
      <c r="M102" s="121"/>
      <c r="N102" s="121"/>
      <c r="O102" s="121"/>
      <c r="P102" s="121"/>
      <c r="Q102" s="121"/>
      <c r="R102" s="121"/>
      <c r="S102" s="121"/>
      <c r="T102" s="121"/>
      <c r="U102" s="121"/>
      <c r="V102" s="121"/>
      <c r="W102" s="121"/>
    </row>
    <row r="103" spans="1:23">
      <c r="A103" s="96" t="s">
        <v>273</v>
      </c>
      <c r="B103" s="96"/>
      <c r="C103" s="111"/>
      <c r="D103" s="127"/>
      <c r="E103" s="128"/>
      <c r="F103" s="129"/>
      <c r="G103" s="120"/>
      <c r="H103" s="130"/>
      <c r="I103" s="120"/>
      <c r="J103" s="78"/>
      <c r="L103" s="78"/>
    </row>
    <row r="104" spans="1:23">
      <c r="A104" s="110"/>
      <c r="B104" s="110"/>
      <c r="C104" s="111"/>
      <c r="D104" s="127"/>
      <c r="E104" s="128"/>
      <c r="F104" s="129"/>
      <c r="G104" s="120"/>
      <c r="H104" s="130"/>
      <c r="I104" s="120"/>
      <c r="J104" s="78"/>
      <c r="L104" s="78"/>
    </row>
    <row r="105" spans="1:23">
      <c r="A105" s="549" t="s">
        <v>210</v>
      </c>
      <c r="B105" s="525" t="s">
        <v>339</v>
      </c>
      <c r="C105" s="476" t="s">
        <v>219</v>
      </c>
      <c r="D105" s="476"/>
      <c r="E105" s="476"/>
      <c r="F105" s="476"/>
      <c r="G105" s="476"/>
      <c r="H105" s="476"/>
      <c r="I105" s="476"/>
      <c r="J105" s="476"/>
      <c r="K105" s="476"/>
      <c r="L105" s="476"/>
      <c r="M105" s="476"/>
      <c r="N105" s="476"/>
      <c r="O105" s="476"/>
      <c r="P105" s="476"/>
      <c r="Q105" s="476"/>
      <c r="R105" s="476"/>
      <c r="S105" s="476"/>
      <c r="T105" s="476"/>
      <c r="U105" s="476"/>
      <c r="V105" s="476"/>
      <c r="W105" s="476"/>
    </row>
    <row r="106" spans="1:23">
      <c r="A106" s="462"/>
      <c r="B106" s="525"/>
      <c r="C106" s="184">
        <f>C94</f>
        <v>2016</v>
      </c>
      <c r="D106" s="322">
        <f t="shared" ref="D106:V106" si="50">D94</f>
        <v>2017</v>
      </c>
      <c r="E106" s="322">
        <f t="shared" si="50"/>
        <v>2018</v>
      </c>
      <c r="F106" s="322">
        <f t="shared" si="50"/>
        <v>2019</v>
      </c>
      <c r="G106" s="322">
        <f t="shared" si="50"/>
        <v>2020</v>
      </c>
      <c r="H106" s="322">
        <f t="shared" si="50"/>
        <v>2021</v>
      </c>
      <c r="I106" s="322">
        <f t="shared" si="50"/>
        <v>2022</v>
      </c>
      <c r="J106" s="322">
        <f t="shared" si="50"/>
        <v>2023</v>
      </c>
      <c r="K106" s="322">
        <f t="shared" si="50"/>
        <v>2024</v>
      </c>
      <c r="L106" s="322">
        <f t="shared" si="50"/>
        <v>2025</v>
      </c>
      <c r="M106" s="322">
        <f t="shared" si="50"/>
        <v>2026</v>
      </c>
      <c r="N106" s="322">
        <f t="shared" si="50"/>
        <v>2027</v>
      </c>
      <c r="O106" s="322">
        <f t="shared" si="50"/>
        <v>2028</v>
      </c>
      <c r="P106" s="322">
        <f t="shared" si="50"/>
        <v>2029</v>
      </c>
      <c r="Q106" s="322">
        <f t="shared" si="50"/>
        <v>2030</v>
      </c>
      <c r="R106" s="322">
        <f t="shared" si="50"/>
        <v>2031</v>
      </c>
      <c r="S106" s="322">
        <f t="shared" si="50"/>
        <v>2032</v>
      </c>
      <c r="T106" s="322">
        <f t="shared" si="50"/>
        <v>2033</v>
      </c>
      <c r="U106" s="322">
        <f t="shared" si="50"/>
        <v>2034</v>
      </c>
      <c r="V106" s="322">
        <f t="shared" si="50"/>
        <v>2035</v>
      </c>
      <c r="W106" s="184"/>
    </row>
    <row r="107" spans="1:23">
      <c r="A107" s="131"/>
      <c r="B107" s="235"/>
      <c r="C107" s="132"/>
      <c r="D107" s="133"/>
      <c r="E107" s="133"/>
      <c r="F107" s="133"/>
      <c r="G107" s="133"/>
      <c r="H107" s="133"/>
      <c r="I107" s="133"/>
      <c r="J107" s="133"/>
      <c r="K107" s="133"/>
      <c r="L107" s="133"/>
      <c r="M107" s="133"/>
      <c r="N107" s="133"/>
      <c r="O107" s="133"/>
      <c r="P107" s="133"/>
      <c r="Q107" s="133"/>
      <c r="R107" s="133"/>
      <c r="S107" s="133"/>
      <c r="T107" s="133"/>
      <c r="U107" s="133"/>
      <c r="V107" s="133"/>
      <c r="W107" s="133"/>
    </row>
    <row r="108" spans="1:23">
      <c r="A108" s="240" t="str">
        <f>A60</f>
        <v>a. Irrigation Pumping - AutoDR</v>
      </c>
      <c r="B108" s="236">
        <f>KeyAssumptions!W11</f>
        <v>25</v>
      </c>
      <c r="C108" s="137">
        <f>($B108-IF('7thPlanAssumptions'!$D$14=1,'7thPlanAssumptions'!$B$14,0))*C84*1000</f>
        <v>-227.66187150490356</v>
      </c>
      <c r="D108" s="137">
        <f>($B108-IF('7thPlanAssumptions'!$D$14=1,'7thPlanAssumptions'!$B$14,0))*D84*1000</f>
        <v>-1151.9811326728454</v>
      </c>
      <c r="E108" s="137">
        <f>($B108-IF('7thPlanAssumptions'!$D$14=1,'7thPlanAssumptions'!$B$14,0))*E84*1000</f>
        <v>-2101.1160449051404</v>
      </c>
      <c r="F108" s="137">
        <f>($B108-IF('7thPlanAssumptions'!$D$14=1,'7thPlanAssumptions'!$B$14,0))*F84*1000</f>
        <v>-3074.3671746013661</v>
      </c>
      <c r="G108" s="137">
        <f>($B108-IF('7thPlanAssumptions'!$D$14=1,'7thPlanAssumptions'!$B$14,0))*G84*1000</f>
        <v>-4074.4512451310816</v>
      </c>
      <c r="H108" s="137">
        <f>($B108-IF('7thPlanAssumptions'!$D$14=1,'7thPlanAssumptions'!$B$14,0))*H84*1000</f>
        <v>-4854.6544063690844</v>
      </c>
      <c r="I108" s="137">
        <f>($B108-IF('7thPlanAssumptions'!$D$14=1,'7thPlanAssumptions'!$B$14,0))*I84*1000</f>
        <v>-4914.772686574307</v>
      </c>
      <c r="J108" s="137">
        <f>($B108-IF('7thPlanAssumptions'!$D$14=1,'7thPlanAssumptions'!$B$14,0))*J84*1000</f>
        <v>-4974.0877528208975</v>
      </c>
      <c r="K108" s="137">
        <f>($B108-IF('7thPlanAssumptions'!$D$14=1,'7thPlanAssumptions'!$B$14,0))*K84*1000</f>
        <v>-5033.1980562397821</v>
      </c>
      <c r="L108" s="137">
        <f>($B108-IF('7thPlanAssumptions'!$D$14=1,'7thPlanAssumptions'!$B$14,0))*L84*1000</f>
        <v>-5091.9701924157371</v>
      </c>
      <c r="M108" s="137">
        <f>($B108-IF('7thPlanAssumptions'!$D$14=1,'7thPlanAssumptions'!$B$14,0))*M84*1000</f>
        <v>-5148.2483186769341</v>
      </c>
      <c r="N108" s="137">
        <f>($B108-IF('7thPlanAssumptions'!$D$14=1,'7thPlanAssumptions'!$B$14,0))*N84*1000</f>
        <v>-5206.4930837351039</v>
      </c>
      <c r="O108" s="137">
        <f>($B108-IF('7thPlanAssumptions'!$D$14=1,'7thPlanAssumptions'!$B$14,0))*O84*1000</f>
        <v>-5267.1185444169741</v>
      </c>
      <c r="P108" s="137">
        <f>($B108-IF('7thPlanAssumptions'!$D$14=1,'7thPlanAssumptions'!$B$14,0))*P84*1000</f>
        <v>-5328.0928840426141</v>
      </c>
      <c r="Q108" s="137">
        <f>($B108-IF('7thPlanAssumptions'!$D$14=1,'7thPlanAssumptions'!$B$14,0))*Q84*1000</f>
        <v>-5387.6862956501054</v>
      </c>
      <c r="R108" s="137">
        <f>($B108-IF('7thPlanAssumptions'!$D$14=1,'7thPlanAssumptions'!$B$14,0))*R84*1000</f>
        <v>-5447.9462449445882</v>
      </c>
      <c r="S108" s="137">
        <f>($B108-IF('7thPlanAssumptions'!$D$14=1,'7thPlanAssumptions'!$B$14,0))*S84*1000</f>
        <v>-5508.8801869865547</v>
      </c>
      <c r="T108" s="137">
        <f>($B108-IF('7thPlanAssumptions'!$D$14=1,'7thPlanAssumptions'!$B$14,0))*T84*1000</f>
        <v>-5570.4956602195125</v>
      </c>
      <c r="U108" s="137">
        <f>($B108-IF('7thPlanAssumptions'!$D$14=1,'7thPlanAssumptions'!$B$14,0))*U84*1000</f>
        <v>-5632.8002874026115</v>
      </c>
      <c r="V108" s="137">
        <f>($B108-IF('7thPlanAssumptions'!$D$14=1,'7thPlanAssumptions'!$B$14,0))*V84*1000</f>
        <v>-5695.8017765536933</v>
      </c>
      <c r="W108" s="137"/>
    </row>
    <row r="109" spans="1:23">
      <c r="A109" s="135" t="str">
        <f>A61</f>
        <v>b. Curtailable/Interruptible - AutoDR</v>
      </c>
      <c r="B109" s="236">
        <f>KeyAssumptions!W12</f>
        <v>60</v>
      </c>
      <c r="C109" s="137">
        <f>($B109-IF('7thPlanAssumptions'!$D$14=1,'7thPlanAssumptions'!$B$14,0))*C85*1000</f>
        <v>877257.07819889521</v>
      </c>
      <c r="D109" s="137">
        <f>($B109-IF('7thPlanAssumptions'!$D$14=1,'7thPlanAssumptions'!$B$14,0))*D85*1000</f>
        <v>4438967.2978993636</v>
      </c>
      <c r="E109" s="137">
        <f>($B109-IF('7thPlanAssumptions'!$D$14=1,'7thPlanAssumptions'!$B$14,0))*E85*1000</f>
        <v>8096300.4930344746</v>
      </c>
      <c r="F109" s="137">
        <f>($B109-IF('7thPlanAssumptions'!$D$14=1,'7thPlanAssumptions'!$B$14,0))*F85*1000</f>
        <v>11846561.512797264</v>
      </c>
      <c r="G109" s="137">
        <f>($B109-IF('7thPlanAssumptions'!$D$14=1,'7thPlanAssumptions'!$B$14,0))*G85*1000</f>
        <v>15700218.797905101</v>
      </c>
      <c r="H109" s="137">
        <f>($B109-IF('7thPlanAssumptions'!$D$14=1,'7thPlanAssumptions'!$B$14,0))*H85*1000</f>
        <v>18706601.645875532</v>
      </c>
      <c r="I109" s="137">
        <f>($B109-IF('7thPlanAssumptions'!$D$14=1,'7thPlanAssumptions'!$B$14,0))*I85*1000</f>
        <v>18938257.418932993</v>
      </c>
      <c r="J109" s="137">
        <f>($B109-IF('7thPlanAssumptions'!$D$14=1,'7thPlanAssumptions'!$B$14,0))*J85*1000</f>
        <v>19166818.14086986</v>
      </c>
      <c r="K109" s="137">
        <f>($B109-IF('7thPlanAssumptions'!$D$14=1,'7thPlanAssumptions'!$B$14,0))*K85*1000</f>
        <v>19394589.843377296</v>
      </c>
      <c r="L109" s="137">
        <f>($B109-IF('7thPlanAssumptions'!$D$14=1,'7thPlanAssumptions'!$B$14,0))*L85*1000</f>
        <v>19621058.474775311</v>
      </c>
      <c r="M109" s="137">
        <f>($B109-IF('7thPlanAssumptions'!$D$14=1,'7thPlanAssumptions'!$B$14,0))*M85*1000</f>
        <v>19837916.854635116</v>
      </c>
      <c r="N109" s="137">
        <f>($B109-IF('7thPlanAssumptions'!$D$14=1,'7thPlanAssumptions'!$B$14,0))*N85*1000</f>
        <v>20062353.349325936</v>
      </c>
      <c r="O109" s="137">
        <f>($B109-IF('7thPlanAssumptions'!$D$14=1,'7thPlanAssumptions'!$B$14,0))*O85*1000</f>
        <v>20295963.45782008</v>
      </c>
      <c r="P109" s="137">
        <f>($B109-IF('7thPlanAssumptions'!$D$14=1,'7thPlanAssumptions'!$B$14,0))*P85*1000</f>
        <v>20530917.913177539</v>
      </c>
      <c r="Q109" s="137">
        <f>($B109-IF('7thPlanAssumptions'!$D$14=1,'7thPlanAssumptions'!$B$14,0))*Q85*1000</f>
        <v>20760551.192571733</v>
      </c>
      <c r="R109" s="137">
        <f>($B109-IF('7thPlanAssumptions'!$D$14=1,'7thPlanAssumptions'!$B$14,0))*R85*1000</f>
        <v>20992752.863853153</v>
      </c>
      <c r="S109" s="137">
        <f>($B109-IF('7thPlanAssumptions'!$D$14=1,'7thPlanAssumptions'!$B$14,0))*S85*1000</f>
        <v>21227551.653854858</v>
      </c>
      <c r="T109" s="137">
        <f>($B109-IF('7thPlanAssumptions'!$D$14=1,'7thPlanAssumptions'!$B$14,0))*T85*1000</f>
        <v>21464976.610712521</v>
      </c>
      <c r="U109" s="137">
        <f>($B109-IF('7thPlanAssumptions'!$D$14=1,'7thPlanAssumptions'!$B$14,0))*U85*1000</f>
        <v>21705057.107458062</v>
      </c>
      <c r="V109" s="137">
        <f>($B109-IF('7thPlanAssumptions'!$D$14=1,'7thPlanAssumptions'!$B$14,0))*V85*1000</f>
        <v>21947822.845653564</v>
      </c>
      <c r="W109" s="137"/>
    </row>
    <row r="110" spans="1:23">
      <c r="A110" s="135" t="str">
        <f>A62</f>
        <v>c. Load Aggregator - AutoDR</v>
      </c>
      <c r="B110" s="236">
        <f>KeyAssumptions!W13</f>
        <v>50</v>
      </c>
      <c r="C110" s="137">
        <f>($B110-IF('7thPlanAssumptions'!$D$14=1,'7thPlanAssumptions'!$B$14,0))*C86*1000</f>
        <v>154810.07262333445</v>
      </c>
      <c r="D110" s="137">
        <f>($B110-IF('7thPlanAssumptions'!$D$14=1,'7thPlanAssumptions'!$B$14,0))*D86*1000</f>
        <v>783347.17021753488</v>
      </c>
      <c r="E110" s="137">
        <f>($B110-IF('7thPlanAssumptions'!$D$14=1,'7thPlanAssumptions'!$B$14,0))*E86*1000</f>
        <v>1428758.9105354955</v>
      </c>
      <c r="F110" s="137">
        <f>($B110-IF('7thPlanAssumptions'!$D$14=1,'7thPlanAssumptions'!$B$14,0))*F86*1000</f>
        <v>2090569.678728929</v>
      </c>
      <c r="G110" s="137">
        <f>($B110-IF('7thPlanAssumptions'!$D$14=1,'7thPlanAssumptions'!$B$14,0))*G86*1000</f>
        <v>2770626.8466891358</v>
      </c>
      <c r="H110" s="137">
        <f>($B110-IF('7thPlanAssumptions'!$D$14=1,'7thPlanAssumptions'!$B$14,0))*H86*1000</f>
        <v>3301164.9963309765</v>
      </c>
      <c r="I110" s="137">
        <f>($B110-IF('7thPlanAssumptions'!$D$14=1,'7thPlanAssumptions'!$B$14,0))*I86*1000</f>
        <v>3342045.4268705281</v>
      </c>
      <c r="J110" s="137">
        <f>($B110-IF('7thPlanAssumptions'!$D$14=1,'7thPlanAssumptions'!$B$14,0))*J86*1000</f>
        <v>3382379.6719182106</v>
      </c>
      <c r="K110" s="137">
        <f>($B110-IF('7thPlanAssumptions'!$D$14=1,'7thPlanAssumptions'!$B$14,0))*K86*1000</f>
        <v>3422574.6782430513</v>
      </c>
      <c r="L110" s="137">
        <f>($B110-IF('7thPlanAssumptions'!$D$14=1,'7thPlanAssumptions'!$B$14,0))*L86*1000</f>
        <v>3462539.7308427012</v>
      </c>
      <c r="M110" s="137">
        <f>($B110-IF('7thPlanAssumptions'!$D$14=1,'7thPlanAssumptions'!$B$14,0))*M86*1000</f>
        <v>3500808.8567003156</v>
      </c>
      <c r="N110" s="137">
        <f>($B110-IF('7thPlanAssumptions'!$D$14=1,'7thPlanAssumptions'!$B$14,0))*N86*1000</f>
        <v>3540415.2969398708</v>
      </c>
      <c r="O110" s="137">
        <f>($B110-IF('7thPlanAssumptions'!$D$14=1,'7thPlanAssumptions'!$B$14,0))*O86*1000</f>
        <v>3581640.6102035432</v>
      </c>
      <c r="P110" s="137">
        <f>($B110-IF('7thPlanAssumptions'!$D$14=1,'7thPlanAssumptions'!$B$14,0))*P86*1000</f>
        <v>3623103.161148977</v>
      </c>
      <c r="Q110" s="137">
        <f>($B110-IF('7thPlanAssumptions'!$D$14=1,'7thPlanAssumptions'!$B$14,0))*Q86*1000</f>
        <v>3663626.68104207</v>
      </c>
      <c r="R110" s="137">
        <f>($B110-IF('7thPlanAssumptions'!$D$14=1,'7thPlanAssumptions'!$B$14,0))*R86*1000</f>
        <v>3704603.4465623205</v>
      </c>
      <c r="S110" s="137">
        <f>($B110-IF('7thPlanAssumptions'!$D$14=1,'7thPlanAssumptions'!$B$14,0))*S86*1000</f>
        <v>3746038.5271508577</v>
      </c>
      <c r="T110" s="137">
        <f>($B110-IF('7thPlanAssumptions'!$D$14=1,'7thPlanAssumptions'!$B$14,0))*T86*1000</f>
        <v>3787937.0489492686</v>
      </c>
      <c r="U110" s="137">
        <f>($B110-IF('7thPlanAssumptions'!$D$14=1,'7thPlanAssumptions'!$B$14,0))*U86*1000</f>
        <v>3830304.1954337759</v>
      </c>
      <c r="V110" s="137">
        <f>($B110-IF('7thPlanAssumptions'!$D$14=1,'7thPlanAssumptions'!$B$14,0))*V86*1000</f>
        <v>3873145.2080565114</v>
      </c>
      <c r="W110" s="137"/>
    </row>
    <row r="111" spans="1:23">
      <c r="A111" s="135" t="str">
        <f>A63</f>
        <v>d. Refrigerated Warehouses - Controls</v>
      </c>
      <c r="B111" s="236">
        <f>KeyAssumptions!W14</f>
        <v>70</v>
      </c>
      <c r="C111" s="137">
        <f>($B111-IF('7thPlanAssumptions'!$D$14=1,'7thPlanAssumptions'!$B$14,0))*C87*1000</f>
        <v>207592.93547967135</v>
      </c>
      <c r="D111" s="137">
        <f>($B111-IF('7thPlanAssumptions'!$D$14=1,'7thPlanAssumptions'!$B$14,0))*D87*1000</f>
        <v>1050431.2530155135</v>
      </c>
      <c r="E111" s="137">
        <f>($B111-IF('7thPlanAssumptions'!$D$14=1,'7thPlanAssumptions'!$B$14,0))*E87*1000</f>
        <v>1915897.6628895029</v>
      </c>
      <c r="F111" s="137">
        <f>($B111-IF('7thPlanAssumptions'!$D$14=1,'7thPlanAssumptions'!$B$14,0))*F87*1000</f>
        <v>2803354.3882384119</v>
      </c>
      <c r="G111" s="137">
        <f>($B111-IF('7thPlanAssumptions'!$D$14=1,'7thPlanAssumptions'!$B$14,0))*G87*1000</f>
        <v>3715278.6667983844</v>
      </c>
      <c r="H111" s="137">
        <f>($B111-IF('7thPlanAssumptions'!$D$14=1,'7thPlanAssumptions'!$B$14,0))*H87*1000</f>
        <v>4426705.0617466811</v>
      </c>
      <c r="I111" s="137">
        <f>($B111-IF('7thPlanAssumptions'!$D$14=1,'7thPlanAssumptions'!$B$14,0))*I87*1000</f>
        <v>4481523.7724130517</v>
      </c>
      <c r="J111" s="137">
        <f>($B111-IF('7thPlanAssumptions'!$D$14=1,'7thPlanAssumptions'!$B$14,0))*J87*1000</f>
        <v>4535610.0743436581</v>
      </c>
      <c r="K111" s="137">
        <f>($B111-IF('7thPlanAssumptions'!$D$14=1,'7thPlanAssumptions'!$B$14,0))*K87*1000</f>
        <v>4589509.6637773495</v>
      </c>
      <c r="L111" s="137">
        <f>($B111-IF('7thPlanAssumptions'!$D$14=1,'7thPlanAssumptions'!$B$14,0))*L87*1000</f>
        <v>4643100.8962157387</v>
      </c>
      <c r="M111" s="137">
        <f>($B111-IF('7thPlanAssumptions'!$D$14=1,'7thPlanAssumptions'!$B$14,0))*M87*1000</f>
        <v>4694417.9716514712</v>
      </c>
      <c r="N111" s="137">
        <f>($B111-IF('7thPlanAssumptions'!$D$14=1,'7thPlanAssumptions'!$B$14,0))*N87*1000</f>
        <v>4747528.321991751</v>
      </c>
      <c r="O111" s="137">
        <f>($B111-IF('7thPlanAssumptions'!$D$14=1,'7thPlanAssumptions'!$B$14,0))*O87*1000</f>
        <v>4802809.5039681811</v>
      </c>
      <c r="P111" s="137">
        <f>($B111-IF('7thPlanAssumptions'!$D$14=1,'7thPlanAssumptions'!$B$14,0))*P87*1000</f>
        <v>4858408.8103788197</v>
      </c>
      <c r="Q111" s="137">
        <f>($B111-IF('7thPlanAssumptions'!$D$14=1,'7thPlanAssumptions'!$B$14,0))*Q87*1000</f>
        <v>4912748.9208640354</v>
      </c>
      <c r="R111" s="137">
        <f>($B111-IF('7thPlanAssumptions'!$D$14=1,'7thPlanAssumptions'!$B$14,0))*R87*1000</f>
        <v>4967696.8121521408</v>
      </c>
      <c r="S111" s="137">
        <f>($B111-IF('7thPlanAssumptions'!$D$14=1,'7thPlanAssumptions'!$B$14,0))*S87*1000</f>
        <v>5023259.2821222916</v>
      </c>
      <c r="T111" s="137">
        <f>($B111-IF('7thPlanAssumptions'!$D$14=1,'7thPlanAssumptions'!$B$14,0))*T87*1000</f>
        <v>5079443.2046862571</v>
      </c>
      <c r="U111" s="137">
        <f>($B111-IF('7thPlanAssumptions'!$D$14=1,'7thPlanAssumptions'!$B$14,0))*U87*1000</f>
        <v>5136255.5306388158</v>
      </c>
      <c r="V111" s="137">
        <f>($B111-IF('7thPlanAssumptions'!$D$14=1,'7thPlanAssumptions'!$B$14,0))*V87*1000</f>
        <v>5193703.2885176847</v>
      </c>
      <c r="W111" s="137"/>
    </row>
    <row r="112" spans="1:23">
      <c r="A112" s="141"/>
      <c r="B112" s="237"/>
      <c r="C112" s="134"/>
      <c r="D112" s="134"/>
      <c r="E112" s="134"/>
      <c r="F112" s="134"/>
      <c r="G112" s="134"/>
      <c r="H112" s="134"/>
      <c r="I112" s="134"/>
      <c r="J112" s="134"/>
      <c r="K112" s="134"/>
      <c r="L112" s="134"/>
      <c r="M112" s="134"/>
      <c r="N112" s="134"/>
      <c r="O112" s="134"/>
      <c r="P112" s="134"/>
      <c r="Q112" s="134"/>
      <c r="R112" s="134"/>
      <c r="S112" s="134"/>
      <c r="T112" s="134"/>
      <c r="U112" s="134"/>
      <c r="V112" s="134"/>
      <c r="W112" s="134"/>
    </row>
    <row r="113" spans="1:23">
      <c r="A113" s="143" t="s">
        <v>220</v>
      </c>
      <c r="B113" s="144"/>
      <c r="C113" s="145">
        <f>SUM(C108:C111)</f>
        <v>1239432.4244303962</v>
      </c>
      <c r="D113" s="145">
        <f t="shared" ref="D113:V113" si="51">SUM(D108:D111)</f>
        <v>6271593.7399997385</v>
      </c>
      <c r="E113" s="145">
        <f t="shared" si="51"/>
        <v>11438855.950414568</v>
      </c>
      <c r="F113" s="145">
        <f t="shared" si="51"/>
        <v>16737411.212590003</v>
      </c>
      <c r="G113" s="145">
        <f t="shared" si="51"/>
        <v>22182049.860147487</v>
      </c>
      <c r="H113" s="145">
        <f t="shared" si="51"/>
        <v>26429617.049546823</v>
      </c>
      <c r="I113" s="145">
        <f t="shared" si="51"/>
        <v>26756911.84553</v>
      </c>
      <c r="J113" s="145">
        <f t="shared" si="51"/>
        <v>27079833.799378909</v>
      </c>
      <c r="K113" s="145">
        <f t="shared" si="51"/>
        <v>27401640.987341456</v>
      </c>
      <c r="L113" s="145">
        <f t="shared" si="51"/>
        <v>27721607.131641336</v>
      </c>
      <c r="M113" s="145">
        <f t="shared" si="51"/>
        <v>28027995.434668228</v>
      </c>
      <c r="N113" s="145">
        <f t="shared" si="51"/>
        <v>28345090.475173824</v>
      </c>
      <c r="O113" s="145">
        <f t="shared" si="51"/>
        <v>28675146.453447387</v>
      </c>
      <c r="P113" s="145">
        <f t="shared" si="51"/>
        <v>29007101.791821294</v>
      </c>
      <c r="Q113" s="145">
        <f t="shared" si="51"/>
        <v>29331539.108182188</v>
      </c>
      <c r="R113" s="145">
        <f t="shared" si="51"/>
        <v>29659605.176322669</v>
      </c>
      <c r="S113" s="145">
        <f t="shared" si="51"/>
        <v>29991340.582941022</v>
      </c>
      <c r="T113" s="145">
        <f t="shared" si="51"/>
        <v>30326786.368687827</v>
      </c>
      <c r="U113" s="145">
        <f t="shared" si="51"/>
        <v>30665984.033243254</v>
      </c>
      <c r="V113" s="145">
        <f t="shared" si="51"/>
        <v>31008975.540451206</v>
      </c>
      <c r="W113" s="145"/>
    </row>
    <row r="114" spans="1:23">
      <c r="A114" s="120"/>
      <c r="B114" s="120"/>
      <c r="C114" s="146"/>
      <c r="D114" s="146"/>
      <c r="E114" s="146"/>
      <c r="F114" s="146"/>
      <c r="G114" s="146"/>
      <c r="H114" s="146"/>
      <c r="I114" s="146"/>
      <c r="J114" s="146"/>
      <c r="K114" s="146"/>
      <c r="L114" s="146"/>
      <c r="M114" s="146"/>
      <c r="N114" s="146"/>
      <c r="O114" s="146"/>
      <c r="P114" s="146"/>
      <c r="Q114" s="146"/>
      <c r="R114" s="146"/>
      <c r="S114" s="146"/>
      <c r="T114" s="146"/>
      <c r="U114" s="146"/>
      <c r="V114" s="146"/>
      <c r="W114" s="146"/>
    </row>
    <row r="115" spans="1:23">
      <c r="A115" s="96" t="s">
        <v>304</v>
      </c>
      <c r="B115" s="96"/>
      <c r="C115" s="111"/>
      <c r="D115" s="127"/>
      <c r="E115" s="128"/>
      <c r="F115" s="190"/>
      <c r="G115" s="120"/>
      <c r="H115" s="130"/>
      <c r="I115" s="120"/>
      <c r="J115" s="78"/>
      <c r="L115" s="78"/>
    </row>
    <row r="116" spans="1:23">
      <c r="A116" s="110"/>
      <c r="B116" s="110"/>
      <c r="C116" s="111"/>
      <c r="D116" s="127"/>
      <c r="E116" s="128"/>
      <c r="F116" s="129"/>
      <c r="G116" s="120"/>
      <c r="H116" s="130"/>
      <c r="I116" s="120"/>
      <c r="J116" s="78"/>
      <c r="L116" s="78"/>
    </row>
    <row r="117" spans="1:23">
      <c r="A117" s="547" t="s">
        <v>210</v>
      </c>
      <c r="B117" s="548"/>
      <c r="C117" s="206">
        <f>C106</f>
        <v>2016</v>
      </c>
      <c r="D117" s="321">
        <f t="shared" ref="D117:V117" si="52">D106</f>
        <v>2017</v>
      </c>
      <c r="E117" s="321">
        <f t="shared" si="52"/>
        <v>2018</v>
      </c>
      <c r="F117" s="321">
        <f t="shared" si="52"/>
        <v>2019</v>
      </c>
      <c r="G117" s="321">
        <f t="shared" si="52"/>
        <v>2020</v>
      </c>
      <c r="H117" s="321">
        <f t="shared" si="52"/>
        <v>2021</v>
      </c>
      <c r="I117" s="321">
        <f t="shared" si="52"/>
        <v>2022</v>
      </c>
      <c r="J117" s="321">
        <f t="shared" si="52"/>
        <v>2023</v>
      </c>
      <c r="K117" s="321">
        <f t="shared" si="52"/>
        <v>2024</v>
      </c>
      <c r="L117" s="321">
        <f t="shared" si="52"/>
        <v>2025</v>
      </c>
      <c r="M117" s="321">
        <f t="shared" si="52"/>
        <v>2026</v>
      </c>
      <c r="N117" s="321">
        <f t="shared" si="52"/>
        <v>2027</v>
      </c>
      <c r="O117" s="321">
        <f t="shared" si="52"/>
        <v>2028</v>
      </c>
      <c r="P117" s="321">
        <f t="shared" si="52"/>
        <v>2029</v>
      </c>
      <c r="Q117" s="321">
        <f t="shared" si="52"/>
        <v>2030</v>
      </c>
      <c r="R117" s="321">
        <f t="shared" si="52"/>
        <v>2031</v>
      </c>
      <c r="S117" s="321">
        <f t="shared" si="52"/>
        <v>2032</v>
      </c>
      <c r="T117" s="321">
        <f t="shared" si="52"/>
        <v>2033</v>
      </c>
      <c r="U117" s="321">
        <f t="shared" si="52"/>
        <v>2034</v>
      </c>
      <c r="V117" s="321">
        <f t="shared" si="52"/>
        <v>2035</v>
      </c>
      <c r="W117" s="206"/>
    </row>
    <row r="118" spans="1:23">
      <c r="A118" s="143" t="str">
        <f>A101</f>
        <v xml:space="preserve">TOTAL ENABLEMENT COST </v>
      </c>
      <c r="B118" s="147"/>
      <c r="C118" s="148">
        <f>C101</f>
        <v>663505.97468218603</v>
      </c>
      <c r="D118" s="148">
        <f t="shared" ref="D118:V118" si="53">D101</f>
        <v>2693869.4136384781</v>
      </c>
      <c r="E118" s="148">
        <f t="shared" si="53"/>
        <v>2766193.0427028737</v>
      </c>
      <c r="F118" s="148">
        <f t="shared" si="53"/>
        <v>2836478.2172394809</v>
      </c>
      <c r="G118" s="148">
        <f t="shared" si="53"/>
        <v>2914681.1084114918</v>
      </c>
      <c r="H118" s="148">
        <f t="shared" si="53"/>
        <v>2273852.2508201064</v>
      </c>
      <c r="I118" s="148">
        <f t="shared" si="53"/>
        <v>175210.88551239573</v>
      </c>
      <c r="J118" s="148">
        <f t="shared" si="53"/>
        <v>172869.96976318699</v>
      </c>
      <c r="K118" s="148">
        <f t="shared" si="53"/>
        <v>172273.20158817928</v>
      </c>
      <c r="L118" s="148">
        <f t="shared" si="53"/>
        <v>171287.63477085624</v>
      </c>
      <c r="M118" s="148">
        <f t="shared" si="53"/>
        <v>164019.00226590273</v>
      </c>
      <c r="N118" s="148">
        <f t="shared" si="53"/>
        <v>169750.64535223879</v>
      </c>
      <c r="O118" s="148">
        <f t="shared" si="53"/>
        <v>176689.03059779495</v>
      </c>
      <c r="P118" s="148">
        <f t="shared" si="53"/>
        <v>177705.81598263257</v>
      </c>
      <c r="Q118" s="148">
        <f t="shared" si="53"/>
        <v>173681.18952853762</v>
      </c>
      <c r="R118" s="148">
        <f t="shared" si="53"/>
        <v>175623.77101900888</v>
      </c>
      <c r="S118" s="148">
        <f t="shared" si="53"/>
        <v>177588.07980681665</v>
      </c>
      <c r="T118" s="148">
        <f t="shared" si="53"/>
        <v>179574.35890645912</v>
      </c>
      <c r="U118" s="148">
        <f t="shared" si="53"/>
        <v>181582.85405047282</v>
      </c>
      <c r="V118" s="148">
        <f t="shared" si="53"/>
        <v>183613.8137198691</v>
      </c>
      <c r="W118" s="148"/>
    </row>
    <row r="119" spans="1:23">
      <c r="A119" s="143" t="str">
        <f>A113</f>
        <v>TOTAL IMPLEMENTATION COST</v>
      </c>
      <c r="B119" s="147"/>
      <c r="C119" s="148">
        <f>C113</f>
        <v>1239432.4244303962</v>
      </c>
      <c r="D119" s="148">
        <f t="shared" ref="D119:V119" si="54">D113</f>
        <v>6271593.7399997385</v>
      </c>
      <c r="E119" s="148">
        <f t="shared" si="54"/>
        <v>11438855.950414568</v>
      </c>
      <c r="F119" s="148">
        <f t="shared" si="54"/>
        <v>16737411.212590003</v>
      </c>
      <c r="G119" s="148">
        <f t="shared" si="54"/>
        <v>22182049.860147487</v>
      </c>
      <c r="H119" s="148">
        <f t="shared" si="54"/>
        <v>26429617.049546823</v>
      </c>
      <c r="I119" s="148">
        <f t="shared" si="54"/>
        <v>26756911.84553</v>
      </c>
      <c r="J119" s="148">
        <f t="shared" si="54"/>
        <v>27079833.799378909</v>
      </c>
      <c r="K119" s="148">
        <f t="shared" si="54"/>
        <v>27401640.987341456</v>
      </c>
      <c r="L119" s="148">
        <f t="shared" si="54"/>
        <v>27721607.131641336</v>
      </c>
      <c r="M119" s="148">
        <f t="shared" si="54"/>
        <v>28027995.434668228</v>
      </c>
      <c r="N119" s="148">
        <f t="shared" si="54"/>
        <v>28345090.475173824</v>
      </c>
      <c r="O119" s="148">
        <f t="shared" si="54"/>
        <v>28675146.453447387</v>
      </c>
      <c r="P119" s="148">
        <f t="shared" si="54"/>
        <v>29007101.791821294</v>
      </c>
      <c r="Q119" s="148">
        <f t="shared" si="54"/>
        <v>29331539.108182188</v>
      </c>
      <c r="R119" s="148">
        <f t="shared" si="54"/>
        <v>29659605.176322669</v>
      </c>
      <c r="S119" s="148">
        <f t="shared" si="54"/>
        <v>29991340.582941022</v>
      </c>
      <c r="T119" s="148">
        <f t="shared" si="54"/>
        <v>30326786.368687827</v>
      </c>
      <c r="U119" s="148">
        <f t="shared" si="54"/>
        <v>30665984.033243254</v>
      </c>
      <c r="V119" s="148">
        <f t="shared" si="54"/>
        <v>31008975.540451206</v>
      </c>
      <c r="W119" s="148"/>
    </row>
    <row r="120" spans="1:23">
      <c r="A120" s="149" t="s">
        <v>222</v>
      </c>
      <c r="B120" s="147"/>
      <c r="C120" s="150">
        <f t="shared" ref="C120:V120" si="55">SUM(C118:C119)</f>
        <v>1902938.3991125822</v>
      </c>
      <c r="D120" s="150">
        <f t="shared" si="55"/>
        <v>8965463.1536382176</v>
      </c>
      <c r="E120" s="150">
        <f t="shared" si="55"/>
        <v>14205048.993117442</v>
      </c>
      <c r="F120" s="150">
        <f t="shared" si="55"/>
        <v>19573889.429829486</v>
      </c>
      <c r="G120" s="150">
        <f t="shared" si="55"/>
        <v>25096730.968558978</v>
      </c>
      <c r="H120" s="150">
        <f t="shared" si="55"/>
        <v>28703469.300366931</v>
      </c>
      <c r="I120" s="150">
        <f t="shared" si="55"/>
        <v>26932122.731042396</v>
      </c>
      <c r="J120" s="150">
        <f t="shared" si="55"/>
        <v>27252703.769142095</v>
      </c>
      <c r="K120" s="150">
        <f t="shared" si="55"/>
        <v>27573914.188929636</v>
      </c>
      <c r="L120" s="150">
        <f t="shared" si="55"/>
        <v>27892894.766412191</v>
      </c>
      <c r="M120" s="150">
        <f t="shared" si="55"/>
        <v>28192014.436934132</v>
      </c>
      <c r="N120" s="150">
        <f t="shared" si="55"/>
        <v>28514841.12052606</v>
      </c>
      <c r="O120" s="150">
        <f t="shared" si="55"/>
        <v>28851835.484045181</v>
      </c>
      <c r="P120" s="150">
        <f t="shared" si="55"/>
        <v>29184807.607803926</v>
      </c>
      <c r="Q120" s="150">
        <f t="shared" si="55"/>
        <v>29505220.297710724</v>
      </c>
      <c r="R120" s="150">
        <f t="shared" si="55"/>
        <v>29835228.947341677</v>
      </c>
      <c r="S120" s="150">
        <f t="shared" si="55"/>
        <v>30168928.662747838</v>
      </c>
      <c r="T120" s="150">
        <f t="shared" si="55"/>
        <v>30506360.727594286</v>
      </c>
      <c r="U120" s="150">
        <f t="shared" si="55"/>
        <v>30847566.887293726</v>
      </c>
      <c r="V120" s="150">
        <f t="shared" si="55"/>
        <v>31192589.354171075</v>
      </c>
      <c r="W120" s="150"/>
    </row>
  </sheetData>
  <mergeCells count="15">
    <mergeCell ref="B105:B106"/>
    <mergeCell ref="A105:A106"/>
    <mergeCell ref="C105:W105"/>
    <mergeCell ref="A117:B117"/>
    <mergeCell ref="A1:W1"/>
    <mergeCell ref="C4:W4"/>
    <mergeCell ref="C57:W57"/>
    <mergeCell ref="A69:A70"/>
    <mergeCell ref="B69:B70"/>
    <mergeCell ref="C69:W69"/>
    <mergeCell ref="B81:B82"/>
    <mergeCell ref="C81:W81"/>
    <mergeCell ref="B93:B94"/>
    <mergeCell ref="A93:A94"/>
    <mergeCell ref="C93:W93"/>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Charts</vt:lpstr>
      </vt:variant>
      <vt:variant>
        <vt:i4>2</vt:i4>
      </vt:variant>
    </vt:vector>
  </HeadingPairs>
  <TitlesOfParts>
    <vt:vector size="20" baseType="lpstr">
      <vt:lpstr>Sheet1</vt:lpstr>
      <vt:lpstr>CostByType_Summary</vt:lpstr>
      <vt:lpstr>7thPlanAssumptions</vt:lpstr>
      <vt:lpstr>EnergyCalculations</vt:lpstr>
      <vt:lpstr>CostByType_Details</vt:lpstr>
      <vt:lpstr>SetupForRPM</vt:lpstr>
      <vt:lpstr>NW Baseline Grid Char</vt:lpstr>
      <vt:lpstr>NW Baseline Energy</vt:lpstr>
      <vt:lpstr>NW Baseline Energy by Use</vt:lpstr>
      <vt:lpstr>NW Baseline Demand</vt:lpstr>
      <vt:lpstr>NW Customers</vt:lpstr>
      <vt:lpstr>KeyAssumptions</vt:lpstr>
      <vt:lpstr>Res-Capacity-Base</vt:lpstr>
      <vt:lpstr>Com-Capacity-Base</vt:lpstr>
      <vt:lpstr>Ag-Ind-Capacity-Base</vt:lpstr>
      <vt:lpstr>Res-Capacity-Smart</vt:lpstr>
      <vt:lpstr>Com-Capacity-Smart</vt:lpstr>
      <vt:lpstr>Ag-Ind-Capacity-Smart</vt:lpstr>
      <vt:lpstr>2021 Potential</vt:lpstr>
      <vt:lpstr>2035 Potential</vt:lpstr>
    </vt:vector>
  </TitlesOfParts>
  <Company>Navigant Consulting,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Navigant</dc:creator>
  <cp:lastModifiedBy>Chad Madron</cp:lastModifiedBy>
  <cp:lastPrinted>2015-02-25T03:13:59Z</cp:lastPrinted>
  <dcterms:created xsi:type="dcterms:W3CDTF">2014-01-02T20:32:12Z</dcterms:created>
  <dcterms:modified xsi:type="dcterms:W3CDTF">2016-02-25T19:18:36Z</dcterms:modified>
</cp:coreProperties>
</file>